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ón 2021\SGTO PDD 2021\SGTO PDD II TRIMESTRE 2021\"/>
    </mc:Choice>
  </mc:AlternateContent>
  <bookViews>
    <workbookView xWindow="0" yWindow="0" windowWidth="24000" windowHeight="9345" firstSheet="10" activeTab="13"/>
  </bookViews>
  <sheets>
    <sheet name="F-PLA-06 PA ADMINISTRATIVA" sheetId="1" r:id="rId1"/>
    <sheet name="F-PLA-06 PA PLANEACIÓN" sheetId="2" r:id="rId2"/>
    <sheet name="F-PLA-06 PA HACIENDA" sheetId="3" r:id="rId3"/>
    <sheet name="F-PLA-06 PA AGUAS INFRA" sheetId="5" r:id="rId4"/>
    <sheet name="F-PLA-06 PA INTERIOR" sheetId="15" r:id="rId5"/>
    <sheet name="F-PLA-06 PA CULTURA" sheetId="9" r:id="rId6"/>
    <sheet name="F-PLA-06 PA TURISMO" sheetId="12" r:id="rId7"/>
    <sheet name="F-PLA-06 PA AGRICULTURA" sheetId="6" r:id="rId8"/>
    <sheet name="F-PLA-06 PA PRIVADA" sheetId="4" r:id="rId9"/>
    <sheet name="F-PLA-06 PA EDUCACIÓN" sheetId="14" r:id="rId10"/>
    <sheet name="F-PLA-06 PA FAMILIA" sheetId="16" r:id="rId11"/>
    <sheet name="F-PLA 06 PA SALUD" sheetId="13" r:id="rId12"/>
    <sheet name="F-PLA-06 PA TIC" sheetId="11" r:id="rId13"/>
    <sheet name="F-PLA-06 PA INDEPORTES" sheetId="17" r:id="rId14"/>
    <sheet name="F-PL-06 PA PROMOTORA" sheetId="10" r:id="rId15"/>
    <sheet name="F-PLA-06 PA IDTQ" sheetId="7" r:id="rId16"/>
  </sheets>
  <externalReferences>
    <externalReference r:id="rId17"/>
    <externalReference r:id="rId18"/>
  </externalReferences>
  <definedNames>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0">#REF!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11" hidden="1">'F-PLA 06 PA SALUD'!$A$8:$XFC$8</definedName>
    <definedName name="_xlnm._FilterDatabase" localSheetId="5" hidden="1">'F-PLA-06 PA CULTURA'!$X$1:$X$54</definedName>
    <definedName name="_xlnm._FilterDatabase" localSheetId="9" hidden="1">'F-PLA-06 PA EDUCACIÓN'!$W$8:$Z$221</definedName>
    <definedName name="_xlnm._FilterDatabase" localSheetId="10" hidden="1">'F-PLA-06 PA FAMILIA'!$X$89:$X$192</definedName>
    <definedName name="_xlnm._FilterDatabase" localSheetId="4" hidden="1">'F-PLA-06 PA INTERIOR'!$W$8:$Y$226</definedName>
    <definedName name="aa" localSheetId="11">#REF!</definedName>
    <definedName name="aa" localSheetId="9">#REF!</definedName>
    <definedName name="aa" localSheetId="13">#REF!</definedName>
    <definedName name="aa" localSheetId="4">#REF!</definedName>
    <definedName name="aa" localSheetId="1">#REF!</definedName>
    <definedName name="aa" localSheetId="12">#REF!</definedName>
    <definedName name="aa" localSheetId="6">#REF!</definedName>
    <definedName name="aa">#REF!</definedName>
    <definedName name="CODIGO_DIVIPOLA" localSheetId="14">#REF!</definedName>
    <definedName name="CODIGO_DIVIPOLA" localSheetId="11">#REF!</definedName>
    <definedName name="CODIGO_DIVIPOLA" localSheetId="0">#REF!</definedName>
    <definedName name="CODIGO_DIVIPOLA" localSheetId="5">#REF!</definedName>
    <definedName name="CODIGO_DIVIPOLA" localSheetId="9">#REF!</definedName>
    <definedName name="CODIGO_DIVIPOLA" localSheetId="10">#REF!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12">#REF!</definedName>
    <definedName name="CODIGO_DIVIPOLA" localSheetId="6">#REF!</definedName>
    <definedName name="CODIGO_DIVIPOLA">#REF!</definedName>
    <definedName name="DboREGISTRO_LEY_617" localSheetId="14">#REF!</definedName>
    <definedName name="DboREGISTRO_LEY_617" localSheetId="11">#REF!</definedName>
    <definedName name="DboREGISTRO_LEY_617" localSheetId="0">#REF!</definedName>
    <definedName name="DboREGISTRO_LEY_617" localSheetId="5">#REF!</definedName>
    <definedName name="DboREGISTRO_LEY_617" localSheetId="9">#REF!</definedName>
    <definedName name="DboREGISTRO_LEY_617" localSheetId="10">#REF!</definedName>
    <definedName name="DboREGISTRO_LEY_617" localSheetId="13">#REF!</definedName>
    <definedName name="DboREGISTRO_LEY_617" localSheetId="4">#REF!</definedName>
    <definedName name="DboREGISTRO_LEY_617" localSheetId="1">#REF!</definedName>
    <definedName name="DboREGISTRO_LEY_617" localSheetId="12">#REF!</definedName>
    <definedName name="DboREGISTRO_LEY_617" localSheetId="6">#REF!</definedName>
    <definedName name="DboREGISTRO_LEY_617">#REF!</definedName>
    <definedName name="ññ" localSheetId="14">#REF!</definedName>
    <definedName name="ññ" localSheetId="11">#REF!</definedName>
    <definedName name="ññ" localSheetId="0">#REF!</definedName>
    <definedName name="ññ" localSheetId="5">#REF!</definedName>
    <definedName name="ññ" localSheetId="9">#REF!</definedName>
    <definedName name="ññ" localSheetId="10">#REF!</definedName>
    <definedName name="ññ" localSheetId="13">#REF!</definedName>
    <definedName name="ññ" localSheetId="4">#REF!</definedName>
    <definedName name="ññ" localSheetId="1">#REF!</definedName>
    <definedName name="ññ" localSheetId="12">#REF!</definedName>
    <definedName name="ññ" localSheetId="6">#REF!</definedName>
    <definedName name="ññ">#REF!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0" i="17" l="1"/>
  <c r="S77" i="17"/>
  <c r="R77" i="17"/>
  <c r="S53" i="17"/>
  <c r="R53" i="17"/>
  <c r="R49" i="17"/>
  <c r="R33" i="17"/>
  <c r="S13" i="17"/>
  <c r="R24" i="17" s="1"/>
  <c r="R13" i="17"/>
  <c r="S80" i="17" l="1"/>
  <c r="S82" i="17" s="1"/>
  <c r="S185" i="16"/>
  <c r="R185" i="16" s="1"/>
  <c r="AS184" i="16"/>
  <c r="S184" i="16"/>
  <c r="R184" i="16"/>
  <c r="S182" i="16"/>
  <c r="R182" i="16"/>
  <c r="AP178" i="16"/>
  <c r="S178" i="16"/>
  <c r="R178" i="16"/>
  <c r="S175" i="16"/>
  <c r="R175" i="16" s="1"/>
  <c r="S167" i="16"/>
  <c r="R167" i="16"/>
  <c r="AP160" i="16"/>
  <c r="S160" i="16"/>
  <c r="R160" i="16"/>
  <c r="AS159" i="16"/>
  <c r="S159" i="16"/>
  <c r="R159" i="16" s="1"/>
  <c r="S151" i="16"/>
  <c r="R151" i="16"/>
  <c r="S147" i="16"/>
  <c r="R147" i="16" s="1"/>
  <c r="W142" i="16"/>
  <c r="W140" i="16"/>
  <c r="W136" i="16"/>
  <c r="W129" i="16"/>
  <c r="W112" i="16"/>
  <c r="W109" i="16"/>
  <c r="W106" i="16"/>
  <c r="S101" i="16" s="1"/>
  <c r="S98" i="16"/>
  <c r="S90" i="16"/>
  <c r="R91" i="16" s="1"/>
  <c r="R90" i="16"/>
  <c r="S83" i="16"/>
  <c r="R83" i="16" s="1"/>
  <c r="W81" i="16"/>
  <c r="W80" i="16"/>
  <c r="R80" i="16"/>
  <c r="W78" i="16"/>
  <c r="W77" i="16"/>
  <c r="S77" i="16"/>
  <c r="R77" i="16"/>
  <c r="W74" i="16"/>
  <c r="W73" i="16"/>
  <c r="S73" i="16"/>
  <c r="R73" i="16"/>
  <c r="S70" i="16"/>
  <c r="R70" i="16"/>
  <c r="S69" i="16"/>
  <c r="R69" i="16"/>
  <c r="AP68" i="16"/>
  <c r="S68" i="16"/>
  <c r="R68" i="16"/>
  <c r="AP62" i="16"/>
  <c r="S62" i="16"/>
  <c r="R62" i="16"/>
  <c r="W59" i="16"/>
  <c r="W58" i="16"/>
  <c r="AP57" i="16"/>
  <c r="W57" i="16"/>
  <c r="S57" i="16"/>
  <c r="R57" i="16" s="1"/>
  <c r="AP54" i="16"/>
  <c r="S54" i="16"/>
  <c r="R54" i="16"/>
  <c r="W49" i="16"/>
  <c r="W48" i="16"/>
  <c r="W47" i="16"/>
  <c r="S46" i="16" s="1"/>
  <c r="R46" i="16" s="1"/>
  <c r="AP46" i="16"/>
  <c r="W46" i="16"/>
  <c r="R38" i="16"/>
  <c r="AP37" i="16"/>
  <c r="S37" i="16"/>
  <c r="R37" i="16"/>
  <c r="W34" i="16"/>
  <c r="S31" i="16" s="1"/>
  <c r="R31" i="16" s="1"/>
  <c r="AP31" i="16"/>
  <c r="R27" i="16"/>
  <c r="AP25" i="16"/>
  <c r="S25" i="16"/>
  <c r="R25" i="16"/>
  <c r="S22" i="16"/>
  <c r="R22" i="16" s="1"/>
  <c r="W17" i="16"/>
  <c r="W15" i="16"/>
  <c r="S12" i="16" s="1"/>
  <c r="S192" i="16" l="1"/>
  <c r="R12" i="16"/>
  <c r="R15" i="16"/>
  <c r="R106" i="16"/>
  <c r="R101" i="16"/>
  <c r="W192" i="16"/>
  <c r="R61" i="16"/>
  <c r="W219" i="15"/>
  <c r="W212" i="15"/>
  <c r="W210" i="15"/>
  <c r="W199" i="15"/>
  <c r="S192" i="15" s="1"/>
  <c r="AP192" i="15"/>
  <c r="AP177" i="15"/>
  <c r="S177" i="15"/>
  <c r="R177" i="15" s="1"/>
  <c r="W173" i="15"/>
  <c r="W171" i="15"/>
  <c r="W168" i="15"/>
  <c r="R167" i="15" s="1"/>
  <c r="W163" i="15"/>
  <c r="W162" i="15"/>
  <c r="W160" i="15"/>
  <c r="W150" i="15"/>
  <c r="W148" i="15"/>
  <c r="W146" i="15"/>
  <c r="W139" i="15"/>
  <c r="AP135" i="15"/>
  <c r="S135" i="15"/>
  <c r="R142" i="15" s="1"/>
  <c r="W132" i="15"/>
  <c r="W130" i="15"/>
  <c r="S129" i="15" s="1"/>
  <c r="R129" i="15" s="1"/>
  <c r="AP129" i="15"/>
  <c r="AP122" i="15"/>
  <c r="S122" i="15"/>
  <c r="R122" i="15" s="1"/>
  <c r="W121" i="15"/>
  <c r="W115" i="15"/>
  <c r="W112" i="15"/>
  <c r="W111" i="15"/>
  <c r="W109" i="15"/>
  <c r="W106" i="15"/>
  <c r="AP103" i="15"/>
  <c r="W103" i="15"/>
  <c r="S103" i="15" s="1"/>
  <c r="R103" i="15" s="1"/>
  <c r="W94" i="15"/>
  <c r="AP91" i="15"/>
  <c r="W91" i="15"/>
  <c r="S91" i="15"/>
  <c r="R91" i="15" s="1"/>
  <c r="W76" i="15"/>
  <c r="R76" i="15"/>
  <c r="W47" i="15"/>
  <c r="AP41" i="15"/>
  <c r="S41" i="15"/>
  <c r="R67" i="15" s="1"/>
  <c r="W38" i="15"/>
  <c r="W37" i="15"/>
  <c r="W36" i="15"/>
  <c r="W35" i="15"/>
  <c r="W34" i="15"/>
  <c r="W33" i="15"/>
  <c r="W226" i="15" s="1"/>
  <c r="AP26" i="15"/>
  <c r="S26" i="15"/>
  <c r="R26" i="15" s="1"/>
  <c r="AP22" i="15"/>
  <c r="S22" i="15"/>
  <c r="R22" i="15"/>
  <c r="AP12" i="15"/>
  <c r="S12" i="15"/>
  <c r="S226" i="15" l="1"/>
  <c r="R213" i="15"/>
  <c r="R222" i="15"/>
  <c r="R208" i="15"/>
  <c r="R192" i="15"/>
  <c r="R12" i="15"/>
  <c r="R41" i="15"/>
  <c r="R61" i="15"/>
  <c r="R82" i="15"/>
  <c r="R135" i="15"/>
  <c r="S33" i="15"/>
  <c r="R33" i="15" s="1"/>
  <c r="AP219" i="14"/>
  <c r="S219" i="14"/>
  <c r="R219" i="14"/>
  <c r="AP215" i="14"/>
  <c r="S215" i="14"/>
  <c r="R215" i="14" s="1"/>
  <c r="W207" i="14"/>
  <c r="W206" i="14"/>
  <c r="W176" i="14"/>
  <c r="W110" i="14"/>
  <c r="W109" i="14"/>
  <c r="AP108" i="14"/>
  <c r="W108" i="14"/>
  <c r="S108" i="14"/>
  <c r="R116" i="14" s="1"/>
  <c r="R104" i="14"/>
  <c r="R100" i="14"/>
  <c r="AP96" i="14"/>
  <c r="S96" i="14"/>
  <c r="R96" i="14"/>
  <c r="R92" i="14"/>
  <c r="AP88" i="14"/>
  <c r="S88" i="14"/>
  <c r="R88" i="14"/>
  <c r="W83" i="14"/>
  <c r="W82" i="14"/>
  <c r="W81" i="14"/>
  <c r="W80" i="14"/>
  <c r="S76" i="14" s="1"/>
  <c r="AP76" i="14"/>
  <c r="W55" i="14"/>
  <c r="W54" i="14"/>
  <c r="S43" i="14" s="1"/>
  <c r="W53" i="14"/>
  <c r="W52" i="14"/>
  <c r="AP43" i="14"/>
  <c r="R42" i="14"/>
  <c r="AP41" i="14"/>
  <c r="S41" i="14"/>
  <c r="R41" i="14"/>
  <c r="W37" i="14"/>
  <c r="W36" i="14"/>
  <c r="W31" i="14"/>
  <c r="W26" i="14"/>
  <c r="W25" i="14"/>
  <c r="W24" i="14"/>
  <c r="W15" i="14"/>
  <c r="W14" i="14"/>
  <c r="W13" i="14"/>
  <c r="AP12" i="14"/>
  <c r="W12" i="14"/>
  <c r="W221" i="14" s="1"/>
  <c r="S12" i="14"/>
  <c r="R16" i="14" s="1"/>
  <c r="R70" i="14" l="1"/>
  <c r="R60" i="14"/>
  <c r="R66" i="14"/>
  <c r="R52" i="14"/>
  <c r="R75" i="14"/>
  <c r="R65" i="14"/>
  <c r="R48" i="14"/>
  <c r="R74" i="14"/>
  <c r="R64" i="14"/>
  <c r="R43" i="14"/>
  <c r="R84" i="14"/>
  <c r="R80" i="14"/>
  <c r="R76" i="14"/>
  <c r="R37" i="14"/>
  <c r="R12" i="14"/>
  <c r="R20" i="14"/>
  <c r="R36" i="14"/>
  <c r="R38" i="14"/>
  <c r="R108" i="14"/>
  <c r="R120" i="14"/>
  <c r="R24" i="14"/>
  <c r="R27" i="14"/>
  <c r="R39" i="14"/>
  <c r="R31" i="14"/>
  <c r="R112" i="14"/>
  <c r="S221" i="14"/>
  <c r="R298" i="13"/>
  <c r="R297" i="13"/>
  <c r="S288" i="13"/>
  <c r="R296" i="13" s="1"/>
  <c r="R288" i="13"/>
  <c r="W277" i="13"/>
  <c r="W276" i="13"/>
  <c r="W275" i="13"/>
  <c r="W274" i="13"/>
  <c r="W273" i="13"/>
  <c r="W272" i="13"/>
  <c r="W271" i="13"/>
  <c r="W270" i="13"/>
  <c r="W269" i="13"/>
  <c r="W267" i="13"/>
  <c r="S266" i="13" s="1"/>
  <c r="S252" i="13"/>
  <c r="R252" i="13"/>
  <c r="W249" i="13"/>
  <c r="W247" i="13"/>
  <c r="W241" i="13"/>
  <c r="S241" i="13"/>
  <c r="R241" i="13" s="1"/>
  <c r="W239" i="13"/>
  <c r="W238" i="13"/>
  <c r="W236" i="13"/>
  <c r="W234" i="13"/>
  <c r="S234" i="13" s="1"/>
  <c r="R234" i="13" s="1"/>
  <c r="S223" i="13"/>
  <c r="R223" i="13" s="1"/>
  <c r="W221" i="13"/>
  <c r="W220" i="13"/>
  <c r="W218" i="13"/>
  <c r="W217" i="13"/>
  <c r="S217" i="13" s="1"/>
  <c r="R217" i="13" s="1"/>
  <c r="S215" i="13"/>
  <c r="R215" i="13" s="1"/>
  <c r="W211" i="13"/>
  <c r="S211" i="13"/>
  <c r="R211" i="13"/>
  <c r="W202" i="13"/>
  <c r="W200" i="13"/>
  <c r="W199" i="13"/>
  <c r="R197" i="13"/>
  <c r="S196" i="13"/>
  <c r="R196" i="13" s="1"/>
  <c r="W194" i="13"/>
  <c r="W190" i="13"/>
  <c r="S183" i="13" s="1"/>
  <c r="W182" i="13"/>
  <c r="S168" i="13" s="1"/>
  <c r="W179" i="13"/>
  <c r="W178" i="13"/>
  <c r="W165" i="13"/>
  <c r="R164" i="13"/>
  <c r="S159" i="13"/>
  <c r="R159" i="13" s="1"/>
  <c r="R149" i="13"/>
  <c r="S145" i="13"/>
  <c r="R145" i="13" s="1"/>
  <c r="S123" i="13"/>
  <c r="R123" i="13" s="1"/>
  <c r="S106" i="13"/>
  <c r="R111" i="13" s="1"/>
  <c r="S97" i="13"/>
  <c r="R101" i="13" s="1"/>
  <c r="R97" i="13"/>
  <c r="S91" i="13"/>
  <c r="R94" i="13" s="1"/>
  <c r="R84" i="13"/>
  <c r="S83" i="13"/>
  <c r="R89" i="13" s="1"/>
  <c r="S80" i="13"/>
  <c r="R80" i="13"/>
  <c r="W78" i="13"/>
  <c r="W72" i="13"/>
  <c r="W70" i="13"/>
  <c r="W69" i="13"/>
  <c r="W65" i="13"/>
  <c r="W63" i="13"/>
  <c r="S63" i="13" s="1"/>
  <c r="S46" i="13"/>
  <c r="R46" i="13" s="1"/>
  <c r="R42" i="13"/>
  <c r="W40" i="13"/>
  <c r="W300" i="13" s="1"/>
  <c r="R18" i="13"/>
  <c r="S12" i="13"/>
  <c r="R15" i="13" s="1"/>
  <c r="R278" i="13" l="1"/>
  <c r="R266" i="13"/>
  <c r="R268" i="13"/>
  <c r="R168" i="13"/>
  <c r="R172" i="13"/>
  <c r="R178" i="13"/>
  <c r="R190" i="13"/>
  <c r="R183" i="13"/>
  <c r="R78" i="13"/>
  <c r="R63" i="13"/>
  <c r="R75" i="13"/>
  <c r="R12" i="13"/>
  <c r="R21" i="13"/>
  <c r="R43" i="13"/>
  <c r="R50" i="13"/>
  <c r="R85" i="13"/>
  <c r="R92" i="13"/>
  <c r="R107" i="13"/>
  <c r="R118" i="13"/>
  <c r="R135" i="13"/>
  <c r="R153" i="13"/>
  <c r="R299" i="13"/>
  <c r="R25" i="13"/>
  <c r="R44" i="13"/>
  <c r="R83" i="13"/>
  <c r="R93" i="13"/>
  <c r="R109" i="13"/>
  <c r="R121" i="13"/>
  <c r="S300" i="13"/>
  <c r="R116" i="13"/>
  <c r="R91" i="13"/>
  <c r="R106" i="13"/>
  <c r="W42" i="12"/>
  <c r="W38" i="12"/>
  <c r="AE34" i="12"/>
  <c r="AP34" i="12" s="1"/>
  <c r="S34" i="12"/>
  <c r="R35" i="12" s="1"/>
  <c r="W27" i="12"/>
  <c r="AE25" i="12"/>
  <c r="AP25" i="12" s="1"/>
  <c r="W25" i="12"/>
  <c r="S25" i="12"/>
  <c r="R25" i="12"/>
  <c r="W22" i="12"/>
  <c r="S20" i="12" s="1"/>
  <c r="AE20" i="12"/>
  <c r="AP20" i="12" s="1"/>
  <c r="W19" i="12"/>
  <c r="W44" i="12" s="1"/>
  <c r="R19" i="12"/>
  <c r="AE16" i="12"/>
  <c r="AP16" i="12" s="1"/>
  <c r="S16" i="12"/>
  <c r="R16" i="12"/>
  <c r="AE12" i="12"/>
  <c r="AP12" i="12" s="1"/>
  <c r="S12" i="12"/>
  <c r="R13" i="12" s="1"/>
  <c r="R22" i="12" l="1"/>
  <c r="R21" i="12"/>
  <c r="R20" i="12"/>
  <c r="R37" i="12"/>
  <c r="R40" i="12"/>
  <c r="S44" i="12"/>
  <c r="R12" i="12"/>
  <c r="R34" i="12"/>
  <c r="S57" i="11"/>
  <c r="R57" i="11"/>
  <c r="S53" i="11"/>
  <c r="R53" i="11" s="1"/>
  <c r="R48" i="11"/>
  <c r="R47" i="11"/>
  <c r="S43" i="11"/>
  <c r="R46" i="11" s="1"/>
  <c r="R43" i="11"/>
  <c r="W35" i="11"/>
  <c r="S34" i="11" s="1"/>
  <c r="R30" i="11"/>
  <c r="S24" i="11"/>
  <c r="R29" i="11" s="1"/>
  <c r="W23" i="11"/>
  <c r="R23" i="11"/>
  <c r="R20" i="11"/>
  <c r="W17" i="11"/>
  <c r="S12" i="11"/>
  <c r="R12" i="11"/>
  <c r="R39" i="11" l="1"/>
  <c r="R35" i="11"/>
  <c r="R38" i="11"/>
  <c r="R37" i="11"/>
  <c r="R34" i="11"/>
  <c r="S58" i="11"/>
  <c r="W58" i="11"/>
  <c r="R25" i="11"/>
  <c r="R26" i="11"/>
  <c r="R45" i="11"/>
  <c r="R49" i="11"/>
  <c r="R24" i="11"/>
  <c r="W45" i="10"/>
  <c r="S45" i="10"/>
  <c r="R34" i="10"/>
  <c r="S25" i="10"/>
  <c r="R35" i="10" s="1"/>
  <c r="R25" i="10"/>
  <c r="S21" i="10"/>
  <c r="R21" i="10"/>
  <c r="S16" i="10"/>
  <c r="R16" i="10"/>
  <c r="S12" i="10"/>
  <c r="R12" i="10"/>
  <c r="R26" i="10" l="1"/>
  <c r="R37" i="10"/>
  <c r="R30" i="10"/>
  <c r="R41" i="10"/>
  <c r="S47" i="9" l="1"/>
  <c r="R48" i="9" s="1"/>
  <c r="R47" i="9"/>
  <c r="S43" i="9"/>
  <c r="R43" i="9"/>
  <c r="W39" i="9"/>
  <c r="S32" i="9" s="1"/>
  <c r="W38" i="9"/>
  <c r="W30" i="9"/>
  <c r="W28" i="9"/>
  <c r="W52" i="9" s="1"/>
  <c r="W27" i="9"/>
  <c r="W25" i="9"/>
  <c r="W24" i="9"/>
  <c r="S12" i="9" s="1"/>
  <c r="AP12" i="9"/>
  <c r="S52" i="9" l="1"/>
  <c r="R30" i="9"/>
  <c r="R29" i="9"/>
  <c r="R12" i="9"/>
  <c r="R31" i="9"/>
  <c r="R15" i="9"/>
  <c r="R40" i="9"/>
  <c r="R32" i="9"/>
  <c r="Q35" i="7" l="1"/>
  <c r="S30" i="7"/>
  <c r="T30" i="7" s="1"/>
  <c r="S29" i="7"/>
  <c r="T29" i="7" s="1"/>
  <c r="S28" i="7"/>
  <c r="T28" i="7" s="1"/>
  <c r="W16" i="7"/>
  <c r="S16" i="7"/>
  <c r="R14" i="7"/>
  <c r="R13" i="7"/>
  <c r="AP12" i="7"/>
  <c r="S12" i="7"/>
  <c r="R15" i="7" s="1"/>
  <c r="R12" i="7"/>
  <c r="S31" i="7" l="1"/>
  <c r="T31" i="7" s="1"/>
  <c r="R79" i="6"/>
  <c r="S77" i="6"/>
  <c r="R78" i="6" s="1"/>
  <c r="S73" i="6"/>
  <c r="R74" i="6" s="1"/>
  <c r="S71" i="6"/>
  <c r="R71" i="6" s="1"/>
  <c r="S67" i="6"/>
  <c r="R67" i="6"/>
  <c r="W65" i="6"/>
  <c r="S65" i="6" s="1"/>
  <c r="R65" i="6" s="1"/>
  <c r="W64" i="6"/>
  <c r="W62" i="6"/>
  <c r="W60" i="6"/>
  <c r="S57" i="6" s="1"/>
  <c r="R55" i="6"/>
  <c r="AP54" i="6"/>
  <c r="S54" i="6"/>
  <c r="R54" i="6"/>
  <c r="S49" i="6"/>
  <c r="R49" i="6" s="1"/>
  <c r="S43" i="6"/>
  <c r="R46" i="6" s="1"/>
  <c r="S40" i="6"/>
  <c r="R41" i="6" s="1"/>
  <c r="R40" i="6"/>
  <c r="S38" i="6"/>
  <c r="R38" i="6" s="1"/>
  <c r="S36" i="6"/>
  <c r="R36" i="6"/>
  <c r="S33" i="6"/>
  <c r="R34" i="6" s="1"/>
  <c r="S30" i="6"/>
  <c r="R30" i="6" s="1"/>
  <c r="S28" i="6"/>
  <c r="R28" i="6"/>
  <c r="R27" i="6"/>
  <c r="S26" i="6"/>
  <c r="R26" i="6"/>
  <c r="S23" i="6"/>
  <c r="R23" i="6" s="1"/>
  <c r="S18" i="6"/>
  <c r="R21" i="6" s="1"/>
  <c r="R18" i="6"/>
  <c r="S13" i="6"/>
  <c r="R16" i="6" s="1"/>
  <c r="R75" i="6" l="1"/>
  <c r="R13" i="6"/>
  <c r="R33" i="6"/>
  <c r="R77" i="6"/>
  <c r="R73" i="6"/>
  <c r="R64" i="6"/>
  <c r="R61" i="6"/>
  <c r="R57" i="6"/>
  <c r="R60" i="6"/>
  <c r="R44" i="6"/>
  <c r="R50" i="6"/>
  <c r="S80" i="6"/>
  <c r="R15" i="6"/>
  <c r="W80" i="6"/>
  <c r="R22" i="6"/>
  <c r="R43" i="6"/>
  <c r="Y171" i="5"/>
  <c r="S162" i="5"/>
  <c r="R170" i="5" s="1"/>
  <c r="S157" i="5"/>
  <c r="R157" i="5"/>
  <c r="S149" i="5"/>
  <c r="R149" i="5" s="1"/>
  <c r="AS144" i="5"/>
  <c r="S144" i="5"/>
  <c r="R144" i="5"/>
  <c r="W129" i="5"/>
  <c r="S125" i="5"/>
  <c r="R125" i="5" s="1"/>
  <c r="W115" i="5"/>
  <c r="W112" i="5"/>
  <c r="S107" i="5"/>
  <c r="R107" i="5" s="1"/>
  <c r="W91" i="5"/>
  <c r="W86" i="5"/>
  <c r="X77" i="5"/>
  <c r="X171" i="5" s="1"/>
  <c r="W76" i="5"/>
  <c r="W62" i="5"/>
  <c r="W60" i="5"/>
  <c r="W59" i="5"/>
  <c r="W58" i="5"/>
  <c r="W54" i="5"/>
  <c r="W53" i="5"/>
  <c r="W51" i="5"/>
  <c r="S51" i="5" s="1"/>
  <c r="R51" i="5" s="1"/>
  <c r="S42" i="5"/>
  <c r="R42" i="5" s="1"/>
  <c r="S23" i="5"/>
  <c r="R23" i="5" s="1"/>
  <c r="S17" i="5"/>
  <c r="R17" i="5" s="1"/>
  <c r="AS12" i="5"/>
  <c r="AR12" i="5"/>
  <c r="AP12" i="5"/>
  <c r="AO12" i="5"/>
  <c r="AN12" i="5"/>
  <c r="AM12" i="5"/>
  <c r="AL12" i="5"/>
  <c r="AK12" i="5"/>
  <c r="AJ12" i="5"/>
  <c r="AI12" i="5"/>
  <c r="AH12" i="5"/>
  <c r="AG12" i="5"/>
  <c r="AF12" i="5"/>
  <c r="AE12" i="5"/>
  <c r="AD12" i="5"/>
  <c r="AC12" i="5"/>
  <c r="S12" i="5"/>
  <c r="R12" i="5" s="1"/>
  <c r="S110" i="5" l="1"/>
  <c r="R110" i="5" s="1"/>
  <c r="S76" i="5"/>
  <c r="W171" i="5"/>
  <c r="R76" i="5"/>
  <c r="R79" i="5"/>
  <c r="R169" i="5"/>
  <c r="R167" i="5"/>
  <c r="S171" i="5"/>
  <c r="R162" i="5"/>
  <c r="R168" i="5"/>
  <c r="R163" i="5"/>
  <c r="W19" i="4" l="1"/>
  <c r="S19" i="4"/>
  <c r="R19" i="4" s="1"/>
  <c r="R14" i="4"/>
  <c r="W12" i="4"/>
  <c r="W21" i="4" s="1"/>
  <c r="S12" i="4" l="1"/>
  <c r="R12" i="4" s="1"/>
  <c r="S21" i="4"/>
  <c r="S32" i="3" l="1"/>
  <c r="R32" i="3" s="1"/>
  <c r="W15" i="3"/>
  <c r="W35" i="3" s="1"/>
  <c r="S12" i="3"/>
  <c r="S35" i="3" s="1"/>
  <c r="S63" i="2" l="1"/>
  <c r="R63" i="2" s="1"/>
  <c r="AP57" i="2"/>
  <c r="S57" i="2"/>
  <c r="R59" i="2" s="1"/>
  <c r="W55" i="2"/>
  <c r="W54" i="2"/>
  <c r="W53" i="2"/>
  <c r="W52" i="2"/>
  <c r="W48" i="2"/>
  <c r="W47" i="2"/>
  <c r="W45" i="2"/>
  <c r="S42" i="2"/>
  <c r="R42" i="2" s="1"/>
  <c r="W41" i="2"/>
  <c r="W40" i="2"/>
  <c r="W37" i="2"/>
  <c r="S36" i="2" s="1"/>
  <c r="R36" i="2" s="1"/>
  <c r="AP36" i="2"/>
  <c r="W36" i="2"/>
  <c r="AP30" i="2"/>
  <c r="S30" i="2"/>
  <c r="R30" i="2" s="1"/>
  <c r="W27" i="2"/>
  <c r="W26" i="2"/>
  <c r="W25" i="2"/>
  <c r="AP12" i="2"/>
  <c r="W90" i="2" l="1"/>
  <c r="S45" i="2"/>
  <c r="R45" i="2" s="1"/>
  <c r="R60" i="2"/>
  <c r="S12" i="2"/>
  <c r="R61" i="2"/>
  <c r="R58" i="2"/>
  <c r="R62" i="2"/>
  <c r="R57" i="2"/>
  <c r="S90" i="2" l="1"/>
  <c r="R12" i="2"/>
  <c r="S15" i="1" l="1"/>
  <c r="R15" i="1" s="1"/>
  <c r="W23" i="1"/>
  <c r="S20" i="1"/>
  <c r="R20" i="1" s="1"/>
  <c r="S18" i="1"/>
  <c r="R18" i="1" s="1"/>
  <c r="S12" i="1"/>
  <c r="R12" i="1"/>
  <c r="S23" i="1" l="1"/>
</calcChain>
</file>

<file path=xl/comments1.xml><?xml version="1.0" encoding="utf-8"?>
<comments xmlns="http://schemas.openxmlformats.org/spreadsheetml/2006/main">
  <authors>
    <author>tc={1C68C6F1-1D66-4E1B-9231-E7358461BD7C}</author>
    <author>tc={6ACBFD19-05D9-48AB-B5DB-119625E77F3B}</author>
    <author>tc={67D26F0E-B9CF-4382-A80B-0FCFD0FC2E51}</author>
    <author>tc={7B2191A3-9511-47DD-81FA-7635E00F6410}</author>
    <author>tc={F5EC6B06-DAF0-4296-9B5D-7A4ABD31A608}</author>
    <author>tc={7EB874F1-CB29-4E16-B7D3-F6B8B7383ADA}</author>
    <author>tc={C1530878-9251-48DB-87BB-B70A69184FF2}</author>
    <author>tc={0E593304-A134-419A-AEF8-20F319EA2874}</author>
  </authors>
  <commentList>
    <comment ref="W1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contracredito según decreto 084 de 08 de febrero de 2021</t>
        </r>
      </text>
    </comment>
    <comment ref="W18"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contracredito según decreto 084 de 08 de febrero de 2021</t>
        </r>
      </text>
    </comment>
    <comment ref="W2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por decreto 04 de enero 4 de 2021</t>
        </r>
      </text>
    </comment>
    <comment ref="W2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de recursos según decreto 03 de enero 4 de 2021</t>
        </r>
      </text>
    </comment>
    <comment ref="W26"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de recursos según decreto 03 de enero 4 de 2021</t>
        </r>
      </text>
    </comment>
    <comment ref="W27"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crédito según decreto 84 del 08 de febrero de 2021</t>
        </r>
      </text>
    </comment>
    <comment ref="W29"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crédito según decreto 84 del 08 de febrero de 2021</t>
        </r>
      </text>
    </comment>
    <comment ref="W30"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crédito según decreto 84 del 08 de febrero de 2021</t>
        </r>
      </text>
    </comment>
  </commentList>
</comments>
</file>

<file path=xl/comments2.xml><?xml version="1.0" encoding="utf-8"?>
<comments xmlns="http://schemas.openxmlformats.org/spreadsheetml/2006/main">
  <authors>
    <author>tc={A29BF1A5-9E44-403A-A938-7E9C638F3D4D}</author>
    <author>tc={9DCA35DC-EC0E-47D4-B9CB-55092213AE3E}</author>
    <author>tc={B7017CC4-F6EB-4144-9D41-BAE20F64712E}</author>
    <author>tc={E39DC6C2-B470-47F0-945F-2AE88C431F0F}</author>
    <author>tc={C9536779-92A6-4727-89A8-E8211A3AF322}</author>
    <author>tc={4F39447C-1710-4B69-A83A-D2704777F2C0}</author>
    <author>tc={AC3EBAB3-3FFF-43F7-BB4A-B6A071F8DC28}</author>
    <author>tc={D0E8C661-84CC-4E75-9F34-37165AC64F5A}</author>
    <author>tc={CAC5A7FD-6AFB-4329-B106-416BFCF2D4E1}</author>
    <author>tc={435E00BE-4A08-42B8-BD35-BB261622B4FC}</author>
    <author>tc={6DD4C55C-9CF1-4F3D-AB26-067AC5B56BED}</author>
    <author>tc={665A3A17-8BF1-485F-9D5F-9D21BD0A7268}</author>
  </authors>
  <commentList>
    <comment ref="W4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entre actividades 11 de mayo </t>
        </r>
      </text>
    </comment>
    <comment ref="W4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marzo 17
Reply:
    ajuste entre actividades de junio 22</t>
        </r>
      </text>
    </comment>
    <comment ref="W4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W4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marzo 17
Reply:
    ajuste entre actividades de junio 22</t>
        </r>
      </text>
    </comment>
    <comment ref="W49"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de junio 22</t>
        </r>
      </text>
    </comment>
    <comment ref="W50"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W51"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W52"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decreto 130 de marzo 2 de 2021</t>
        </r>
      </text>
    </comment>
    <comment ref="W57"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22</t>
        </r>
      </text>
    </comment>
    <comment ref="W58"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22</t>
        </r>
      </text>
    </comment>
    <comment ref="W59"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entre actividades junio 22</t>
        </r>
      </text>
    </comment>
    <comment ref="W60" authorId="1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ajuste según decreto 203 de 13 de abril
</t>
        </r>
      </text>
    </comment>
  </commentList>
</comments>
</file>

<file path=xl/sharedStrings.xml><?xml version="1.0" encoding="utf-8"?>
<sst xmlns="http://schemas.openxmlformats.org/spreadsheetml/2006/main" count="7536" uniqueCount="3290">
  <si>
    <t>PROGRAMACIÓN PLAN DE ACCIÓN 
SECRETARÍA ADMINISTRATIVA
JUNIO 30 DE 2021</t>
  </si>
  <si>
    <t xml:space="preserve">CODIGO:  </t>
  </si>
  <si>
    <t>F-PLA-06</t>
  </si>
  <si>
    <t xml:space="preserve">VERSIÓN: </t>
  </si>
  <si>
    <t xml:space="preserve">FECHA: </t>
  </si>
  <si>
    <t>PÁGINA:</t>
  </si>
  <si>
    <t>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</si>
  <si>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</si>
  <si>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</si>
  <si>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</si>
  <si>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</si>
  <si>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</si>
  <si>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</si>
  <si>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</si>
  <si>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</si>
  <si>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</si>
  <si>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</si>
  <si>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</si>
  <si>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</si>
  <si>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</si>
  <si>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</si>
  <si>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</si>
  <si>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</si>
  <si>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</si>
  <si>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</si>
  <si>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</si>
  <si>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</si>
  <si>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</si>
  <si>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</si>
  <si>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</si>
  <si>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</si>
  <si>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</si>
  <si>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</si>
  <si>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META FISICA PROGRAMADA</t>
  </si>
  <si>
    <t>CODIGO BPIN</t>
  </si>
  <si>
    <t xml:space="preserve">NOMBRE PROYECTO </t>
  </si>
  <si>
    <t>PESO DE LA META (%)</t>
  </si>
  <si>
    <t>VALOR 
(EN PESOS )</t>
  </si>
  <si>
    <t xml:space="preserve">OBJETIVO GENERAL DEL PROYECTO </t>
  </si>
  <si>
    <t xml:space="preserve">OBJETIVOS ESPECIFICOS </t>
  </si>
  <si>
    <t>ACTIVIDADES CUANTIFICADAS</t>
  </si>
  <si>
    <t xml:space="preserve">VALOR ACTIVIDAD
(EN PESOS) </t>
  </si>
  <si>
    <t>IMPUTACION PRESUPUESTAL</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</si>
  <si>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</si>
  <si>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</si>
  <si>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</si>
  <si>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</si>
  <si>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</si>
  <si>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</si>
  <si>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</si>
  <si>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</si>
  <si>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</si>
  <si>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</si>
  <si>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</si>
  <si>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</si>
  <si>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</si>
  <si>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</si>
  <si>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</si>
  <si>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</si>
  <si>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LIDERAZGO, GOBERNABILIDAD Y TRANSPARENCIA.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</si>
  <si>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</si>
  <si>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</si>
  <si>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</si>
  <si>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</si>
  <si>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</si>
  <si>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</si>
  <si>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</si>
  <si>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</si>
  <si>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</si>
  <si>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</si>
  <si>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</si>
  <si>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</si>
  <si>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0304 - 2 - 3.2.2.2.9.0.0.0.45990232.91119 - 20</t>
  </si>
  <si>
    <t>Superávit recurso Ordinario</t>
  </si>
  <si>
    <t>31/12/2021</t>
  </si>
  <si>
    <t>Secretaría Administrativa-Dirección Talento Humano</t>
  </si>
  <si>
    <t xml:space="preserve">Realizar el  diagnóstico  y el Plan de Acción de la  implementación del Código de Integridad.  </t>
  </si>
  <si>
    <t>Recurso Ordinario</t>
  </si>
  <si>
    <t>Ejecutar las actividades establecidas en el Plan Institucional de Archivos PINAR.</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</si>
  <si>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</si>
  <si>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</si>
  <si>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</si>
  <si>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saneamiento fiscal y financiero ejecutado</t>
  </si>
  <si>
    <t>202000363-0007</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</si>
  <si>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</si>
  <si>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</si>
  <si>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</si>
  <si>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0304 - 2 - 3.2.2.2.9.0.0.0.45990022.91119 - 20</t>
  </si>
  <si>
    <t>Secretaría Administrativa-Dirección Fondo Territorial de Pensiones</t>
  </si>
  <si>
    <t>Depurar los expedientes administrativos que reposan  en el Fondo Territorial de Pensiones.</t>
  </si>
  <si>
    <t>Adelantar acciones para determinar qué cuotas partes están a favor o cargo del Ente Territorial.</t>
  </si>
  <si>
    <t xml:space="preserve">Proceso de modernización administrativa, incluido el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</si>
  <si>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</si>
  <si>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</si>
  <si>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</si>
  <si>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</si>
  <si>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</si>
  <si>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Actualizar los procesos y procedimientos implementados al interior de la entidad, que permitan desarrollar una modernización administrativa incluyente y participativa.</t>
  </si>
  <si>
    <t>Implementar el programa de modernización Administrativa que incluya el desarrollo del estudio de viabilidad para la creación de la oficina de la felicidad.</t>
  </si>
  <si>
    <t>0304 - 2 - 3.2.2.2.9.0.0.0.45990233.91119 - 20</t>
  </si>
  <si>
    <t>Fortalecimiento de la Gestión  y Desempeño Institucional. "Quindío con una administración al servicio de la ciudadanía "</t>
  </si>
  <si>
    <t>Implementación del Plan de Acción del Sistema Departamental de Servicio a la Ciudadanía SDSC</t>
  </si>
  <si>
    <t>Servicio de integración de la oferta pública</t>
  </si>
  <si>
    <t xml:space="preserve">Plan de Acción del Sistema Departamental de Servicio a la Ciudadanía SDSC implementado. </t>
  </si>
  <si>
    <t xml:space="preserve">Espacios de integración de oferta pública generados </t>
  </si>
  <si>
    <t>202000363-0005</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</si>
  <si>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</si>
  <si>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</si>
  <si>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</si>
  <si>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</si>
  <si>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 xml:space="preserve">0304 - 2 - 3.2.2.2.9.0.0.0.4502033.91119 - 20
</t>
  </si>
  <si>
    <t>0304 - 2 - 3.2.1.1.3.3.2.0.4502033.45250 - 20</t>
  </si>
  <si>
    <t>0304 - 2 - 3.2.2.2.5.0.0.0.4502033.54129 - 20</t>
  </si>
  <si>
    <t>TOTAL:</t>
  </si>
  <si>
    <t xml:space="preserve"> 1 de 1</t>
  </si>
  <si>
    <t>PLAN DE DESARROLLO DEPARTAMENTAL: PLAN DE DESARROLLO 2020 - 2023 "TÚ Y YO SOMOS QUINDIO"</t>
  </si>
  <si>
    <t xml:space="preserve">META FISICA </t>
  </si>
  <si>
    <t xml:space="preserve">PRODUCTO CATÁLOGO MGA </t>
  </si>
  <si>
    <t>VALOR PROYECTO
(EN PESOS )</t>
  </si>
  <si>
    <t>VALOR ACTIVIDAD (EN PESOS)</t>
  </si>
  <si>
    <t>Rom</t>
  </si>
  <si>
    <t>Gestión Territorial</t>
  </si>
  <si>
    <t>Fortalecimiento técnico y logístico del  Consejo Territorial de Planeación Departamental, como representantes de la sociedad civil en la planeación  del desarrollo integral  de la entidad territorial</t>
  </si>
  <si>
    <t>Servicio de promoción a la participación ciudadana</t>
  </si>
  <si>
    <t xml:space="preserve">Consejo Territorial de Planeación Departamental fortalecido.   </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</si>
  <si>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</si>
  <si>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</si>
  <si>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</si>
  <si>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</si>
  <si>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</si>
  <si>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</si>
  <si>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</si>
  <si>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</si>
  <si>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</si>
  <si>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</si>
  <si>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</si>
  <si>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</si>
  <si>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</si>
  <si>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computo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</si>
  <si>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</si>
  <si>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</si>
  <si>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</si>
  <si>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</si>
  <si>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</si>
  <si>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</si>
  <si>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pagina Web y redes del Consejo Territorial</t>
  </si>
  <si>
    <t>0305 - 2 - 3.2.2.2.8.0.0.0.45020014.83132 - 20</t>
  </si>
  <si>
    <t>Suministro de material litográfico, papelería, impresos y publicaciones, entre otros.</t>
  </si>
  <si>
    <t>0305 - 2 - 3.2.2.1.3.0.0.0.45020014.32690 - 20</t>
  </si>
  <si>
    <t>Jornadas de educacíon no formal en Ordenamiento Territorial</t>
  </si>
  <si>
    <t>0305 - 2 - 3.2.2.2.9.0.0.0.45020014.91119 - 20</t>
  </si>
  <si>
    <t>Apoyo Administrativo Juridico</t>
  </si>
  <si>
    <t>Material de apoyo logístico</t>
  </si>
  <si>
    <t>Adquisición de muebles de oficina (mesas y sillas sala de juntas)</t>
  </si>
  <si>
    <t>0305 - 2 - 3.2.1.1.4.1.1.2.4502001.38122 - 88</t>
  </si>
  <si>
    <t>Superavit Recurso Ordinario</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</si>
  <si>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</si>
  <si>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</si>
  <si>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</si>
  <si>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</si>
  <si>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</si>
  <si>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</si>
  <si>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</si>
  <si>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</si>
  <si>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</si>
  <si>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</si>
  <si>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</si>
  <si>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</si>
  <si>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</si>
  <si>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</si>
  <si>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</si>
  <si>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Fortalecimiento a la gestión y dirección de la administración pública territorial "Quindío con una administración al servicio de la ciudadanía "</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</si>
  <si>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</si>
  <si>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</si>
  <si>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 xml:space="preserve">Instrumentos de planificación de ordenamiento y gestión territorial departamental implementados. </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</si>
  <si>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</si>
  <si>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</si>
  <si>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</si>
  <si>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</si>
  <si>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</si>
  <si>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 xml:space="preserve">Elaboración e implementación de  instrumentos de planificación para  el  Ordenamiento y la Gestión Territorial Departamental en el área de Catastro Multipropósito  y Ordenamiento Territorial. </t>
  </si>
  <si>
    <t>0305 - 2 - 3.2.2.2.9.0.0.0.4599018.91114 - 20</t>
  </si>
  <si>
    <t>Elaboracion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</si>
  <si>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</si>
  <si>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</si>
  <si>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</si>
  <si>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</si>
  <si>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</si>
  <si>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</si>
  <si>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</si>
  <si>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</si>
  <si>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</si>
  <si>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</si>
  <si>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</si>
  <si>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</si>
  <si>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 Informe de mercado laboral 2020 (1), saldo de deuda (1), infografías y notas informativas (12) , actualización y seguimiento indicadores de Desarrollo sostenible 2020 (1)compilación,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</si>
  <si>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</si>
  <si>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</si>
  <si>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</si>
  <si>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</si>
  <si>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</si>
  <si>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</si>
  <si>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</si>
  <si>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</si>
  <si>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</si>
  <si>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 xml:space="preserve">Acompañamiento en la  estructuración y  formulación de proyectos  para ser  financiados con recursos   del Sistema General de Regalias  SGR (Documento tecnico de soporte, presupuesto, metodología General Ajustada  y  requisitos generales para la viabilización  de proyectos) </t>
  </si>
  <si>
    <t>0305 - 2 - 3.2.2.2.9.0.0.0.45990252.91114 - 20</t>
  </si>
  <si>
    <t>Apoyo para la revision tecnica, viabilidad, priorizacion y aprobacion de proyectos nuevos y ajustes  suceptibles de ser financiados con recursos del Sistema General de Regalias y acompañamiento en el cumplimiento de requisitos legales previos al inicio de la ejecucion de los proyectos SGR.</t>
  </si>
  <si>
    <t>Apoyo en la gestion tecnica, registro y seguimiento en las plataformas del sistema General de Regalias  e informes   requeridos por las instancias de seguimiento y control,  acompñamiento a los ejercicios de planeacion  conforme a la normatividad vigente.</t>
  </si>
  <si>
    <t>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</si>
  <si>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demas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</si>
  <si>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finaniceras, gestión y los anexos.</t>
  </si>
  <si>
    <t>Apoyo en el seguimiento, generacion de informes  y actualizacion  de los instrumentos de planificacion conforme al  avance y/o modificaciones prespuestales que   generen cambios en los proyectos de inversion.</t>
  </si>
  <si>
    <t>Apoyo y asistencia técnica para la realización de modificaciones y/o ajustes a los proyectos de Inversión de la Secretaria de Planeacíon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</si>
  <si>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</si>
  <si>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revision y analisis de actos administrativos y demas  informacion   financiera relacionada con la inversión del Departamento, asi como el apoyo en la proyeccion, verificación y consolidacion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</si>
  <si>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</si>
  <si>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 xml:space="preserve">Apoyar los procesos de ajustes, actualización instrumentos de planificación, proyeccion certificados, cumplimiento de requisitos y demas documentos inherentes a la operatividad de los proyectos financiados con recursos del Sistema General de Regalias
</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</si>
  <si>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</si>
  <si>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</si>
  <si>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</si>
  <si>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</si>
  <si>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</si>
  <si>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</si>
  <si>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</si>
  <si>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</si>
  <si>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</si>
  <si>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</si>
  <si>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</si>
  <si>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</si>
  <si>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</si>
  <si>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</si>
  <si>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</si>
  <si>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</si>
  <si>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</si>
  <si>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</si>
  <si>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</si>
  <si>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</si>
  <si>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</si>
  <si>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</si>
  <si>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</si>
  <si>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</si>
  <si>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Capacitacion,asistencia tecnica, seguimiento y/o evaluacion al banco de programas y proyectos de los entes territoriales</t>
  </si>
  <si>
    <t>0305 - 2 - 3.2.2.2.9.0.0.0.45990312.91114 - 20</t>
  </si>
  <si>
    <t>Servicio de Implementación Sistemas de Gestión</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</si>
  <si>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</si>
  <si>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</si>
  <si>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</si>
  <si>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</si>
  <si>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</si>
  <si>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</si>
  <si>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</si>
  <si>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</si>
  <si>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</si>
  <si>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</si>
  <si>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</si>
  <si>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</si>
  <si>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</si>
  <si>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</si>
  <si>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</si>
  <si>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</si>
  <si>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Publico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</si>
  <si>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</si>
  <si>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</si>
  <si>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</si>
  <si>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</si>
  <si>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</si>
  <si>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</si>
  <si>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</si>
  <si>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</si>
  <si>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</si>
  <si>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</si>
  <si>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</si>
  <si>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</si>
  <si>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</si>
  <si>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</si>
  <si>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</si>
  <si>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</si>
  <si>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JOSÉ IGNACIO ROJAS SEPÚLVEDA</t>
  </si>
  <si>
    <t>Secretario de Planeación</t>
  </si>
  <si>
    <t>PROGRAMACIÓN PLAN DE ACCIÓN SECRETARÍA DE HACIENDA     
JUNIO 30 DE 2021</t>
  </si>
  <si>
    <t>PLAN DE DESARROLLO DEPARTAMENTAL:   "TÚ Y YO SOMOS QUINDÍO"</t>
  </si>
  <si>
    <t xml:space="preserve">VALOR EN PESOS </t>
  </si>
  <si>
    <t>Edad Económicamente Activa (20-59 años)</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</si>
  <si>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</si>
  <si>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</si>
  <si>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</si>
  <si>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</si>
  <si>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</si>
  <si>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</si>
  <si>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administración departamental .</t>
  </si>
  <si>
    <t>Realizar procesos de fiscalización de las rentas del departamento, procedimiento Administrativo de Cobro Coactivo sobre la cartera morosa de las rentas Departamentales y programa Anticontrabando de Licores, Cervezas y Cigarrillos</t>
  </si>
  <si>
    <t>0307 - 2 - 3.2.2.1.3.0.0.0.45990021.32610 - 20</t>
  </si>
  <si>
    <t xml:space="preserve">Recurso Ordinario       </t>
  </si>
  <si>
    <t> </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</si>
  <si>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</si>
  <si>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</si>
  <si>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</si>
  <si>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</si>
  <si>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</si>
  <si>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</si>
  <si>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0307 - 2 - 3.2.2.1.3.0.0.0.45990021.87141 - 56</t>
  </si>
  <si>
    <t>0307 - 2 - 3.2.2.2.6.0.0.0.45990021.63391 - 56</t>
  </si>
  <si>
    <t>0307 - 2 - 3.2.2.2.6.0.0.0.45990021.85953 - 20</t>
  </si>
  <si>
    <t>0307 - 2 - 3.2.2.2.8.0.0.0.45990021.84392 - 20</t>
  </si>
  <si>
    <t>0307 - 2 - 3.2.2.2.9.0.0.0.45990021.91119 - 20</t>
  </si>
  <si>
    <t>0307 - 2 - 3.2.2.2.9.0.0.0.45990021.91119 - 56</t>
  </si>
  <si>
    <t>0307 - 2 - 3.2.2.2.9.0.0.0.45990021.91119 - 95</t>
  </si>
  <si>
    <t>Superavit convenios interadministrativos convenio anticontrabando</t>
  </si>
  <si>
    <t>0307 - 2 - 3.2.2.1.3.0.0.0.45990021.32610 - 88</t>
  </si>
  <si>
    <t>Superávit Recurso Ordinario</t>
  </si>
  <si>
    <t>0307 - 2 - 3.2.2.1.3.0.0.0.45990021.33311 - 88</t>
  </si>
  <si>
    <t>0307 - 2 - 3.2.2.2.6.0.0.0.45990021.85953 - 88</t>
  </si>
  <si>
    <t>0307 - 2 - 3.2.2.1.3.0.0.0.45990021.32128 - 20</t>
  </si>
  <si>
    <t>0307 - 2 - 3.2.2.1.3.0.0.0.45990021.32128 - 56</t>
  </si>
  <si>
    <t>0307 - 2 - 3.2.2.1.3.0.0.0.45990021.35130 - 20</t>
  </si>
  <si>
    <t>0307 - 2 - 3.2.2.2.6.0.0.0.45990021.63393 - 56</t>
  </si>
  <si>
    <t>0307 - 2 - 3.2.2.2.6.0.0.0.45990021.63393 - 20</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</si>
  <si>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</si>
  <si>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</si>
  <si>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</si>
  <si>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</si>
  <si>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</si>
  <si>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</si>
  <si>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</si>
  <si>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</si>
  <si>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0307 - 2 - 3.2.2.2.9.0.0.0.45990023.91119 - 20</t>
  </si>
  <si>
    <t>Aleyda Marín Betancourt</t>
  </si>
  <si>
    <t>0307 - 2 - 3.2.2.1.3.0.0.0.45990023.32128 - 20</t>
  </si>
  <si>
    <t>0307 - 2 - 3.2.2.1.3.0.0.0.45990023.35130 - 20</t>
  </si>
  <si>
    <t>ALEYDA MARÍN BETANCOUR</t>
  </si>
  <si>
    <t>Secretaria de Hacienda</t>
  </si>
  <si>
    <t>PROGRAMACIÓN PLAN DE ACCIÓN OFICINA PRIVADA 
JUNIO 30 DE 2021</t>
  </si>
  <si>
    <t>09</t>
  </si>
  <si>
    <t xml:space="preserve">SECTOR </t>
  </si>
  <si>
    <t>VALOR EN PESOS 
PRESUPUESTADO</t>
  </si>
  <si>
    <t xml:space="preserve">LIDERAZGO, GOBERNABILIDAD Y TRANSPARENCIA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</si>
  <si>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</si>
  <si>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</si>
  <si>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</si>
  <si>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</si>
  <si>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</si>
  <si>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</si>
  <si>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</si>
  <si>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</si>
  <si>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</si>
  <si>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</si>
  <si>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Director Oficina Privada</t>
  </si>
  <si>
    <r>
      <t>0313 - 2 - 3.2.2.2.6.0.0.0.</t>
    </r>
    <r>
      <rPr>
        <sz val="12"/>
        <color rgb="FF000000"/>
        <rFont val="Arial"/>
        <family val="2"/>
      </rPr>
      <t>45990231.63391 - 20</t>
    </r>
  </si>
  <si>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</si>
  <si>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</si>
  <si>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</si>
  <si>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</si>
  <si>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</si>
  <si>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</si>
  <si>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</si>
  <si>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</si>
  <si>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0313 - 2 - 3.2.2.2.9.0.0.0.4599029.91119 - 88</t>
  </si>
  <si>
    <t>Superavit recurso ordinario</t>
  </si>
  <si>
    <t>Ejecución Plan de Medios (Radio, Prensa, Revistas, Televisión, Portal WEB, Redes Sociales, OOH) Revisión y Desarrollo de la Estrategia de Comunicaciones.</t>
  </si>
  <si>
    <t>0313 - 2 - 3.2.02.02.009. 4599029.91136 - 20</t>
  </si>
  <si>
    <t>0313 - 2 - 3.2.02.02.009. 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</si>
  <si>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</si>
  <si>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</si>
  <si>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</si>
  <si>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</si>
  <si>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</si>
  <si>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</si>
  <si>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</si>
  <si>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</si>
  <si>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</si>
  <si>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Ruta de la felicidad</t>
  </si>
  <si>
    <t>PROGRAMACIÓN PLAN DE ACCIÓN SECRETARIA  AGUAS E INFRAESTRUCTURA   
JUNIO 30 DE 2021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</si>
  <si>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</si>
  <si>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</si>
  <si>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</si>
  <si>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</si>
  <si>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</si>
  <si>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</si>
  <si>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</si>
  <si>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</si>
  <si>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</si>
  <si>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</si>
  <si>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</si>
  <si>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</si>
  <si>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</si>
  <si>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</si>
  <si>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</si>
  <si>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</si>
  <si>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</si>
  <si>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</si>
  <si>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</si>
  <si>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</si>
  <si>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</si>
  <si>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</si>
  <si>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</si>
  <si>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</si>
  <si>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</si>
  <si>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</si>
  <si>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</si>
  <si>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</si>
  <si>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</si>
  <si>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</si>
  <si>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</si>
  <si>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Superavit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</si>
  <si>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</si>
  <si>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</si>
  <si>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</si>
  <si>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</si>
  <si>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</si>
  <si>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</si>
  <si>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</si>
  <si>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</si>
  <si>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</si>
  <si>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</si>
  <si>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</si>
  <si>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</si>
  <si>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</si>
  <si>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</si>
  <si>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</si>
  <si>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</si>
  <si>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</si>
  <si>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</si>
  <si>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</si>
  <si>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</si>
  <si>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</si>
  <si>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</si>
  <si>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</si>
  <si>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</si>
  <si>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</si>
  <si>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</si>
  <si>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</si>
  <si>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</si>
  <si>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</si>
  <si>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</si>
  <si>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</si>
  <si>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 Mano de obra calificada y/o no calificada necesaria para la ejecución de obras físicas de las instituciones educativas </t>
  </si>
  <si>
    <t>Cultura</t>
  </si>
  <si>
    <t>Promoción y acceso efectivo a procesos culturales y artísticos. "Tú y yo somos cultura Quindiana"</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</si>
  <si>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</si>
  <si>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</si>
  <si>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</si>
  <si>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</si>
  <si>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</si>
  <si>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</si>
  <si>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</si>
  <si>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</si>
  <si>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</si>
  <si>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</si>
  <si>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</si>
  <si>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Se realizo contrato de obra 003 de 2021 para  la Infraestructura en puentes construida, mejorada, ampliada, mantenida y/o reforzada cuyo objeto es  " REPARACION Y MANTENIMIENTO DEL PUENTE SOBRE EL RIO ROBLE DE LA VIA FILANDIA – MORELIA – MONTENEGRO CÓDIGO 29BQN04, DEPARTAMENTO DEL QUINDÍO"</t>
  </si>
  <si>
    <t>0308 - 2 - 3.2.2.1.3.0.0.0.3301068.37440- 20</t>
  </si>
  <si>
    <t>0308 - 2 - 3.2.2.1.4.0.0.0.3301068.42999 - 20</t>
  </si>
  <si>
    <t>0308 - 2 - 3.2.2.1.1.0.0.0.3301068.15311 - 20</t>
  </si>
  <si>
    <t>0308 - 2 - 3.2.2.1.4.0.0.0.3301068.42190 - 20</t>
  </si>
  <si>
    <t>Construcción, mantenimiento, mejoramiento y/o rehabilitacion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</si>
  <si>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</si>
  <si>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</si>
  <si>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</si>
  <si>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</si>
  <si>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</si>
  <si>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</si>
  <si>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</si>
  <si>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</si>
  <si>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</si>
  <si>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</si>
  <si>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</si>
  <si>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</si>
  <si>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</si>
  <si>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Superavit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</si>
  <si>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</si>
  <si>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</si>
  <si>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</si>
  <si>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</si>
  <si>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</si>
  <si>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</si>
  <si>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</si>
  <si>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</si>
  <si>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</si>
  <si>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 xml:space="preserve"> Prestación de Servicios de Apoyo Técnico a la supervisión de obras físicas y procesos que se adelanten en cumplimiento del proyecto.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</si>
  <si>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</si>
  <si>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</si>
  <si>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</si>
  <si>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</si>
  <si>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</si>
  <si>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</si>
  <si>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</si>
  <si>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</si>
  <si>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</si>
  <si>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</si>
  <si>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</si>
  <si>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</si>
  <si>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</si>
  <si>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</si>
  <si>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</si>
  <si>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</si>
  <si>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</si>
  <si>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</si>
  <si>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</si>
  <si>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</si>
  <si>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</si>
  <si>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</si>
  <si>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Superavit Recurso Ordinario
Cofinanciación Convenios Interadministrativos</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</si>
  <si>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</si>
  <si>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</si>
  <si>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</si>
  <si>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</si>
  <si>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</si>
  <si>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</si>
  <si>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</si>
  <si>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</si>
  <si>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0308 - 2- 3.2.2.1.4.0.0.0.2402041.42999-56</t>
  </si>
  <si>
    <t>0308 - 2- 3.2.2.1.1.0.0.0.2402041.15320-56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</si>
  <si>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</si>
  <si>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</si>
  <si>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</si>
  <si>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</si>
  <si>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</si>
  <si>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</si>
  <si>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</si>
  <si>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</si>
  <si>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</si>
  <si>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</si>
  <si>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</si>
  <si>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</si>
  <si>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para la supervisión de obras físicas y procesos que se adelanten en cumplimiento del proyecto </t>
  </si>
  <si>
    <t xml:space="preserve">prestación de servicios de apoyo técnico a la supervisión de obras físicas y procesos que se adelanten en cumplimiento del proyecto </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</si>
  <si>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</si>
  <si>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</si>
  <si>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</si>
  <si>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</si>
  <si>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</si>
  <si>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</si>
  <si>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</si>
  <si>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</si>
  <si>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</si>
  <si>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</si>
  <si>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</si>
  <si>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</si>
  <si>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</si>
  <si>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</si>
  <si>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</si>
  <si>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</si>
  <si>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</si>
  <si>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</si>
  <si>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</si>
  <si>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</si>
  <si>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</si>
  <si>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</si>
  <si>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Ambiente y desarrollo sostenible</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</si>
  <si>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</si>
  <si>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</si>
  <si>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</si>
  <si>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</si>
  <si>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</si>
  <si>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</si>
  <si>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</si>
  <si>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</si>
  <si>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</si>
  <si>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</si>
  <si>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</si>
  <si>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</si>
  <si>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</si>
  <si>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</si>
  <si>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</si>
  <si>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</si>
  <si>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 xml:space="preserve">Prestación de servicios de apoyo técnico a la supervisión de obras físicas y procesos que se adelanten en cumplimiento del proyecto </t>
  </si>
  <si>
    <t>Suministro de combustible para la maquinaria pesada, vehículos y equipos menores</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</si>
  <si>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</si>
  <si>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</si>
  <si>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</si>
  <si>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</si>
  <si>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</si>
  <si>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</si>
  <si>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</si>
  <si>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</si>
  <si>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</si>
  <si>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</si>
  <si>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</si>
  <si>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</si>
  <si>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</si>
  <si>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 xml:space="preserve"> </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</si>
  <si>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</si>
  <si>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</si>
  <si>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</si>
  <si>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</si>
  <si>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</si>
  <si>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</si>
  <si>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0308 - 2 - 3.2.2.2.5.0.0.0.3205021.33311 - 20</t>
  </si>
  <si>
    <t>0308 - 2 - 3.2.2.2.5.0.0.0.3205021.33311 - 89</t>
  </si>
  <si>
    <t>Superávit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</si>
  <si>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</si>
  <si>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</si>
  <si>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</si>
  <si>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profecionales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</si>
  <si>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</si>
  <si>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</si>
  <si>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</si>
  <si>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</si>
  <si>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</si>
  <si>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</si>
  <si>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</si>
  <si>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</si>
  <si>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</si>
  <si>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</si>
  <si>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</si>
  <si>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</si>
  <si>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</si>
  <si>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</si>
  <si>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</si>
  <si>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</si>
  <si>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</si>
  <si>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</si>
  <si>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</si>
  <si>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</si>
  <si>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</si>
  <si>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</si>
  <si>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</si>
  <si>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</si>
  <si>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</si>
  <si>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</si>
  <si>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</si>
  <si>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</si>
  <si>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</si>
  <si>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</si>
  <si>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</si>
  <si>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</si>
  <si>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</si>
  <si>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</si>
  <si>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</si>
  <si>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</si>
  <si>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</si>
  <si>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</si>
  <si>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</si>
  <si>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</si>
  <si>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</si>
  <si>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</si>
  <si>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</si>
  <si>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</si>
  <si>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</si>
  <si>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</si>
  <si>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</si>
  <si>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</si>
  <si>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</si>
  <si>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</si>
  <si>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</si>
  <si>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</si>
  <si>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</si>
  <si>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</si>
  <si>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</si>
  <si>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</si>
  <si>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</si>
  <si>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</si>
  <si>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</si>
  <si>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</si>
  <si>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</si>
  <si>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</si>
  <si>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Superavit estampilla pro desarrollo</t>
  </si>
  <si>
    <t>0308 - 2 - 3.2.2.2.5.0.0.0.4003025.53253 - 90</t>
  </si>
  <si>
    <t>90</t>
  </si>
  <si>
    <t>superavit SGP agua potable y saneamiento basico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</si>
  <si>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</si>
  <si>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</si>
  <si>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</si>
  <si>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</si>
  <si>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</si>
  <si>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</si>
  <si>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</si>
  <si>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</si>
  <si>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</si>
  <si>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</si>
  <si>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</si>
  <si>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</si>
  <si>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</si>
  <si>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</si>
  <si>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</si>
  <si>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</si>
  <si>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PROGRAMACIÓN PLAN DE ACCIÓN  DE LA SECRETARÍA DE AGRICULTURA, DESARROLLO RURAL Y MEDIO AMBIENTE  
A JUNIO 30 DE 2021</t>
  </si>
  <si>
    <t>PLAN DE DESARROLLO DEPARTAMENTAL: Tú y Yo somos Quindío 2020-2023</t>
  </si>
  <si>
    <t>PROYECTOS</t>
  </si>
  <si>
    <t>Palenqueras</t>
  </si>
  <si>
    <t>P</t>
  </si>
  <si>
    <t>PRESUPUESTADO</t>
  </si>
  <si>
    <t>PRODUCTIVIDAD Y COMPETITIVIDAD</t>
  </si>
  <si>
    <t>Agricultura y desarrollo rural</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</si>
  <si>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</si>
  <si>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</si>
  <si>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</si>
  <si>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</si>
  <si>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</si>
  <si>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</si>
  <si>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</si>
  <si>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</si>
  <si>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</si>
  <si>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</si>
  <si>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</si>
  <si>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</si>
  <si>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</si>
  <si>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</si>
  <si>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</si>
  <si>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</si>
  <si>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</si>
  <si>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</si>
  <si>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</si>
  <si>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</si>
  <si>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</si>
  <si>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</si>
  <si>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</si>
  <si>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</si>
  <si>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</si>
  <si>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</si>
  <si>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</si>
  <si>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</si>
  <si>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</si>
  <si>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</si>
  <si>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</si>
  <si>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</si>
  <si>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</si>
  <si>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0312 - 2 - 3.2.2.2.9.0.0.0.1702017.91138 - 20</t>
  </si>
  <si>
    <t>0312 - 2 - 3.2.2.2.9.0.0.0.1702017.91131 - 88</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</si>
  <si>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</si>
  <si>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</si>
  <si>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</si>
  <si>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</si>
  <si>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</si>
  <si>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</si>
  <si>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</si>
  <si>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</si>
  <si>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</si>
  <si>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</si>
  <si>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</si>
  <si>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</si>
  <si>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</si>
  <si>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</si>
  <si>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</si>
  <si>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</si>
  <si>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</si>
  <si>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</si>
  <si>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</si>
  <si>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</si>
  <si>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</si>
  <si>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0312 - 2 - 3.2.2.2.6.0.0.0.1702038.62429 - 195</t>
  </si>
  <si>
    <t>170203801</t>
  </si>
  <si>
    <t>Productores apoyados para la participación en mercados campesinos</t>
  </si>
  <si>
    <t>Acompañamiento a las organizaciones de productores formales</t>
  </si>
  <si>
    <t>Documentos de planeación</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</si>
  <si>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</si>
  <si>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</si>
  <si>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</si>
  <si>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</si>
  <si>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</si>
  <si>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</si>
  <si>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</si>
  <si>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</si>
  <si>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</si>
  <si>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</si>
  <si>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</si>
  <si>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</si>
  <si>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</si>
  <si>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</si>
  <si>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</si>
  <si>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</si>
  <si>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</si>
  <si>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</si>
  <si>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</si>
  <si>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</si>
  <si>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</si>
  <si>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</si>
  <si>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</si>
  <si>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</si>
  <si>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</si>
  <si>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</si>
  <si>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</si>
  <si>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</si>
  <si>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</si>
  <si>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</si>
  <si>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</si>
  <si>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</si>
  <si>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</si>
  <si>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</si>
  <si>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</si>
  <si>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</si>
  <si>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</si>
  <si>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</si>
  <si>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</si>
  <si>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</si>
  <si>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</si>
  <si>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</si>
  <si>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</si>
  <si>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</si>
  <si>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</si>
  <si>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</si>
  <si>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</si>
  <si>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</si>
  <si>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</si>
  <si>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</si>
  <si>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</si>
  <si>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</si>
  <si>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</si>
  <si>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</si>
  <si>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</si>
  <si>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</si>
  <si>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internacionales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</si>
  <si>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</si>
  <si>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</si>
  <si>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</si>
  <si>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</si>
  <si>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</si>
  <si>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</si>
  <si>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</si>
  <si>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</si>
  <si>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</si>
  <si>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</si>
  <si>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</si>
  <si>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</si>
  <si>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</si>
  <si>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</si>
  <si>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</si>
  <si>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</si>
  <si>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</si>
  <si>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</si>
  <si>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</si>
  <si>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</si>
  <si>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</si>
  <si>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</si>
  <si>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</si>
  <si>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</si>
  <si>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</si>
  <si>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</si>
  <si>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</si>
  <si>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</si>
  <si>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</si>
  <si>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</si>
  <si>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</si>
  <si>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</si>
  <si>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</si>
  <si>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agroindustriales.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</si>
  <si>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</si>
  <si>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</si>
  <si>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</si>
  <si>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</si>
  <si>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</si>
  <si>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</si>
  <si>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</si>
  <si>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</si>
  <si>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</si>
  <si>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</si>
  <si>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</si>
  <si>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</si>
  <si>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</si>
  <si>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Comercio, Industria y Turismo</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</si>
  <si>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</si>
  <si>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</si>
  <si>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</si>
  <si>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</si>
  <si>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</si>
  <si>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</si>
  <si>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</si>
  <si>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</si>
  <si>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</si>
  <si>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</si>
  <si>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</si>
  <si>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</si>
  <si>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</si>
  <si>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</si>
  <si>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0312 - 2 - 3.2.2.2.9.0.0.0.3502007.91119 - 20</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</si>
  <si>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</si>
  <si>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</si>
  <si>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</si>
  <si>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</si>
  <si>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</si>
  <si>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</si>
  <si>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</si>
  <si>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</si>
  <si>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</si>
  <si>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</si>
  <si>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</si>
  <si>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</si>
  <si>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</si>
  <si>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</si>
  <si>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</si>
  <si>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</si>
  <si>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</si>
  <si>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</si>
  <si>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</si>
  <si>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</si>
  <si>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</si>
  <si>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</si>
  <si>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</si>
  <si>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</si>
  <si>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0312 - 2 - 3.2.2.1.3.0.0.0.3202005.32690 - 20</t>
  </si>
  <si>
    <t>0312 - 2 - 3.2.2.2.6.0.0.0.3202005.64119 - 20</t>
  </si>
  <si>
    <t>Servicio de recuperación de cuerpos de agua lénticos y lóticos</t>
  </si>
  <si>
    <t>Bosque ripario recuperado</t>
  </si>
  <si>
    <t>320203704</t>
  </si>
  <si>
    <t>Desarrollo de actividades de recuperación del Bosque ripario recuperado</t>
  </si>
  <si>
    <t>0312 - 2 - 3.2.2.2.9.0.0.0.32020371.94900 - 20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</si>
  <si>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</si>
  <si>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</si>
  <si>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</si>
  <si>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</si>
  <si>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0312 - 2 - 3.2.2.2.9.0.0.0.32020372.94900 - 88</t>
  </si>
  <si>
    <t>0312 - 2 - 3.2.2.2.9.0.0.0.32020372.94900 - 20</t>
  </si>
  <si>
    <t>31/12/2021.</t>
  </si>
  <si>
    <t>0312 - 2 - 3.2.2.2.6.0.0.0.32020372.64119 - 20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</si>
  <si>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</si>
  <si>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</si>
  <si>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</si>
  <si>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</si>
  <si>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</si>
  <si>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</si>
  <si>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</si>
  <si>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</si>
  <si>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</si>
  <si>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 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</si>
  <si>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</si>
  <si>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</si>
  <si>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asesoría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</si>
  <si>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</si>
  <si>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</si>
  <si>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</si>
  <si>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</si>
  <si>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</si>
  <si>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</si>
  <si>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</si>
  <si>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</si>
  <si>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ecosistémicos</t>
  </si>
  <si>
    <t>0312 - 2 - 3.2.2.2.9.0.0.0.32020142.94900 - 20</t>
  </si>
  <si>
    <t>0312 - 2 - 3.2.2.1.3.0.0.0.32020142.94900 - 20</t>
  </si>
  <si>
    <t>0312 - 2 - 3.2.2.1.3.0.0.0.32020142.32690 - 20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</si>
  <si>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</si>
  <si>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</si>
  <si>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</si>
  <si>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</si>
  <si>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</si>
  <si>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</si>
  <si>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</si>
  <si>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</si>
  <si>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servicios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</si>
  <si>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</si>
  <si>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</si>
  <si>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</si>
  <si>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</si>
  <si>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</si>
  <si>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</si>
  <si>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</si>
  <si>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</si>
  <si>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</si>
  <si>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</si>
  <si>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</si>
  <si>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</si>
  <si>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</si>
  <si>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</si>
  <si>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</si>
  <si>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</si>
  <si>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</si>
  <si>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</si>
  <si>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</si>
  <si>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</si>
  <si>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</si>
  <si>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</si>
  <si>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</si>
  <si>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</si>
  <si>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</si>
  <si>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</si>
  <si>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</si>
  <si>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</si>
  <si>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</si>
  <si>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</si>
  <si>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</si>
  <si>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</si>
  <si>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</si>
  <si>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</si>
  <si>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</si>
  <si>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</si>
  <si>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</si>
  <si>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</si>
  <si>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</si>
  <si>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</si>
  <si>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</si>
  <si>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</si>
  <si>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</si>
  <si>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PROGRAMACIÓN PLAN DE ACCIÓN 
PLAN DE DESARROLLO 2020-2023 "TÚ Y YO SOMOS QUINDIO" 
INSTITUTO DEPARTAMENTAL DE TRANSITO DEL QUINDÍO  
A JUNIO 30 DE 2021</t>
  </si>
  <si>
    <t xml:space="preserve">F-PLA-06   </t>
  </si>
  <si>
    <t>O9</t>
  </si>
  <si>
    <t>Marzo 11 de 2021</t>
  </si>
  <si>
    <t xml:space="preserve">FECHA DE INICIO
(dd/mm/aaaa) </t>
  </si>
  <si>
    <t>FECHA DE TERMINACIÓN 
(dd/mm/aaaa)</t>
  </si>
  <si>
    <t>VALOR 
(EN PESOS)</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</si>
  <si>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</si>
  <si>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</si>
  <si>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</si>
  <si>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</si>
  <si>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</si>
  <si>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</si>
  <si>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</si>
  <si>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</si>
  <si>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</si>
  <si>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</si>
  <si>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2.3.5.02.09.01</t>
  </si>
  <si>
    <t>Otros recursos (Propios de  IDTQ)</t>
  </si>
  <si>
    <t>Fernando Baena Villarreal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</si>
  <si>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</si>
  <si>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</si>
  <si>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</si>
  <si>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</si>
  <si>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</si>
  <si>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2.3.5.02.09.02</t>
  </si>
  <si>
    <t>Formular e Implementar un programa de control, prevención y atención del tránsito y en transporte en los municipios y vías de jurisdicción del IDTQ.</t>
  </si>
  <si>
    <t>Programa de control y atención del tránsito y en transporte formulado e implementado</t>
  </si>
  <si>
    <t>Documentos de planeación realizados</t>
  </si>
  <si>
    <t>Programa de control y atención del tránsito y el transporte implementado</t>
  </si>
  <si>
    <t>2.3.5.02.09.03</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</si>
  <si>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</si>
  <si>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</si>
  <si>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</si>
  <si>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</si>
  <si>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</si>
  <si>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2.3.5.02.09.04</t>
  </si>
  <si>
    <t>Presupuesto</t>
  </si>
  <si>
    <t>%</t>
  </si>
  <si>
    <t>Definitivo</t>
  </si>
  <si>
    <t>Compromisos</t>
  </si>
  <si>
    <t>Obligaciones</t>
  </si>
  <si>
    <t>Saldo Disponible</t>
  </si>
  <si>
    <t>PROGRAMACIÓN PLAN DE ACCIÓN 
SECRETARIA DE FAMILIA
A JUNIO 30 DE  2021</t>
  </si>
  <si>
    <t xml:space="preserve">PROYECTO </t>
  </si>
  <si>
    <t>VALOR ACTIVIDAD
(EN PESOS)</t>
  </si>
  <si>
    <t>RUBRO PRESUPUESTAL</t>
  </si>
  <si>
    <t>Adolescencia  (15 - 19 años)</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</si>
  <si>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</si>
  <si>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</si>
  <si>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</si>
  <si>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</si>
  <si>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</si>
  <si>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</si>
  <si>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</si>
  <si>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</si>
  <si>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</si>
  <si>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</si>
  <si>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</si>
  <si>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</si>
  <si>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</si>
  <si>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</si>
  <si>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</si>
  <si>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</si>
  <si>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</si>
  <si>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</si>
  <si>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</si>
  <si>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</si>
  <si>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Logística y sonido</t>
  </si>
  <si>
    <t>0316 - 2 - 3.2.2.2.7.0.0.0.001905022.73290 - 20</t>
  </si>
  <si>
    <t xml:space="preserve">Refrigerios y almuerzos </t>
  </si>
  <si>
    <t>0316 - 2 - 3.2.2.2.6.0.0.0.001905022.63391 - 20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</si>
  <si>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</si>
  <si>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</si>
  <si>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</si>
  <si>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</si>
  <si>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</si>
  <si>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</si>
  <si>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</si>
  <si>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</si>
  <si>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</si>
  <si>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</si>
  <si>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</si>
  <si>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</si>
  <si>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</si>
  <si>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</si>
  <si>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</si>
  <si>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</si>
  <si>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</si>
  <si>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</si>
  <si>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</si>
  <si>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NATALIA LAVREZ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</si>
  <si>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</si>
  <si>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</si>
  <si>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</si>
  <si>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</si>
  <si>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</si>
  <si>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</si>
  <si>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</si>
  <si>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</si>
  <si>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</si>
  <si>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</si>
  <si>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</si>
  <si>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</si>
  <si>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</si>
  <si>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</si>
  <si>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</si>
  <si>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</si>
  <si>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</si>
  <si>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</si>
  <si>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</si>
  <si>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</si>
  <si>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</si>
  <si>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</si>
  <si>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</si>
  <si>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</si>
  <si>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Logística operativa </t>
  </si>
  <si>
    <t>0316 - 2 - 3.2.2.2.9.0.0.0.041020432.73290 - 20</t>
  </si>
  <si>
    <t xml:space="preserve">refrigerios y almuerzos </t>
  </si>
  <si>
    <t>0316 - 2 - 3.2.2.2.6.0.0.0.041020432.63391 - 20</t>
  </si>
  <si>
    <t>servicio de transporte</t>
  </si>
  <si>
    <t>0316 - 2 - 3.2.2.2.6.0.0.0.041020432.64119 - 20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</si>
  <si>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</si>
  <si>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</si>
  <si>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</si>
  <si>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</si>
  <si>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</si>
  <si>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</si>
  <si>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</si>
  <si>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</si>
  <si>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</si>
  <si>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</si>
  <si>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</si>
  <si>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</si>
  <si>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</si>
  <si>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</si>
  <si>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</si>
  <si>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</si>
  <si>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</si>
  <si>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</si>
  <si>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</si>
  <si>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</si>
  <si>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</si>
  <si>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</si>
  <si>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</si>
  <si>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0316 - 2 - 3.2.2.2.6.0.0.0.041020431.63391 - 20</t>
  </si>
  <si>
    <t xml:space="preserve">Logística  </t>
  </si>
  <si>
    <t>0316 - 2 - 3.2.2.2.9.0.0.0.041020431.73290 - 20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</si>
  <si>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</si>
  <si>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</si>
  <si>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</si>
  <si>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</si>
  <si>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</si>
  <si>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</si>
  <si>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</si>
  <si>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</si>
  <si>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</si>
  <si>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</si>
  <si>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</si>
  <si>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</si>
  <si>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</si>
  <si>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</si>
  <si>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0316 - 2 - 3.2.2.2.7.0.0.0.41020381.73290 - 20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</si>
  <si>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</si>
  <si>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</si>
  <si>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</si>
  <si>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</si>
  <si>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</si>
  <si>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</si>
  <si>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</si>
  <si>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</si>
  <si>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</si>
  <si>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</si>
  <si>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</si>
  <si>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</si>
  <si>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</si>
  <si>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</si>
  <si>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</si>
  <si>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</si>
  <si>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</si>
  <si>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</si>
  <si>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</si>
  <si>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</si>
  <si>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</si>
  <si>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</si>
  <si>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</si>
  <si>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</si>
  <si>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</si>
  <si>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</si>
  <si>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</si>
  <si>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</si>
  <si>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</si>
  <si>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</si>
  <si>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</si>
  <si>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</si>
  <si>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</si>
  <si>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</si>
  <si>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</si>
  <si>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</si>
  <si>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Servicio de atención Post egreso de adolescentes y jóvenes, en los servicios de restablecimiento en la administración de justicia, con enfoque pedagógico y restaurativo encaminados a la inclusión social del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</si>
  <si>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</si>
  <si>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</si>
  <si>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</si>
  <si>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</si>
  <si>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</si>
  <si>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</si>
  <si>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</si>
  <si>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</si>
  <si>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</si>
  <si>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</si>
  <si>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</si>
  <si>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</si>
  <si>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</si>
  <si>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</si>
  <si>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</si>
  <si>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</si>
  <si>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</si>
  <si>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</si>
  <si>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</si>
  <si>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</si>
  <si>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</si>
  <si>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</si>
  <si>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</si>
  <si>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</si>
  <si>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GIRALDO CÁRDENAS-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</si>
  <si>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</si>
  <si>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</si>
  <si>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</si>
  <si>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</si>
  <si>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</si>
  <si>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</si>
  <si>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</si>
  <si>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</si>
  <si>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</si>
  <si>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</si>
  <si>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</si>
  <si>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</si>
  <si>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</si>
  <si>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</si>
  <si>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</si>
  <si>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</si>
  <si>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</si>
  <si>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</si>
  <si>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 xml:space="preserve">Ferretería, papelería e insumos entre otros </t>
  </si>
  <si>
    <t>0316 - 2 - 3.2.2.1.4.0.0.0.410358.42999 - 20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</si>
  <si>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</si>
  <si>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</si>
  <si>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</si>
  <si>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</si>
  <si>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</si>
  <si>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</si>
  <si>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</si>
  <si>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</si>
  <si>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</si>
  <si>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</si>
  <si>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DIRECTORA DE POBLACIONES</t>
  </si>
  <si>
    <t>Formulación e Implementación de los Planes de Vida de los Cabildos Indígenas</t>
  </si>
  <si>
    <t xml:space="preserve">Servicio de transporte </t>
  </si>
  <si>
    <t>0316 - 2 - 3.2.2.2.6.0.0.0.041030601.64119 - 20</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</si>
  <si>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</si>
  <si>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</si>
  <si>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</si>
  <si>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</si>
  <si>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</si>
  <si>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0316 - 2 - 3.2.2.2.6.0.0.0.041030602.64119 - 20</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</si>
  <si>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</si>
  <si>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</si>
  <si>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</si>
  <si>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</si>
  <si>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</si>
  <si>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</si>
  <si>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</si>
  <si>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</si>
  <si>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0316 - 2 - 3.2.2.2.9.0.0.0.41030521.91119 - 88</t>
  </si>
  <si>
    <t>0316 - 2 - 3.2.2.2.6.0.0.0.41030521.63391 - 20</t>
  </si>
  <si>
    <t xml:space="preserve">Logística Operativa </t>
  </si>
  <si>
    <t>0316 - 2 - 3.2.2.2.7.0.0.0.41030521.73290 - 20</t>
  </si>
  <si>
    <t>0316 - 2 - 3.2.2.2.7.0.0.0.041030521.73290 - 88</t>
  </si>
  <si>
    <t>Atención integral de población en situación permanente de desprotección social y/o familiar "Tú y yo con atención integral"</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</si>
  <si>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</si>
  <si>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</si>
  <si>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</si>
  <si>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</si>
  <si>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</si>
  <si>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</si>
  <si>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</si>
  <si>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</si>
  <si>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</si>
  <si>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</si>
  <si>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</si>
  <si>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</si>
  <si>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</si>
  <si>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</si>
  <si>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</si>
  <si>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</si>
  <si>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</si>
  <si>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</si>
  <si>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</si>
  <si>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</si>
  <si>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</si>
  <si>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</si>
  <si>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</si>
  <si>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</si>
  <si>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</si>
  <si>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</si>
  <si>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</si>
  <si>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</si>
  <si>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</si>
  <si>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</si>
  <si>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</si>
  <si>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</si>
  <si>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</si>
  <si>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</si>
  <si>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</si>
  <si>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</si>
  <si>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</si>
  <si>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</si>
  <si>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Logística Operativa, Sonido, refrigerios, Etc.</t>
  </si>
  <si>
    <t>0316 - 2 - 3.2.2.2.7.0.0.0.004104015.73290 - 20</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</si>
  <si>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</si>
  <si>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</si>
  <si>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</si>
  <si>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</si>
  <si>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t>
  </si>
  <si>
    <t>0316 - 2 - 3.3.1.2.0.0.0.0.4104008.91119.13 - 06</t>
  </si>
  <si>
    <t>ESTAMPILLA PROADULTO MAYOR</t>
  </si>
  <si>
    <t>0316 - 2 - 3.3.1.2.0.0.0.0.4104008.91119.13 - 84</t>
  </si>
  <si>
    <t>SUPERAVIT ESTAMPILLA PRO-ADULTO MAYOR</t>
  </si>
  <si>
    <t>0316 - 2 - 3.3.1.2.0.0.0.0.4104008.91119.96 - 06</t>
  </si>
  <si>
    <t>0316 - 2 - 3.3.1.2.0.0.0.0.4104008.91119.96 - 84</t>
  </si>
  <si>
    <t>0316 - 2 - 3.3.1.2.0.0.0.0.4104008.91119.167 - 06</t>
  </si>
  <si>
    <t>0316 - 2 - 3.3.1.2.0.0.0.0.4104008.91119.167 - 84</t>
  </si>
  <si>
    <t>0316 - 2 - 3.3.1.2.0.0.0.0.4104008.91119.226 - 06</t>
  </si>
  <si>
    <t>0316 - 2 - 3.3.1.2.0.0.0.0.4104008.91119.226 - 84</t>
  </si>
  <si>
    <t>0316 - 2 - 3.3.1.2.0.0.0.0.4104008.91119.233 - 06</t>
  </si>
  <si>
    <t>0316 - 2 - 3.3.1.2.0.0.0.0.4104008.91119.233 - 84</t>
  </si>
  <si>
    <t>0316 - 2 - 3.3.1.2.0.0.0.0.4104008.91119.244 - 06</t>
  </si>
  <si>
    <t>0316 - 2 - 3.3.1.2.0.0.0.0.4104008.91119.244 - 84</t>
  </si>
  <si>
    <t>0316 - 2 - 3.3.1.2.0.0.0.0.4104008.91119.284 - 06</t>
  </si>
  <si>
    <t>0316 - 2 - 3.3.1.2.0.0.0.0.4104008.91119.284 - 84</t>
  </si>
  <si>
    <t>0316 - 2 - 3.3.1.2.0.0.0.0.4104008.91119.303 - 06</t>
  </si>
  <si>
    <t>0316 - 2 - 3.3.1.2.0.0.0.0.4104008.91119.303 - 84</t>
  </si>
  <si>
    <t>0316 - 2 - 3.3.1.2.0.0.0.0.4104008.91119.372 - 06</t>
  </si>
  <si>
    <t>0316 - 2 - 3.3.1.2.0.0.0.0.4104008.91119.372 - 84</t>
  </si>
  <si>
    <t>0316 - 2 - 3.3.1.2.0.0.0.0.4104008.91119.412 - 06</t>
  </si>
  <si>
    <t>0316 - 2 - 3.3.1.2.0.0.0.0.4104008.91119.412 - 84</t>
  </si>
  <si>
    <t>0316 - 2 - 3.3.1.2.0.0.0.0.4104008.91119.470 - 06</t>
  </si>
  <si>
    <t>0316 - 2 - 3.3.1.2.0.0.0.0.4104008.91119.470 - 84</t>
  </si>
  <si>
    <t>0316 - 2 - 3.3.1.2.0.0.0.0.4104008.91119.882 - 06</t>
  </si>
  <si>
    <t>0316 - 2 - 3.3.1.2.0.0.0.0.4104008.91119.882 - 84</t>
  </si>
  <si>
    <t>CENTROS VIDA (cv)</t>
  </si>
  <si>
    <t xml:space="preserve">PRODUCTIVIDAD Y COMPETITIVIDAD </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</si>
  <si>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</si>
  <si>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</si>
  <si>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</si>
  <si>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</si>
  <si>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</si>
  <si>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</si>
  <si>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</si>
  <si>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</si>
  <si>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</si>
  <si>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</si>
  <si>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LÓPEZ MADRID- JEFE DE LA MUJE RY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</si>
  <si>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</si>
  <si>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</si>
  <si>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</si>
  <si>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</si>
  <si>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</si>
  <si>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Personas capacitadas</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</si>
  <si>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</si>
  <si>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</si>
  <si>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</si>
  <si>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</si>
  <si>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</si>
  <si>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NATALIA ALVAREZ RUALES- JEFE DE FAMILIA</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</si>
  <si>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</si>
  <si>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</si>
  <si>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</si>
  <si>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</si>
  <si>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</si>
  <si>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</si>
  <si>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</si>
  <si>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</si>
  <si>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</si>
  <si>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</si>
  <si>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</si>
  <si>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</si>
  <si>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</si>
  <si>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</si>
  <si>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</si>
  <si>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</si>
  <si>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</si>
  <si>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</si>
  <si>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</si>
  <si>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</si>
  <si>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</si>
  <si>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</si>
  <si>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</si>
  <si>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</si>
  <si>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</si>
  <si>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</si>
  <si>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</si>
  <si>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</si>
  <si>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0316 - 2 - 3.2.2.2.6.0.0.0.045020382.63391 - 20</t>
  </si>
  <si>
    <t>0316 - 2 - 3.2.2.2.7.0.0.0.045020382.73290 - 20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</si>
  <si>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</si>
  <si>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</si>
  <si>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</si>
  <si>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</si>
  <si>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</si>
  <si>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</si>
  <si>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</si>
  <si>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</si>
  <si>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</si>
  <si>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</si>
  <si>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</si>
  <si>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</si>
  <si>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</si>
  <si>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</si>
  <si>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</si>
  <si>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Servicios de catering para eventos</t>
  </si>
  <si>
    <t>0316 - 2 - 3.2.2.2.6.0.0.0.045020381.63391 - 20</t>
  </si>
  <si>
    <t>Logística Operativa</t>
  </si>
  <si>
    <t>0316 - 2 - 3.2.2.2.7.0.0.0.045020381.73290 - 20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</si>
  <si>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</si>
  <si>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</si>
  <si>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</si>
  <si>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</si>
  <si>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</si>
  <si>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</si>
  <si>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</si>
  <si>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</si>
  <si>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</si>
  <si>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</si>
  <si>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</si>
  <si>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</si>
  <si>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</si>
  <si>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</si>
  <si>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</si>
  <si>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</si>
  <si>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</si>
  <si>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</si>
  <si>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</si>
  <si>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</si>
  <si>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</si>
  <si>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</si>
  <si>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</si>
  <si>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</si>
  <si>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</si>
  <si>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</si>
  <si>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</si>
  <si>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</si>
  <si>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</si>
  <si>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</si>
  <si>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</si>
  <si>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</si>
  <si>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</si>
  <si>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</si>
  <si>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</si>
  <si>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</si>
  <si>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</si>
  <si>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</si>
  <si>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</si>
  <si>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</si>
  <si>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</si>
  <si>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</si>
  <si>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</si>
  <si>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</si>
  <si>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</si>
  <si>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</si>
  <si>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</si>
  <si>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</si>
  <si>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</si>
  <si>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</si>
  <si>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</si>
  <si>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</si>
  <si>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PROGRAMACIÓN PLAN DE ACCIÓN 
SECRETARIA  CULTURA
A JUNIO 30 DE 2021</t>
  </si>
  <si>
    <t>PLAN DE DESARROLLO DEPARTAMENTAL:  "TÚ Y YO SOMOS QUINDÍO"</t>
  </si>
  <si>
    <t>FECHA DE INICIO
(dd/mm/aaaa)</t>
  </si>
  <si>
    <t>FECHA DE TERMINACIÓN
(dd/mm/aaaa)</t>
  </si>
  <si>
    <t>META FISICA 
PROGRAMADA</t>
  </si>
  <si>
    <t>VALOR ACTIVIDAD
(EN PESOS )</t>
  </si>
  <si>
    <t>INCLUSIÓN SOCIAL Y EQUIDAD</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</si>
  <si>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</si>
  <si>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</si>
  <si>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</si>
  <si>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</si>
  <si>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</si>
  <si>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</si>
  <si>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</si>
  <si>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 RECURSO ORDINARIO</t>
  </si>
  <si>
    <t>Juan Manuel Rodriguez Brito 
Secretaria de Cultura</t>
  </si>
  <si>
    <t>0310 - 2 - 3.2.2.2.9.0.0.0.3301087.91119 - 88</t>
  </si>
  <si>
    <t>SUPERÁVIT RECURSO ORDINARIO</t>
  </si>
  <si>
    <t>Apoyo técnico y logístico formación artística y cultural</t>
  </si>
  <si>
    <t>RECURSO ORDINARIO</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</si>
  <si>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</si>
  <si>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</si>
  <si>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</si>
  <si>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</si>
  <si>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</si>
  <si>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artísticos en eventos </t>
  </si>
  <si>
    <t>Apoyo técnico logístico circulación artística y cultural</t>
  </si>
  <si>
    <t xml:space="preserve">Apoyo técnico en la coordinación del programa concertación </t>
  </si>
  <si>
    <t>0310 - 2 - 3.2.2.2.9.0.0.0.3301073.91119 - 39</t>
  </si>
  <si>
    <t>ESTAMPILLA PRO-CULTURA 50% CONCERTACION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</si>
  <si>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</si>
  <si>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</si>
  <si>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</si>
  <si>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</si>
  <si>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</si>
  <si>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</si>
  <si>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</si>
  <si>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PRO-CULTRA 10% ESTIMULOS</t>
  </si>
  <si>
    <t>Convocatoria y apoyo logístico de proyectos programa departamental de estímulos</t>
  </si>
  <si>
    <t>Evaluación y Seguimiento de proyectos programa departamental de estímulos</t>
  </si>
  <si>
    <t>Cofinanciación de proyectos programa departamental de estímulos</t>
  </si>
  <si>
    <t>Formulación e implementación del Plan de Cultura</t>
  </si>
  <si>
    <t xml:space="preserve">Documentos de lineamientos técnicos </t>
  </si>
  <si>
    <t>Plan Decenal de cultura formulado e implementado</t>
  </si>
  <si>
    <t>Abrir espacios de formación en las áreas artísticas y culturales</t>
  </si>
  <si>
    <t>Apoyo técnico en la formulación e implementación del plan decenal de cultura</t>
  </si>
  <si>
    <t>0310 - 2 - 3.2.2.2.9.0.0.0.3301070.91119 - 20</t>
  </si>
  <si>
    <t xml:space="preserve">Servicio de información para el sector artístico y cultural </t>
  </si>
  <si>
    <t>Sistema de información del sector artístico cultural en operación</t>
  </si>
  <si>
    <t xml:space="preserve">Realizar programas de promoción de la producción artística </t>
  </si>
  <si>
    <t xml:space="preserve">Caracterización en sede de artistas cultores y gestores de cada uno de los municipios del departamento del Quindío.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</si>
  <si>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</si>
  <si>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</si>
  <si>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</si>
  <si>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</si>
  <si>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</si>
  <si>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</si>
  <si>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</si>
  <si>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</si>
  <si>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</si>
  <si>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</si>
  <si>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</si>
  <si>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</si>
  <si>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formación literaria y actividades de promoción de lectura.</t>
  </si>
  <si>
    <t>0310 - 2 - 3.2.2.2.9.0.0.0.3301085.91119 - 34</t>
  </si>
  <si>
    <t>ESTAMPILLA PRO-CULTURA 10% BIBLIOTECAS</t>
  </si>
  <si>
    <t>0310 - 2 - 3.2.2.2.9.0.0.0.3301085.91119 - 83</t>
  </si>
  <si>
    <t>SUPERÁVIT ESTAMPILLA PRO CULTURA 10% BIBLIOTECAS</t>
  </si>
  <si>
    <t>0310 - 2 - 3.2.2.1.3.0.0.0.3301085.32210 - 20</t>
  </si>
  <si>
    <t xml:space="preserve">RECURSOS ORDINARIO </t>
  </si>
  <si>
    <t>Fortalecimiento y dotación de bibliotecas</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</si>
  <si>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</si>
  <si>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</si>
  <si>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</si>
  <si>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</si>
  <si>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</si>
  <si>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Publicación, divulgación y circulación de obras literarias y escritores locales. </t>
  </si>
  <si>
    <t>0310 - 2 - 3.2.2.1.3.0.0.0.3301100.32210 - 34</t>
  </si>
  <si>
    <t>0310 - 2 - 3.2.2.2.9.0.0.0.3301100.91119 - 20</t>
  </si>
  <si>
    <t>0310 - 2 - 3.2.2.1.3.0.0.0.3301100.32210 - 83</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</si>
  <si>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</si>
  <si>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</si>
  <si>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</si>
  <si>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</si>
  <si>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</si>
  <si>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</si>
  <si>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</si>
  <si>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</si>
  <si>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PRO-CULTURA 10% SEGURIDAD SOCIAL</t>
  </si>
  <si>
    <t>0310 - 2 - 3.2.2.2.9.0.0.0.3301095.91119 - 20</t>
  </si>
  <si>
    <t>0310 - 2 - 3.2.2.2.9.0.0.0.3301095.91119 - 83</t>
  </si>
  <si>
    <t>SUPERÁVIT ESTAMPILLA PRO CULTURA 10% Beps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</si>
  <si>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</si>
  <si>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</si>
  <si>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</si>
  <si>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</si>
  <si>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</si>
  <si>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</si>
  <si>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</si>
  <si>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</si>
  <si>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</si>
  <si>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Investigación, divulgación y publicación del patrimonio cultural</t>
  </si>
  <si>
    <t>330207000</t>
  </si>
  <si>
    <t>Suficientes declaratorias de bienes de interés patrimonial material e inmaterial.</t>
  </si>
  <si>
    <t>0310 - 2 - 3.2.2.2.9.0.0.0.3302070.91119 - 20</t>
  </si>
  <si>
    <t>0310 - 2 - 3.2.2.1.3.0.0.0.3302070.32210 - 47</t>
  </si>
  <si>
    <t>IVA TELEFONIA MOVIL</t>
  </si>
  <si>
    <t>0310 - 2 - 3.2.2.2.9.0.0.0.3302070.91119 - 47</t>
  </si>
  <si>
    <t>Superavit Iva Telefonía móvil</t>
  </si>
  <si>
    <t>PROGRAMACIÓN PLAN DE ACCIÓN 
PROMOTORA DE VIVIENDA
A JUNIO 30 DE 2021</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</si>
  <si>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</si>
  <si>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</si>
  <si>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</si>
  <si>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</si>
  <si>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</si>
  <si>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</si>
  <si>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</si>
  <si>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construcción y/o adecuación de escenarios deportivos en el departamento del Quindío.</t>
  </si>
  <si>
    <t>2.3.2.02.02.005.4301004.54</t>
  </si>
  <si>
    <t>Estampilla Pro Desarrollo</t>
  </si>
  <si>
    <t xml:space="preserve"> Pablo César Herrera Correa </t>
  </si>
  <si>
    <t>Realizar Infraestructuras  deportivas y/o recreativas.</t>
  </si>
  <si>
    <t>Apoyo para el fortalecimiento del componente y asistencia técnica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</si>
  <si>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</si>
  <si>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</si>
  <si>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</si>
  <si>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</si>
  <si>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</si>
  <si>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</si>
  <si>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</si>
  <si>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</si>
  <si>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</si>
  <si>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</si>
  <si>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</si>
  <si>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</si>
  <si>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</si>
  <si>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</si>
  <si>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</si>
  <si>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</si>
  <si>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202000363-0144</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</si>
  <si>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</si>
  <si>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</si>
  <si>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</si>
  <si>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</si>
  <si>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</si>
  <si>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</si>
  <si>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</si>
  <si>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componente y asistencia técnica a nivel departamental. </t>
  </si>
  <si>
    <t>2.3.2.02.02.008.2402041.83</t>
  </si>
  <si>
    <t xml:space="preserve">                                                        -  </t>
  </si>
  <si>
    <t xml:space="preserve">Servicio de asistencia técnica y jurídica en saneamiento y titulación de predios </t>
  </si>
  <si>
    <t>Entidades territoriales asistidas técnica y jurídicamente</t>
  </si>
  <si>
    <t>202000363-0145</t>
  </si>
  <si>
    <t xml:space="preserve"> 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</si>
  <si>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</si>
  <si>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técnicamente a las entidades</t>
  </si>
  <si>
    <t>2.3.2.02.02.005.4001001.54</t>
  </si>
  <si>
    <t xml:space="preserve">Viviendas de Interés Prioritario urbanas construidas </t>
  </si>
  <si>
    <t>Viviendas de Interés Prioritario urbanas construidas</t>
  </si>
  <si>
    <t>2.3.2.02.02.005.4001017.54</t>
  </si>
  <si>
    <t>2.3.2.02.02.008.4001017.83</t>
  </si>
  <si>
    <t xml:space="preserve">Viviendas de Interés Prioritario urbanas mejoradas </t>
  </si>
  <si>
    <t>Viviendas de Interés Prioritario urbanas mejoradas</t>
  </si>
  <si>
    <t>2.3.2.02.02.005.4001018.54</t>
  </si>
  <si>
    <t>2.3.2.02.02.008.4001018.83</t>
  </si>
  <si>
    <t>Realizar programación de asistencias técnicas a la entidades territoriales</t>
  </si>
  <si>
    <t>Estudios de preinversión e inversión</t>
  </si>
  <si>
    <t>2.3.2.02.02.005.4001030.54</t>
  </si>
  <si>
    <t>Servicio de apoyo financiero para adquisición de vivienda</t>
  </si>
  <si>
    <t>Equipamientos construidos</t>
  </si>
  <si>
    <t>Equipamientos mejorados mantenidos y/o construidos</t>
  </si>
  <si>
    <t>2.3.2.02.02.005.4001031.54</t>
  </si>
  <si>
    <t>2.3.2.02.02.008.4001031.83</t>
  </si>
  <si>
    <t>Viviendas de Interés Social urbanas construidas</t>
  </si>
  <si>
    <t>2.3.2.02.02.005.4001014.54</t>
  </si>
  <si>
    <t>2.3.2.02.02.008.4001014.83</t>
  </si>
  <si>
    <t>2.3.2.02.02.005.4001015.54</t>
  </si>
  <si>
    <t>2.3.2.02.02.008.4001015.83</t>
  </si>
  <si>
    <t>PROGRAMACIÓN PLAN DE ACCIÓN 
SECRETARIA  DE TECNOLOGIAS DE LA INFORMACION Y LAS COMUNICACIONES 
JUNIO 30/2021</t>
  </si>
  <si>
    <t>PLAN DE DESARROLLO DEPARTAMENTAL: TU Y YO SOMO QUNDIO</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</si>
  <si>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</si>
  <si>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</si>
  <si>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</si>
  <si>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</si>
  <si>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</si>
  <si>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</si>
  <si>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</si>
  <si>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</si>
  <si>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</si>
  <si>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</si>
  <si>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</si>
  <si>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</si>
  <si>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</si>
  <si>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</si>
  <si>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</si>
  <si>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</si>
  <si>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</si>
  <si>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</si>
  <si>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0324 - 2 - 3.2.1.1.3.3.2.0.2301024.45261 - 20</t>
  </si>
  <si>
    <t>Modernización tecnológica del edificio de la Gobernación</t>
  </si>
  <si>
    <t>0324 - 2 - 3.2.1.1.3.3.2.0.2301024.45250 - 20</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</si>
  <si>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</si>
  <si>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</si>
  <si>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</si>
  <si>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</si>
  <si>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</si>
  <si>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</si>
  <si>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</si>
  <si>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</si>
  <si>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</si>
  <si>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</si>
  <si>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</si>
  <si>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</si>
  <si>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</si>
  <si>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</si>
  <si>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</si>
  <si>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</si>
  <si>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</si>
  <si>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</si>
  <si>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</si>
  <si>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</si>
  <si>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</si>
  <si>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</si>
  <si>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</si>
  <si>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</si>
  <si>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</si>
  <si>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</si>
  <si>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</si>
  <si>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</si>
  <si>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</si>
  <si>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</si>
  <si>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</si>
  <si>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</si>
  <si>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</si>
  <si>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</si>
  <si>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</si>
  <si>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</si>
  <si>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Documentos de planeación elaborados</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</si>
  <si>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</si>
  <si>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</si>
  <si>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</si>
  <si>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</si>
  <si>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</si>
  <si>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</si>
  <si>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</si>
  <si>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</si>
  <si>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</si>
  <si>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</si>
  <si>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</si>
  <si>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</si>
  <si>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</si>
  <si>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</si>
  <si>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</si>
  <si>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</si>
  <si>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</si>
  <si>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</si>
  <si>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</si>
  <si>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</si>
  <si>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</si>
  <si>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</si>
  <si>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</si>
  <si>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</si>
  <si>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</si>
  <si>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</si>
  <si>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</si>
  <si>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</si>
  <si>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</si>
  <si>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</si>
  <si>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</si>
  <si>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</si>
  <si>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</si>
  <si>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</si>
  <si>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</si>
  <si>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</si>
  <si>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</si>
  <si>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</si>
  <si>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</si>
  <si>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</si>
  <si>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LIDERAZGO, GOBERNABILIDAD Y TRANSPARENCIA</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</si>
  <si>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</si>
  <si>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</si>
  <si>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</si>
  <si>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</si>
  <si>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</si>
  <si>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</si>
  <si>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</si>
  <si>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</si>
  <si>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</si>
  <si>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</si>
  <si>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</si>
  <si>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</si>
  <si>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</si>
  <si>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</si>
  <si>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</si>
  <si>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</si>
  <si>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</si>
  <si>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</si>
  <si>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</si>
  <si>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</si>
  <si>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</si>
  <si>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</si>
  <si>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 xml:space="preserve"> 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</si>
  <si>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</si>
  <si>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</si>
  <si>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</si>
  <si>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</si>
  <si>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</si>
  <si>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</si>
  <si>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</si>
  <si>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</si>
  <si>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</si>
  <si>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Ciencia, Tecnolgía e Innovación</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</si>
  <si>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</si>
  <si>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</si>
  <si>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</si>
  <si>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</si>
  <si>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</si>
  <si>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</si>
  <si>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</si>
  <si>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</si>
  <si>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</si>
  <si>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</si>
  <si>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</si>
  <si>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</si>
  <si>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</si>
  <si>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</si>
  <si>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</si>
  <si>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</si>
  <si>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</si>
  <si>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</si>
  <si>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</si>
  <si>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</si>
  <si>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</si>
  <si>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</si>
  <si>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</si>
  <si>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 xml:space="preserve">
PROGRAMACIÓN PLAN DE ACCIÓN 
SECRETARIA  DE URISMO, INDUSTRIA Y COMERCIO
JUNIO 30/2021</t>
  </si>
  <si>
    <t>PLAN DE DESARROLLO DEPARTAMENTAL: ¨TU Y YO SOMOS, QUINDIO¨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</si>
  <si>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</si>
  <si>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</si>
  <si>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</si>
  <si>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</si>
  <si>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</si>
  <si>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</si>
  <si>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</si>
  <si>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</si>
  <si>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</si>
  <si>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Secretario de Turismo Industria y Comercio</t>
  </si>
  <si>
    <t>Servicio de asistencia técnica para el desarrollo de iniciativas Clústers</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</si>
  <si>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</si>
  <si>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</si>
  <si>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</si>
  <si>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</si>
  <si>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</si>
  <si>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</si>
  <si>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</si>
  <si>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</si>
  <si>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</si>
  <si>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</si>
  <si>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</si>
  <si>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</si>
  <si>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</si>
  <si>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</si>
  <si>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Aunar esfuerzos para desarrollar proyectos  y/o actividades direccionadas a promover el acceso a nuevos mercados  para las Mipymes del departamento</t>
  </si>
  <si>
    <t>0311 - 2 - 3.2.2.2.9.0.0.0.3502022.91119 - 20</t>
  </si>
  <si>
    <t>350204700</t>
  </si>
  <si>
    <t>0.7</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</si>
  <si>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</si>
  <si>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 xml:space="preserve"> Elaboración de estudios, diagnósticos y/o investigación para la formulación del Plan de Internacionalización del departamento del Quindío.</t>
  </si>
  <si>
    <t>0311 - 2 - 3.2.2.2.9.0.0.0.3502047.91136 - 20</t>
  </si>
  <si>
    <t>Servicio de asistencia técnica a los entes territoriales para el desarrollo turístico</t>
  </si>
  <si>
    <t>350203900</t>
  </si>
  <si>
    <t>202000363-0076</t>
  </si>
  <si>
    <t xml:space="preserve"> Mejoramiento de la competitividad del  departamento como destino turístico  sostenible y de calidad .</t>
  </si>
  <si>
    <t>Fortalecer la coordinación interinstitucional</t>
  </si>
  <si>
    <t>0311 - 2 - 3.2.2.2.9.0.0.0.3502039.91119 - 20</t>
  </si>
  <si>
    <t>documentos de planeación elaborados</t>
  </si>
  <si>
    <t>0311 - 2 - 3.2.2.2.9.0.0.0.3502047.91119 - 20</t>
  </si>
  <si>
    <t>Proyectos de infraestructura turística apoyados</t>
  </si>
  <si>
    <t>Estudios y/o diseños para proyectos de infraestructura turística</t>
  </si>
  <si>
    <t>Fortalecimiento de la infraestructura de soporte para la actividad turística</t>
  </si>
  <si>
    <t>0311 - 2 - 3.4.2.4.0.0.0.0.003502039.54129.884 - 20</t>
  </si>
  <si>
    <t>0311 - 2 - 3.4.2.4.0.0.0.0.003502039.54129.884 - 88</t>
  </si>
  <si>
    <t xml:space="preserve">Superávit Recurso Ordinario </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</si>
  <si>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</si>
  <si>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</si>
  <si>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</si>
  <si>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</si>
  <si>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</si>
  <si>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</si>
  <si>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</si>
  <si>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</si>
  <si>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</si>
  <si>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0311 - 2 - 3.2.2.2.9.0.0.0.3502046.91136 - 94</t>
  </si>
  <si>
    <t>Suparávit  Turismo y Cultura 4%</t>
  </si>
  <si>
    <t>Logìstica y transporte para realizar  labores institucionales</t>
  </si>
  <si>
    <t>0311 - 2 - 3.2.1.1.3.3.2.0.3502046.45250 - 52</t>
  </si>
  <si>
    <t>0311 - 2 - 3.2.2.2.9.0.0.0.003502046.64119 - 52</t>
  </si>
  <si>
    <t>Servicios de catering para cubrir los diferentes eventos y actividades</t>
  </si>
  <si>
    <t>0311 - 2 - 3.2.2.2.9.0.0.0.003502046.63391 - 52</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</si>
  <si>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</si>
  <si>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</si>
  <si>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</si>
  <si>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</si>
  <si>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</si>
  <si>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</si>
  <si>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</si>
  <si>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</si>
  <si>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</si>
  <si>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</si>
  <si>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</si>
  <si>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</si>
  <si>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</si>
  <si>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</si>
  <si>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</si>
  <si>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</si>
  <si>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</si>
  <si>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</si>
  <si>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</si>
  <si>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</si>
  <si>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</si>
  <si>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</si>
  <si>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</si>
  <si>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</si>
  <si>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</si>
  <si>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</si>
  <si>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</si>
  <si>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</si>
  <si>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</si>
  <si>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</si>
  <si>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</si>
  <si>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</si>
  <si>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</si>
  <si>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</si>
  <si>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</si>
  <si>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t>PROGRAMACIÓN PLAN DE ACCIÓN 
SECRETARIA DE SALUD 
A JUNIO 30 DE 2021</t>
  </si>
  <si>
    <t>PLAN DE DESARROLLO DEPARTAMENTAL: TÚ Y YO SOMOS QUINDÍO 2020-2023</t>
  </si>
  <si>
    <t xml:space="preserve"> INCLUSION SOCIAL Y EQUIDAD</t>
  </si>
  <si>
    <t xml:space="preserve">Inspección, vigilancia y control. "Tú y yo con salud certificada" </t>
  </si>
  <si>
    <t>Servicio de concepto sanitario</t>
  </si>
  <si>
    <t>Servicio de registro sanitario</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</si>
  <si>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</si>
  <si>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</si>
  <si>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</si>
  <si>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</si>
  <si>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</si>
  <si>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</si>
  <si>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</si>
  <si>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PUBLICA C.S.F</t>
  </si>
  <si>
    <t>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</si>
  <si>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</si>
  <si>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</si>
  <si>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</si>
  <si>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</si>
  <si>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</si>
  <si>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</si>
  <si>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</si>
  <si>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</si>
  <si>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Servicio de asistencia técnica en inspección, vigilancia y control</t>
  </si>
  <si>
    <t>Asistencias técnica en Inspección, Vigilancia y Control realizadas</t>
  </si>
  <si>
    <t>Visitas de seguimiento y asistencia tecnica a 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</si>
  <si>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</si>
  <si>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</si>
  <si>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</si>
  <si>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</si>
  <si>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</si>
  <si>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</si>
  <si>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</si>
  <si>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interes sanitario a los objetos de interes sanitario relacionados con las susstancias quimicas.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</si>
  <si>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</si>
  <si>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</si>
  <si>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</si>
  <si>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</si>
  <si>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</si>
  <si>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</si>
  <si>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</si>
  <si>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</si>
  <si>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</si>
  <si>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segumientos a objetos de Inspección, Vigilancia y Control de establecimientos cosmeticos y afines en el Departamento del Quindío.</t>
  </si>
  <si>
    <t>1803 - 2 - 3.2.2.2.9.0.0.0.19030381.91122 - 61</t>
  </si>
  <si>
    <t>Implementar sistema de información que permita programar y priorizar las acciones de Inspección, Vigilancia y Control con enfoque de riesgo en establecimientos cosmeticos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</si>
  <si>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</si>
  <si>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</si>
  <si>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ESTUPEFACIENTES</t>
  </si>
  <si>
    <t>1803 - 2 - 3.2.2.1.3.0.0.0.19030381.91122 - 99</t>
  </si>
  <si>
    <t xml:space="preserve">Superavit fondo de estupefacientes </t>
  </si>
  <si>
    <t xml:space="preserve">Desarrollo de acciones de apoyo legal en la aplicación del modelo IVC y PAGO DE REGENTES DE NOMINA </t>
  </si>
  <si>
    <t>1803 - 2 - 3.2.2.2.9.0.0.0.19030381.91122 - 99</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</si>
  <si>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</si>
  <si>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</si>
  <si>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</si>
  <si>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</si>
  <si>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</si>
  <si>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para el monopolio del Estado con el Fondo Nacional de Estupefacientes de conformidad  con los índices de consumo </t>
  </si>
  <si>
    <t xml:space="preserve">Adquirir recetarios y los medicamentos monopolio del estado con el fondo nacional de estupefacientes de conformidad  con los índices de consumo </t>
  </si>
  <si>
    <t>1803 - 2 - 3.2.2.1.3.0.0.0.19030381.35261 - 99</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</si>
  <si>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</si>
  <si>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</si>
  <si>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</si>
  <si>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</si>
  <si>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</si>
  <si>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</si>
  <si>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</si>
  <si>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</si>
  <si>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</si>
  <si>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</si>
  <si>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</si>
  <si>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</si>
  <si>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</si>
  <si>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</si>
  <si>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</si>
  <si>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</si>
  <si>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</si>
  <si>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</si>
  <si>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</si>
  <si>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</si>
  <si>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</si>
  <si>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</si>
  <si>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</si>
  <si>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</si>
  <si>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</si>
  <si>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</si>
  <si>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</si>
  <si>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</si>
  <si>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resolucion 113 de 2020  y el proceso de certificacion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</si>
  <si>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</si>
  <si>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</si>
  <si>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eliminacion de barreras en salud y Resolucion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</si>
  <si>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</si>
  <si>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</si>
  <si>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</si>
  <si>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</si>
  <si>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</si>
  <si>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</si>
  <si>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</si>
  <si>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</si>
  <si>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</si>
  <si>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</si>
  <si>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</si>
  <si>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</si>
  <si>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saludpublica y la Vigilancia y Control Sanitario</t>
  </si>
  <si>
    <t xml:space="preserve">Compra de reactivos, insumos y medios </t>
  </si>
  <si>
    <t>1803 - 2 - 3.2.2.2.8.0.0.0.1903012.87154 - 61</t>
  </si>
  <si>
    <t>1803 - 2 - 3.2.2.1.3.0.0.0.1903012.35442 - 61</t>
  </si>
  <si>
    <t>Compra de equipos de laboratorio</t>
  </si>
  <si>
    <t>1803 - 2 - 3.2.1.1.3.6.1.0.1903012.48150 - 61</t>
  </si>
  <si>
    <t>1803 - 2 - 3.2.1.1.3.6.1.0.1903012.48150 - 184</t>
  </si>
  <si>
    <t>Superavit resolución 626 de 2020 covid 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</si>
  <si>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</si>
  <si>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</si>
  <si>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</si>
  <si>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</si>
  <si>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</si>
  <si>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</si>
  <si>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</si>
  <si>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</si>
  <si>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</si>
  <si>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</si>
  <si>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</si>
  <si>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</si>
  <si>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</si>
  <si>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</si>
  <si>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</si>
  <si>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</si>
  <si>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</si>
  <si>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</si>
  <si>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</si>
  <si>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</si>
  <si>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</si>
  <si>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</si>
  <si>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</si>
  <si>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</si>
  <si>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</si>
  <si>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</si>
  <si>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</si>
  <si>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</si>
  <si>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</si>
  <si>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</si>
  <si>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</si>
  <si>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</si>
  <si>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</si>
  <si>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</si>
  <si>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</si>
  <si>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</si>
  <si>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</si>
  <si>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</si>
  <si>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</si>
  <si>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</si>
  <si>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</si>
  <si>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</si>
  <si>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</si>
  <si>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</si>
  <si>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</si>
  <si>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</si>
  <si>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</si>
  <si>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</si>
  <si>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</si>
  <si>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</si>
  <si>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</si>
  <si>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procesosadministrativos misionales y estratégicos de la secretaria de salud
</t>
  </si>
  <si>
    <t>Definir mecanismos para la gestión de la información en la S.D.S</t>
  </si>
  <si>
    <t>1804 - 2 - 3.2.2.2.9.0.0.0.1903047.91122 - 72</t>
  </si>
  <si>
    <t>Rentas cedidas subcuenta otros gastos en salud</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</si>
  <si>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</si>
  <si>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</si>
  <si>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</si>
  <si>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</si>
  <si>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</si>
  <si>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</si>
  <si>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</si>
  <si>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</si>
  <si>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</si>
  <si>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</si>
  <si>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</si>
  <si>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</si>
  <si>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</si>
  <si>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</si>
  <si>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</si>
  <si>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</si>
  <si>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</si>
  <si>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</si>
  <si>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</si>
  <si>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</si>
  <si>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</si>
  <si>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Realizar acciones de inspeccion vigilancia y control en establecimientos gastronomicos del departamento del Quindio.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</si>
  <si>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</si>
  <si>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</si>
  <si>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</si>
  <si>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</si>
  <si>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</si>
  <si>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</si>
  <si>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</si>
  <si>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</si>
  <si>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Resolucion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</si>
  <si>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</si>
  <si>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</si>
  <si>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</si>
  <si>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</si>
  <si>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</si>
  <si>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</si>
  <si>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</si>
  <si>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</si>
  <si>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</si>
  <si>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</si>
  <si>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</si>
  <si>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</si>
  <si>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</si>
  <si>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</si>
  <si>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</si>
  <si>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</si>
  <si>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</si>
  <si>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</si>
  <si>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</si>
  <si>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</si>
  <si>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</si>
  <si>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</si>
  <si>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</si>
  <si>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</si>
  <si>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</si>
  <si>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</si>
  <si>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</si>
  <si>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</si>
  <si>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</si>
  <si>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</si>
  <si>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</si>
  <si>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</si>
  <si>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</si>
  <si>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</si>
  <si>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</si>
  <si>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</si>
  <si>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</si>
  <si>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</si>
  <si>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</si>
  <si>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</si>
  <si>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</si>
  <si>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</si>
  <si>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</si>
  <si>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</si>
  <si>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</si>
  <si>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</si>
  <si>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</si>
  <si>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</si>
  <si>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</si>
  <si>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</si>
  <si>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</si>
  <si>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</si>
  <si>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</si>
  <si>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</si>
  <si>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</si>
  <si>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</si>
  <si>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</si>
  <si>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</si>
  <si>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</si>
  <si>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</si>
  <si>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</si>
  <si>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</si>
  <si>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</si>
  <si>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</si>
  <si>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</si>
  <si>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</si>
  <si>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</si>
  <si>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</si>
  <si>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Quindio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</si>
  <si>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</si>
  <si>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</si>
  <si>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</si>
  <si>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</si>
  <si>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</si>
  <si>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</si>
  <si>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</si>
  <si>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</si>
  <si>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</si>
  <si>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</si>
  <si>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</si>
  <si>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</si>
  <si>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</si>
  <si>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</si>
  <si>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</si>
  <si>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</si>
  <si>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</si>
  <si>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</si>
  <si>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</si>
  <si>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</si>
  <si>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</si>
  <si>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</si>
  <si>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</si>
  <si>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</si>
  <si>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</si>
  <si>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</si>
  <si>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</si>
  <si>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formulacion e implementacion el los doce (12) municipios del Plan Integral de Drogas. (Plan Departamental de la Reducción del Consumo de Sustancias Psicoactivas SPA), en el marco de la policitica publica de salud mental </t>
  </si>
  <si>
    <t>1803 - 2 - 3.2.2.2.9.0.0.0.19050151.91122 - 61</t>
  </si>
  <si>
    <t xml:space="preserve">Realizar formulacion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</si>
  <si>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</si>
  <si>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</si>
  <si>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</si>
  <si>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</si>
  <si>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</si>
  <si>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</si>
  <si>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</si>
  <si>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</si>
  <si>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</si>
  <si>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</si>
  <si>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</si>
  <si>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</si>
  <si>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</si>
  <si>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</si>
  <si>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</si>
  <si>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implementacion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</si>
  <si>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</si>
  <si>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</si>
  <si>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</si>
  <si>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</si>
  <si>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</si>
  <si>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</si>
  <si>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</si>
  <si>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</si>
  <si>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</si>
  <si>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</si>
  <si>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</si>
  <si>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</si>
  <si>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</si>
  <si>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</si>
  <si>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</si>
  <si>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</si>
  <si>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</si>
  <si>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</si>
  <si>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</si>
  <si>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</si>
  <si>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</si>
  <si>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</si>
  <si>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</si>
  <si>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</si>
  <si>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verifricacion y cumplimieno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</si>
  <si>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</si>
  <si>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</si>
  <si>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</si>
  <si>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</si>
  <si>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</si>
  <si>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</si>
  <si>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</si>
  <si>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</si>
  <si>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</si>
  <si>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</si>
  <si>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</si>
  <si>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</si>
  <si>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</si>
  <si>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latransmisión endemo-epidemicas de las ETV</t>
  </si>
  <si>
    <t xml:space="preserve">Promover a nivel comunitario la tenencia responsable de animales de compañía y la promoción de la vacunación antirrábica. </t>
  </si>
  <si>
    <t>1803 - 2 - 3.2.2.2.9.0.0.0.19050156.91122 - 61</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</si>
  <si>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</si>
  <si>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</si>
  <si>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</si>
  <si>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</si>
  <si>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</si>
  <si>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</si>
  <si>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</si>
  <si>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</si>
  <si>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</si>
  <si>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</si>
  <si>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Transferencias de la nacion </t>
  </si>
  <si>
    <t>Realizar inspección vigilancia y control de focos de reproducción de vectores en establecimientos de interes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</si>
  <si>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</si>
  <si>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adeciuacion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</si>
  <si>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</si>
  <si>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</si>
  <si>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</si>
  <si>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</si>
  <si>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quindio.</t>
  </si>
  <si>
    <t>1803 - 2 - 3.2.2.2.9.0.0.0.1905014.91122 - 61</t>
  </si>
  <si>
    <t>Servicio de gestión del riesgo para enfermedades emergentes, reemergentes y desatendidas.</t>
  </si>
  <si>
    <t>Implementar campañas de prevención y atención integral en afectados por tuberculosis</t>
  </si>
  <si>
    <t>Realizar asistencia tecnica y capacitaciones al personal asistencial de las IPS en el programa de tuberculosis y lepra en el departamento.</t>
  </si>
  <si>
    <t>1803 - 2 - 3.2.2.2.9.0.0.0.1905026.91122 - 113</t>
  </si>
  <si>
    <t>RES. 1029/16 CAMP Y CONTROL ANTI TUBERCULOSIS QDIO</t>
  </si>
  <si>
    <t>1803 - 2 - 3.2.2.2.9.0.0.0.1905026.91122 - 114</t>
  </si>
  <si>
    <t>RES.1030/2016 CAMPAÑA CONTROL LEPRA QUINDIO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</si>
  <si>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</si>
  <si>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</si>
  <si>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</si>
  <si>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</si>
  <si>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</si>
  <si>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analisis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</si>
  <si>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</si>
  <si>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</si>
  <si>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</si>
  <si>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</si>
  <si>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</si>
  <si>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</si>
  <si>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</si>
  <si>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Fortalecimiento del talento Humano para la verificación del cumplimiento de lineamientos expedidos para la emergencia</t>
  </si>
  <si>
    <t>Fortaleciemiento de apoyo logístico, tecnológico, adquisición de equipos y mantenimiento para el afianzamiento de los procesos de Vigilancia, PRASS y vacunación.</t>
  </si>
  <si>
    <t>0318 - 2 - 3.2.2.2.9.0.0.0.19050263.91122 - 88</t>
  </si>
  <si>
    <t xml:space="preserve">Superavit Recurso Ordinario </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</si>
  <si>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</si>
  <si>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</si>
  <si>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</si>
  <si>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</si>
  <si>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</si>
  <si>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</si>
  <si>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</si>
  <si>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</si>
  <si>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</si>
  <si>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</si>
  <si>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</si>
  <si>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</si>
  <si>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</si>
  <si>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</si>
  <si>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</si>
  <si>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</si>
  <si>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</si>
  <si>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capacitacion de las mujeres trabajadoras y poblacion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</si>
  <si>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</si>
  <si>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</si>
  <si>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categoria, del departamento del Quindio.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</si>
  <si>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</si>
  <si>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</si>
  <si>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</si>
  <si>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</si>
  <si>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</si>
  <si>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</si>
  <si>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</si>
  <si>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</si>
  <si>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SGP Salud Pública</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</si>
  <si>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</si>
  <si>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</si>
  <si>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</si>
  <si>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</si>
  <si>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</si>
  <si>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</si>
  <si>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</si>
  <si>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</si>
  <si>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</si>
  <si>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</si>
  <si>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</si>
  <si>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</si>
  <si>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</si>
  <si>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</si>
  <si>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</si>
  <si>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</si>
  <si>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</si>
  <si>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</si>
  <si>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</si>
  <si>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</si>
  <si>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</si>
  <si>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</si>
  <si>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</si>
  <si>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</si>
  <si>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</si>
  <si>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</si>
  <si>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</si>
  <si>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</si>
  <si>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</si>
  <si>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</si>
  <si>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</si>
  <si>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</si>
  <si>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</si>
  <si>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1803 - 2 - 3.2.2.2.9.0.0.0.19050314.91122 - 98</t>
  </si>
  <si>
    <t>superavit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</si>
  <si>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</si>
  <si>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</si>
  <si>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</si>
  <si>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</si>
  <si>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</si>
  <si>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</si>
  <si>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fisica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</si>
  <si>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</si>
  <si>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</si>
  <si>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</si>
  <si>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</si>
  <si>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</si>
  <si>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</si>
  <si>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</si>
  <si>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</si>
  <si>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</si>
  <si>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</si>
  <si>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</si>
  <si>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</si>
  <si>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</si>
  <si>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situacion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</si>
  <si>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</si>
  <si>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</si>
  <si>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</si>
  <si>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</si>
  <si>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</si>
  <si>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</si>
  <si>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</si>
  <si>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</si>
  <si>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</si>
  <si>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</si>
  <si>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</si>
  <si>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</si>
  <si>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</si>
  <si>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</si>
  <si>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</si>
  <si>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</si>
  <si>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</si>
  <si>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</si>
  <si>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</si>
  <si>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</si>
  <si>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Resolución  971/2016 PROGRAMA INIMPUTABLES</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</si>
  <si>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</si>
  <si>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</si>
  <si>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</si>
  <si>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</si>
  <si>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</si>
  <si>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</si>
  <si>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supervision y los actos administrativos para la transferencia de los recursos mediante el cumplimiento de metas</t>
  </si>
  <si>
    <t>0318 - 2 - 3.3.5.9.45.0.0.0.19060252.71344 - 35</t>
  </si>
  <si>
    <t>Recursos destinados del Monopolio</t>
  </si>
  <si>
    <t>0318 - 2 - 3.3.5.9.45.0.0.0.019060252.91122 - 91</t>
  </si>
  <si>
    <t>Superavit monopolio destinado</t>
  </si>
  <si>
    <t>1801 - 2 - 3.3.5.9.45.0.0.0.019060252.91122 - 191</t>
  </si>
  <si>
    <t>superavit rentas cedidas subcuenta régimen subsidiado</t>
  </si>
  <si>
    <t>1802 - 2 - 3.3.5.9.45.0.0.0.019060252.91122 - 97</t>
  </si>
  <si>
    <t>superavit sgp salud prestacion de servicios</t>
  </si>
  <si>
    <t>1802 - 2 - 3.3.5.9.45.0.0.0.019060252.91122 - 192</t>
  </si>
  <si>
    <t xml:space="preserve">superavit sgp subsidio de la oferta </t>
  </si>
  <si>
    <t>1802 - 2 - 3.3.5.9.45.0.0.0.019060252.91122 - 193</t>
  </si>
  <si>
    <t xml:space="preserve">superavit rentas cedidas prestacion de servicios </t>
  </si>
  <si>
    <t>1802 - 2 - 3.3.5.9.45.0.0.0.019060252.91122 - 194</t>
  </si>
  <si>
    <t>superavit excedentes aportes patronales E.S.E del Dpto</t>
  </si>
  <si>
    <t>1804 - 2 - 3.3.5.9.45.0.0.0.019060252.91122 - 96</t>
  </si>
  <si>
    <t>superavit rentas cedidas salud</t>
  </si>
  <si>
    <t>1802 - 2 - 3.3.5.9.45.0.0.0.019060252.91122 - 171</t>
  </si>
  <si>
    <t>Subsidio a la oferta</t>
  </si>
  <si>
    <t>1802 - 2 - 3.3.5.9.45.0.0.0.19060252.71344 - 171</t>
  </si>
  <si>
    <t>Servicios de reconocimientos de deuda</t>
  </si>
  <si>
    <t>Porcentaje de recursos pagados</t>
  </si>
  <si>
    <t>Realizar los pagos de los servicios y tecnologías NO UPC del Régimen Subsidiado.</t>
  </si>
  <si>
    <t>1802 - 2 - 3.3.5.9.45.0.0.0.19060252.71344 - 58</t>
  </si>
  <si>
    <t>RENTAS CEDIDAS - SALUD</t>
  </si>
  <si>
    <t>1802 - 2 - 3.3.5.9.45.0.0.0.19060251.71344 - 58</t>
  </si>
  <si>
    <t>0318 - 2 - 3.3.5.9.45.0.0.0.019060251.91122 - 91</t>
  </si>
  <si>
    <t>1801 - 2 - 3.3.5.9.45.0.0.0.019060251.91122 - 191</t>
  </si>
  <si>
    <t>1802 - 2 - 3.3.5.9.45.0.0.0.019060251.91122 - 97</t>
  </si>
  <si>
    <t>1802 - 2 - 3.3.5.9.45.0.0.0.019060251.91122 - 192</t>
  </si>
  <si>
    <t>1802 - 2 - 3.3.5.9.45.0.0.0.019060251.91122 - 193</t>
  </si>
  <si>
    <t>1802 - 2 - 3.3.5.9.45.0.0.0.019060251.91122 - 194</t>
  </si>
  <si>
    <t>1804 - 2 - 3.3.5.9.45.0.0.0.019060251.91122 - 96</t>
  </si>
  <si>
    <t>1802 - 2 - 3.3.5.9.45.0.0.0.19060251.71344 - 88</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</si>
  <si>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</si>
  <si>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</si>
  <si>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</si>
  <si>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</si>
  <si>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</si>
  <si>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</si>
  <si>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</si>
  <si>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</si>
  <si>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</si>
  <si>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</si>
  <si>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</si>
  <si>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</si>
  <si>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</si>
  <si>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</si>
  <si>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</si>
  <si>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</si>
  <si>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</si>
  <si>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</si>
  <si>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</si>
  <si>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</si>
  <si>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</si>
  <si>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Dotacion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</si>
  <si>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</si>
  <si>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</si>
  <si>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</si>
  <si>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Dotacion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</si>
  <si>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</si>
  <si>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</si>
  <si>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</si>
  <si>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Dotacion en servicio de apoyo con tecnologías para prestación de servicios en salud</t>
  </si>
  <si>
    <t>0318 - 2 - 3.2.2.2.9.0.0.0.19060231.91122 - 20</t>
  </si>
  <si>
    <t>PROGRAMACIÓN PLAN DE ACCIÓN 
SECRETARIA DE EDUCACIÓN 
JUNIO 30 DE 2021</t>
  </si>
  <si>
    <t xml:space="preserve">Codigo:  </t>
  </si>
  <si>
    <t xml:space="preserve">Version: </t>
  </si>
  <si>
    <t xml:space="preserve">Fecha: </t>
  </si>
  <si>
    <t>Pagina:</t>
  </si>
  <si>
    <t>PLAN DE DESARROLLO DEPARTAMENTAL: TÚ YO SOMOS QUINDIO 2020-2023</t>
  </si>
  <si>
    <t xml:space="preserve">Víctimas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</si>
  <si>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</si>
  <si>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</si>
  <si>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</si>
  <si>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</si>
  <si>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</si>
  <si>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</si>
  <si>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</si>
  <si>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</si>
  <si>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</si>
  <si>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</si>
  <si>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</si>
  <si>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</si>
  <si>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</si>
  <si>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</si>
  <si>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</si>
  <si>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</si>
  <si>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</si>
  <si>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</si>
  <si>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</si>
  <si>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</si>
  <si>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 xml:space="preserve">Recurso Ordinario </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</si>
  <si>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</si>
  <si>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</si>
  <si>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</si>
  <si>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</si>
  <si>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</si>
  <si>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</si>
  <si>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</si>
  <si>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</si>
  <si>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</si>
  <si>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</si>
  <si>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</si>
  <si>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</si>
  <si>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</si>
  <si>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</si>
  <si>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</si>
  <si>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</si>
  <si>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</si>
  <si>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</si>
  <si>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</si>
  <si>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</si>
  <si>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</si>
  <si>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</si>
  <si>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</si>
  <si>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</si>
  <si>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</si>
  <si>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</si>
  <si>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</si>
  <si>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</si>
  <si>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1404 - 2 - 3.2.2.2.6.0.0.0.2201028.63320 - 81</t>
  </si>
  <si>
    <t>Transferencias de la nacion por alimentacion PAE</t>
  </si>
  <si>
    <t>0314 - 2 - 3.2.2.2.6.0.0.0.2201028.63320 - 20</t>
  </si>
  <si>
    <t>0314 - 2 - 3.2.2.2.6.0.0.0.2201028.63320 - 186</t>
  </si>
  <si>
    <t>Extracción minera</t>
  </si>
  <si>
    <t>1404 - 2 - 3.2.2.2.6.0.0.0.2201028.63320 - 137</t>
  </si>
  <si>
    <t>Superávit PAE Educación</t>
  </si>
  <si>
    <t>0314 - 2 - 3.2.2.2.6.0.0.0.2201028.63320 -88</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</si>
  <si>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</si>
  <si>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</si>
  <si>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</si>
  <si>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</si>
  <si>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0314 - 2 - 3.4.2.4.0.0.0.0.2201029.64114 - 20</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</si>
  <si>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</si>
  <si>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</si>
  <si>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</si>
  <si>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</si>
  <si>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</si>
  <si>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</si>
  <si>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</si>
  <si>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</si>
  <si>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</si>
  <si>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</si>
  <si>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</si>
  <si>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</si>
  <si>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1404 - 2 - 3.2.1.1.4.1.1.4.2201069.38111 - 21</t>
  </si>
  <si>
    <t>Rendimientos Financieros SGP Educación</t>
  </si>
  <si>
    <t>0314 - 2 - 3.2.1.1.4.1.1.4.2201069.38111 - 20</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</si>
  <si>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</si>
  <si>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</si>
  <si>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</si>
  <si>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</si>
  <si>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</si>
  <si>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</si>
  <si>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</si>
  <si>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</si>
  <si>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</si>
  <si>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</si>
  <si>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</si>
  <si>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</si>
  <si>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</si>
  <si>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</si>
  <si>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</si>
  <si>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</si>
  <si>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</si>
  <si>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</si>
  <si>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</si>
  <si>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 Acompañamiento a los Establecimientos Educativos Oficiales urbanos o rurales para la presentación de las  pruebas externas y la medición de la calidad educativa de los estudiantes.</t>
  </si>
  <si>
    <t>0314 - 2 - 3.2.2.2.9.0.0.0.2201073.92102 - 20</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</si>
  <si>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</si>
  <si>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</si>
  <si>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</si>
  <si>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</si>
  <si>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</si>
  <si>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</si>
  <si>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</si>
  <si>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</si>
  <si>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</si>
  <si>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</si>
  <si>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</si>
  <si>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</si>
  <si>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</si>
  <si>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</si>
  <si>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</si>
  <si>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</si>
  <si>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</si>
  <si>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</si>
  <si>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</si>
  <si>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1404 - 2 - 3.2.2.1.3.0.0.0.2201026.38590 - 25</t>
  </si>
  <si>
    <t>0314 - 2 - 3.2.2.1.3.0.0.0.2201026.32210 - 20</t>
  </si>
  <si>
    <t>0314 - 2 - 3.2.2.1.3.0.0.0.2201026.38350 - 20</t>
  </si>
  <si>
    <t>0314 - 2 - 3.2.2.1.3.0.0.0.2201026.38440 - 20</t>
  </si>
  <si>
    <t>0314 - 2 - 3.2.2.1.3.0.0.0.2201026.38590 - 20</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</si>
  <si>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</si>
  <si>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</si>
  <si>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</si>
  <si>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</si>
  <si>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</si>
  <si>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</si>
  <si>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</si>
  <si>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</si>
  <si>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</si>
  <si>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</si>
  <si>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</si>
  <si>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</si>
  <si>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</si>
  <si>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</si>
  <si>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</si>
  <si>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</si>
  <si>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</si>
  <si>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</si>
  <si>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</si>
  <si>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</si>
  <si>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</si>
  <si>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</si>
  <si>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</si>
  <si>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</si>
  <si>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</si>
  <si>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</si>
  <si>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</si>
  <si>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</si>
  <si>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</si>
  <si>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</si>
  <si>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</si>
  <si>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</si>
  <si>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</si>
  <si>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</si>
  <si>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</si>
  <si>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</si>
  <si>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</si>
  <si>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</si>
  <si>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</si>
  <si>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</si>
  <si>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</si>
  <si>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</si>
  <si>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</si>
  <si>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</si>
  <si>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</si>
  <si>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</si>
  <si>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</si>
  <si>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</si>
  <si>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</si>
  <si>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</si>
  <si>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</si>
  <si>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</si>
  <si>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</si>
  <si>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</si>
  <si>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</si>
  <si>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</si>
  <si>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</si>
  <si>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</si>
  <si>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</si>
  <si>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</si>
  <si>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</si>
  <si>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</si>
  <si>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</si>
  <si>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</si>
  <si>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</si>
  <si>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</si>
  <si>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</si>
  <si>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</si>
  <si>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</si>
  <si>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</si>
  <si>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</si>
  <si>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</si>
  <si>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</si>
  <si>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</si>
  <si>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</si>
  <si>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</si>
  <si>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</si>
  <si>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</si>
  <si>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</si>
  <si>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</si>
  <si>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</si>
  <si>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</si>
  <si>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</si>
  <si>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</si>
  <si>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</si>
  <si>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</si>
  <si>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</si>
  <si>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</si>
  <si>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</si>
  <si>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</si>
  <si>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</si>
  <si>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</si>
  <si>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</si>
  <si>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</si>
  <si>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</si>
  <si>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</si>
  <si>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</si>
  <si>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</si>
  <si>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</si>
  <si>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</si>
  <si>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</si>
  <si>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</si>
  <si>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</si>
  <si>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</si>
  <si>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</si>
  <si>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</si>
  <si>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</si>
  <si>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</si>
  <si>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</si>
  <si>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</si>
  <si>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</si>
  <si>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</si>
  <si>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</si>
  <si>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</si>
  <si>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</si>
  <si>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</si>
  <si>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</si>
  <si>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</si>
  <si>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</si>
  <si>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</si>
  <si>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</si>
  <si>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</si>
  <si>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</si>
  <si>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</si>
  <si>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</si>
  <si>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</si>
  <si>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</si>
  <si>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</si>
  <si>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</si>
  <si>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</si>
  <si>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</si>
  <si>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</si>
  <si>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</si>
  <si>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</si>
  <si>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</si>
  <si>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</si>
  <si>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</si>
  <si>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</si>
  <si>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</si>
  <si>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</si>
  <si>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</si>
  <si>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</si>
  <si>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</si>
  <si>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</si>
  <si>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</si>
  <si>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</si>
  <si>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</si>
  <si>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</si>
  <si>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</si>
  <si>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</si>
  <si>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</si>
  <si>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</si>
  <si>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</si>
  <si>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</si>
  <si>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</si>
  <si>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</si>
  <si>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</si>
  <si>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</si>
  <si>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</si>
  <si>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</si>
  <si>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</si>
  <si>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</si>
  <si>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</si>
  <si>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</si>
  <si>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</si>
  <si>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</si>
  <si>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</si>
  <si>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</si>
  <si>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</si>
  <si>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</si>
  <si>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</si>
  <si>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</si>
  <si>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</si>
  <si>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</si>
  <si>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</si>
  <si>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</si>
  <si>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</si>
  <si>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</si>
  <si>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</si>
  <si>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</si>
  <si>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</si>
  <si>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</si>
  <si>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</si>
  <si>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</si>
  <si>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</si>
  <si>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</si>
  <si>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</si>
  <si>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1402 - 2 - 3.1.1.1.1.1.0.0.2201071.91121 - 26</t>
  </si>
  <si>
    <t>SGP E ducación</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</si>
  <si>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</si>
  <si>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</si>
  <si>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</si>
  <si>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</si>
  <si>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</si>
  <si>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</si>
  <si>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</si>
  <si>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</si>
  <si>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 xml:space="preserve">Superávit SGP Educación </t>
  </si>
  <si>
    <t>0314 - 2 - 3.2.2.2.9.0.0.0.2201071.91121 - 91</t>
  </si>
  <si>
    <t xml:space="preserve">Superávit Monopolio </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</si>
  <si>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</si>
  <si>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</si>
  <si>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</si>
  <si>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</si>
  <si>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</si>
  <si>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</si>
  <si>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</si>
  <si>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</si>
  <si>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</si>
  <si>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</si>
  <si>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</si>
  <si>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</si>
  <si>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</si>
  <si>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</si>
  <si>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</si>
  <si>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</si>
  <si>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</si>
  <si>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</si>
  <si>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</si>
  <si>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</si>
  <si>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</si>
  <si>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</si>
  <si>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</si>
  <si>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</si>
  <si>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</si>
  <si>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</si>
  <si>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</si>
  <si>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</si>
  <si>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</si>
  <si>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</si>
  <si>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</si>
  <si>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0314 - 2 - 3.2.2.2.9.0.0.0.2201071.92200 - 88</t>
  </si>
  <si>
    <t xml:space="preserve">Superávit Recuso Ordinario </t>
  </si>
  <si>
    <t>0314 - 2 - 3.2.2.2.9.0.0.0.2201071.92102 - 20</t>
  </si>
  <si>
    <t>0314 - 2 - 3.2.2.2.9.0.0.0.2201071.92200 - 20</t>
  </si>
  <si>
    <t>0314 - 2 - 3.2.2.2.9.0.0.0.2201071.92310 - 20</t>
  </si>
  <si>
    <t>0314 - 2 - 3.2.2.2.9.0.0.0.2201071.92330 - 20</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</si>
  <si>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</si>
  <si>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</si>
  <si>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Superávit transferencias nación FOME</t>
  </si>
  <si>
    <t>1404 - 2 - 3.2.2.2.9.0.0.0.2201071.92200 - 187</t>
  </si>
  <si>
    <t>1404 - 2 - 3.2.2.2.9.0.0.0.2201071.92310 - 187</t>
  </si>
  <si>
    <t>1404 - 2 - 3.2.2.2.9.0.0.0.2201071.92330 - 187</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</si>
  <si>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</si>
  <si>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</si>
  <si>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</si>
  <si>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</si>
  <si>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</si>
  <si>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</si>
  <si>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</si>
  <si>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</si>
  <si>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</si>
  <si>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</si>
  <si>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</si>
  <si>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</si>
  <si>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</si>
  <si>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</si>
  <si>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</si>
  <si>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</si>
  <si>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</si>
  <si>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</si>
  <si>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</si>
  <si>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</si>
  <si>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0314 - 2 - 3.2.2.2.9.0.0.0.3904006.92330 - 20</t>
  </si>
  <si>
    <t>PROGRAMACIÓN PLAN DE ACCIÓN 
SECRETARIA DEL INTERIOR
30 DE JUNIO DE 2021JUNIO 30/2021</t>
  </si>
  <si>
    <t>FECHA DE INICIO 
(dd/mm/aaaa)</t>
  </si>
  <si>
    <t>SUPERVISOR RESPONSABLE</t>
  </si>
  <si>
    <t>Promoción al acceso a la justicia."Tú y yo con justicia"</t>
  </si>
  <si>
    <t>Servicio de asistencia técnica para la articulación de los operadores de los Servicios de justicia</t>
  </si>
  <si>
    <t>202000363-0060</t>
  </si>
  <si>
    <t>Implementación  de acciones con los Entes Municipales, para la reducción de los delitos en el Departamento del Quindio</t>
  </si>
  <si>
    <t>Disminuir los índice delitos  en el departamento del Quindío a través de procesos de asistencia Técnica y articulación  de acciones  con las Administraciones municipales .</t>
  </si>
  <si>
    <t>Articulación en la implementación de acciones de prevención y mitigación del delito.</t>
  </si>
  <si>
    <t xml:space="preserve">Generación y/o apoyo a programas de intervención social y/o de seguridad </t>
  </si>
  <si>
    <t>0309 - 2 - 3.2.2.2.9.0.0.0.12020041.91119 - 20</t>
  </si>
  <si>
    <t>Faber Riveros Nicholls</t>
  </si>
  <si>
    <t>Secretario del Interior</t>
  </si>
  <si>
    <t>0309 - 2 - 3.2.2.2.9.0.0.0.12020041.91119 - 88</t>
  </si>
  <si>
    <t xml:space="preserve">Superavit recurso ordinario </t>
  </si>
  <si>
    <t xml:space="preserve">Intervenciones Psicosociales y/o de formación productiva integrales en los cinco municipios focalizados </t>
  </si>
  <si>
    <t>Apoyo juridico  para intervenciones focalizadas en poblacion vulnerable</t>
  </si>
  <si>
    <t>Logistica operativa (alimentación, transporte, sonido, etc)</t>
  </si>
  <si>
    <t>0309 - 2 - 3.2.2.2.6.0.0.0.12020042.63391 - 20</t>
  </si>
  <si>
    <t>Servicios de material impresos, publicaciones y/o   comunicaciones de los programas de lasentidades estatales</t>
  </si>
  <si>
    <t>Implementación de programas ludicos,culturales y/o deportivos  para población vulnerable en areas focalizadas</t>
  </si>
  <si>
    <t>Seguimiento a la  ejecución de los objetivos del PISCC</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</si>
  <si>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</si>
  <si>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</si>
  <si>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</si>
  <si>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</si>
  <si>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</si>
  <si>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</si>
  <si>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Divulgar y capacitar en las comunidades en en la aplicación del código de convivencia ciudadana.</t>
  </si>
  <si>
    <t>Servicios de apoyo  y coordinación con los organismos de seguridad del departamento</t>
  </si>
  <si>
    <t>0309 - 2 - 3.2.2.2.9.0.0.0.1203002.91119 - 20</t>
  </si>
  <si>
    <t>0309 - 2 - 3.2.2.2.9.0.0.0.1203002.91119 - 88</t>
  </si>
  <si>
    <t>Servicios de apoyo psicosocial para resolucion de conflictos</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</si>
  <si>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</si>
  <si>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</si>
  <si>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</si>
  <si>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</si>
  <si>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</si>
  <si>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Disminuir los índices de delitos en el departamento del Quindío, a través de la implementación de  acciones de apoyo para  la  resocialización de las personas privadas de la libertad en las Instituciones  Penitenciarios del departamento del Quindío.</t>
  </si>
  <si>
    <t xml:space="preserve">Aumentar la oferta institucional
</t>
  </si>
  <si>
    <t>Servicios de apoyo psicosocial, ludico y formativo para personas privadas de la libertad</t>
  </si>
  <si>
    <t>0309 - 2 - 3.2.2.2.9.0.0.0.1206005.91119 - 20</t>
  </si>
  <si>
    <t>Programas de fortalecimiento del Sistema de Responsabilidad Penal para adolescentes</t>
  </si>
  <si>
    <t>0309 - 2 - 3.2.2.1.3.0.0.0.1206005.32690 - 20</t>
  </si>
  <si>
    <t>0309 - 2 - 3.2.2.2.6.0.0.0.1206005.63391 - 20</t>
  </si>
  <si>
    <t>Logistica operativa (alimentación, material impreso, otros)</t>
  </si>
  <si>
    <t>202000363-0063</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</si>
  <si>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</si>
  <si>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</si>
  <si>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Generar conocimientos sobre los planes escolares de gestión del riesgo de desastres en las instituciones educativas</t>
  </si>
  <si>
    <t>Actualizacion de los planes escolares de gestion del riesgo</t>
  </si>
  <si>
    <t>0309 - 2 - 3.2.2.2.9.0.0.0.2201068.91119 - 20</t>
  </si>
  <si>
    <t>Cesar Augusto Jaramillo Duran</t>
  </si>
  <si>
    <t>0309 - 2 - 3.2.2.2.9.0.0.0.2201068.91119 - 88</t>
  </si>
  <si>
    <t>Apoyo en la Implementacion de los planes escolares de gestion del riesgo</t>
  </si>
  <si>
    <t>Formacion y capacitacion en Planes escolares de gestion del riesgo</t>
  </si>
  <si>
    <t xml:space="preserve">Inclusión social y Reconciliación </t>
  </si>
  <si>
    <t>Atención, asistencia y reparación integral a las víctimas. "Tú y yo con reparación integral"</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</si>
  <si>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</si>
  <si>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</si>
  <si>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</si>
  <si>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</si>
  <si>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</si>
  <si>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Realizar procesos de atención y ayuda humanitaria</t>
  </si>
  <si>
    <t>Socialización de rutas de protección a las victimas de los 12 municipios del Departamento.</t>
  </si>
  <si>
    <t>0309 - 2 - 3.2.2.2.9.0.0.0.4101023.91119 - 20</t>
  </si>
  <si>
    <t>Juana Camila Gomez Zamorano</t>
  </si>
  <si>
    <t>0309 - 2 - 3.2.2.2.9.0.0.0.4101023.91119 - 88</t>
  </si>
  <si>
    <t>Apoyo a la educacion  de las victimas del conflicto</t>
  </si>
  <si>
    <t>Brindar informacion y orientación a las victimas del conflicto de los 12 municipios del departamento.</t>
  </si>
  <si>
    <t>Brindar asistencia y capacitacion a las victimas de  los 12 municipios del Departamento en la ley de victimas y restitución de tierras y sus enfoques reglamentarios</t>
  </si>
  <si>
    <t>0309 - 2 - 3.2.2.2.6.0.0.0.4101023.63391 - 20</t>
  </si>
  <si>
    <t>0309 - 2 - 3.2.2.2.6.0.0.0.4101023.63391 - 88</t>
  </si>
  <si>
    <t>Realizar jornadas de prevencion a vulneraciones de DDHH y DIH a victimas en los 12 municipios del Departamento</t>
  </si>
  <si>
    <t>Diligenciamiento de  RUSICST y Tablero PAT Departamental</t>
  </si>
  <si>
    <t xml:space="preserve">Brindar asistencia a los 12 municipios del Departamento para las aprobaciones y actualizaciones de los PAT municipales de manera armonica con el PAT departamental. </t>
  </si>
  <si>
    <t>Manejo de administracion de plataformas para la gestion de los procesos para poblacion victima del depto del Quindio</t>
  </si>
  <si>
    <t>0309 - 2 - 3.2.2.1.3.0.0.0.4101023.32690 - 20</t>
  </si>
  <si>
    <t>0309 - 2 - 3.2.2.1.9.0.0.0.4101023.91119 - 88</t>
  </si>
  <si>
    <t>Apoyo a procesos de caracterización de los municipios, cuando sea requerido por èstos</t>
  </si>
  <si>
    <t>Servicio de ayuda y atención humanitaria</t>
  </si>
  <si>
    <t>Personas víctimas con ayuda humanitaria</t>
  </si>
  <si>
    <t>Prestar asistencia técnica en la generación de ingresos</t>
  </si>
  <si>
    <t>Concurrir, complementar y subsidiar los kits de ayuda  humanitaria inmediata en los 12 municipios del Quindio</t>
  </si>
  <si>
    <t>0309 - 2 - 3.2.2.2.9.0.0.0.4101025.91119 - 20</t>
  </si>
  <si>
    <t>0309 - 2 - 3.2.2.2.9.0.0.0.4101025.91119 - 88</t>
  </si>
  <si>
    <t xml:space="preserve">Apoyar los procesos de retorno y reubicación de las victimas del conflicto armado, en caso de ser requerido </t>
  </si>
  <si>
    <t>Logística y/o refrigerios</t>
  </si>
  <si>
    <t>Seguimiento a implementación  de la Herramienta de Gestión Local en los 12 municipios del Departamento</t>
  </si>
  <si>
    <t>Servicio de asistencia técnica para la participación de las víctimas</t>
  </si>
  <si>
    <t>Eventos de participación realizados</t>
  </si>
  <si>
    <t xml:space="preserve">Adecuada programación de las entregas </t>
  </si>
  <si>
    <t>Garantias para Sesiones comité ejecutivo y ética mesa de victimas.</t>
  </si>
  <si>
    <t>0309 - 2 - 3.2.2.2.9.0.0.0.4101038.91119 - 20</t>
  </si>
  <si>
    <t>Garantias para Sesiones plenario mesa departamental de  victimas</t>
  </si>
  <si>
    <t xml:space="preserve">Apoyo al Plan de Trabajo de la mesa Departamental de Victimas </t>
  </si>
  <si>
    <t>0309 - 2 - 3.2.2.1.3.0.0.0.4101038.32690 - 20</t>
  </si>
  <si>
    <t>0309 - 2 - 3.2.2.2.6.0.0.0.4101038.63391 - 20</t>
  </si>
  <si>
    <t>0309 - 2 - 3.2.2.2.6.0.0.0.4101038.91119 - 88</t>
  </si>
  <si>
    <t xml:space="preserve">Procesos de articulación asistencia y atención a los municipios y su población víctima Sesiones de Comites y Subcomites </t>
  </si>
  <si>
    <t>0309 - 2 - 3.2.2.2.9.0.0.0.4101038.91119 - 88</t>
  </si>
  <si>
    <t>Garantias para representates de la mesa departamental de victimas para asistir a las Sesiones del  Comité Departamental de Justicia Transicional y sus respectivos subcomites</t>
  </si>
  <si>
    <t>Servicio de apoyo para la generación de ingresos</t>
  </si>
  <si>
    <t>Hogares con asistencia técnica para la generación de ingresos</t>
  </si>
  <si>
    <t xml:space="preserve">Seguimiento a los planes y alertas tempranas </t>
  </si>
  <si>
    <t>Apoyo a productividad de la población víctima</t>
  </si>
  <si>
    <t>0309 - 2 - 3.5.1.4.0.0.0.0.4101073.44516 - 20</t>
  </si>
  <si>
    <t>0309 - 2 - 3.5.1.4.0.0.0.0.4101073.44198 - 88</t>
  </si>
  <si>
    <t>0309 - 2 - 3.5.1.4.0.0.0.0.4101073.44198 - 20</t>
  </si>
  <si>
    <t>0309 - 2 - 3.5.1.4.0.0.0.0.4101073.44516 - 88</t>
  </si>
  <si>
    <t>0309 - 2 - 3.5.1.4.0.0.0.0.4101073.44611 - 88</t>
  </si>
  <si>
    <t>0309 - 2 - 3.5.1.4.0.0.0.0.4101073.44611 - 20</t>
  </si>
  <si>
    <t>Servicio de asistencia técnica para la realización de iniciativas de memoria histórica</t>
  </si>
  <si>
    <t>Iniciativas de memoria histórica asistidas técnicamente</t>
  </si>
  <si>
    <t xml:space="preserve">Establecer planes para generr oportunidades para beneficiar a las victimas </t>
  </si>
  <si>
    <t xml:space="preserve">Apoyo a iniciativas que aportan a la memoria historica del departamento </t>
  </si>
  <si>
    <t>0309 - 2 - 3.2.2.1.3.0.0.0.4101011.32690 - 20</t>
  </si>
  <si>
    <t>0309 - 2 - 3.2.2.2.9.0.0.0.4101011.91119 - 88</t>
  </si>
  <si>
    <t>Conmemoracion de fechas de memoria Historica dentro del ambito de la Ley de victimas y restitucion de tierras</t>
  </si>
  <si>
    <t>0309 - 2 - 3.2.2.2.9.0.0.0.4101011.91119 - 20</t>
  </si>
  <si>
    <t>0309 - 2 - 3.2.2.2.6.0.0.0.4101011.63391 - 20</t>
  </si>
  <si>
    <t>Apoyo a municipios priorizados para reparacion colectiva.</t>
  </si>
  <si>
    <t>Servicio de atención y asistencia para la población excombatiente del Departamento del Quindío</t>
  </si>
  <si>
    <t>Población excombatiente beneficiada</t>
  </si>
  <si>
    <t>Beneficiarios de la oferta social atendidos</t>
  </si>
  <si>
    <t>202000363-0065</t>
  </si>
  <si>
    <t xml:space="preserve">Asistencia, atención y capacitación  a la población  excombatiente en el  Departamento del Quindío. </t>
  </si>
  <si>
    <t xml:space="preserve">Aumentar la cobertura de la población excombatiente atendida con procesos de atención y asistencia en el departamento del Quindío. </t>
  </si>
  <si>
    <t xml:space="preserve">1.Brindar atención a excombatientes del Departamento del Quindío                 2.Brindar capacitación a los excombatientes del
Departamento del Quindío
</t>
  </si>
  <si>
    <t>Atención y asistencia a la poblacion excombatiente del depto</t>
  </si>
  <si>
    <t>0309 - 2 - 3.2.2.1.3.0.0.0.41030522.32690 - 20</t>
  </si>
  <si>
    <t>0309 - 2 - 3.2.1.1.3.2.1.0.041030522.44198 - 20</t>
  </si>
  <si>
    <t>0309 - 2 - 3.2.2.2.9.0.0.0.41030522.91119 - 88</t>
  </si>
  <si>
    <t>Apoyo a la productividad de la poblacion excombatiente</t>
  </si>
  <si>
    <t>0309 - 2 - 3.2.2.2.9.0.0.0.41030522.91119 - 20</t>
  </si>
  <si>
    <t>0309 - 2 - 3.2.2.2.9.0.0.0.41030522.88901 - 20</t>
  </si>
  <si>
    <t>0309 - 2 - 3.2.2.1.4.0.0.0.41030522.44198 - 88</t>
  </si>
  <si>
    <t>0309 - 2 - 3.2.2.1.4.0.0.0.41030522.44611 - 88</t>
  </si>
  <si>
    <t>Jornadas de reconciliacion de la poblacion excombatiente de la sociedad del depto</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</si>
  <si>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</si>
  <si>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</si>
  <si>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</si>
  <si>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</si>
  <si>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 xml:space="preserve">Proyectos de convivencia y seguridad ciudadana apoyados financieramente </t>
  </si>
  <si>
    <t>202000363-0066</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</si>
  <si>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</si>
  <si>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</si>
  <si>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Mejorar la capacidad de respuesta de los organismos de seguridad y fuerzas armadas entorno a la convivencia
y seguridad en el departamento</t>
  </si>
  <si>
    <t xml:space="preserve">Financiación y/o coofinaciación de proyectos de móvilidad </t>
  </si>
  <si>
    <t>0309 - 2 - 3.2.1.1.3.7.1.0.4501029.49119 - 42</t>
  </si>
  <si>
    <t>Fondo de seguridad  5%</t>
  </si>
  <si>
    <t>0309 - 2 - 3.2.1.1.3.7.1.0.4501029.49119 - 92</t>
  </si>
  <si>
    <t xml:space="preserve">Superávit Fondo de seguridad </t>
  </si>
  <si>
    <t>Suministro de combustible</t>
  </si>
  <si>
    <t>0309 - 2 - 3.2.2.1.3.0.0.0.4501029.33311 - 42</t>
  </si>
  <si>
    <t>Servicios de apoyo en procesos tecnológicos de seguridad en el departamento</t>
  </si>
  <si>
    <t>0309 - 2 - 3.2.2.2.9.0.0.0.4501029.91134 - 42</t>
  </si>
  <si>
    <t>0309 - 2 - 3.2.2.2.9.0.0.0.4501029.91134 - 92</t>
  </si>
  <si>
    <t>Servicios de apoyo para los procesos de adquisición de bienes y servicios con cargo a los organismos de seguridad del departamento</t>
  </si>
  <si>
    <t>0309 - 2 - 3.2.2.2.9.0.0.0.4501029.91119 - 42</t>
  </si>
  <si>
    <t>Servicios de orden social,  Control y Fiscalización de Sustancias Químicas y Estupefacientes en el departamento</t>
  </si>
  <si>
    <t>Pago fuentes humanas</t>
  </si>
  <si>
    <t>Adquisición de bienes y suministro, para material de intendencia y logística</t>
  </si>
  <si>
    <t>0309 - 2 - 3.2.2.1.3.0.0.0.4501029.32690 - 42</t>
  </si>
  <si>
    <t>Suminstro de Alimentación</t>
  </si>
  <si>
    <t>0309 - 2 - 3.2.2.2.6.0.0.0.4501029.63391 - 42</t>
  </si>
  <si>
    <t>Servicios de apoyo en estudios financieros y ecónomicos de los diferentes procesos para los organismos de seguridad</t>
  </si>
  <si>
    <t xml:space="preserve">Prestación de Servicios y/o suministro de logística, material de intendencia o demás programas y/o estrategias relacionados con los organismos de seguridad </t>
  </si>
  <si>
    <t>Financiación del proyecto de tecnología en seguridad</t>
  </si>
  <si>
    <t xml:space="preserve">Construcción, refacción y/o adecuación de guerniciones militares, estaciones de policía, centros carcelarios y/o centros transitorios de reclusión </t>
  </si>
  <si>
    <t>0309 - 2 - 3.2.2.2.9.0.0.0.4501029.91119 - 92</t>
  </si>
  <si>
    <t>Servicio de asistencia tecnica</t>
  </si>
  <si>
    <t>Instancias territoriales de coordinación institucional asistidas y apoyadas</t>
  </si>
  <si>
    <t>202000363-0068</t>
  </si>
  <si>
    <t xml:space="preserve">Fortalecimiento institucional de la entidades municipales para la cosolidación de la convivencia, el orden público  y la seguridad ciudadana  en el departamento del Quindío  </t>
  </si>
  <si>
    <t>Coordinar con las autoridades territoriales, la promoción y la inclusión de instrumentos de gestión para la
prevención, protección, atención y seguimiento de a conductas delictivas</t>
  </si>
  <si>
    <t>Servicios de apoyo en actividades de convivencia y seguridad ciudadana</t>
  </si>
  <si>
    <t>0309 - 2 - 3.2.2.2.9.0.0.0.4501001.91119 - 20</t>
  </si>
  <si>
    <t>0309 - 2 - 3.2.2.2.9.0.0.0.4501001.91119 - 88</t>
  </si>
  <si>
    <t>Servicios promocionales y publicitarios de promocion de la convivencia y seguridad ciudadana</t>
  </si>
  <si>
    <t>0309 - 2 - 3.2.2.2.6.0.0.0.4501001.63391 - 20</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</si>
  <si>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</si>
  <si>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</si>
  <si>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</si>
  <si>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</si>
  <si>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</si>
  <si>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Realizar estuios técnicos que determinen las condiciones de amenazas, vulnerabilidad y riesgo existente o futuros</t>
  </si>
  <si>
    <t xml:space="preserve">Realizar estudios de riesgo y análisis de vulnerabilidad en  los municipios del departamento </t>
  </si>
  <si>
    <t>0309 - 2 - 3.2.2.2.9.0.0.0.3205002.91119 - 20</t>
  </si>
  <si>
    <t>0309 - 2 - 3.2.2.2.9.0.0.0.3205002.91119 - 88</t>
  </si>
  <si>
    <t>Elaboracion de informe que recopile  las areas vulnerables  identificadas en las visitas tecnicas realizadas</t>
  </si>
  <si>
    <t>Gestión del riesgo de desastres y emergencias."Tú y yo preparados en gestión del riesgo"</t>
  </si>
  <si>
    <t>Servicio de educación informal</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</si>
  <si>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</si>
  <si>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</si>
  <si>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</si>
  <si>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Establecer estrategias educativas de resiliencia que garanticen la participación de las comunidades en los procesos de conocimiento reducción de riesgo y manejo de desastres en el Departamento del Quindío.</t>
  </si>
  <si>
    <t>Apoyo en formacion y capacitación de gestión del riesgo de desastres</t>
  </si>
  <si>
    <t>0309 - 2 - 3.2.2.2.9.0.0.0.4503002.91119 - 20</t>
  </si>
  <si>
    <t>0309 - 2 - 3.2.2.2.9.0.0.0.4503002.91119 - 88</t>
  </si>
  <si>
    <t>Impresos y material didactico</t>
  </si>
  <si>
    <t>0309 - 2 - 3.2.2.1.3.0.0.0.4503002.32690 - 88</t>
  </si>
  <si>
    <t>Logistica y refrigerios para la organización de foros, talleres, eventos y/o actividades</t>
  </si>
  <si>
    <t>0309 - 2 - 3.2.2.2.6.0.0.0.4503002.63391 - 20</t>
  </si>
  <si>
    <t>0309 - 2 - 3.2.2.2.6.0.0.0.4503002.63391 - 88</t>
  </si>
  <si>
    <t>Instancias territoriales asistidas</t>
  </si>
  <si>
    <t>Fortalecer la capacidad institucional del sistema departamental de gestión del riesgo de desastes del Departamento del Quindío</t>
  </si>
  <si>
    <t>Fortalecimiento de la red de comunicaciones de emergencias del departamento</t>
  </si>
  <si>
    <t>0309 - 2 - 3.2.1.1.3.5.2.0.4503003.47223 - 20</t>
  </si>
  <si>
    <t>0309 - 2 - 3.2.2.2.8.0.0.0.4503002.87155 - 88</t>
  </si>
  <si>
    <t>Apoyo en formación y capacitación de gestión del riesgo de desastres</t>
  </si>
  <si>
    <t>0309 - 2 - 3.2.2.2.9.0.0.0.4503003.91119 - 88</t>
  </si>
  <si>
    <t>Servicios para la Atención a PQRS y para el desarrollo de actividades y procesos de gestion del riesgo</t>
  </si>
  <si>
    <t>0309 - 2 - 3.2.2.2.9.0.0.0.4503003.91119 - 20</t>
  </si>
  <si>
    <t>0309 - 2 - 3.2.2.2.6.0.0.0.4503003.64112 - 20</t>
  </si>
  <si>
    <t>0309 - 2 - 3.2.2.2.6.0.0.0.4503003.9119 - 20</t>
  </si>
  <si>
    <t>Formacion y capacitacion en Gestión del Riesgo de Desastres al Sistema Departamental de Gestion del Riesgo de Desastres</t>
  </si>
  <si>
    <t>Apoyo y fortalecimiento a los Consejos Municipales de Gestión del Riesgo</t>
  </si>
  <si>
    <t>0309 - 2 - 3.2.2.2.7.0.0.0.4503003.72252 - 20</t>
  </si>
  <si>
    <t>0309 - 2 - 3.2.2.1.4.0.0.0.4503003.45221- 88</t>
  </si>
  <si>
    <t>0309 - 2 - 3.2.1.1.3.5.2.0.4503003.47223 - 88</t>
  </si>
  <si>
    <t>0309 - 2 - 3.2.2.1.3.0.0.0.4503003.33370 - 88</t>
  </si>
  <si>
    <t>Servicio de Transporte Terrestre</t>
  </si>
  <si>
    <t>0309 - 2 - 3.2.2.2.6.0.0.0.4503003.64112 - 88</t>
  </si>
  <si>
    <t>Apoyo y Fortalecimiento a las instituciones de socorro</t>
  </si>
  <si>
    <t>0309 - 2 - 3.2.2.2.8.0.0.0.4503003.86140 - 88</t>
  </si>
  <si>
    <t>ASuntos de orden público y seguridad</t>
  </si>
  <si>
    <t>0309 - 2 - 3.2.2.2.9.0.0.0.4503003.91290 - 88</t>
  </si>
  <si>
    <t>Apoyo con servicios de publicación y campañas de promocion para la difusion de los procesos de gestion del riesgo</t>
  </si>
  <si>
    <t>Apoyo y fortalecimiento al sistema de alertas tempranas en el departamento del QUindio</t>
  </si>
  <si>
    <t>0309 - 2 - 3.2.1.1.3.5.2.0.4503003.38999 - 20</t>
  </si>
  <si>
    <t>0309 - 2 - 3.2.2.1.4.0.0.0.4503003.46921 - 88</t>
  </si>
  <si>
    <t>Servicio de atención a emergencias y desastres</t>
  </si>
  <si>
    <t>Servicio de fortalecimiento a las salas de crisis territorial</t>
  </si>
  <si>
    <t>Centro de reserva  para la atención a emergencias y desastres dotado</t>
  </si>
  <si>
    <t>Organismos de atención de emergencias fortalecidos</t>
  </si>
  <si>
    <t>Dotar el centro de reserva con elementos de ayuda humanitaria con el propósito de contribuir a la seguridad, el bienestar, la calidad de vida de las personas y la atención de las emergencias en el Departamento del Quindío</t>
  </si>
  <si>
    <t xml:space="preserve">Apoyo para la entrega de ayuda humanitaria </t>
  </si>
  <si>
    <t>0309 - 2 - 3.2.2.2.9.0.0.0.4503016.91119 - 20</t>
  </si>
  <si>
    <t>0309 - 2 - 3.2.2.1.3.0.0.0.4503016.32690 - 20</t>
  </si>
  <si>
    <t>0309 - 2 - 3.2.2.1.9.0.0.0.4503016.91290 - 20</t>
  </si>
  <si>
    <t>0309 - 2 - 3.2.2.2.9.0.0.0.4503016.91119 - 88</t>
  </si>
  <si>
    <t>Suministro de Ayuda  Humanitaria</t>
  </si>
  <si>
    <t>0309 - 2 - 3.2.2.2.9.0.0.0.4503016.91290 - 88</t>
  </si>
  <si>
    <t>Medidas implementadas en cumplimiento de las obligaciones internacionales en materia de Derechos Humanos y Derecho Internacional Humanitario</t>
  </si>
  <si>
    <t>202000363-0067</t>
  </si>
  <si>
    <t>Aumentar la cobertura de asistencia a los municipios del departamento de Quindío en los procesos de la garantía y prevención de derechos humanos a través de la actualización, imlementación y socialización en Plan Integral para la prevención a la vulneración de los DDHH.</t>
  </si>
  <si>
    <t>Promocionar y orientar a las personas del departamento en la apropiación de la paz en el territorio.</t>
  </si>
  <si>
    <t>Papeleria impresa</t>
  </si>
  <si>
    <t>0309 - 2 - 3.2.2.1.3.0.0.0.4502024.32690 - 20</t>
  </si>
  <si>
    <t>logistica y refrigerios</t>
  </si>
  <si>
    <t>0309 - 2 - 3.2.2.2.6.0.0.0.4502024.63391 - 20</t>
  </si>
  <si>
    <t xml:space="preserve">Actualización e implementación del plan integral de prevención de vulneración de DDHH  </t>
  </si>
  <si>
    <t>0309 - 2 - 3.2.2.2.9.0.0.0.4502024.91119 - 20</t>
  </si>
  <si>
    <t>0309 - 2 - 3.2.2.2.9.0.0.0.4502024.91119 - 88</t>
  </si>
  <si>
    <t>Realizar jornadas de socialización en rutas de protección en los 12 municipios del Departamento</t>
  </si>
  <si>
    <t>Foros, Actos Culturales, Actos Simbólicos Y Espacios Que Promuevan La Paz</t>
  </si>
  <si>
    <t>Realizar jornadas de  la  prevencion y sensibilizacion de los Derechos Humanos en los 12 municipios del Departamento</t>
  </si>
  <si>
    <t xml:space="preserve">Jornadas de prevención del delito de trata de personas  en los 12 municipios del Departamento </t>
  </si>
  <si>
    <t>Ayuda Humanitaria para victimas de trata de personas</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</si>
  <si>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</si>
  <si>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</si>
  <si>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</si>
  <si>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</si>
  <si>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 xml:space="preserve">Convicción de la comunidad  en los programas encaminados a brindar el acercamiento a las instituciones públicas
</t>
  </si>
  <si>
    <t>Servicios como apoyo a estrategías de participación</t>
  </si>
  <si>
    <t>0309 - 2 - 3.2.2.2.9.0.0.0.45020016.91119 - 20</t>
  </si>
  <si>
    <t>0309 - 2 - 3.2.2.2.9.0.0.0.45020016.91119 - 88</t>
  </si>
  <si>
    <t>Servicios de apoyo a la operatividad del consejo de participación ciudadana</t>
  </si>
  <si>
    <t>0309 - 2 - 3.2.1.1.3.3.2.0.45020016.45221 - 20</t>
  </si>
  <si>
    <t xml:space="preserve">Celebración semana de participación </t>
  </si>
  <si>
    <t>0309 - 2 - 3.2.2.2.9.0.0.0.45020016.96290 - 20</t>
  </si>
  <si>
    <t>Apoyo en la realización de eventos para el  fortalecimiento a la participación ciudadana y control social</t>
  </si>
  <si>
    <t>Apoyar las Iniciativas para la promoción de la participación femenina en escenarios sociales y políticos implementada.</t>
  </si>
  <si>
    <t>Servicios de logistica, transporte, regrigerios y material impreso y de publicidad relacionado</t>
  </si>
  <si>
    <t>0309 - 2 - 3.2.2.1.3.0.0.0.45020016.32690 - 20</t>
  </si>
  <si>
    <t>0309 - 2 - 3.2.2.2.6.0.0.0.45020016.63391 - 20</t>
  </si>
  <si>
    <t>Servicios de Apoyo para eventos de formación y capacitación.</t>
  </si>
  <si>
    <t xml:space="preserve">Apoyo a estrategías y/o programas de promoción y fortalecimiento de la participación ciudadana </t>
  </si>
  <si>
    <t>0309 - 2 - 3.2.2.2.9.0.0.0.45020016.91119 -88</t>
  </si>
  <si>
    <t>Servicios de comunicación, publicación y difusion de los mecanismos de participacion</t>
  </si>
  <si>
    <t xml:space="preserve">Adquisición de equipos tecnológicos y/o muebles logísticos para el mejoramiento de la atención al ciudadano
</t>
  </si>
  <si>
    <t>Servicio de apoyo a las estrategías de fortalecimiento a las veedurias ciudadanas</t>
  </si>
  <si>
    <t>Implementar la Política de Libertad Religiosa</t>
  </si>
  <si>
    <t>Política de Libertad Religiosa Implementado</t>
  </si>
  <si>
    <t>Estrategia de acompañamiento sobre capacidades democráticas y organizativas  implementada</t>
  </si>
  <si>
    <t>Servicios de apoyo para la operatividad  del comité de libertad religiosa</t>
  </si>
  <si>
    <t>0309 - 2 - 3.2.2.2.9.0.0.0.45020015.91119 - 20</t>
  </si>
  <si>
    <t>Desarrollar las actividades propias  de la implementación de la Política Pública de Libertad Religiosa, cultos y conciencia.</t>
  </si>
  <si>
    <t>Servicios de logistica, regrigerios y material impreso y de publicidad relacionado</t>
  </si>
  <si>
    <t>0309 - 2 - 3.2.2.1.3.0.0.0.45020015.32690 - 20</t>
  </si>
  <si>
    <t>0309 - 2 - 3.2.2.2.6.0.0.0.45020015.63391 - 20</t>
  </si>
  <si>
    <t>Fortalecimiento de los organismos  de acción comunal (OAC)  de los doce municipios del Departamento en lo relacionado a sus procesos formativos, participativos, de organización y  gestión.</t>
  </si>
  <si>
    <t xml:space="preserve">Servicio de promoción a la participación ciudadana </t>
  </si>
  <si>
    <t>Municipos con organismos de acción comunal fortalecidos.</t>
  </si>
  <si>
    <t xml:space="preserve">Iniciativas organizativas de participación ciudadana promovidas </t>
  </si>
  <si>
    <t>Servicios como apoyo al fortalecimiento de los organismos  comunales</t>
  </si>
  <si>
    <t>0309 - 2 - 3.2.2.2.9.0.0.0.45020013.91119 - 20</t>
  </si>
  <si>
    <t>0309 - 2 - 3.2.2.2.9.0.0.0.45020013.91119 - 88</t>
  </si>
  <si>
    <t xml:space="preserve">Apoyo a eventos de carácter municipal, departamental   nacional y   Celebración día comunal
</t>
  </si>
  <si>
    <t>0309 - 2 - 3.2.2.2.6.0.0.0.45020013.63391 - 20</t>
  </si>
  <si>
    <t>Desarrollo de actividades de formación y capacitación</t>
  </si>
  <si>
    <t xml:space="preserve">Material pedagogíco y/o .promocional </t>
  </si>
  <si>
    <t>Actividades de promoción, fortalecimiento, desarrollo de proyectos y participación de la Organización Comunal</t>
  </si>
  <si>
    <t>0309 - 2 - 3.2.2.2.6.0.0.0.45020013.91119 - 88</t>
  </si>
  <si>
    <t xml:space="preserve">Formulación de la  Política Pública Departamental para la  Acción Comunal </t>
  </si>
  <si>
    <t>Una Política Pública formulada.</t>
  </si>
  <si>
    <t xml:space="preserve">Planes estratégicos elaborados </t>
  </si>
  <si>
    <t>Fortalecimiento en la estructuración de políticas, programas, legislación, proyectos sociales y desarrollo comunitario.</t>
  </si>
  <si>
    <t xml:space="preserve">Apoyo en la formulación de la  Política Pública Departamental para la  Acción Comunal </t>
  </si>
  <si>
    <t>0309 - 2 - 3.2.2.2.9.0.0.0.4502035.91119 - 20</t>
  </si>
  <si>
    <t>0309 - 2 - 3.2.2.2.9.0.0.0.4502035.91119 - 88</t>
  </si>
  <si>
    <t xml:space="preserve">Material pedagogíco y/o promocional </t>
  </si>
  <si>
    <t>0309 - 2 - 3.2.2.1.3.0.0.0.4502035.32690 - 20</t>
  </si>
  <si>
    <t xml:space="preserve">Servicios de Apoyo para eventos de formación, capacitación, formulación y/o implementación de la  política publica 
</t>
  </si>
  <si>
    <t>PROGRAMACION PLAN DE ACCIÓN 
SECRETARÍA DE PLANEACIÓN
A JUNIO 30 DE 2021</t>
  </si>
  <si>
    <t>PROGRAMACIÓN PLAN DE ACCIÓN 
INDEPORTES
A JUNIO DE  2021</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</si>
  <si>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</si>
  <si>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</si>
  <si>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</si>
  <si>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</si>
  <si>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Desarrollar estrategias para acceso de niños, niñas, adolescentes y jóvenes a procesos de formación deportiva y espacios recreativos en el Departamento del Quindío</t>
  </si>
  <si>
    <t>Transferencia ley 1289  para el Apoyo al deporte escolar en los municipios del Departamento del Quindío</t>
  </si>
  <si>
    <t>2.3.2.02.02.009.4301007_5</t>
  </si>
  <si>
    <t>30 % CIGARRILLO</t>
  </si>
  <si>
    <t>FERNANDO AUGUSTO PANESO ZULUAGA</t>
  </si>
  <si>
    <t>2.3.2.02.02.009.4301007_25</t>
  </si>
  <si>
    <t>CIGARRILLOS 30% R.B 2020</t>
  </si>
  <si>
    <t xml:space="preserve">Adquisicion de bienes y/o servicios para el fortalecimiento y desarrollo de los procesos de formacion deportiva </t>
  </si>
  <si>
    <t>2.3.2.02.01.003.4301007_28</t>
  </si>
  <si>
    <t>TASA PRODEPORTE</t>
  </si>
  <si>
    <t>Brindar apoyo y/o seguimiento  a los procesos de formación promoviendo y fortaleciendo hacia el deporte competitivo "escuelas deportivas" como herramienta de convivencia y paz en el departamento</t>
  </si>
  <si>
    <t>2.3.2.02.02.009.4301007_7</t>
  </si>
  <si>
    <t>MINISTERIO</t>
  </si>
  <si>
    <t>2.3.2.02.02.009.4301007_28</t>
  </si>
  <si>
    <t>2.3.2.02.02.009.4301007_12</t>
  </si>
  <si>
    <t>MONOPOLIO</t>
  </si>
  <si>
    <t>Dotación y/o implementación  al programa escuelas deportivas,  Generando una cultura deportiva en la comunidad mediante procesos formativos dirigidos a niños, niñas, adolescentes y jóvenes.</t>
  </si>
  <si>
    <t>2.3.2.01.01.004.01.03.4301007_12</t>
  </si>
  <si>
    <t>2.3.2.01.01.004.01.03.4301007_28</t>
  </si>
  <si>
    <t>2.3.2.02.01.003.4301007_7</t>
  </si>
  <si>
    <t>2.3.2.01.01.004.01.03.4301007_7</t>
  </si>
  <si>
    <t>Servicio de promoción de la actividad física, la recreación y el deporte</t>
  </si>
  <si>
    <t>Municipios vinculados al programa Supérate-Intercolegiados</t>
  </si>
  <si>
    <t>Promover a los  niños, niñas, adolescentes y jóvenes para realizar actividades físicas y deportivas</t>
  </si>
  <si>
    <t>Brindar apoyo y Acompañamiento al fomento y promoción del programa supérate -Intercolegiados en sus diferentes fases departamental y nacional.</t>
  </si>
  <si>
    <t>2.3.2.02.02.009.4301037_12</t>
  </si>
  <si>
    <t>2.3.2.02.02.009.4301037_24</t>
  </si>
  <si>
    <t>CIGARRILLOS 70% R.B 2020</t>
  </si>
  <si>
    <t>2.3.2.02.02.009.4301037_7</t>
  </si>
  <si>
    <t>Adquisición de bienes y servicios  al programa supérate -Intercolegiados  con el fin generar espacios para el aprovechamiento adecuado del tiempo libre</t>
  </si>
  <si>
    <t>2.3.2.02.01.003.4301037_12</t>
  </si>
  <si>
    <t>2.3.2.02.01.003.4301037_7</t>
  </si>
  <si>
    <t>Dotación y/o implantación deportiva para promoción al programa supérate -Intercolegiados.</t>
  </si>
  <si>
    <t>2.3.2.01.01.004.01.03.4301037_7</t>
  </si>
  <si>
    <t>Municipios implementando  programas de recreación, actividad física y deporte social comunitario</t>
  </si>
  <si>
    <t>Crear nuevos programas de actividad física y hábitos saludables de vida</t>
  </si>
  <si>
    <t>Brindar apoyo y/o seguimiento a los programas de recreación, actividad física y deporte social comunitario</t>
  </si>
  <si>
    <t>2.3.2.02.02.009.4301037_4</t>
  </si>
  <si>
    <t>ICLD</t>
  </si>
  <si>
    <t>2.3.2.02.02.009.4301037_28</t>
  </si>
  <si>
    <t>2.3.2.02.02.009.4301037_21</t>
  </si>
  <si>
    <t>IPOCONSUMO R.B 2020</t>
  </si>
  <si>
    <t>2.3.2.02.02.009.4301037_3</t>
  </si>
  <si>
    <t>IPOCONSUMO</t>
  </si>
  <si>
    <t xml:space="preserve">Dotación y/o implementación para el Fomento a la recreación, la actividad física y el deporte. </t>
  </si>
  <si>
    <t>2.3.2.02.01.003.4301037_28</t>
  </si>
  <si>
    <t>2.3.2.01.01.004.01.03.4301037_28</t>
  </si>
  <si>
    <t>2.3.2.01.01.004.01.03.4301037_12</t>
  </si>
  <si>
    <t>Adquisición de bienes y servicios  a los programas de recreación, actividad física y deporte social comunitario</t>
  </si>
  <si>
    <t>2.3.2.02.01.003.4301037_9</t>
  </si>
  <si>
    <t>RENDIMIENTOS FINANCIEROS</t>
  </si>
  <si>
    <t>2.3.2.02.01.003.4301037_3</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</si>
  <si>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</si>
  <si>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</si>
  <si>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</si>
  <si>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</si>
  <si>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Crear nuevos instrumentos de planificación para la formulación de la política publica</t>
  </si>
  <si>
    <t>Formulación, implementación y seguimiento a la política pública para el desarrollo y acceso al deporte, la recreación, la actividad física, la educación física y el uso adecuado del tiempo libre</t>
  </si>
  <si>
    <t>2.3.2.02.02.009.4301006_3</t>
  </si>
  <si>
    <t>2.3.2.02.02.009.4301006_12</t>
  </si>
  <si>
    <t>Servicios Logísticos, alimentos (Almuerzos y refrigerios) y/o suministro de papelería</t>
  </si>
  <si>
    <t>2.3.2.02.01.003.4301006_3</t>
  </si>
  <si>
    <t>Formación y preparación de deportistas. "Tú y yo campeones"</t>
  </si>
  <si>
    <t>Servicio de asistencia técnica para la promoción del deporte</t>
  </si>
  <si>
    <t xml:space="preserve">Organismos deportivos asistidos </t>
  </si>
  <si>
    <t>Fortalecimiento al deporte competitivo y de altos logros "TU Y    YO SOMOS salva 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</si>
  <si>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</si>
  <si>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Mejorar el rendimiento deportivo  y competitivo en los  deportistas de alto nivel competitivo y con proyección a altos logros</t>
  </si>
  <si>
    <t>Apoyo a los deportistas con proyección a altos logros</t>
  </si>
  <si>
    <t>2.3.2.02.02.009.4302075_4</t>
  </si>
  <si>
    <t>2.3.2.02.02.009.4302075_28</t>
  </si>
  <si>
    <t>2.3.2.02.02.009.4302075_22</t>
  </si>
  <si>
    <t>MONOPOLIO R.B 2020</t>
  </si>
  <si>
    <t>2.3.2.02.02.009.4302075_21</t>
  </si>
  <si>
    <t>IPONCONSUMO R.B 2020</t>
  </si>
  <si>
    <t>2.3.2.02.02.009.4302075_3</t>
  </si>
  <si>
    <t>Brindar asistencia  técnica, administrativa, jurídica, biomédica,   y/o metodológica a los procesos deportivos y/o  ligas  del departamento del Quindío.</t>
  </si>
  <si>
    <t>2.3.2.02.02.009.4302075_24</t>
  </si>
  <si>
    <t>2.3.2.02.02.009.4302075_26</t>
  </si>
  <si>
    <t>CIGARRILLOS 70% R.B 2021</t>
  </si>
  <si>
    <t>2.3.2.02.02.009.4302075_12</t>
  </si>
  <si>
    <t>Dotación y/o implementación deportiva para el desarrollo del deporte  con proyección a altos logros.</t>
  </si>
  <si>
    <t>2.3.2.01.01.004.01.03.4302075_4</t>
  </si>
  <si>
    <t>2.3.2.01.01.004.01.03.4302075_28</t>
  </si>
  <si>
    <t>2.3.2.02.01.003.4302075_28</t>
  </si>
  <si>
    <t>2.3.2.01.01.004.01.03.4302075_23</t>
  </si>
  <si>
    <t xml:space="preserve"> 1% ICLD R.B 2020</t>
  </si>
  <si>
    <t>2.3.2.02.01.003.4302075_12</t>
  </si>
  <si>
    <t>Aunar esfuerzos administrativos, técnicos, financieros y/o logísticos, para el fomento y la masificación del deporte en el departamento del Quindío</t>
  </si>
  <si>
    <t>2.3.2.02.01.003.4302075_3</t>
  </si>
  <si>
    <t xml:space="preserve">Suministro de suplementos ergonomicos y/o alimentos para los deportistas elites y con proyeccion a altos logros con el fin de fortalecer y/o mejorar su rendimiento deportivo </t>
  </si>
  <si>
    <t>2.3.2.02.02.007.4302075_28</t>
  </si>
  <si>
    <t xml:space="preserve">Campañas de publicidad y promoción para el posicionamiento del deporte competitivo y de altos logros </t>
  </si>
  <si>
    <t>2.3.2.02.02.009.4302075_23</t>
  </si>
  <si>
    <t>Adquisición de bienes y/o servicios para el fortalecimiento del deporte competitivo y de altos logros</t>
  </si>
  <si>
    <t>2.3.2.02.01.007.4302075_24</t>
  </si>
  <si>
    <t>2.3.2.02.02.007.4302075_23</t>
  </si>
  <si>
    <t>Servicio de organización de eventos deportivos de alto rendimiento</t>
  </si>
  <si>
    <t>Juegos Deportivos Realizados</t>
  </si>
  <si>
    <t>Eventos deportivos de alto rendimiento con sede en Colombia realizados</t>
  </si>
  <si>
    <t xml:space="preserve">Desarrollo de los  XXII JUEGOS DEPORTIVOS NACIONALES Y VI JUEGOS PARANACIONALES   2023 en el Departamento </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</si>
  <si>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</si>
  <si>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Aumentar la asignación de recursos para el deporte formativo y competitivo</t>
  </si>
  <si>
    <t xml:space="preserve">Seguimiento y evaluación a los   procesos deportivos con proyección a altos logros y el estado de la infraestructura deportiva y/o recreativa con miras al desarrollo de los  XXII juegos deportivos nacionales y VI juegos Paranacionales   2023 </t>
  </si>
  <si>
    <t>2.3.2.02.02.009.4302004_4</t>
  </si>
  <si>
    <t>2.3.2.02.02.009.4302004_23</t>
  </si>
  <si>
    <t>Lanzamiento de los  XXII JUEGOS DEPORTIVOS NACIONALES Y VI JUEGOS PARANACIONALES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</si>
</sst>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0_-;\-* #,##0_-;_-* &quot;-&quot;_-;_-@_-"/>
    <numFmt numFmtId="43" formatCode="_-* #,##0.00_-;\-* #,##0.00_-;_-* &quot;-&quot;??_-;_-@_-"/>
    <numFmt numFmtId="164" formatCode="&quot;$&quot;\ #,##0.00_);[Red]\(&quot;$&quot;\ #,##0.00\)"/>
    <numFmt numFmtId="165" formatCode="_(&quot;$&quot;\ * #,##0_);_(&quot;$&quot;\ * \(#,##0\);_(&quot;$&quot;\ * &quot;-&quot;_);_(@_)"/>
    <numFmt numFmtId="166" formatCode="_(&quot;$&quot;\ * #,##0.00_);_(&quot;$&quot;\ * \(#,##0.00\);_(&quot;$&quot;\ * &quot;-&quot;??_);_(@_)"/>
    <numFmt numFmtId="167" formatCode="_(* #,##0.00_);_(* \(#,##0.00\);_(* &quot;-&quot;??_);_(@_)"/>
    <numFmt numFmtId="168" formatCode="00"/>
    <numFmt numFmtId="169" formatCode="dd/mm/yyyy;@"/>
    <numFmt numFmtId="170" formatCode="&quot;$&quot;\ #,##0"/>
    <numFmt numFmtId="171" formatCode="0.0"/>
    <numFmt numFmtId="172" formatCode="_-&quot;$&quot;\ * #,##0.00_-;\-&quot;$&quot;\ * #,##0.00_-;_-&quot;$&quot;\ * &quot;-&quot;??_-;_-@_-"/>
    <numFmt numFmtId="173" formatCode="_-* #,##0.00_-;\-* #,##0.00_-;_-* &quot;-&quot;_-;_-@_-"/>
    <numFmt numFmtId="174" formatCode="d/mm/yyyy;@"/>
    <numFmt numFmtId="175" formatCode="&quot;$&quot;\ #,##0.00;[Red]\-&quot;$&quot;\ #,##0.00"/>
    <numFmt numFmtId="176" formatCode="&quot;$&quot;\ #,##0;[Red]\-&quot;$&quot;\ #,##0"/>
    <numFmt numFmtId="177" formatCode="_([$$-240A]\ * #,##0.00_);_([$$-240A]\ * \(#,##0.00\);_([$$-240A]\ * &quot;-&quot;??_);_(@_)"/>
    <numFmt numFmtId="178" formatCode="&quot;$&quot;\ #,##0.00"/>
    <numFmt numFmtId="179" formatCode="&quot;$&quot;#,##0.00"/>
    <numFmt numFmtId="180" formatCode="_-&quot;$&quot;\ * #,##0.00_-;\-&quot;$&quot;\ * #,##0.00_-;_-&quot;$&quot;\ * &quot;-&quot;_-;_-@_-"/>
    <numFmt numFmtId="181" formatCode="_ [$€-2]\ * #,##0.00_ ;_ [$€-2]\ * \-#,##0.00_ ;_ [$€-2]\ * &quot;-&quot;??_ "/>
    <numFmt numFmtId="182" formatCode="0.0%"/>
    <numFmt numFmtId="183" formatCode="_-&quot;$&quot;\ * #,##0_-;\-&quot;$&quot;\ * #,##0_-;_-&quot;$&quot;\ * &quot;-&quot;_-;_-@_-"/>
    <numFmt numFmtId="184" formatCode="#,##0;[Red]#,##0"/>
  </numFmts>
  <fonts count="34"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b/>
      <sz val="10"/>
      <color theme="1"/>
      <name val="Arial"/>
      <family val="2"/>
    </font>
    <font>
      <sz val="12"/>
      <color theme="1"/>
      <name val="Arial"/>
      <family val="2"/>
    </font>
    <font>
      <sz val="10"/>
      <color theme="1"/>
      <name val="Arial"/>
      <family val="2"/>
    </font>
    <font>
      <b/>
      <sz val="10"/>
      <color indexed="8"/>
      <name val="Arial"/>
      <family val="2"/>
    </font>
    <font>
      <sz val="12"/>
      <name val="Arial"/>
      <family val="2"/>
    </font>
    <font>
      <sz val="12"/>
      <color rgb="FF000000"/>
      <name val="Arial"/>
      <family val="2"/>
    </font>
    <font>
      <b/>
      <sz val="12"/>
      <color indexed="8"/>
      <name val="Arial"/>
      <family val="2"/>
    </font>
    <font>
      <b/>
      <sz val="11"/>
      <color theme="1"/>
      <name val="Arial"/>
      <family val="2"/>
    </font>
    <font>
      <sz val="10"/>
      <name val="Arial"/>
      <family val="2"/>
    </font>
    <font>
      <sz val="11"/>
      <color rgb="FF444444"/>
      <name val="Calibri"/>
      <family val="2"/>
      <scheme val="minor"/>
    </font>
    <font>
      <b/>
      <sz val="12"/>
      <color rgb="FF212121"/>
      <name val="Arial"/>
      <family val="2"/>
    </font>
    <font>
      <sz val="12"/>
      <color rgb="FF212121"/>
      <name val="Arial"/>
      <family val="2"/>
    </font>
    <font>
      <sz val="12"/>
      <color rgb="FF444444"/>
      <name val="Arial"/>
      <family val="2"/>
    </font>
    <font>
      <b/>
      <sz val="11"/>
      <color rgb="FF000000"/>
      <name val="Arial"/>
      <family val="2"/>
    </font>
    <font>
      <b/>
      <sz val="12"/>
      <color rgb="FF000000"/>
      <name val="Arial"/>
      <family val="2"/>
    </font>
    <font>
      <b/>
      <sz val="12"/>
      <color theme="1"/>
      <name val="Calibri"/>
      <family val="2"/>
      <scheme val="minor"/>
    </font>
    <font>
      <sz val="11"/>
      <color indexed="8"/>
      <name val="Calibri"/>
      <family val="2"/>
    </font>
    <font>
      <b/>
      <sz val="11"/>
      <color rgb="FF6F6F6E"/>
      <name val="Calibri"/>
      <family val="2"/>
      <scheme val="minor"/>
    </font>
    <font>
      <sz val="12"/>
      <color rgb="FF333333"/>
      <name val="Arial"/>
      <family val="2"/>
    </font>
    <font>
      <sz val="11"/>
      <color rgb="FF000000"/>
      <name val="Arial"/>
      <family val="2"/>
    </font>
    <font>
      <sz val="11"/>
      <color theme="1"/>
      <name val="Arial"/>
      <family val="2"/>
    </font>
    <font>
      <sz val="11"/>
      <color theme="0"/>
      <name val="Arial"/>
      <family val="2"/>
    </font>
    <font>
      <sz val="10"/>
      <color rgb="FF000000"/>
      <name val="Calibri"/>
      <family val="2"/>
    </font>
    <font>
      <sz val="16"/>
      <color theme="1"/>
      <name val="Arial"/>
      <family val="2"/>
    </font>
    <font>
      <b/>
      <sz val="12"/>
      <color rgb="FFFF0000"/>
      <name val="Arial"/>
      <family val="2"/>
    </font>
    <font>
      <sz val="11"/>
      <color rgb="FF9C0006"/>
      <name val="Calibri"/>
      <family val="2"/>
      <scheme val="minor"/>
    </font>
    <font>
      <sz val="12"/>
      <color rgb="FFFF0000"/>
      <name val="Arial"/>
      <family val="2"/>
    </font>
    <font>
      <b/>
      <u/>
      <sz val="12"/>
      <color theme="1"/>
      <name val="Arial"/>
      <family val="2"/>
    </font>
    <font>
      <sz val="11"/>
      <name val="Calibri"/>
      <family val="2"/>
      <scheme val="minor"/>
    </font>
    <font>
      <sz val="11"/>
      <color rgb="FF000000"/>
      <name val="Calibri"/>
      <family val="2"/>
    </font>
  </fonts>
  <fills count="3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D966"/>
        <bgColor indexed="64"/>
      </patternFill>
    </fill>
    <fill>
      <patternFill patternType="solid">
        <fgColor rgb="FFFFFFFF"/>
        <bgColor indexed="64"/>
      </patternFill>
    </fill>
    <fill>
      <patternFill patternType="solid">
        <fgColor rgb="FFACB9CA"/>
        <bgColor indexed="64"/>
      </patternFill>
    </fill>
    <fill>
      <patternFill patternType="solid">
        <fgColor rgb="FF00B0F0"/>
        <bgColor rgb="FF000000"/>
      </patternFill>
    </fill>
    <fill>
      <patternFill patternType="solid">
        <fgColor rgb="FF00B0F0"/>
        <bgColor indexed="64"/>
      </patternFill>
    </fill>
    <fill>
      <patternFill patternType="solid">
        <fgColor rgb="FFFFFFFF"/>
        <bgColor rgb="FF000000"/>
      </patternFill>
    </fill>
    <fill>
      <patternFill patternType="solid">
        <fgColor theme="0"/>
        <bgColor rgb="FF000000"/>
      </patternFill>
    </fill>
    <fill>
      <patternFill patternType="solid">
        <fgColor rgb="FFFFC000"/>
        <bgColor indexed="64"/>
      </patternFill>
    </fill>
    <fill>
      <patternFill patternType="solid">
        <fgColor theme="3" tint="0.59999389629810485"/>
        <bgColor indexed="64"/>
      </patternFill>
    </fill>
    <fill>
      <patternFill patternType="solid">
        <fgColor rgb="FFB4C6E7"/>
        <bgColor indexed="64"/>
      </patternFill>
    </fill>
    <fill>
      <patternFill patternType="solid">
        <fgColor theme="6" tint="0.39997558519241921"/>
        <bgColor indexed="64"/>
      </patternFill>
    </fill>
    <fill>
      <patternFill patternType="solid">
        <fgColor rgb="FFECECEC"/>
        <bgColor indexed="64"/>
      </patternFill>
    </fill>
    <fill>
      <patternFill patternType="solid">
        <fgColor rgb="FFACB9CA"/>
        <bgColor rgb="FF000000"/>
      </patternFill>
    </fill>
    <fill>
      <patternFill patternType="solid">
        <fgColor theme="8" tint="0.59999389629810485"/>
        <bgColor rgb="FF000000"/>
      </patternFill>
    </fill>
    <fill>
      <patternFill patternType="solid">
        <fgColor rgb="FFBDD7EE"/>
        <bgColor indexed="64"/>
      </patternFill>
    </fill>
    <fill>
      <patternFill patternType="solid">
        <fgColor rgb="FFFFFF00"/>
        <bgColor indexed="64"/>
      </patternFill>
    </fill>
    <fill>
      <patternFill patternType="solid">
        <fgColor rgb="FFFFC7CE"/>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59999389629810485"/>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top/>
      <bottom/>
      <diagonal/>
    </border>
    <border>
      <left/>
      <right/>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auto="1"/>
      </right>
      <top style="thin">
        <color indexed="64"/>
      </top>
      <bottom/>
      <diagonal/>
    </border>
    <border>
      <left style="thin">
        <color rgb="FF000000"/>
      </left>
      <right style="thin">
        <color auto="1"/>
      </right>
      <top/>
      <bottom/>
      <diagonal/>
    </border>
    <border>
      <left style="thin">
        <color indexed="64"/>
      </left>
      <right style="thin">
        <color rgb="FF000000"/>
      </right>
      <top/>
      <bottom style="thin">
        <color rgb="FF000000"/>
      </bottom>
      <diagonal/>
    </border>
    <border>
      <left style="thin">
        <color rgb="FF000000"/>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rgb="FF000000"/>
      </top>
      <bottom/>
      <diagonal/>
    </border>
    <border>
      <left style="thin">
        <color rgb="FF522B57"/>
      </left>
      <right style="thin">
        <color rgb="FF522B57"/>
      </right>
      <top style="thin">
        <color rgb="FF522B57"/>
      </top>
      <bottom style="thin">
        <color rgb="FF522B57"/>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thin">
        <color rgb="FF000000"/>
      </right>
      <top style="thin">
        <color auto="1"/>
      </top>
      <bottom style="thin">
        <color indexed="64"/>
      </bottom>
      <diagonal/>
    </border>
    <border>
      <left style="thin">
        <color indexed="64"/>
      </left>
      <right style="thin">
        <color indexed="64"/>
      </right>
      <top/>
      <bottom style="thin">
        <color rgb="FF000000"/>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bottom style="thin">
        <color rgb="FF000000"/>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right style="thin">
        <color rgb="FF000000"/>
      </right>
      <top/>
      <bottom style="thin">
        <color indexed="64"/>
      </bottom>
      <diagonal/>
    </border>
    <border>
      <left style="thin">
        <color indexed="64"/>
      </left>
      <right/>
      <top style="thin">
        <color rgb="FF000000"/>
      </top>
      <bottom/>
      <diagonal/>
    </border>
    <border>
      <left style="thin">
        <color rgb="FF000000"/>
      </left>
      <right style="thin">
        <color indexed="64"/>
      </right>
      <top style="thin">
        <color rgb="FF000000"/>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right/>
      <top style="thin">
        <color theme="4" tint="0.79998168889431442"/>
      </top>
      <bottom style="thin">
        <color theme="4" tint="0.79998168889431442"/>
      </bottom>
      <diagonal/>
    </border>
  </borders>
  <cellStyleXfs count="27">
    <xf numFmtId="0" fontId="0" fillId="0" borderId="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172" fontId="1" fillId="0" borderId="0" applyFont="0" applyFill="0" applyBorder="0" applyAlignment="0" applyProtection="0"/>
    <xf numFmtId="0" fontId="12" fillId="0" borderId="0"/>
    <xf numFmtId="41"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77" fontId="21" fillId="18" borderId="48">
      <alignment horizontal="center" vertical="center" wrapText="1"/>
    </xf>
    <xf numFmtId="167" fontId="1" fillId="0" borderId="0" applyFont="0" applyFill="0" applyBorder="0" applyAlignment="0" applyProtection="0"/>
    <xf numFmtId="0" fontId="21" fillId="18" borderId="48">
      <alignment horizontal="center" vertical="center" wrapText="1"/>
    </xf>
    <xf numFmtId="167" fontId="1" fillId="0" borderId="0" applyFont="0" applyFill="0" applyBorder="0" applyAlignment="0" applyProtection="0"/>
    <xf numFmtId="181" fontId="1" fillId="0" borderId="0"/>
    <xf numFmtId="0" fontId="1" fillId="0" borderId="0"/>
    <xf numFmtId="9" fontId="20"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0" fontId="1" fillId="0" borderId="0"/>
    <xf numFmtId="0" fontId="29" fillId="23" borderId="0" applyNumberFormat="0" applyBorder="0" applyAlignment="0" applyProtection="0"/>
    <xf numFmtId="183" fontId="1" fillId="0" borderId="0" applyFont="0" applyFill="0" applyBorder="0" applyAlignment="0" applyProtection="0"/>
    <xf numFmtId="0" fontId="12" fillId="0" borderId="0"/>
    <xf numFmtId="0" fontId="12" fillId="0" borderId="0"/>
    <xf numFmtId="0" fontId="33" fillId="0" borderId="0"/>
  </cellStyleXfs>
  <cellXfs count="3939">
    <xf numFmtId="0" fontId="0" fillId="0" borderId="0" xfId="0"/>
    <xf numFmtId="0" fontId="3" fillId="0" borderId="2" xfId="0" applyFont="1" applyFill="1" applyBorder="1" applyAlignment="1">
      <alignment horizontal="center" vertical="center"/>
    </xf>
    <xf numFmtId="0" fontId="4" fillId="0" borderId="3" xfId="0" applyFont="1" applyBorder="1" applyAlignment="1">
      <alignment horizontal="center"/>
    </xf>
    <xf numFmtId="0" fontId="5" fillId="2" borderId="0" xfId="0" applyFont="1" applyFill="1" applyAlignment="1">
      <alignment horizontal="center" vertical="center"/>
    </xf>
    <xf numFmtId="0" fontId="5" fillId="0" borderId="0" xfId="0" applyFont="1" applyAlignment="1">
      <alignment horizontal="center" vertical="center"/>
    </xf>
    <xf numFmtId="168" fontId="6" fillId="0" borderId="4" xfId="0" applyNumberFormat="1" applyFont="1" applyBorder="1" applyAlignment="1">
      <alignment horizontal="left"/>
    </xf>
    <xf numFmtId="14" fontId="6" fillId="0" borderId="4" xfId="0" applyNumberFormat="1" applyFont="1" applyBorder="1" applyAlignment="1">
      <alignment horizontal="left"/>
    </xf>
    <xf numFmtId="0" fontId="2" fillId="0" borderId="5" xfId="0" applyFont="1" applyBorder="1" applyAlignment="1">
      <alignment horizontal="center" vertical="center"/>
    </xf>
    <xf numFmtId="3" fontId="7" fillId="3" borderId="4"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1" xfId="0" applyFont="1" applyBorder="1" applyAlignment="1">
      <alignment horizontal="center" vertical="center"/>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6" borderId="9" xfId="0" applyFont="1" applyFill="1" applyBorder="1" applyAlignment="1">
      <alignment horizontal="center" vertical="center" wrapText="1"/>
    </xf>
    <xf numFmtId="170" fontId="2" fillId="6" borderId="2" xfId="0" applyNumberFormat="1" applyFont="1" applyFill="1" applyBorder="1" applyAlignment="1">
      <alignment horizontal="center" vertical="center" wrapText="1"/>
    </xf>
    <xf numFmtId="1" fontId="2" fillId="5" borderId="1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textRotation="90" wrapText="1"/>
    </xf>
    <xf numFmtId="49" fontId="2" fillId="5" borderId="9" xfId="0" applyNumberFormat="1" applyFont="1" applyFill="1" applyBorder="1" applyAlignment="1">
      <alignment horizontal="center" vertical="center" textRotation="90" wrapText="1"/>
    </xf>
    <xf numFmtId="49" fontId="2" fillId="5" borderId="2" xfId="0" applyNumberFormat="1" applyFont="1" applyFill="1" applyBorder="1" applyAlignment="1">
      <alignment horizontal="center" vertical="center" textRotation="90" wrapText="1"/>
    </xf>
    <xf numFmtId="49" fontId="2" fillId="5" borderId="2" xfId="0" applyNumberFormat="1" applyFont="1" applyFill="1" applyBorder="1" applyAlignment="1">
      <alignment horizontal="center" vertical="center" textRotation="90" wrapText="1"/>
    </xf>
    <xf numFmtId="0" fontId="3" fillId="7" borderId="15" xfId="0" applyFont="1" applyFill="1" applyBorder="1" applyAlignment="1">
      <alignment horizontal="center" vertical="center" wrapText="1"/>
    </xf>
    <xf numFmtId="0" fontId="2" fillId="7" borderId="0" xfId="0" applyFont="1" applyFill="1" applyBorder="1" applyAlignment="1">
      <alignment horizontal="center" vertical="center"/>
    </xf>
    <xf numFmtId="0" fontId="2" fillId="7" borderId="0" xfId="0" applyFont="1" applyFill="1" applyBorder="1" applyAlignment="1">
      <alignment horizontal="justify" vertical="center"/>
    </xf>
    <xf numFmtId="0" fontId="2" fillId="7" borderId="0" xfId="0" applyFont="1" applyFill="1" applyBorder="1" applyAlignment="1">
      <alignment horizontal="center" vertical="center" wrapText="1"/>
    </xf>
    <xf numFmtId="171" fontId="2" fillId="7" borderId="0" xfId="0" applyNumberFormat="1" applyFont="1" applyFill="1" applyBorder="1" applyAlignment="1">
      <alignment horizontal="center" vertical="center"/>
    </xf>
    <xf numFmtId="170" fontId="2" fillId="7" borderId="0" xfId="0" applyNumberFormat="1" applyFont="1" applyFill="1" applyBorder="1" applyAlignment="1">
      <alignment horizontal="justify" vertical="center"/>
    </xf>
    <xf numFmtId="170" fontId="2" fillId="7" borderId="0" xfId="0" applyNumberFormat="1" applyFont="1" applyFill="1" applyBorder="1" applyAlignment="1">
      <alignment horizontal="center" vertical="center"/>
    </xf>
    <xf numFmtId="1" fontId="2" fillId="7" borderId="0" xfId="0" applyNumberFormat="1" applyFont="1" applyFill="1" applyBorder="1" applyAlignment="1">
      <alignment horizontal="center" vertical="center"/>
    </xf>
    <xf numFmtId="169" fontId="2" fillId="7" borderId="0" xfId="0" applyNumberFormat="1" applyFont="1" applyFill="1" applyBorder="1" applyAlignment="1">
      <alignment horizontal="center" vertical="center"/>
    </xf>
    <xf numFmtId="169" fontId="2" fillId="7" borderId="17" xfId="0" applyNumberFormat="1" applyFont="1" applyFill="1" applyBorder="1" applyAlignment="1">
      <alignment horizontal="center" vertical="center"/>
    </xf>
    <xf numFmtId="0" fontId="5" fillId="0" borderId="0"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8" xfId="0" applyFont="1" applyFill="1" applyBorder="1" applyAlignment="1">
      <alignment horizontal="center" vertical="center"/>
    </xf>
    <xf numFmtId="0" fontId="3" fillId="9" borderId="19" xfId="0" applyFont="1" applyFill="1" applyBorder="1" applyAlignment="1">
      <alignment horizontal="center" vertical="center" wrapText="1"/>
    </xf>
    <xf numFmtId="0" fontId="2" fillId="9" borderId="22" xfId="0" applyFont="1" applyFill="1" applyBorder="1" applyAlignment="1">
      <alignment horizontal="justify" vertical="center"/>
    </xf>
    <xf numFmtId="0" fontId="2" fillId="9" borderId="22" xfId="0" applyFont="1" applyFill="1" applyBorder="1" applyAlignment="1">
      <alignment horizontal="center" vertical="center"/>
    </xf>
    <xf numFmtId="0" fontId="2" fillId="9" borderId="22" xfId="0" applyFont="1" applyFill="1" applyBorder="1" applyAlignment="1">
      <alignment horizontal="center" vertical="center" wrapText="1"/>
    </xf>
    <xf numFmtId="171" fontId="2" fillId="9" borderId="22" xfId="0" applyNumberFormat="1" applyFont="1" applyFill="1" applyBorder="1" applyAlignment="1">
      <alignment horizontal="center" vertical="center"/>
    </xf>
    <xf numFmtId="170" fontId="2" fillId="9" borderId="22" xfId="0" applyNumberFormat="1" applyFont="1" applyFill="1" applyBorder="1" applyAlignment="1">
      <alignment horizontal="justify" vertical="center"/>
    </xf>
    <xf numFmtId="170" fontId="2" fillId="9" borderId="22" xfId="0" applyNumberFormat="1" applyFont="1" applyFill="1" applyBorder="1" applyAlignment="1">
      <alignment horizontal="center" vertical="center"/>
    </xf>
    <xf numFmtId="1" fontId="2" fillId="9" borderId="22" xfId="0" applyNumberFormat="1" applyFont="1" applyFill="1" applyBorder="1" applyAlignment="1">
      <alignment horizontal="center" vertical="center"/>
    </xf>
    <xf numFmtId="169" fontId="2" fillId="9" borderId="22" xfId="0" applyNumberFormat="1" applyFont="1" applyFill="1" applyBorder="1" applyAlignment="1">
      <alignment horizontal="center" vertical="center"/>
    </xf>
    <xf numFmtId="169" fontId="2" fillId="9" borderId="19" xfId="0" applyNumberFormat="1" applyFont="1" applyFill="1" applyBorder="1" applyAlignment="1">
      <alignment horizontal="center" vertical="center"/>
    </xf>
    <xf numFmtId="0" fontId="5" fillId="8" borderId="0" xfId="0" applyFont="1" applyFill="1" applyAlignment="1">
      <alignment horizontal="center" vertical="center"/>
    </xf>
    <xf numFmtId="0" fontId="5" fillId="8" borderId="0"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10" borderId="16" xfId="0" applyFont="1" applyFill="1" applyBorder="1" applyAlignment="1">
      <alignment horizontal="center" vertical="center" wrapText="1"/>
    </xf>
    <xf numFmtId="0" fontId="3" fillId="11" borderId="20" xfId="0" applyFont="1" applyFill="1" applyBorder="1" applyAlignment="1">
      <alignment horizontal="left" vertical="center"/>
    </xf>
    <xf numFmtId="0" fontId="3" fillId="11" borderId="22" xfId="0" applyFont="1" applyFill="1" applyBorder="1" applyAlignment="1">
      <alignment horizontal="left" vertical="center"/>
    </xf>
    <xf numFmtId="0" fontId="3" fillId="11" borderId="22" xfId="0" applyFont="1" applyFill="1" applyBorder="1" applyAlignment="1">
      <alignment horizontal="justify" vertical="center"/>
    </xf>
    <xf numFmtId="0" fontId="2" fillId="11" borderId="22" xfId="0" applyFont="1" applyFill="1" applyBorder="1" applyAlignment="1">
      <alignment horizontal="left" vertical="center"/>
    </xf>
    <xf numFmtId="0" fontId="2" fillId="11" borderId="22" xfId="0" applyFont="1" applyFill="1" applyBorder="1" applyAlignment="1">
      <alignment horizontal="justify" vertical="center"/>
    </xf>
    <xf numFmtId="0" fontId="2" fillId="11" borderId="21" xfId="0" applyFont="1" applyFill="1" applyBorder="1" applyAlignment="1">
      <alignment horizontal="left" vertical="center"/>
    </xf>
    <xf numFmtId="0" fontId="2" fillId="11" borderId="21" xfId="0" applyFont="1" applyFill="1" applyBorder="1" applyAlignment="1">
      <alignment horizontal="justify" vertical="center" wrapText="1"/>
    </xf>
    <xf numFmtId="171" fontId="2" fillId="11" borderId="22" xfId="0" applyNumberFormat="1" applyFont="1" applyFill="1" applyBorder="1" applyAlignment="1">
      <alignment horizontal="center" vertical="center"/>
    </xf>
    <xf numFmtId="170" fontId="2" fillId="11" borderId="22" xfId="0" applyNumberFormat="1" applyFont="1" applyFill="1" applyBorder="1" applyAlignment="1">
      <alignment horizontal="center" vertical="center"/>
    </xf>
    <xf numFmtId="0" fontId="2" fillId="11" borderId="22" xfId="0" applyFont="1" applyFill="1" applyBorder="1" applyAlignment="1">
      <alignment horizontal="center" vertical="center"/>
    </xf>
    <xf numFmtId="1" fontId="2" fillId="11" borderId="22" xfId="0" applyNumberFormat="1" applyFont="1" applyFill="1" applyBorder="1" applyAlignment="1">
      <alignment horizontal="center" vertical="center"/>
    </xf>
    <xf numFmtId="169" fontId="2" fillId="11" borderId="22" xfId="0" applyNumberFormat="1" applyFont="1" applyFill="1" applyBorder="1" applyAlignment="1">
      <alignment horizontal="center" vertical="center"/>
    </xf>
    <xf numFmtId="0" fontId="2" fillId="11" borderId="19" xfId="0" applyFont="1" applyFill="1" applyBorder="1" applyAlignment="1">
      <alignment horizontal="center" vertical="center"/>
    </xf>
    <xf numFmtId="0" fontId="5" fillId="2" borderId="0" xfId="0" applyFont="1" applyFill="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8" fillId="0"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167" fontId="5" fillId="2" borderId="2" xfId="1"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9" fillId="0" borderId="2" xfId="0" applyFont="1" applyBorder="1" applyAlignment="1">
      <alignment horizontal="justify" vertical="center" wrapText="1"/>
    </xf>
    <xf numFmtId="167" fontId="8" fillId="2" borderId="2"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2" borderId="12" xfId="0" applyFont="1" applyFill="1" applyBorder="1" applyAlignment="1">
      <alignment horizontal="justify" vertical="center" wrapText="1"/>
    </xf>
    <xf numFmtId="0" fontId="9" fillId="12" borderId="25" xfId="0" applyFont="1" applyFill="1" applyBorder="1" applyAlignment="1">
      <alignment horizontal="center" vertical="center" wrapText="1"/>
    </xf>
    <xf numFmtId="0" fontId="9" fillId="12" borderId="2" xfId="0" applyFont="1" applyFill="1" applyBorder="1" applyAlignment="1">
      <alignment horizontal="justify" vertical="center" wrapText="1"/>
    </xf>
    <xf numFmtId="0" fontId="9" fillId="12"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2" xfId="0" applyFont="1" applyFill="1" applyBorder="1" applyAlignment="1">
      <alignment horizontal="center" vertical="center" wrapText="1"/>
    </xf>
    <xf numFmtId="0" fontId="9" fillId="12" borderId="9" xfId="0" applyFont="1" applyFill="1" applyBorder="1" applyAlignment="1">
      <alignment horizontal="justify" vertical="center" wrapText="1"/>
    </xf>
    <xf numFmtId="9" fontId="5" fillId="2" borderId="2" xfId="2" applyNumberFormat="1" applyFont="1" applyFill="1" applyBorder="1" applyAlignment="1">
      <alignment horizontal="center" vertical="center"/>
    </xf>
    <xf numFmtId="43" fontId="5" fillId="2" borderId="2" xfId="3" applyFont="1" applyFill="1" applyBorder="1" applyAlignment="1">
      <alignment horizontal="center" vertical="center"/>
    </xf>
    <xf numFmtId="167" fontId="5" fillId="2" borderId="2" xfId="1" applyNumberFormat="1" applyFont="1" applyFill="1" applyBorder="1" applyAlignment="1">
      <alignment horizontal="center" vertical="center"/>
    </xf>
    <xf numFmtId="14" fontId="9" fillId="12" borderId="2" xfId="0" applyNumberFormat="1" applyFont="1" applyFill="1" applyBorder="1" applyAlignment="1">
      <alignment horizontal="center" vertical="center" wrapText="1"/>
    </xf>
    <xf numFmtId="0" fontId="3" fillId="11" borderId="31" xfId="0" applyFont="1" applyFill="1" applyBorder="1" applyAlignment="1">
      <alignment horizontal="center" vertical="center"/>
    </xf>
    <xf numFmtId="0" fontId="5" fillId="11" borderId="21" xfId="0" applyFont="1" applyFill="1" applyBorder="1" applyAlignment="1">
      <alignment horizontal="center" vertical="center" wrapText="1"/>
    </xf>
    <xf numFmtId="0" fontId="8" fillId="11" borderId="21" xfId="0" applyFont="1" applyFill="1" applyBorder="1" applyAlignment="1">
      <alignment horizontal="center" vertical="center" wrapText="1"/>
    </xf>
    <xf numFmtId="0" fontId="5" fillId="11" borderId="21" xfId="0" applyFont="1" applyFill="1" applyBorder="1" applyAlignment="1">
      <alignment horizontal="justify" vertical="center" wrapText="1"/>
    </xf>
    <xf numFmtId="9" fontId="5" fillId="11" borderId="2" xfId="2" applyFont="1" applyFill="1" applyBorder="1" applyAlignment="1">
      <alignment horizontal="center" vertical="center" wrapText="1"/>
    </xf>
    <xf numFmtId="43" fontId="5" fillId="11" borderId="2" xfId="3" applyFont="1" applyFill="1" applyBorder="1" applyAlignment="1">
      <alignment horizontal="center" vertical="center" wrapText="1"/>
    </xf>
    <xf numFmtId="0" fontId="5" fillId="11" borderId="2" xfId="0" applyFont="1" applyFill="1" applyBorder="1" applyAlignment="1">
      <alignment horizontal="justify" vertical="center" wrapText="1"/>
    </xf>
    <xf numFmtId="167" fontId="5" fillId="11" borderId="2" xfId="0" applyNumberFormat="1" applyFont="1" applyFill="1" applyBorder="1" applyAlignment="1">
      <alignment horizontal="center" vertical="center" wrapText="1"/>
    </xf>
    <xf numFmtId="0" fontId="5" fillId="11" borderId="2" xfId="0" applyFont="1" applyFill="1" applyBorder="1" applyAlignment="1">
      <alignment horizontal="center" vertical="center" wrapText="1"/>
    </xf>
    <xf numFmtId="1" fontId="5" fillId="11" borderId="2"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textRotation="180" wrapText="1"/>
    </xf>
    <xf numFmtId="0" fontId="8" fillId="0" borderId="32" xfId="0" applyFont="1" applyBorder="1" applyAlignment="1">
      <alignment horizontal="center" vertical="center" wrapText="1"/>
    </xf>
    <xf numFmtId="9" fontId="5" fillId="2" borderId="2" xfId="2"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0" borderId="34" xfId="0" applyFont="1" applyBorder="1" applyAlignment="1">
      <alignment horizontal="center" vertical="center" wrapText="1"/>
    </xf>
    <xf numFmtId="0" fontId="9" fillId="0" borderId="8" xfId="0" applyFont="1" applyFill="1" applyBorder="1" applyAlignment="1">
      <alignment horizontal="justify"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justify" vertical="center"/>
    </xf>
    <xf numFmtId="0" fontId="5" fillId="4" borderId="2" xfId="0" applyFont="1" applyFill="1" applyBorder="1" applyAlignment="1">
      <alignment horizontal="center" vertical="center"/>
    </xf>
    <xf numFmtId="0" fontId="5" fillId="4" borderId="9" xfId="0" applyFont="1" applyFill="1" applyBorder="1" applyAlignment="1">
      <alignment horizontal="justify" vertical="center" wrapText="1"/>
    </xf>
    <xf numFmtId="171" fontId="5" fillId="4" borderId="2" xfId="0" applyNumberFormat="1" applyFont="1" applyFill="1" applyBorder="1" applyAlignment="1">
      <alignment horizontal="center" vertical="center"/>
    </xf>
    <xf numFmtId="43" fontId="2" fillId="4" borderId="2" xfId="3" applyFont="1" applyFill="1" applyBorder="1" applyAlignment="1">
      <alignment horizontal="center" vertical="center"/>
    </xf>
    <xf numFmtId="0" fontId="5" fillId="4" borderId="2" xfId="0" applyFont="1" applyFill="1" applyBorder="1" applyAlignment="1">
      <alignment horizontal="justify" vertical="center"/>
    </xf>
    <xf numFmtId="167" fontId="2"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169" fontId="5" fillId="4" borderId="2" xfId="0" applyNumberFormat="1" applyFont="1" applyFill="1" applyBorder="1" applyAlignment="1">
      <alignment horizontal="center" vertical="center"/>
    </xf>
    <xf numFmtId="1" fontId="5" fillId="0" borderId="0" xfId="0" applyNumberFormat="1" applyFont="1" applyAlignment="1">
      <alignment horizontal="center" vertical="center"/>
    </xf>
    <xf numFmtId="0" fontId="5" fillId="0" borderId="0" xfId="0" applyFont="1" applyAlignment="1">
      <alignment horizontal="justify" vertical="center"/>
    </xf>
    <xf numFmtId="0" fontId="5" fillId="2" borderId="0" xfId="0" applyFont="1" applyFill="1" applyAlignment="1">
      <alignment horizontal="justify" vertical="center"/>
    </xf>
    <xf numFmtId="0" fontId="5" fillId="2" borderId="0" xfId="0" applyFont="1" applyFill="1" applyAlignment="1">
      <alignment horizontal="center" vertical="center" wrapText="1"/>
    </xf>
    <xf numFmtId="171" fontId="5" fillId="2" borderId="0" xfId="0" applyNumberFormat="1" applyFont="1" applyFill="1" applyAlignment="1">
      <alignment horizontal="center" vertical="center"/>
    </xf>
    <xf numFmtId="170" fontId="5" fillId="2" borderId="0" xfId="0" applyNumberFormat="1" applyFont="1" applyFill="1" applyAlignment="1">
      <alignment horizontal="justify" vertical="center"/>
    </xf>
    <xf numFmtId="167" fontId="5" fillId="0" borderId="0" xfId="0" applyNumberFormat="1" applyFont="1" applyAlignment="1">
      <alignment horizontal="center" vertical="center"/>
    </xf>
    <xf numFmtId="1" fontId="5" fillId="2" borderId="0" xfId="0" applyNumberFormat="1" applyFont="1" applyFill="1" applyAlignment="1">
      <alignment horizontal="center" vertical="center"/>
    </xf>
    <xf numFmtId="169" fontId="5" fillId="0" borderId="0" xfId="0" applyNumberFormat="1" applyFont="1" applyFill="1" applyAlignment="1">
      <alignment horizontal="center" vertical="center"/>
    </xf>
    <xf numFmtId="169" fontId="5" fillId="0" borderId="0" xfId="0" applyNumberFormat="1" applyFont="1" applyAlignment="1">
      <alignment horizontal="center" vertical="center"/>
    </xf>
    <xf numFmtId="0" fontId="5" fillId="0" borderId="0" xfId="0" applyFont="1" applyBorder="1" applyAlignment="1">
      <alignment horizontal="justify" vertical="center"/>
    </xf>
    <xf numFmtId="0" fontId="5" fillId="2" borderId="0" xfId="0" applyFont="1" applyFill="1" applyBorder="1" applyAlignment="1">
      <alignment horizontal="justify" vertical="center"/>
    </xf>
    <xf numFmtId="167" fontId="5" fillId="2" borderId="0" xfId="0" applyNumberFormat="1" applyFont="1" applyFill="1" applyAlignment="1">
      <alignment horizontal="center" vertical="center"/>
    </xf>
    <xf numFmtId="170" fontId="5" fillId="2" borderId="0" xfId="0" applyNumberFormat="1" applyFont="1" applyFill="1" applyAlignment="1">
      <alignment horizontal="center" vertical="center"/>
    </xf>
    <xf numFmtId="0" fontId="5" fillId="2" borderId="0" xfId="0" applyFont="1" applyFill="1" applyBorder="1" applyAlignment="1">
      <alignment horizontal="center" vertical="center"/>
    </xf>
    <xf numFmtId="171" fontId="5" fillId="2" borderId="0" xfId="0" applyNumberFormat="1" applyFont="1" applyFill="1" applyBorder="1" applyAlignment="1">
      <alignment horizontal="justify" vertical="center"/>
    </xf>
    <xf numFmtId="171" fontId="5" fillId="2" borderId="0" xfId="0" applyNumberFormat="1" applyFont="1" applyFill="1" applyBorder="1" applyAlignment="1">
      <alignment horizontal="center" vertical="center"/>
    </xf>
    <xf numFmtId="170" fontId="5" fillId="2" borderId="0" xfId="0" applyNumberFormat="1" applyFont="1" applyFill="1" applyBorder="1" applyAlignment="1">
      <alignment horizontal="center" vertical="center"/>
    </xf>
    <xf numFmtId="0" fontId="9" fillId="0"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8" fillId="2" borderId="33" xfId="4" applyFont="1" applyFill="1" applyBorder="1" applyAlignment="1">
      <alignment horizontal="center" vertical="center" wrapText="1"/>
    </xf>
    <xf numFmtId="0" fontId="5"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8" fillId="2" borderId="2" xfId="0" applyFont="1" applyFill="1" applyBorder="1" applyAlignment="1">
      <alignment horizontal="justify" vertical="center" wrapText="1"/>
    </xf>
    <xf numFmtId="49" fontId="2" fillId="5" borderId="2" xfId="0" applyNumberFormat="1" applyFont="1" applyFill="1" applyBorder="1" applyAlignment="1">
      <alignment horizontal="center" vertical="center" textRotation="90"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vertical="center"/>
    </xf>
    <xf numFmtId="0" fontId="5" fillId="2" borderId="0" xfId="0" applyFont="1" applyFill="1"/>
    <xf numFmtId="0" fontId="5" fillId="0" borderId="0" xfId="0" applyFont="1"/>
    <xf numFmtId="0" fontId="2" fillId="0" borderId="2" xfId="0" applyFont="1" applyBorder="1" applyAlignment="1">
      <alignment horizontal="left" vertical="center"/>
    </xf>
    <xf numFmtId="3" fontId="10" fillId="0" borderId="2" xfId="0" applyNumberFormat="1" applyFont="1" applyBorder="1" applyAlignment="1">
      <alignment horizontal="left" vertical="center" wrapText="1"/>
    </xf>
    <xf numFmtId="0" fontId="2" fillId="0" borderId="5" xfId="0" applyFont="1" applyBorder="1" applyAlignment="1">
      <alignment vertical="center"/>
    </xf>
    <xf numFmtId="4" fontId="2" fillId="0" borderId="5" xfId="0" applyNumberFormat="1" applyFont="1" applyBorder="1" applyAlignment="1">
      <alignment vertical="center"/>
    </xf>
    <xf numFmtId="0" fontId="2" fillId="0" borderId="5" xfId="0" applyFont="1" applyBorder="1" applyAlignment="1">
      <alignment horizontal="justify" vertical="center" wrapText="1"/>
    </xf>
    <xf numFmtId="4" fontId="2" fillId="0" borderId="5" xfId="0" applyNumberFormat="1" applyFont="1" applyBorder="1" applyAlignment="1">
      <alignment horizontal="right" vertical="center"/>
    </xf>
    <xf numFmtId="0" fontId="2" fillId="0" borderId="13" xfId="0" applyFont="1" applyBorder="1" applyAlignment="1">
      <alignment vertical="center" wrapText="1"/>
    </xf>
    <xf numFmtId="0" fontId="2" fillId="0" borderId="6" xfId="0" applyFont="1" applyBorder="1" applyAlignment="1">
      <alignment vertical="center"/>
    </xf>
    <xf numFmtId="0" fontId="2" fillId="4" borderId="10" xfId="0" applyFont="1" applyFill="1" applyBorder="1" applyAlignment="1">
      <alignment vertical="center" wrapText="1"/>
    </xf>
    <xf numFmtId="1" fontId="2" fillId="5" borderId="18" xfId="0" applyNumberFormat="1" applyFont="1" applyFill="1" applyBorder="1" applyAlignment="1">
      <alignment horizontal="center" vertical="center" wrapText="1"/>
    </xf>
    <xf numFmtId="0" fontId="2" fillId="5" borderId="12" xfId="0" applyFont="1" applyFill="1" applyBorder="1" applyAlignment="1">
      <alignment horizontal="center" vertical="center" wrapText="1"/>
    </xf>
    <xf numFmtId="171" fontId="2" fillId="5" borderId="12" xfId="0" applyNumberFormat="1" applyFont="1" applyFill="1" applyBorder="1" applyAlignment="1">
      <alignment horizontal="center" vertical="center" wrapText="1"/>
    </xf>
    <xf numFmtId="4" fontId="2" fillId="5" borderId="12" xfId="0" applyNumberFormat="1" applyFont="1" applyFill="1" applyBorder="1" applyAlignment="1">
      <alignment horizontal="center" vertical="center" wrapText="1"/>
    </xf>
    <xf numFmtId="4" fontId="2" fillId="5" borderId="9" xfId="0" applyNumberFormat="1" applyFont="1" applyFill="1" applyBorder="1" applyAlignment="1">
      <alignment horizontal="center" vertical="center" wrapText="1"/>
    </xf>
    <xf numFmtId="0" fontId="5" fillId="2" borderId="0" xfId="0" applyFont="1" applyFill="1" applyAlignment="1">
      <alignment horizontal="center"/>
    </xf>
    <xf numFmtId="0" fontId="5" fillId="0" borderId="0" xfId="0" applyFont="1" applyAlignment="1">
      <alignment horizontal="center"/>
    </xf>
    <xf numFmtId="0" fontId="3" fillId="14" borderId="12" xfId="0" applyFont="1" applyFill="1" applyBorder="1" applyAlignment="1">
      <alignment horizontal="left" vertical="center" wrapText="1"/>
    </xf>
    <xf numFmtId="0" fontId="3" fillId="14" borderId="12" xfId="0" applyFont="1" applyFill="1" applyBorder="1" applyAlignment="1">
      <alignment horizontal="left" vertical="center"/>
    </xf>
    <xf numFmtId="0" fontId="3" fillId="14" borderId="2" xfId="0" applyFont="1" applyFill="1" applyBorder="1" applyAlignment="1">
      <alignment horizontal="left" vertical="center"/>
    </xf>
    <xf numFmtId="0" fontId="5" fillId="14" borderId="2" xfId="0" applyFont="1" applyFill="1" applyBorder="1"/>
    <xf numFmtId="0" fontId="2" fillId="14" borderId="2" xfId="0" applyFont="1" applyFill="1" applyBorder="1" applyAlignment="1">
      <alignment vertical="center"/>
    </xf>
    <xf numFmtId="0" fontId="2" fillId="14" borderId="2" xfId="0" applyFont="1" applyFill="1" applyBorder="1" applyAlignment="1">
      <alignment horizontal="justify" vertical="center"/>
    </xf>
    <xf numFmtId="170" fontId="2" fillId="14" borderId="2" xfId="0" applyNumberFormat="1" applyFont="1" applyFill="1" applyBorder="1" applyAlignment="1">
      <alignment horizontal="center" vertical="center"/>
    </xf>
    <xf numFmtId="1" fontId="2" fillId="14" borderId="2" xfId="0" applyNumberFormat="1" applyFont="1" applyFill="1" applyBorder="1" applyAlignment="1">
      <alignment horizontal="center" vertical="center"/>
    </xf>
    <xf numFmtId="0" fontId="2" fillId="14" borderId="2" xfId="0" applyFont="1" applyFill="1" applyBorder="1" applyAlignment="1">
      <alignment horizontal="center" vertical="center"/>
    </xf>
    <xf numFmtId="0" fontId="2" fillId="14" borderId="35" xfId="0" applyFont="1" applyFill="1" applyBorder="1" applyAlignment="1">
      <alignment vertical="center"/>
    </xf>
    <xf numFmtId="169" fontId="2" fillId="14" borderId="2" xfId="0" applyNumberFormat="1" applyFont="1" applyFill="1" applyBorder="1" applyAlignment="1">
      <alignment vertical="center"/>
    </xf>
    <xf numFmtId="0" fontId="3" fillId="0" borderId="11" xfId="0" applyFont="1" applyBorder="1" applyAlignment="1">
      <alignment horizontal="left" vertical="center" wrapText="1"/>
    </xf>
    <xf numFmtId="0" fontId="3" fillId="0" borderId="18" xfId="0" applyFont="1" applyBorder="1" applyAlignment="1">
      <alignment horizontal="left" vertical="center"/>
    </xf>
    <xf numFmtId="0" fontId="11" fillId="15" borderId="18" xfId="0" applyFont="1" applyFill="1" applyBorder="1" applyAlignment="1">
      <alignment horizontal="center" vertical="center"/>
    </xf>
    <xf numFmtId="0" fontId="11" fillId="15" borderId="12" xfId="0" applyFont="1" applyFill="1" applyBorder="1" applyAlignment="1">
      <alignment vertical="center"/>
    </xf>
    <xf numFmtId="0" fontId="11" fillId="15" borderId="2" xfId="0" applyFont="1" applyFill="1" applyBorder="1" applyAlignment="1">
      <alignment vertical="center"/>
    </xf>
    <xf numFmtId="0" fontId="3" fillId="0" borderId="8"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11" borderId="35" xfId="0" applyFont="1" applyFill="1" applyBorder="1" applyAlignment="1">
      <alignment horizontal="left" vertical="center"/>
    </xf>
    <xf numFmtId="0" fontId="3" fillId="11" borderId="2" xfId="0" applyFont="1" applyFill="1" applyBorder="1" applyAlignment="1">
      <alignment horizontal="left" vertical="center"/>
    </xf>
    <xf numFmtId="0" fontId="2" fillId="11" borderId="2" xfId="0" applyFont="1" applyFill="1" applyBorder="1" applyAlignment="1">
      <alignment vertical="center"/>
    </xf>
    <xf numFmtId="0" fontId="2" fillId="11" borderId="12" xfId="0" applyFont="1" applyFill="1" applyBorder="1" applyAlignment="1">
      <alignment horizontal="justify" vertical="center"/>
    </xf>
    <xf numFmtId="0" fontId="2" fillId="11" borderId="12" xfId="0" applyFont="1" applyFill="1" applyBorder="1" applyAlignment="1">
      <alignment vertical="center"/>
    </xf>
    <xf numFmtId="0" fontId="2" fillId="11" borderId="12" xfId="0" applyFont="1" applyFill="1" applyBorder="1" applyAlignment="1">
      <alignment horizontal="center" vertical="center"/>
    </xf>
    <xf numFmtId="0" fontId="2" fillId="11" borderId="2" xfId="0" applyFont="1" applyFill="1" applyBorder="1" applyAlignment="1">
      <alignment horizontal="justify" vertical="center" wrapText="1"/>
    </xf>
    <xf numFmtId="171" fontId="2" fillId="11" borderId="2" xfId="0" applyNumberFormat="1" applyFont="1" applyFill="1" applyBorder="1" applyAlignment="1">
      <alignment horizontal="center" vertical="center"/>
    </xf>
    <xf numFmtId="4" fontId="2" fillId="11" borderId="2" xfId="0" applyNumberFormat="1" applyFont="1" applyFill="1" applyBorder="1" applyAlignment="1">
      <alignment vertical="center"/>
    </xf>
    <xf numFmtId="0" fontId="2" fillId="11" borderId="2" xfId="0" applyFont="1" applyFill="1" applyBorder="1" applyAlignment="1">
      <alignment horizontal="center" vertical="center"/>
    </xf>
    <xf numFmtId="4" fontId="2" fillId="11" borderId="2" xfId="0" applyNumberFormat="1" applyFont="1" applyFill="1" applyBorder="1" applyAlignment="1">
      <alignment horizontal="right" vertical="center"/>
    </xf>
    <xf numFmtId="0" fontId="2" fillId="11" borderId="12" xfId="0" applyFont="1" applyFill="1" applyBorder="1" applyAlignment="1">
      <alignment vertical="center" wrapText="1"/>
    </xf>
    <xf numFmtId="1" fontId="2" fillId="11" borderId="2" xfId="0" applyNumberFormat="1" applyFont="1" applyFill="1" applyBorder="1" applyAlignment="1">
      <alignment horizontal="center" vertical="center"/>
    </xf>
    <xf numFmtId="0" fontId="2" fillId="11" borderId="18" xfId="0" applyFont="1" applyFill="1" applyBorder="1" applyAlignment="1">
      <alignment vertical="center"/>
    </xf>
    <xf numFmtId="169" fontId="2" fillId="11" borderId="12" xfId="0" applyNumberFormat="1"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horizontal="left" vertical="center"/>
    </xf>
    <xf numFmtId="0" fontId="8" fillId="2" borderId="2" xfId="4" applyFont="1" applyFill="1" applyBorder="1" applyAlignment="1">
      <alignment horizontal="center" vertical="center" wrapText="1"/>
    </xf>
    <xf numFmtId="0" fontId="8" fillId="0" borderId="2" xfId="4" applyFont="1" applyBorder="1" applyAlignment="1">
      <alignment horizontal="justify" vertical="center" wrapText="1"/>
    </xf>
    <xf numFmtId="173" fontId="5" fillId="0" borderId="35" xfId="8"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5" fillId="2" borderId="2" xfId="0" applyFont="1" applyFill="1" applyBorder="1" applyAlignment="1">
      <alignment horizontal="justify" vertical="center" wrapText="1"/>
    </xf>
    <xf numFmtId="0" fontId="5" fillId="2" borderId="34" xfId="0" applyFont="1" applyFill="1" applyBorder="1" applyAlignment="1">
      <alignment horizontal="center" vertical="center"/>
    </xf>
    <xf numFmtId="1" fontId="5" fillId="0" borderId="2" xfId="0" applyNumberFormat="1" applyFont="1" applyBorder="1" applyAlignment="1">
      <alignment horizontal="center" vertical="center" wrapText="1"/>
    </xf>
    <xf numFmtId="49" fontId="8" fillId="0" borderId="2" xfId="7" applyNumberFormat="1" applyFont="1" applyFill="1" applyBorder="1" applyAlignment="1">
      <alignment horizontal="justify" vertical="center" wrapText="1"/>
    </xf>
    <xf numFmtId="0" fontId="8" fillId="0" borderId="2" xfId="0" applyFont="1" applyFill="1" applyBorder="1" applyAlignment="1">
      <alignment horizontal="justify" vertical="center" wrapText="1"/>
    </xf>
    <xf numFmtId="0" fontId="9" fillId="0" borderId="2" xfId="0" applyFont="1" applyBorder="1" applyAlignment="1">
      <alignment vertical="center"/>
    </xf>
    <xf numFmtId="0" fontId="8" fillId="0" borderId="2" xfId="0" applyFont="1" applyFill="1" applyBorder="1" applyAlignment="1">
      <alignment horizontal="left" vertical="center" wrapText="1"/>
    </xf>
    <xf numFmtId="0" fontId="5" fillId="0" borderId="2" xfId="0" applyFont="1" applyFill="1" applyBorder="1" applyAlignment="1">
      <alignment horizontal="justify" vertical="center" wrapText="1"/>
    </xf>
    <xf numFmtId="173" fontId="8" fillId="0" borderId="35" xfId="8" applyNumberFormat="1" applyFont="1" applyFill="1" applyBorder="1" applyAlignment="1">
      <alignment horizontal="center" vertical="center" wrapText="1"/>
    </xf>
    <xf numFmtId="0" fontId="5" fillId="0" borderId="2" xfId="0" applyFont="1" applyBorder="1" applyAlignment="1">
      <alignment vertical="center" wrapText="1"/>
    </xf>
    <xf numFmtId="0" fontId="3" fillId="11" borderId="19" xfId="0" applyFont="1" applyFill="1" applyBorder="1" applyAlignment="1">
      <alignment horizontal="center" vertical="center"/>
    </xf>
    <xf numFmtId="0" fontId="3" fillId="11" borderId="20" xfId="0" applyFont="1" applyFill="1" applyBorder="1" applyAlignment="1">
      <alignment vertical="center"/>
    </xf>
    <xf numFmtId="0" fontId="8" fillId="11" borderId="2" xfId="0" applyFont="1" applyFill="1" applyBorder="1" applyAlignment="1">
      <alignment horizontal="justify" vertical="center" wrapText="1"/>
    </xf>
    <xf numFmtId="0" fontId="8" fillId="11" borderId="25" xfId="0" applyFont="1" applyFill="1" applyBorder="1" applyAlignment="1">
      <alignment horizontal="center" vertical="center" wrapText="1"/>
    </xf>
    <xf numFmtId="0" fontId="5" fillId="11" borderId="25" xfId="0" applyFont="1" applyFill="1" applyBorder="1" applyAlignment="1">
      <alignment horizontal="justify" vertical="center" wrapText="1"/>
    </xf>
    <xf numFmtId="9" fontId="5" fillId="11" borderId="25" xfId="2" applyFont="1" applyFill="1" applyBorder="1" applyAlignment="1">
      <alignment horizontal="center" vertical="center" wrapText="1"/>
    </xf>
    <xf numFmtId="4" fontId="5" fillId="11" borderId="25" xfId="0" applyNumberFormat="1" applyFont="1" applyFill="1" applyBorder="1" applyAlignment="1">
      <alignment horizontal="center" vertical="center" wrapText="1"/>
    </xf>
    <xf numFmtId="0" fontId="5" fillId="11" borderId="13" xfId="0" applyFont="1" applyFill="1" applyBorder="1" applyAlignment="1">
      <alignment horizontal="justify" vertical="center" wrapText="1"/>
    </xf>
    <xf numFmtId="173" fontId="5" fillId="11" borderId="35" xfId="8" applyNumberFormat="1" applyFont="1" applyFill="1" applyBorder="1" applyAlignment="1">
      <alignment horizontal="center" vertical="center" wrapText="1"/>
    </xf>
    <xf numFmtId="0" fontId="5" fillId="11" borderId="2" xfId="0" applyFont="1" applyFill="1" applyBorder="1" applyAlignment="1">
      <alignment horizontal="left" vertical="center" wrapText="1"/>
    </xf>
    <xf numFmtId="1" fontId="2" fillId="11" borderId="2" xfId="0" applyNumberFormat="1" applyFont="1" applyFill="1" applyBorder="1" applyAlignment="1">
      <alignment horizontal="justify" vertical="center" textRotation="180" wrapText="1"/>
    </xf>
    <xf numFmtId="0" fontId="3" fillId="0" borderId="7" xfId="0" applyFont="1" applyBorder="1" applyAlignment="1">
      <alignment horizontal="left" vertical="center"/>
    </xf>
    <xf numFmtId="173" fontId="9" fillId="0" borderId="35" xfId="8" applyNumberFormat="1" applyFont="1" applyFill="1" applyBorder="1" applyAlignment="1">
      <alignment horizontal="center" vertical="center" wrapText="1"/>
    </xf>
    <xf numFmtId="0" fontId="8" fillId="0" borderId="2" xfId="0" applyFont="1" applyBorder="1" applyAlignment="1">
      <alignment vertical="center" wrapText="1"/>
    </xf>
    <xf numFmtId="0" fontId="3" fillId="0" borderId="1" xfId="0" applyFont="1" applyBorder="1" applyAlignment="1">
      <alignment horizontal="left" vertical="center"/>
    </xf>
    <xf numFmtId="173" fontId="9" fillId="0" borderId="6" xfId="8" applyNumberFormat="1" applyFont="1" applyFill="1" applyBorder="1" applyAlignment="1">
      <alignment horizontal="center" vertical="center" wrapText="1"/>
    </xf>
    <xf numFmtId="1" fontId="5" fillId="0" borderId="8" xfId="0" applyNumberFormat="1" applyFont="1" applyBorder="1"/>
    <xf numFmtId="0" fontId="5" fillId="0" borderId="8" xfId="0" applyFont="1" applyBorder="1"/>
    <xf numFmtId="0" fontId="5" fillId="0" borderId="1" xfId="0" applyFont="1" applyBorder="1"/>
    <xf numFmtId="173" fontId="9" fillId="0" borderId="18" xfId="8"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justify" vertical="center" wrapText="1"/>
    </xf>
    <xf numFmtId="173" fontId="8" fillId="0" borderId="6" xfId="8" applyNumberFormat="1" applyFont="1" applyFill="1" applyBorder="1" applyAlignment="1">
      <alignment horizontal="center" vertical="center" wrapText="1"/>
    </xf>
    <xf numFmtId="173" fontId="13" fillId="0" borderId="35" xfId="8" applyNumberFormat="1" applyFont="1" applyFill="1" applyBorder="1" applyAlignment="1">
      <alignment vertical="center"/>
    </xf>
    <xf numFmtId="0" fontId="5" fillId="2" borderId="25" xfId="0" applyFont="1" applyFill="1" applyBorder="1" applyAlignment="1">
      <alignment horizontal="justify" vertical="center" wrapText="1"/>
    </xf>
    <xf numFmtId="0" fontId="9" fillId="0" borderId="2" xfId="0" applyFont="1" applyFill="1" applyBorder="1" applyAlignment="1">
      <alignment horizontal="justify" wrapText="1"/>
    </xf>
    <xf numFmtId="0" fontId="8" fillId="0" borderId="43" xfId="0" applyFont="1" applyBorder="1" applyAlignment="1">
      <alignment horizontal="center" vertical="center" wrapText="1"/>
    </xf>
    <xf numFmtId="0" fontId="8" fillId="0" borderId="32" xfId="0" applyFont="1" applyBorder="1" applyAlignment="1">
      <alignment horizontal="justify" vertical="center" wrapText="1"/>
    </xf>
    <xf numFmtId="9" fontId="5" fillId="0" borderId="2" xfId="0" applyNumberFormat="1" applyFont="1" applyBorder="1" applyAlignment="1">
      <alignment horizontal="center" vertical="center" wrapText="1"/>
    </xf>
    <xf numFmtId="173" fontId="5" fillId="0" borderId="35" xfId="8" applyNumberFormat="1" applyFont="1" applyFill="1" applyBorder="1" applyAlignment="1">
      <alignment horizontal="center" vertical="center"/>
    </xf>
    <xf numFmtId="0" fontId="5" fillId="0" borderId="2" xfId="0" applyFont="1" applyBorder="1" applyAlignment="1">
      <alignment horizontal="left" vertical="center" wrapText="1"/>
    </xf>
    <xf numFmtId="0" fontId="8" fillId="0" borderId="34" xfId="0" applyFont="1" applyBorder="1" applyAlignment="1">
      <alignment horizontal="justify" vertical="center" wrapText="1"/>
    </xf>
    <xf numFmtId="0" fontId="8" fillId="0" borderId="34" xfId="4" applyFont="1" applyBorder="1" applyAlignment="1">
      <alignment horizontal="justify" vertical="center"/>
    </xf>
    <xf numFmtId="0" fontId="14" fillId="0" borderId="2" xfId="0" applyFont="1" applyFill="1" applyBorder="1" applyAlignment="1">
      <alignment horizontal="justify" vertical="center" wrapText="1"/>
    </xf>
    <xf numFmtId="0" fontId="16" fillId="0" borderId="2" xfId="0" applyFont="1" applyBorder="1" applyAlignment="1">
      <alignment horizontal="left" vertical="center" wrapText="1"/>
    </xf>
    <xf numFmtId="0" fontId="15" fillId="0" borderId="2" xfId="0" applyFont="1" applyFill="1" applyBorder="1" applyAlignment="1">
      <alignment horizontal="justify" vertical="center" wrapText="1"/>
    </xf>
    <xf numFmtId="41" fontId="5" fillId="0" borderId="2" xfId="8" applyFont="1" applyFill="1" applyBorder="1" applyAlignment="1">
      <alignment horizontal="justify" vertical="center" wrapText="1"/>
    </xf>
    <xf numFmtId="1" fontId="8" fillId="0" borderId="13"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4" fontId="3" fillId="0" borderId="2" xfId="0" applyNumberFormat="1" applyFont="1" applyFill="1" applyBorder="1" applyAlignment="1">
      <alignment horizontal="right" vertical="center"/>
    </xf>
    <xf numFmtId="170" fontId="8" fillId="0" borderId="2" xfId="0" applyNumberFormat="1" applyFont="1" applyFill="1" applyBorder="1" applyAlignment="1">
      <alignment horizontal="justify" vertical="center" wrapText="1"/>
    </xf>
    <xf numFmtId="0" fontId="3" fillId="0" borderId="9" xfId="0" applyFont="1" applyFill="1" applyBorder="1" applyAlignment="1">
      <alignment horizontal="center" vertical="center"/>
    </xf>
    <xf numFmtId="173" fontId="3" fillId="0" borderId="2" xfId="8"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0" fontId="8" fillId="0" borderId="2"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169" fontId="8" fillId="0" borderId="2" xfId="0" applyNumberFormat="1" applyFont="1" applyFill="1" applyBorder="1" applyAlignment="1">
      <alignment horizontal="center" vertical="center"/>
    </xf>
    <xf numFmtId="0" fontId="8" fillId="0" borderId="0" xfId="0" applyFont="1" applyFill="1" applyAlignment="1">
      <alignment horizontal="center" vertical="center"/>
    </xf>
    <xf numFmtId="1" fontId="5" fillId="0" borderId="0" xfId="0" applyNumberFormat="1" applyFont="1"/>
    <xf numFmtId="0" fontId="5" fillId="2" borderId="0" xfId="0" applyFont="1" applyFill="1" applyAlignment="1">
      <alignment horizontal="justify" vertical="center" wrapText="1"/>
    </xf>
    <xf numFmtId="4" fontId="5" fillId="2" borderId="0" xfId="0" applyNumberFormat="1" applyFont="1" applyFill="1" applyAlignment="1">
      <alignment horizontal="center" vertical="center"/>
    </xf>
    <xf numFmtId="170" fontId="5" fillId="2" borderId="0" xfId="0" applyNumberFormat="1" applyFont="1" applyFill="1" applyAlignment="1">
      <alignment horizontal="justify" vertical="center" wrapText="1"/>
    </xf>
    <xf numFmtId="0" fontId="11" fillId="2" borderId="0" xfId="0" applyFont="1" applyFill="1" applyAlignment="1">
      <alignment horizontal="justify" vertical="center"/>
    </xf>
    <xf numFmtId="164" fontId="17" fillId="12" borderId="0" xfId="0" applyNumberFormat="1" applyFont="1" applyFill="1" applyAlignment="1">
      <alignment horizontal="right" vertical="center"/>
    </xf>
    <xf numFmtId="0" fontId="5" fillId="2" borderId="0" xfId="0" applyFont="1" applyFill="1" applyAlignment="1">
      <alignment wrapText="1"/>
    </xf>
    <xf numFmtId="169" fontId="5" fillId="0" borderId="0" xfId="0" applyNumberFormat="1" applyFont="1" applyAlignment="1">
      <alignment horizontal="right" vertical="center"/>
    </xf>
    <xf numFmtId="169" fontId="5" fillId="0" borderId="0" xfId="0" applyNumberFormat="1" applyFont="1" applyAlignment="1">
      <alignment horizontal="center"/>
    </xf>
    <xf numFmtId="4" fontId="11" fillId="2" borderId="0" xfId="0" applyNumberFormat="1" applyFont="1" applyFill="1" applyAlignment="1">
      <alignment horizontal="center" vertical="center"/>
    </xf>
    <xf numFmtId="4" fontId="5" fillId="2" borderId="0" xfId="0" applyNumberFormat="1" applyFont="1" applyFill="1" applyAlignment="1">
      <alignment horizontal="right" vertical="center"/>
    </xf>
    <xf numFmtId="0" fontId="2" fillId="2" borderId="0" xfId="0" applyFont="1" applyFill="1" applyAlignment="1">
      <alignment wrapText="1"/>
    </xf>
    <xf numFmtId="0" fontId="5" fillId="2" borderId="0" xfId="0" applyFont="1" applyFill="1" applyAlignment="1">
      <alignment horizontal="center" wrapText="1"/>
    </xf>
    <xf numFmtId="0" fontId="2" fillId="0" borderId="2"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1" fontId="2" fillId="5" borderId="2" xfId="0" applyNumberFormat="1" applyFont="1" applyFill="1" applyBorder="1" applyAlignment="1">
      <alignment horizontal="justify" vertical="center" wrapText="1"/>
    </xf>
    <xf numFmtId="1" fontId="2" fillId="5" borderId="9"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5" borderId="2" xfId="0" applyFont="1" applyFill="1" applyBorder="1" applyAlignment="1">
      <alignment horizontal="center" vertical="center" textRotation="90" wrapText="1"/>
    </xf>
    <xf numFmtId="0" fontId="3" fillId="7" borderId="2" xfId="0" applyNumberFormat="1" applyFont="1" applyFill="1" applyBorder="1" applyAlignment="1">
      <alignment horizontal="center" vertical="center" wrapText="1"/>
    </xf>
    <xf numFmtId="0" fontId="2" fillId="7" borderId="2" xfId="0" applyFont="1" applyFill="1" applyBorder="1" applyAlignment="1">
      <alignment horizontal="justify" vertical="center"/>
    </xf>
    <xf numFmtId="0" fontId="2" fillId="7" borderId="2" xfId="0" applyFont="1" applyFill="1" applyBorder="1" applyAlignment="1">
      <alignment horizontal="center" vertical="center"/>
    </xf>
    <xf numFmtId="0" fontId="2" fillId="7" borderId="9" xfId="0" applyFont="1" applyFill="1" applyBorder="1" applyAlignment="1">
      <alignment horizontal="justify" vertical="center"/>
    </xf>
    <xf numFmtId="0" fontId="2" fillId="7" borderId="2" xfId="0" applyFont="1" applyFill="1" applyBorder="1" applyAlignment="1">
      <alignment horizontal="center" vertical="center" wrapText="1"/>
    </xf>
    <xf numFmtId="171" fontId="2" fillId="7" borderId="2" xfId="0" applyNumberFormat="1" applyFont="1" applyFill="1" applyBorder="1" applyAlignment="1">
      <alignment horizontal="center" vertical="center"/>
    </xf>
    <xf numFmtId="170" fontId="2" fillId="7" borderId="2" xfId="0" applyNumberFormat="1" applyFont="1" applyFill="1" applyBorder="1" applyAlignment="1">
      <alignment horizontal="justify" vertical="center"/>
    </xf>
    <xf numFmtId="170" fontId="2" fillId="7" borderId="2" xfId="0" applyNumberFormat="1" applyFont="1" applyFill="1" applyBorder="1" applyAlignment="1">
      <alignment horizontal="center" vertical="center"/>
    </xf>
    <xf numFmtId="1" fontId="2" fillId="7" borderId="2" xfId="0" applyNumberFormat="1" applyFont="1" applyFill="1" applyBorder="1" applyAlignment="1">
      <alignment horizontal="justify" vertical="center"/>
    </xf>
    <xf numFmtId="169" fontId="2" fillId="7" borderId="2" xfId="0" applyNumberFormat="1"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9" borderId="17" xfId="0" applyFont="1" applyFill="1" applyBorder="1" applyAlignment="1">
      <alignment horizontal="center" vertical="center" wrapText="1"/>
    </xf>
    <xf numFmtId="0" fontId="2" fillId="9" borderId="0" xfId="0" applyFont="1" applyFill="1" applyBorder="1" applyAlignment="1">
      <alignment horizontal="center" vertical="center"/>
    </xf>
    <xf numFmtId="0" fontId="2" fillId="9" borderId="0" xfId="0" applyFont="1" applyFill="1" applyBorder="1" applyAlignment="1">
      <alignment horizontal="justify" vertical="center"/>
    </xf>
    <xf numFmtId="0" fontId="2" fillId="9" borderId="2" xfId="0" applyFont="1" applyFill="1" applyBorder="1" applyAlignment="1">
      <alignment horizontal="center" vertical="center"/>
    </xf>
    <xf numFmtId="0" fontId="2" fillId="9" borderId="2" xfId="0" applyFont="1" applyFill="1" applyBorder="1" applyAlignment="1">
      <alignment horizontal="justify" vertical="center"/>
    </xf>
    <xf numFmtId="0" fontId="2" fillId="9" borderId="2" xfId="0" applyFont="1" applyFill="1" applyBorder="1" applyAlignment="1">
      <alignment horizontal="center" vertical="center" wrapText="1"/>
    </xf>
    <xf numFmtId="171" fontId="2" fillId="9" borderId="2" xfId="0" applyNumberFormat="1" applyFont="1" applyFill="1" applyBorder="1" applyAlignment="1">
      <alignment horizontal="center" vertical="center"/>
    </xf>
    <xf numFmtId="170" fontId="2" fillId="9" borderId="2" xfId="0" applyNumberFormat="1" applyFont="1" applyFill="1" applyBorder="1" applyAlignment="1">
      <alignment horizontal="justify" vertical="center"/>
    </xf>
    <xf numFmtId="170" fontId="2" fillId="9" borderId="2" xfId="0" applyNumberFormat="1" applyFont="1" applyFill="1" applyBorder="1" applyAlignment="1">
      <alignment horizontal="center" vertical="center"/>
    </xf>
    <xf numFmtId="1" fontId="2" fillId="9" borderId="2" xfId="0" applyNumberFormat="1" applyFont="1" applyFill="1" applyBorder="1" applyAlignment="1">
      <alignment horizontal="justify" vertical="center"/>
    </xf>
    <xf numFmtId="169" fontId="2" fillId="9" borderId="2"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18" fillId="11" borderId="2" xfId="0" applyFont="1" applyFill="1" applyBorder="1" applyAlignment="1">
      <alignment horizontal="center" vertical="center" wrapText="1"/>
    </xf>
    <xf numFmtId="170" fontId="2" fillId="11" borderId="2" xfId="0" applyNumberFormat="1" applyFont="1" applyFill="1" applyBorder="1" applyAlignment="1">
      <alignment horizontal="center" vertical="center"/>
    </xf>
    <xf numFmtId="0" fontId="2" fillId="11" borderId="2" xfId="0" applyFont="1" applyFill="1" applyBorder="1" applyAlignment="1">
      <alignment horizontal="justify" vertical="center"/>
    </xf>
    <xf numFmtId="169" fontId="2" fillId="11" borderId="2" xfId="0" applyNumberFormat="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Border="1" applyAlignment="1">
      <alignment horizontal="center" vertical="center"/>
    </xf>
    <xf numFmtId="167" fontId="9" fillId="2" borderId="35" xfId="1" applyNumberFormat="1" applyFont="1" applyFill="1" applyBorder="1" applyAlignment="1">
      <alignment horizontal="center" vertical="center" wrapText="1"/>
    </xf>
    <xf numFmtId="0" fontId="9" fillId="0" borderId="34" xfId="0" applyFont="1" applyFill="1" applyBorder="1" applyAlignment="1">
      <alignment horizontal="justify"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167" fontId="9" fillId="2" borderId="6" xfId="1" applyNumberFormat="1" applyFont="1" applyFill="1" applyBorder="1" applyAlignment="1">
      <alignment horizontal="center" vertical="center" wrapText="1"/>
    </xf>
    <xf numFmtId="167" fontId="9" fillId="2" borderId="2" xfId="1" applyNumberFormat="1" applyFont="1" applyFill="1" applyBorder="1" applyAlignment="1">
      <alignment horizontal="center" vertical="center" wrapText="1"/>
    </xf>
    <xf numFmtId="0" fontId="8" fillId="0" borderId="36" xfId="0" applyFont="1" applyFill="1" applyBorder="1" applyAlignment="1">
      <alignment horizontal="justify" vertical="center" wrapText="1"/>
    </xf>
    <xf numFmtId="167" fontId="9" fillId="2" borderId="43" xfId="1" applyNumberFormat="1" applyFont="1" applyFill="1" applyBorder="1" applyAlignment="1">
      <alignment horizontal="center" vertical="center" wrapText="1"/>
    </xf>
    <xf numFmtId="0" fontId="9" fillId="2" borderId="34" xfId="0" applyFont="1" applyFill="1" applyBorder="1" applyAlignment="1">
      <alignment horizontal="justify" vertical="center" wrapText="1"/>
    </xf>
    <xf numFmtId="0" fontId="9" fillId="2" borderId="31" xfId="0" applyFont="1" applyFill="1" applyBorder="1" applyAlignment="1">
      <alignment horizontal="center" vertical="center" wrapText="1"/>
    </xf>
    <xf numFmtId="167" fontId="9" fillId="2" borderId="31" xfId="1" applyNumberFormat="1" applyFont="1" applyFill="1" applyBorder="1" applyAlignment="1">
      <alignment horizontal="center" vertical="center" wrapText="1"/>
    </xf>
    <xf numFmtId="0" fontId="9" fillId="0" borderId="33" xfId="0" applyFont="1" applyFill="1" applyBorder="1" applyAlignment="1">
      <alignment horizontal="justify" vertical="center" wrapText="1"/>
    </xf>
    <xf numFmtId="167" fontId="9" fillId="2" borderId="19" xfId="1" applyNumberFormat="1" applyFont="1" applyFill="1" applyBorder="1" applyAlignment="1">
      <alignment horizontal="center" vertical="center" wrapText="1"/>
    </xf>
    <xf numFmtId="0" fontId="9" fillId="2" borderId="33"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3" fillId="0" borderId="1" xfId="0" applyFont="1" applyFill="1" applyBorder="1" applyAlignment="1">
      <alignment horizontal="center" vertical="center"/>
    </xf>
    <xf numFmtId="0" fontId="5" fillId="2" borderId="2" xfId="0" applyFont="1" applyFill="1" applyBorder="1" applyAlignment="1">
      <alignment horizontal="justify" vertical="center"/>
    </xf>
    <xf numFmtId="0" fontId="3" fillId="4" borderId="10" xfId="0" applyNumberFormat="1" applyFont="1" applyFill="1" applyBorder="1" applyAlignment="1">
      <alignment horizontal="center" vertical="center"/>
    </xf>
    <xf numFmtId="0" fontId="3" fillId="4" borderId="10"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0" xfId="0" applyFont="1" applyFill="1" applyBorder="1" applyAlignment="1">
      <alignment horizontal="justify" vertical="center"/>
    </xf>
    <xf numFmtId="0" fontId="5" fillId="4" borderId="2" xfId="0" applyFont="1" applyFill="1" applyBorder="1" applyAlignment="1">
      <alignment horizontal="justify" vertical="center" wrapText="1"/>
    </xf>
    <xf numFmtId="4" fontId="2" fillId="4" borderId="2" xfId="0" applyNumberFormat="1" applyFont="1" applyFill="1" applyBorder="1" applyAlignment="1">
      <alignment horizontal="center" vertical="center"/>
    </xf>
    <xf numFmtId="167" fontId="2" fillId="4" borderId="2" xfId="1" applyNumberFormat="1" applyFont="1" applyFill="1" applyBorder="1" applyAlignment="1">
      <alignment horizontal="center" vertical="center"/>
    </xf>
    <xf numFmtId="4" fontId="2" fillId="4" borderId="2" xfId="0" applyNumberFormat="1" applyFont="1" applyFill="1" applyBorder="1" applyAlignment="1">
      <alignment horizontal="justify" vertical="center"/>
    </xf>
    <xf numFmtId="1" fontId="5" fillId="2" borderId="0" xfId="0" applyNumberFormat="1" applyFont="1" applyFill="1" applyAlignment="1">
      <alignment horizontal="justify" vertical="center"/>
    </xf>
    <xf numFmtId="166" fontId="19" fillId="17" borderId="2" xfId="1" applyFont="1" applyFill="1" applyBorder="1"/>
    <xf numFmtId="0" fontId="5" fillId="0" borderId="5" xfId="0" applyFont="1" applyBorder="1" applyAlignment="1">
      <alignment horizontal="center" vertical="center"/>
    </xf>
    <xf numFmtId="0" fontId="5" fillId="0" borderId="5" xfId="0" applyFont="1" applyBorder="1" applyAlignment="1">
      <alignment horizontal="justify" vertical="center"/>
    </xf>
    <xf numFmtId="171" fontId="5" fillId="2" borderId="0" xfId="0" applyNumberFormat="1" applyFont="1" applyFill="1" applyAlignment="1">
      <alignment horizontal="justify" vertical="center"/>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10" xfId="0" applyFont="1" applyBorder="1" applyAlignment="1">
      <alignment horizontal="justify" vertical="center"/>
    </xf>
    <xf numFmtId="0" fontId="3" fillId="0" borderId="35"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1" fontId="2" fillId="7" borderId="33" xfId="0" applyNumberFormat="1" applyFont="1" applyFill="1" applyBorder="1" applyAlignment="1">
      <alignment horizontal="center" vertical="center" wrapText="1"/>
    </xf>
    <xf numFmtId="0" fontId="3" fillId="7" borderId="24" xfId="0" applyFont="1" applyFill="1" applyBorder="1" applyAlignment="1">
      <alignment horizontal="left" vertical="center"/>
    </xf>
    <xf numFmtId="0" fontId="3" fillId="7" borderId="7" xfId="0" applyFont="1" applyFill="1" applyBorder="1" applyAlignment="1">
      <alignment horizontal="left" vertical="center"/>
    </xf>
    <xf numFmtId="0" fontId="2" fillId="7" borderId="22" xfId="0" applyFont="1" applyFill="1" applyBorder="1" applyAlignment="1">
      <alignment horizontal="justify" vertical="center"/>
    </xf>
    <xf numFmtId="0" fontId="2" fillId="7" borderId="22" xfId="0" applyFont="1" applyFill="1" applyBorder="1" applyAlignment="1">
      <alignment horizontal="center" vertical="center"/>
    </xf>
    <xf numFmtId="171" fontId="2" fillId="7" borderId="22" xfId="0" applyNumberFormat="1" applyFont="1" applyFill="1" applyBorder="1" applyAlignment="1">
      <alignment horizontal="center" vertical="center"/>
    </xf>
    <xf numFmtId="170" fontId="2" fillId="7" borderId="22" xfId="0" applyNumberFormat="1" applyFont="1" applyFill="1" applyBorder="1" applyAlignment="1">
      <alignment horizontal="center" vertical="center"/>
    </xf>
    <xf numFmtId="0" fontId="5" fillId="7" borderId="22" xfId="0" applyFont="1" applyFill="1" applyBorder="1" applyAlignment="1">
      <alignment horizontal="justify" vertical="center"/>
    </xf>
    <xf numFmtId="1" fontId="2" fillId="7" borderId="22" xfId="0" applyNumberFormat="1" applyFont="1" applyFill="1" applyBorder="1" applyAlignment="1">
      <alignment horizontal="center" vertical="center"/>
    </xf>
    <xf numFmtId="0" fontId="2" fillId="7" borderId="17" xfId="0" applyFont="1" applyFill="1" applyBorder="1" applyAlignment="1">
      <alignment horizontal="center" vertical="center"/>
    </xf>
    <xf numFmtId="1" fontId="2"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xf>
    <xf numFmtId="0" fontId="5" fillId="9" borderId="22" xfId="0" applyFont="1" applyFill="1" applyBorder="1" applyAlignment="1">
      <alignment horizontal="justify" vertical="center"/>
    </xf>
    <xf numFmtId="0" fontId="2" fillId="9" borderId="19" xfId="0" applyFont="1" applyFill="1" applyBorder="1" applyAlignment="1">
      <alignment horizontal="center" vertical="center"/>
    </xf>
    <xf numFmtId="1" fontId="2" fillId="0" borderId="8"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11" borderId="21" xfId="0" applyFont="1" applyFill="1" applyBorder="1" applyAlignment="1">
      <alignment horizontal="center" vertical="center"/>
    </xf>
    <xf numFmtId="0" fontId="3" fillId="11" borderId="21" xfId="0" applyFont="1" applyFill="1" applyBorder="1" applyAlignment="1">
      <alignment horizontal="justify" vertical="center"/>
    </xf>
    <xf numFmtId="0" fontId="8" fillId="11" borderId="21" xfId="0" applyFont="1" applyFill="1" applyBorder="1" applyAlignment="1">
      <alignment horizontal="justify" vertical="center"/>
    </xf>
    <xf numFmtId="0" fontId="3" fillId="11" borderId="22" xfId="0" applyFont="1" applyFill="1" applyBorder="1" applyAlignment="1">
      <alignment horizontal="center" vertical="center"/>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7" fontId="8" fillId="2" borderId="2" xfId="9" applyNumberFormat="1" applyFont="1" applyFill="1" applyBorder="1" applyAlignment="1">
      <alignment horizontal="center" vertical="center"/>
    </xf>
    <xf numFmtId="0" fontId="9" fillId="2" borderId="21" xfId="0" applyFont="1" applyFill="1" applyBorder="1" applyAlignment="1">
      <alignment horizontal="center" vertical="center" wrapText="1"/>
    </xf>
    <xf numFmtId="169" fontId="5" fillId="2" borderId="2" xfId="0" applyNumberFormat="1" applyFont="1" applyFill="1" applyBorder="1" applyAlignment="1">
      <alignment horizontal="center" vertical="center" wrapText="1"/>
    </xf>
    <xf numFmtId="167" fontId="8" fillId="2" borderId="12" xfId="9" applyNumberFormat="1" applyFont="1" applyFill="1" applyBorder="1" applyAlignment="1">
      <alignment horizontal="center" vertical="center"/>
    </xf>
    <xf numFmtId="0" fontId="9" fillId="2" borderId="22" xfId="0" applyFont="1" applyFill="1" applyBorder="1" applyAlignment="1">
      <alignment horizontal="center" vertical="center" wrapText="1"/>
    </xf>
    <xf numFmtId="0" fontId="3" fillId="0" borderId="0" xfId="0" applyFont="1" applyBorder="1" applyAlignment="1">
      <alignment horizontal="center" vertical="center" wrapText="1"/>
    </xf>
    <xf numFmtId="167" fontId="8" fillId="2" borderId="2" xfId="0" applyNumberFormat="1" applyFont="1" applyFill="1" applyBorder="1" applyAlignment="1">
      <alignment horizontal="center" vertical="center"/>
    </xf>
    <xf numFmtId="0" fontId="8" fillId="0" borderId="2" xfId="9" applyNumberFormat="1" applyFont="1" applyFill="1" applyBorder="1" applyAlignment="1">
      <alignment horizontal="center" vertical="center"/>
    </xf>
    <xf numFmtId="167" fontId="8" fillId="2" borderId="2" xfId="9"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167" fontId="8" fillId="2" borderId="34" xfId="9" applyFont="1" applyFill="1" applyBorder="1" applyAlignment="1">
      <alignment horizontal="center" vertical="center" wrapText="1"/>
    </xf>
    <xf numFmtId="1" fontId="2" fillId="0" borderId="8"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11" borderId="19"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1" borderId="16" xfId="0" applyFont="1" applyFill="1" applyBorder="1" applyAlignment="1">
      <alignment horizontal="justify" vertical="center" wrapText="1"/>
    </xf>
    <xf numFmtId="0" fontId="3" fillId="11" borderId="16" xfId="0" applyFont="1" applyFill="1" applyBorder="1" applyAlignment="1">
      <alignment horizontal="justify" vertical="center"/>
    </xf>
    <xf numFmtId="0" fontId="3" fillId="11" borderId="2" xfId="0" applyFont="1" applyFill="1" applyBorder="1" applyAlignment="1">
      <alignment horizontal="center" vertical="center" wrapText="1"/>
    </xf>
    <xf numFmtId="167" fontId="8" fillId="11" borderId="2" xfId="0" applyNumberFormat="1" applyFont="1" applyFill="1" applyBorder="1" applyAlignment="1">
      <alignment horizontal="justify" vertical="center"/>
    </xf>
    <xf numFmtId="167" fontId="3" fillId="11" borderId="2" xfId="0" applyNumberFormat="1" applyFont="1" applyFill="1" applyBorder="1" applyAlignment="1">
      <alignment horizontal="justify" vertical="center"/>
    </xf>
    <xf numFmtId="167" fontId="3" fillId="11" borderId="2" xfId="0" applyNumberFormat="1" applyFont="1" applyFill="1" applyBorder="1" applyAlignment="1">
      <alignment horizontal="center" vertical="center"/>
    </xf>
    <xf numFmtId="0" fontId="8" fillId="11" borderId="2" xfId="0" applyFont="1" applyFill="1" applyBorder="1" applyAlignment="1">
      <alignment horizontal="center" vertical="center"/>
    </xf>
    <xf numFmtId="167" fontId="3" fillId="11" borderId="2" xfId="0" applyNumberFormat="1" applyFont="1" applyFill="1" applyBorder="1" applyAlignment="1">
      <alignment horizontal="center" vertical="center" wrapText="1"/>
    </xf>
    <xf numFmtId="167" fontId="8" fillId="0" borderId="27" xfId="0" applyNumberFormat="1" applyFont="1" applyBorder="1" applyAlignment="1">
      <alignment horizontal="justify" vertical="center" wrapText="1"/>
    </xf>
    <xf numFmtId="167" fontId="8" fillId="0" borderId="25" xfId="0" applyNumberFormat="1" applyFont="1" applyFill="1" applyBorder="1" applyAlignment="1">
      <alignment horizontal="center" vertical="center"/>
    </xf>
    <xf numFmtId="0" fontId="9" fillId="0" borderId="43" xfId="0" applyFont="1" applyFill="1" applyBorder="1" applyAlignment="1">
      <alignment horizontal="center" vertical="center" wrapText="1"/>
    </xf>
    <xf numFmtId="0" fontId="8" fillId="0" borderId="43" xfId="0" applyFont="1" applyBorder="1" applyAlignment="1">
      <alignment horizontal="center" vertical="center"/>
    </xf>
    <xf numFmtId="167" fontId="8" fillId="0" borderId="32" xfId="0" applyNumberFormat="1" applyFont="1" applyBorder="1" applyAlignment="1">
      <alignment horizontal="center" vertical="center" wrapText="1"/>
    </xf>
    <xf numFmtId="0" fontId="3" fillId="0" borderId="1" xfId="0" applyFont="1" applyBorder="1" applyAlignment="1">
      <alignment horizontal="center" vertical="center"/>
    </xf>
    <xf numFmtId="167" fontId="8" fillId="0" borderId="20" xfId="9" applyFont="1" applyFill="1" applyBorder="1" applyAlignment="1">
      <alignment horizontal="justify" vertical="center"/>
    </xf>
    <xf numFmtId="167" fontId="8" fillId="0" borderId="2" xfId="0" applyNumberFormat="1" applyFont="1" applyFill="1" applyBorder="1" applyAlignment="1">
      <alignment horizontal="center" vertical="center"/>
    </xf>
    <xf numFmtId="0" fontId="9" fillId="0" borderId="19" xfId="0" applyFont="1" applyFill="1" applyBorder="1" applyAlignment="1">
      <alignment horizontal="center" vertical="center" wrapText="1"/>
    </xf>
    <xf numFmtId="0" fontId="8" fillId="0" borderId="19" xfId="0" applyFont="1" applyBorder="1" applyAlignment="1">
      <alignment horizontal="center" vertical="center"/>
    </xf>
    <xf numFmtId="167" fontId="8" fillId="0" borderId="33" xfId="0" applyNumberFormat="1" applyFont="1" applyBorder="1" applyAlignment="1">
      <alignment horizontal="center" vertical="center" wrapText="1"/>
    </xf>
    <xf numFmtId="0" fontId="2" fillId="4" borderId="9" xfId="0" applyFont="1" applyFill="1" applyBorder="1" applyAlignment="1">
      <alignment horizontal="center" vertical="center"/>
    </xf>
    <xf numFmtId="41" fontId="2" fillId="4" borderId="10" xfId="5" applyNumberFormat="1" applyFont="1" applyFill="1" applyBorder="1" applyAlignment="1">
      <alignment vertical="center"/>
    </xf>
    <xf numFmtId="167" fontId="2" fillId="4" borderId="2" xfId="5" applyNumberFormat="1" applyFont="1" applyFill="1" applyBorder="1" applyAlignment="1">
      <alignment horizontal="center" vertical="center"/>
    </xf>
    <xf numFmtId="0" fontId="2" fillId="4" borderId="3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6" xfId="0" applyFont="1" applyBorder="1" applyAlignment="1">
      <alignment horizontal="justify" vertical="center"/>
    </xf>
    <xf numFmtId="0" fontId="2" fillId="16" borderId="2" xfId="0" applyFont="1" applyFill="1" applyBorder="1" applyAlignment="1">
      <alignment horizontal="center" vertical="center"/>
    </xf>
    <xf numFmtId="170" fontId="2" fillId="6" borderId="2" xfId="0" applyNumberFormat="1" applyFont="1" applyFill="1" applyBorder="1" applyAlignment="1">
      <alignment horizontal="center" vertical="center" wrapText="1"/>
    </xf>
    <xf numFmtId="1" fontId="2" fillId="5" borderId="35" xfId="0" applyNumberFormat="1" applyFont="1" applyFill="1" applyBorder="1" applyAlignment="1">
      <alignment horizontal="center" vertical="center" wrapText="1"/>
    </xf>
    <xf numFmtId="1" fontId="2" fillId="7" borderId="2" xfId="0" applyNumberFormat="1" applyFont="1" applyFill="1" applyBorder="1" applyAlignment="1">
      <alignment horizontal="center" vertical="center" wrapText="1"/>
    </xf>
    <xf numFmtId="0" fontId="2" fillId="7" borderId="35" xfId="0" applyFont="1" applyFill="1" applyBorder="1" applyAlignment="1">
      <alignment horizontal="center" vertical="center"/>
    </xf>
    <xf numFmtId="1" fontId="2" fillId="7" borderId="2" xfId="0" applyNumberFormat="1" applyFont="1" applyFill="1" applyBorder="1" applyAlignment="1">
      <alignment horizontal="center" vertical="center"/>
    </xf>
    <xf numFmtId="171" fontId="2" fillId="9" borderId="0" xfId="0" applyNumberFormat="1" applyFont="1" applyFill="1" applyBorder="1" applyAlignment="1">
      <alignment horizontal="center" vertical="center"/>
    </xf>
    <xf numFmtId="170" fontId="2" fillId="9" borderId="0" xfId="0" applyNumberFormat="1" applyFont="1" applyFill="1" applyBorder="1" applyAlignment="1">
      <alignment horizontal="center" vertical="center"/>
    </xf>
    <xf numFmtId="170" fontId="2" fillId="9" borderId="1" xfId="0" applyNumberFormat="1" applyFont="1" applyFill="1" applyBorder="1" applyAlignment="1">
      <alignment horizontal="center" vertical="center"/>
    </xf>
    <xf numFmtId="1" fontId="2" fillId="9" borderId="0" xfId="0" applyNumberFormat="1" applyFont="1" applyFill="1" applyBorder="1" applyAlignment="1">
      <alignment horizontal="center" vertical="center"/>
    </xf>
    <xf numFmtId="169" fontId="2" fillId="9" borderId="0" xfId="0" applyNumberFormat="1" applyFont="1" applyFill="1" applyBorder="1" applyAlignment="1">
      <alignment horizontal="center" vertical="center"/>
    </xf>
    <xf numFmtId="0" fontId="2" fillId="9" borderId="17" xfId="0" applyFont="1" applyFill="1" applyBorder="1" applyAlignment="1">
      <alignment horizontal="justify" vertical="center"/>
    </xf>
    <xf numFmtId="170" fontId="2" fillId="11" borderId="47" xfId="0" applyNumberFormat="1" applyFont="1" applyFill="1" applyBorder="1" applyAlignment="1">
      <alignment horizontal="center" vertical="center"/>
    </xf>
    <xf numFmtId="0" fontId="2" fillId="11" borderId="19" xfId="0" applyFont="1" applyFill="1" applyBorder="1" applyAlignment="1">
      <alignment horizontal="justify" vertical="center"/>
    </xf>
    <xf numFmtId="0" fontId="2"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167" fontId="8" fillId="0" borderId="2" xfId="1" applyNumberFormat="1" applyFont="1" applyFill="1" applyBorder="1" applyAlignment="1">
      <alignment horizontal="center" vertical="center" wrapText="1"/>
    </xf>
    <xf numFmtId="0" fontId="9" fillId="0" borderId="31" xfId="0" applyFont="1" applyFill="1" applyBorder="1" applyAlignment="1">
      <alignment horizontal="center" vertical="center" wrapText="1"/>
    </xf>
    <xf numFmtId="0" fontId="5" fillId="0" borderId="2" xfId="4" applyFont="1" applyFill="1" applyBorder="1" applyAlignment="1">
      <alignment horizontal="justify" vertical="center" wrapText="1"/>
    </xf>
    <xf numFmtId="167" fontId="5" fillId="0" borderId="2" xfId="1" applyNumberFormat="1" applyFont="1" applyFill="1" applyBorder="1" applyAlignment="1">
      <alignment horizontal="center" vertical="center"/>
    </xf>
    <xf numFmtId="1" fontId="5" fillId="0" borderId="2" xfId="0" applyNumberFormat="1"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9" borderId="2" xfId="11" applyNumberFormat="1" applyFont="1" applyFill="1" applyBorder="1" applyAlignment="1">
      <alignment horizontal="center" vertical="center" wrapText="1"/>
    </xf>
    <xf numFmtId="0" fontId="8" fillId="9" borderId="2" xfId="11" applyNumberFormat="1" applyFont="1" applyFill="1" applyBorder="1" applyAlignment="1">
      <alignment horizontal="justify"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justify" vertical="center" wrapText="1"/>
    </xf>
    <xf numFmtId="9" fontId="5" fillId="9" borderId="2" xfId="2" applyFont="1" applyFill="1" applyBorder="1" applyAlignment="1">
      <alignment horizontal="center" vertical="center" wrapText="1"/>
    </xf>
    <xf numFmtId="167" fontId="8" fillId="9" borderId="2" xfId="12" applyFont="1" applyFill="1" applyBorder="1" applyAlignment="1">
      <alignment horizontal="center" vertical="center" wrapText="1"/>
    </xf>
    <xf numFmtId="3" fontId="5" fillId="9" borderId="2" xfId="0" applyNumberFormat="1" applyFont="1" applyFill="1" applyBorder="1" applyAlignment="1">
      <alignment horizontal="justify" vertical="center" wrapText="1"/>
    </xf>
    <xf numFmtId="0" fontId="5" fillId="9" borderId="2" xfId="4" applyFont="1" applyFill="1" applyBorder="1" applyAlignment="1">
      <alignment horizontal="justify" vertical="center" wrapText="1"/>
    </xf>
    <xf numFmtId="167" fontId="5" fillId="9" borderId="2" xfId="1" applyNumberFormat="1" applyFont="1" applyFill="1" applyBorder="1" applyAlignment="1">
      <alignment horizontal="center" vertical="center"/>
    </xf>
    <xf numFmtId="0" fontId="5" fillId="9" borderId="0" xfId="0" applyFont="1" applyFill="1" applyBorder="1" applyAlignment="1">
      <alignment horizontal="center" vertical="center" wrapText="1"/>
    </xf>
    <xf numFmtId="1" fontId="5" fillId="9" borderId="2" xfId="0" applyNumberFormat="1" applyFont="1" applyFill="1" applyBorder="1" applyAlignment="1">
      <alignment horizontal="center" vertical="center" wrapText="1"/>
    </xf>
    <xf numFmtId="3" fontId="5" fillId="9" borderId="2" xfId="0" applyNumberFormat="1" applyFont="1" applyFill="1" applyBorder="1" applyAlignment="1">
      <alignment horizontal="center" vertical="center"/>
    </xf>
    <xf numFmtId="169" fontId="5" fillId="9" borderId="2" xfId="0" applyNumberFormat="1" applyFont="1" applyFill="1" applyBorder="1" applyAlignment="1">
      <alignment horizontal="center" vertical="center" wrapText="1"/>
    </xf>
    <xf numFmtId="167" fontId="5" fillId="11" borderId="2" xfId="1" applyNumberFormat="1" applyFont="1" applyFill="1" applyBorder="1" applyAlignment="1">
      <alignment horizontal="center" vertical="center"/>
    </xf>
    <xf numFmtId="0" fontId="8" fillId="0" borderId="2" xfId="0" applyNumberFormat="1" applyFont="1" applyFill="1" applyBorder="1" applyAlignment="1">
      <alignment horizontal="justify" vertical="center" wrapText="1"/>
    </xf>
    <xf numFmtId="0" fontId="8" fillId="0" borderId="2" xfId="13" applyNumberFormat="1" applyFont="1" applyFill="1" applyBorder="1" applyAlignment="1">
      <alignment horizontal="center" vertical="center" wrapText="1"/>
    </xf>
    <xf numFmtId="0" fontId="5" fillId="0" borderId="2" xfId="4" applyFont="1" applyBorder="1" applyAlignment="1">
      <alignment horizontal="justify" vertical="center" wrapText="1"/>
    </xf>
    <xf numFmtId="0" fontId="8" fillId="9" borderId="2" xfId="13" applyNumberFormat="1" applyFont="1" applyFill="1" applyBorder="1" applyAlignment="1">
      <alignment horizontal="center" vertical="center" wrapText="1"/>
    </xf>
    <xf numFmtId="0" fontId="8" fillId="9" borderId="2" xfId="13" applyFont="1" applyFill="1" applyBorder="1" applyAlignment="1">
      <alignment horizontal="justify" vertical="center" wrapText="1"/>
    </xf>
    <xf numFmtId="0" fontId="8" fillId="9" borderId="2" xfId="13" applyFont="1" applyFill="1" applyBorder="1" applyAlignment="1">
      <alignment horizontal="center" vertical="center" wrapText="1"/>
    </xf>
    <xf numFmtId="9" fontId="5" fillId="9" borderId="2" xfId="2" applyFont="1" applyFill="1" applyBorder="1" applyAlignment="1">
      <alignment horizontal="center" vertical="center"/>
    </xf>
    <xf numFmtId="170" fontId="5" fillId="9" borderId="2" xfId="0" applyNumberFormat="1" applyFont="1" applyFill="1" applyBorder="1" applyAlignment="1">
      <alignment horizontal="center" vertical="center" wrapText="1"/>
    </xf>
    <xf numFmtId="0" fontId="5" fillId="9" borderId="2" xfId="0" applyFont="1" applyFill="1" applyBorder="1" applyAlignment="1">
      <alignment horizontal="justify" vertical="center"/>
    </xf>
    <xf numFmtId="0" fontId="2" fillId="11" borderId="2" xfId="0" applyFont="1" applyFill="1" applyBorder="1" applyAlignment="1">
      <alignment horizontal="left" vertical="center"/>
    </xf>
    <xf numFmtId="0" fontId="8" fillId="9" borderId="2" xfId="0" applyFont="1" applyFill="1" applyBorder="1" applyAlignment="1">
      <alignment horizontal="justify" vertical="center" wrapText="1"/>
    </xf>
    <xf numFmtId="169" fontId="5" fillId="9" borderId="2" xfId="0" applyNumberFormat="1" applyFont="1" applyFill="1" applyBorder="1" applyAlignment="1">
      <alignment horizontal="justify"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justify" vertical="center" wrapText="1"/>
    </xf>
    <xf numFmtId="0" fontId="8" fillId="0" borderId="2" xfId="0" applyFont="1" applyBorder="1" applyAlignment="1">
      <alignment horizontal="justify"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1" xfId="0" applyFont="1" applyFill="1" applyBorder="1" applyAlignment="1">
      <alignment horizontal="center" vertical="center"/>
    </xf>
    <xf numFmtId="0" fontId="8" fillId="2" borderId="34" xfId="0" applyFont="1" applyFill="1" applyBorder="1" applyAlignment="1">
      <alignment horizontal="justify" vertical="center" wrapText="1"/>
    </xf>
    <xf numFmtId="1" fontId="2" fillId="7" borderId="49" xfId="0" applyNumberFormat="1" applyFont="1" applyFill="1" applyBorder="1" applyAlignment="1">
      <alignment horizontal="center" vertical="center" wrapText="1"/>
    </xf>
    <xf numFmtId="167" fontId="5" fillId="7" borderId="2" xfId="1" applyNumberFormat="1" applyFont="1" applyFill="1" applyBorder="1" applyAlignment="1">
      <alignment horizontal="center" vertical="center"/>
    </xf>
    <xf numFmtId="1" fontId="2" fillId="9" borderId="2" xfId="0" applyNumberFormat="1" applyFont="1" applyFill="1" applyBorder="1" applyAlignment="1">
      <alignment horizontal="center" vertical="center"/>
    </xf>
    <xf numFmtId="0" fontId="2" fillId="11" borderId="2" xfId="0" applyFont="1" applyFill="1" applyBorder="1" applyAlignment="1">
      <alignment horizontal="center" vertical="center" wrapText="1"/>
    </xf>
    <xf numFmtId="179" fontId="8" fillId="0" borderId="2" xfId="0" applyNumberFormat="1" applyFont="1" applyFill="1" applyBorder="1" applyAlignment="1">
      <alignment horizontal="justify" vertical="center" wrapText="1"/>
    </xf>
    <xf numFmtId="167" fontId="8" fillId="2" borderId="2" xfId="1" applyNumberFormat="1" applyFont="1" applyFill="1" applyBorder="1" applyAlignment="1">
      <alignment horizontal="center" vertical="center"/>
    </xf>
    <xf numFmtId="167" fontId="8" fillId="0" borderId="2" xfId="1" applyNumberFormat="1" applyFont="1" applyFill="1" applyBorder="1" applyAlignment="1">
      <alignment horizontal="center" vertical="center"/>
    </xf>
    <xf numFmtId="0" fontId="8" fillId="0" borderId="35" xfId="0" applyFont="1" applyFill="1" applyBorder="1" applyAlignment="1">
      <alignment horizontal="center" vertical="center" wrapText="1"/>
    </xf>
    <xf numFmtId="179" fontId="8" fillId="2" borderId="2" xfId="0" applyNumberFormat="1" applyFont="1" applyFill="1" applyBorder="1" applyAlignment="1">
      <alignment horizontal="justify" vertical="center" wrapText="1"/>
    </xf>
    <xf numFmtId="0" fontId="8" fillId="0" borderId="9" xfId="0" applyFont="1" applyFill="1" applyBorder="1" applyAlignment="1">
      <alignment horizontal="justify" vertical="center" wrapText="1"/>
    </xf>
    <xf numFmtId="179" fontId="8" fillId="2" borderId="9" xfId="0" applyNumberFormat="1" applyFont="1" applyFill="1" applyBorder="1" applyAlignment="1">
      <alignment horizontal="justify" vertical="center" wrapText="1"/>
    </xf>
    <xf numFmtId="0" fontId="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170" fontId="5" fillId="2" borderId="2" xfId="0" applyNumberFormat="1" applyFont="1" applyFill="1" applyBorder="1" applyAlignment="1">
      <alignment horizontal="center" vertical="center" wrapText="1"/>
    </xf>
    <xf numFmtId="167" fontId="5" fillId="0" borderId="2" xfId="1" applyNumberFormat="1" applyFont="1" applyFill="1" applyBorder="1" applyAlignment="1">
      <alignment horizontal="center" vertical="center" wrapText="1"/>
    </xf>
    <xf numFmtId="169"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justify" vertical="center" wrapText="1"/>
    </xf>
    <xf numFmtId="0" fontId="8"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167" fontId="5" fillId="9" borderId="2" xfId="1" applyNumberFormat="1" applyFont="1" applyFill="1" applyBorder="1" applyAlignment="1">
      <alignment horizontal="center" vertical="center" wrapText="1"/>
    </xf>
    <xf numFmtId="0" fontId="8" fillId="9" borderId="0" xfId="0" applyFont="1" applyFill="1" applyBorder="1" applyAlignment="1">
      <alignment horizontal="center" vertical="center" wrapText="1"/>
    </xf>
    <xf numFmtId="0" fontId="5" fillId="0" borderId="0" xfId="0" applyFont="1" applyAlignment="1">
      <alignment horizontal="center" vertical="center" wrapText="1"/>
    </xf>
    <xf numFmtId="167" fontId="8" fillId="2" borderId="2" xfId="1" quotePrefix="1" applyNumberFormat="1" applyFont="1" applyFill="1" applyBorder="1" applyAlignment="1">
      <alignment horizontal="center" vertical="center" wrapText="1"/>
    </xf>
    <xf numFmtId="179" fontId="8" fillId="2" borderId="34" xfId="0" applyNumberFormat="1" applyFont="1" applyFill="1" applyBorder="1" applyAlignment="1">
      <alignment horizontal="justify" vertical="center" wrapText="1"/>
    </xf>
    <xf numFmtId="179" fontId="8" fillId="2" borderId="33" xfId="0" applyNumberFormat="1" applyFont="1" applyFill="1" applyBorder="1" applyAlignment="1">
      <alignment horizontal="justify" vertical="center" wrapText="1"/>
    </xf>
    <xf numFmtId="179" fontId="8" fillId="9" borderId="2" xfId="0" applyNumberFormat="1" applyFont="1" applyFill="1" applyBorder="1" applyAlignment="1">
      <alignment horizontal="justify" vertical="center" wrapText="1"/>
    </xf>
    <xf numFmtId="0" fontId="16" fillId="9" borderId="0"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3" fillId="7" borderId="50" xfId="0" applyFont="1" applyFill="1" applyBorder="1" applyAlignment="1">
      <alignment horizontal="center" vertical="center" wrapText="1"/>
    </xf>
    <xf numFmtId="0" fontId="8" fillId="7" borderId="2" xfId="4" applyFont="1" applyFill="1" applyBorder="1" applyAlignment="1">
      <alignment horizontal="center" vertical="center" wrapText="1"/>
    </xf>
    <xf numFmtId="0" fontId="8" fillId="7" borderId="2" xfId="4" applyFont="1" applyFill="1" applyBorder="1" applyAlignment="1">
      <alignment horizontal="justify" vertical="center" wrapText="1"/>
    </xf>
    <xf numFmtId="0" fontId="5" fillId="7"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horizontal="justify" vertical="center" wrapText="1"/>
    </xf>
    <xf numFmtId="9" fontId="5" fillId="7" borderId="2" xfId="2" applyFont="1" applyFill="1" applyBorder="1" applyAlignment="1">
      <alignment horizontal="center" vertical="center" wrapText="1"/>
    </xf>
    <xf numFmtId="170" fontId="5" fillId="7" borderId="2"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167" fontId="5" fillId="7" borderId="2" xfId="1"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 fontId="5" fillId="7" borderId="2" xfId="0" applyNumberFormat="1" applyFont="1" applyFill="1" applyBorder="1" applyAlignment="1">
      <alignment horizontal="center" vertical="center" wrapText="1"/>
    </xf>
    <xf numFmtId="169" fontId="5" fillId="7" borderId="2" xfId="0" applyNumberFormat="1" applyFont="1" applyFill="1" applyBorder="1" applyAlignment="1">
      <alignment horizontal="center" vertical="center" wrapText="1"/>
    </xf>
    <xf numFmtId="3" fontId="5" fillId="7" borderId="2" xfId="0" applyNumberFormat="1" applyFont="1" applyFill="1" applyBorder="1" applyAlignment="1">
      <alignment horizontal="justify" vertical="center" wrapText="1"/>
    </xf>
    <xf numFmtId="0" fontId="8" fillId="9" borderId="2" xfId="4" applyFont="1" applyFill="1" applyBorder="1" applyAlignment="1">
      <alignment horizontal="center" vertical="center" wrapText="1"/>
    </xf>
    <xf numFmtId="0" fontId="8" fillId="9" borderId="2" xfId="4" applyFont="1" applyFill="1" applyBorder="1" applyAlignment="1">
      <alignment horizontal="justify" vertical="center" wrapText="1"/>
    </xf>
    <xf numFmtId="0" fontId="5" fillId="9" borderId="22" xfId="0" applyFont="1" applyFill="1" applyBorder="1" applyAlignment="1">
      <alignment horizontal="center" vertical="center" wrapText="1"/>
    </xf>
    <xf numFmtId="0" fontId="2" fillId="11" borderId="0" xfId="0" applyFont="1" applyFill="1" applyBorder="1" applyAlignment="1">
      <alignment horizontal="center" vertical="center"/>
    </xf>
    <xf numFmtId="0" fontId="8" fillId="0" borderId="2" xfId="0" applyFont="1" applyFill="1" applyBorder="1" applyAlignment="1">
      <alignment horizontal="center" vertical="center" wrapText="1"/>
    </xf>
    <xf numFmtId="1" fontId="2" fillId="7" borderId="50" xfId="0" applyNumberFormat="1" applyFont="1" applyFill="1" applyBorder="1" applyAlignment="1">
      <alignment horizontal="center" vertical="center" wrapText="1"/>
    </xf>
    <xf numFmtId="0" fontId="16" fillId="9" borderId="22" xfId="0" applyFont="1" applyFill="1" applyBorder="1" applyAlignment="1">
      <alignment horizontal="center" vertical="center" wrapText="1"/>
    </xf>
    <xf numFmtId="0" fontId="8" fillId="0" borderId="2" xfId="11" applyNumberFormat="1" applyFont="1" applyFill="1" applyBorder="1" applyAlignment="1">
      <alignment horizontal="center" vertical="center" wrapText="1"/>
    </xf>
    <xf numFmtId="177" fontId="8" fillId="0" borderId="2" xfId="11" applyFont="1" applyFill="1" applyBorder="1" applyAlignment="1">
      <alignment horizontal="justify" vertical="center" wrapText="1"/>
    </xf>
    <xf numFmtId="0" fontId="5" fillId="0" borderId="2" xfId="0" applyFont="1" applyFill="1" applyBorder="1" applyAlignment="1">
      <alignment horizontal="center" vertical="center"/>
    </xf>
    <xf numFmtId="10" fontId="5" fillId="0" borderId="2" xfId="2" applyNumberFormat="1" applyFont="1" applyFill="1" applyBorder="1" applyAlignment="1">
      <alignment horizontal="center" vertical="center"/>
    </xf>
    <xf numFmtId="177" fontId="8" fillId="2" borderId="2" xfId="11" applyFont="1" applyFill="1" applyBorder="1" applyAlignment="1">
      <alignment horizontal="justify" vertical="center" wrapText="1"/>
    </xf>
    <xf numFmtId="0" fontId="8" fillId="0" borderId="2" xfId="11" applyNumberFormat="1" applyFont="1" applyFill="1" applyBorder="1" applyAlignment="1">
      <alignment horizontal="justify" vertical="center" wrapText="1"/>
    </xf>
    <xf numFmtId="0" fontId="8" fillId="0" borderId="2" xfId="13" applyFont="1" applyFill="1" applyBorder="1" applyAlignment="1">
      <alignment horizontal="justify" vertical="center" wrapText="1"/>
    </xf>
    <xf numFmtId="0" fontId="8" fillId="0" borderId="12" xfId="0" applyFont="1" applyFill="1" applyBorder="1" applyAlignment="1">
      <alignment horizontal="justify" vertical="center" wrapText="1"/>
    </xf>
    <xf numFmtId="178" fontId="2" fillId="4" borderId="2" xfId="0" applyNumberFormat="1" applyFont="1" applyFill="1" applyBorder="1" applyAlignment="1">
      <alignment horizontal="center" vertical="center"/>
    </xf>
    <xf numFmtId="178" fontId="2" fillId="4" borderId="2" xfId="1" applyNumberFormat="1" applyFont="1" applyFill="1" applyBorder="1" applyAlignment="1">
      <alignment horizontal="center" vertical="center"/>
    </xf>
    <xf numFmtId="0" fontId="2" fillId="2" borderId="0" xfId="0" applyFont="1" applyFill="1" applyBorder="1" applyAlignment="1">
      <alignment horizontal="justify" vertical="center"/>
    </xf>
    <xf numFmtId="167" fontId="2" fillId="2" borderId="0" xfId="1" applyNumberFormat="1" applyFont="1" applyFill="1" applyBorder="1" applyAlignment="1">
      <alignment horizontal="center" vertical="center"/>
    </xf>
    <xf numFmtId="167" fontId="5" fillId="2" borderId="0" xfId="1" applyNumberFormat="1" applyFont="1" applyFill="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49" fontId="2" fillId="5" borderId="2" xfId="0" applyNumberFormat="1" applyFont="1" applyFill="1" applyBorder="1" applyAlignment="1">
      <alignment horizontal="center" vertical="center" textRotation="90" wrapText="1"/>
    </xf>
    <xf numFmtId="0" fontId="3" fillId="4" borderId="2" xfId="0" applyFont="1" applyFill="1" applyBorder="1" applyAlignment="1">
      <alignment horizontal="center" vertical="center"/>
    </xf>
    <xf numFmtId="0" fontId="9" fillId="0" borderId="25" xfId="0" applyFont="1" applyBorder="1" applyAlignment="1">
      <alignment horizontal="justify" vertical="center" wrapText="1"/>
    </xf>
    <xf numFmtId="1" fontId="2" fillId="5" borderId="2" xfId="0" applyNumberFormat="1" applyFont="1" applyFill="1" applyBorder="1" applyAlignment="1">
      <alignment horizontal="center" vertical="center" wrapText="1"/>
    </xf>
    <xf numFmtId="0" fontId="2" fillId="11" borderId="35" xfId="0" applyFont="1" applyFill="1" applyBorder="1" applyAlignment="1">
      <alignment horizontal="center" vertical="center"/>
    </xf>
    <xf numFmtId="0" fontId="5" fillId="4" borderId="35"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5" xfId="0" applyFont="1" applyBorder="1" applyAlignment="1">
      <alignment horizontal="justify" vertical="center"/>
    </xf>
    <xf numFmtId="0" fontId="2" fillId="4" borderId="2" xfId="0" applyFont="1" applyFill="1" applyBorder="1" applyAlignment="1">
      <alignment horizontal="center" vertical="center" wrapText="1"/>
    </xf>
    <xf numFmtId="169" fontId="2" fillId="6" borderId="2" xfId="0" applyNumberFormat="1" applyFont="1" applyFill="1" applyBorder="1" applyAlignment="1">
      <alignment horizontal="center" vertical="center" wrapText="1"/>
    </xf>
    <xf numFmtId="1" fontId="2" fillId="7" borderId="15" xfId="0" applyNumberFormat="1" applyFont="1" applyFill="1" applyBorder="1" applyAlignment="1">
      <alignment horizontal="center" vertical="center" wrapText="1"/>
    </xf>
    <xf numFmtId="0" fontId="2" fillId="9" borderId="21" xfId="0" applyFont="1" applyFill="1" applyBorder="1" applyAlignment="1">
      <alignment horizontal="justify" vertical="center"/>
    </xf>
    <xf numFmtId="1" fontId="2" fillId="9" borderId="21" xfId="0" applyNumberFormat="1" applyFont="1" applyFill="1" applyBorder="1" applyAlignment="1">
      <alignment horizontal="center" vertical="center"/>
    </xf>
    <xf numFmtId="0" fontId="2" fillId="9" borderId="21" xfId="0" applyFont="1" applyFill="1" applyBorder="1" applyAlignment="1">
      <alignment horizontal="center" vertical="center"/>
    </xf>
    <xf numFmtId="169" fontId="2" fillId="9" borderId="21" xfId="0" applyNumberFormat="1" applyFont="1" applyFill="1" applyBorder="1" applyAlignment="1">
      <alignment horizontal="center" vertical="center"/>
    </xf>
    <xf numFmtId="0" fontId="2" fillId="9" borderId="31" xfId="0" applyFont="1" applyFill="1" applyBorder="1" applyAlignment="1">
      <alignment horizontal="center" vertical="center"/>
    </xf>
    <xf numFmtId="1" fontId="2" fillId="11" borderId="2" xfId="0" applyNumberFormat="1" applyFont="1" applyFill="1" applyBorder="1" applyAlignment="1">
      <alignment horizontal="center" vertical="center" wrapText="1"/>
    </xf>
    <xf numFmtId="0" fontId="2" fillId="11" borderId="0" xfId="0" applyFont="1" applyFill="1" applyBorder="1" applyAlignment="1">
      <alignment horizontal="justify" vertical="center"/>
    </xf>
    <xf numFmtId="1" fontId="2" fillId="11" borderId="5" xfId="0" applyNumberFormat="1" applyFont="1" applyFill="1" applyBorder="1" applyAlignment="1">
      <alignment horizontal="center" vertical="center"/>
    </xf>
    <xf numFmtId="0" fontId="2" fillId="11" borderId="5" xfId="0" applyFont="1" applyFill="1" applyBorder="1" applyAlignment="1">
      <alignment horizontal="center" vertical="center"/>
    </xf>
    <xf numFmtId="169" fontId="2" fillId="11" borderId="5" xfId="0" applyNumberFormat="1" applyFont="1" applyFill="1" applyBorder="1" applyAlignment="1">
      <alignment horizontal="center" vertical="center"/>
    </xf>
    <xf numFmtId="0" fontId="2" fillId="11" borderId="6" xfId="0" applyFont="1" applyFill="1" applyBorder="1" applyAlignment="1">
      <alignment horizontal="center" vertical="center"/>
    </xf>
    <xf numFmtId="0" fontId="9" fillId="2" borderId="31" xfId="0" applyFont="1" applyFill="1" applyBorder="1" applyAlignment="1">
      <alignment horizontal="justify" vertical="center" wrapText="1"/>
    </xf>
    <xf numFmtId="1" fontId="8" fillId="0" borderId="2" xfId="13" applyNumberFormat="1" applyFont="1" applyFill="1" applyBorder="1" applyAlignment="1">
      <alignment horizontal="center" vertical="center" wrapText="1"/>
    </xf>
    <xf numFmtId="0" fontId="8" fillId="0" borderId="2" xfId="4" applyFont="1" applyFill="1" applyBorder="1" applyAlignment="1">
      <alignment horizontal="justify" vertical="center" wrapText="1"/>
    </xf>
    <xf numFmtId="0" fontId="8" fillId="0" borderId="2" xfId="4"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1" fontId="5" fillId="2" borderId="35" xfId="0" applyNumberFormat="1" applyFont="1" applyFill="1" applyBorder="1" applyAlignment="1">
      <alignment horizontal="center" vertical="center" wrapText="1"/>
    </xf>
    <xf numFmtId="0" fontId="8" fillId="0" borderId="12" xfId="11" applyNumberFormat="1" applyFont="1" applyFill="1" applyBorder="1" applyAlignment="1">
      <alignment vertical="center" wrapText="1"/>
    </xf>
    <xf numFmtId="0" fontId="8" fillId="0" borderId="12" xfId="0" applyNumberFormat="1" applyFont="1" applyFill="1" applyBorder="1" applyAlignment="1">
      <alignment vertical="center" wrapText="1"/>
    </xf>
    <xf numFmtId="0" fontId="8" fillId="0" borderId="25" xfId="11" applyNumberFormat="1" applyFont="1" applyFill="1" applyBorder="1" applyAlignment="1">
      <alignment vertical="center" wrapText="1"/>
    </xf>
    <xf numFmtId="0" fontId="8" fillId="0" borderId="25" xfId="0" applyNumberFormat="1" applyFont="1" applyFill="1" applyBorder="1" applyAlignment="1">
      <alignment vertical="center" wrapText="1"/>
    </xf>
    <xf numFmtId="1" fontId="5" fillId="0" borderId="18"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9" fillId="0" borderId="31" xfId="0" applyFont="1" applyFill="1" applyBorder="1" applyAlignment="1">
      <alignment horizontal="justify" vertical="center" wrapText="1"/>
    </xf>
    <xf numFmtId="0" fontId="9" fillId="0" borderId="36" xfId="0" applyFont="1" applyFill="1" applyBorder="1" applyAlignment="1">
      <alignment horizontal="justify" vertical="center" wrapText="1"/>
    </xf>
    <xf numFmtId="1" fontId="5" fillId="0" borderId="34" xfId="0" applyNumberFormat="1" applyFont="1" applyFill="1" applyBorder="1" applyAlignment="1">
      <alignment horizontal="center" vertical="center" wrapText="1"/>
    </xf>
    <xf numFmtId="0" fontId="5" fillId="0" borderId="34" xfId="0" applyFont="1" applyFill="1" applyBorder="1" applyAlignment="1">
      <alignment horizontal="center" vertical="center" wrapText="1"/>
    </xf>
    <xf numFmtId="1" fontId="5" fillId="0" borderId="35"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22" fillId="0" borderId="2" xfId="0" applyFont="1" applyBorder="1" applyAlignment="1">
      <alignment horizontal="justify" vertical="center" wrapText="1"/>
    </xf>
    <xf numFmtId="167" fontId="8" fillId="0" borderId="2" xfId="14" applyFont="1" applyFill="1" applyBorder="1" applyAlignment="1">
      <alignment horizontal="center" vertical="center" wrapText="1"/>
    </xf>
    <xf numFmtId="167" fontId="2" fillId="11" borderId="2" xfId="14" applyFont="1" applyFill="1" applyBorder="1" applyAlignment="1">
      <alignment horizontal="center" vertical="center"/>
    </xf>
    <xf numFmtId="167" fontId="2" fillId="11" borderId="2" xfId="1" applyNumberFormat="1" applyFont="1" applyFill="1" applyBorder="1" applyAlignment="1">
      <alignment horizontal="center" vertical="center"/>
    </xf>
    <xf numFmtId="1" fontId="2" fillId="11" borderId="10" xfId="0" applyNumberFormat="1" applyFont="1" applyFill="1" applyBorder="1" applyAlignment="1">
      <alignment horizontal="center" vertical="center"/>
    </xf>
    <xf numFmtId="0" fontId="2" fillId="11" borderId="10" xfId="0" applyFont="1" applyFill="1" applyBorder="1" applyAlignment="1">
      <alignment horizontal="center" vertical="center"/>
    </xf>
    <xf numFmtId="169" fontId="2" fillId="11" borderId="10" xfId="0" applyNumberFormat="1" applyFont="1" applyFill="1" applyBorder="1" applyAlignment="1">
      <alignment horizontal="center" vertical="center"/>
    </xf>
    <xf numFmtId="0" fontId="9" fillId="2" borderId="19" xfId="0" applyFont="1" applyFill="1" applyBorder="1" applyAlignment="1">
      <alignment horizontal="justify" vertical="center" wrapText="1"/>
    </xf>
    <xf numFmtId="1" fontId="5" fillId="2" borderId="18" xfId="0" applyNumberFormat="1" applyFont="1" applyFill="1" applyBorder="1" applyAlignment="1">
      <alignment horizontal="center" vertical="center" wrapText="1"/>
    </xf>
    <xf numFmtId="1" fontId="5" fillId="0" borderId="12" xfId="0" applyNumberFormat="1" applyFont="1" applyFill="1" applyBorder="1" applyAlignment="1">
      <alignment vertical="center" wrapText="1"/>
    </xf>
    <xf numFmtId="1" fontId="5" fillId="0" borderId="25" xfId="0" applyNumberFormat="1" applyFont="1" applyFill="1" applyBorder="1" applyAlignment="1">
      <alignment vertical="center" wrapText="1"/>
    </xf>
    <xf numFmtId="180" fontId="8" fillId="0" borderId="2" xfId="5" applyNumberFormat="1" applyFont="1" applyFill="1" applyBorder="1" applyAlignment="1">
      <alignment horizontal="justify" vertical="center" wrapText="1"/>
    </xf>
    <xf numFmtId="180" fontId="8" fillId="2" borderId="2" xfId="5" applyNumberFormat="1" applyFont="1" applyFill="1" applyBorder="1" applyAlignment="1">
      <alignment horizontal="justify" vertical="center" wrapText="1"/>
    </xf>
    <xf numFmtId="0" fontId="8" fillId="9" borderId="2" xfId="0" applyNumberFormat="1" applyFont="1" applyFill="1" applyBorder="1" applyAlignment="1">
      <alignment horizontal="center" vertical="center" wrapText="1"/>
    </xf>
    <xf numFmtId="0" fontId="8" fillId="9" borderId="2" xfId="0" applyFont="1" applyFill="1" applyBorder="1" applyAlignment="1">
      <alignment horizontal="center" vertical="center"/>
    </xf>
    <xf numFmtId="9" fontId="5" fillId="9" borderId="2" xfId="0" applyNumberFormat="1" applyFont="1" applyFill="1" applyBorder="1" applyAlignment="1">
      <alignment horizontal="center" vertical="center" wrapText="1"/>
    </xf>
    <xf numFmtId="167" fontId="8" fillId="9" borderId="2" xfId="14" applyFont="1" applyFill="1" applyBorder="1" applyAlignment="1">
      <alignment horizontal="center" vertical="center"/>
    </xf>
    <xf numFmtId="0" fontId="22" fillId="9" borderId="2" xfId="0" applyFont="1" applyFill="1" applyBorder="1" applyAlignment="1">
      <alignment horizontal="justify" vertical="center" wrapText="1"/>
    </xf>
    <xf numFmtId="167" fontId="8" fillId="9" borderId="2" xfId="1" applyNumberFormat="1" applyFont="1" applyFill="1" applyBorder="1" applyAlignment="1">
      <alignment horizontal="center" vertical="center"/>
    </xf>
    <xf numFmtId="0" fontId="5" fillId="9" borderId="10" xfId="0" applyFont="1" applyFill="1" applyBorder="1" applyAlignment="1">
      <alignment horizontal="justify" vertical="center" wrapText="1"/>
    </xf>
    <xf numFmtId="1" fontId="5" fillId="9" borderId="10" xfId="0" applyNumberFormat="1" applyFont="1" applyFill="1" applyBorder="1" applyAlignment="1">
      <alignment horizontal="center" vertical="center" wrapText="1"/>
    </xf>
    <xf numFmtId="0" fontId="5" fillId="9" borderId="10" xfId="0" applyFont="1" applyFill="1" applyBorder="1" applyAlignment="1">
      <alignment horizontal="center" vertical="center" wrapText="1"/>
    </xf>
    <xf numFmtId="1" fontId="2" fillId="9" borderId="10" xfId="0" applyNumberFormat="1" applyFont="1" applyFill="1" applyBorder="1" applyAlignment="1">
      <alignment horizontal="center" vertical="center" textRotation="180" wrapText="1"/>
    </xf>
    <xf numFmtId="1" fontId="5" fillId="9" borderId="10" xfId="0" applyNumberFormat="1" applyFont="1" applyFill="1" applyBorder="1" applyAlignment="1">
      <alignment horizontal="center" vertical="center" textRotation="180" wrapText="1"/>
    </xf>
    <xf numFmtId="169" fontId="5" fillId="9" borderId="10" xfId="0" applyNumberFormat="1" applyFont="1" applyFill="1" applyBorder="1" applyAlignment="1">
      <alignment horizontal="center" vertical="center" wrapText="1"/>
    </xf>
    <xf numFmtId="3" fontId="5" fillId="9" borderId="51" xfId="0" applyNumberFormat="1" applyFont="1" applyFill="1" applyBorder="1" applyAlignment="1">
      <alignment horizontal="center" vertical="center" wrapText="1"/>
    </xf>
    <xf numFmtId="167" fontId="2" fillId="7" borderId="2" xfId="14" applyFont="1" applyFill="1" applyBorder="1" applyAlignment="1">
      <alignment horizontal="center" vertical="center"/>
    </xf>
    <xf numFmtId="167" fontId="2" fillId="7" borderId="2" xfId="1" applyNumberFormat="1" applyFont="1" applyFill="1" applyBorder="1" applyAlignment="1">
      <alignment horizontal="center" vertical="center"/>
    </xf>
    <xf numFmtId="169" fontId="2" fillId="7" borderId="22" xfId="0" applyNumberFormat="1" applyFont="1" applyFill="1" applyBorder="1" applyAlignment="1">
      <alignment horizontal="center" vertical="center"/>
    </xf>
    <xf numFmtId="0" fontId="2" fillId="7" borderId="19" xfId="0" applyFont="1" applyFill="1" applyBorder="1" applyAlignment="1">
      <alignment horizontal="center" vertical="center"/>
    </xf>
    <xf numFmtId="167" fontId="2" fillId="9" borderId="2" xfId="14" applyFont="1" applyFill="1" applyBorder="1" applyAlignment="1">
      <alignment horizontal="center" vertical="center"/>
    </xf>
    <xf numFmtId="167" fontId="2" fillId="9" borderId="2" xfId="1" applyNumberFormat="1" applyFont="1" applyFill="1" applyBorder="1" applyAlignment="1">
      <alignment horizontal="center" vertical="center"/>
    </xf>
    <xf numFmtId="9" fontId="5" fillId="0" borderId="2"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2" xfId="4" applyFont="1" applyFill="1" applyBorder="1" applyAlignment="1">
      <alignment horizontal="center" vertical="center"/>
    </xf>
    <xf numFmtId="1" fontId="5" fillId="2" borderId="7" xfId="0" applyNumberFormat="1" applyFont="1" applyFill="1" applyBorder="1" applyAlignment="1">
      <alignment horizontal="center" vertical="center" wrapText="1"/>
    </xf>
    <xf numFmtId="0" fontId="9" fillId="2" borderId="0" xfId="0" applyFont="1" applyFill="1" applyBorder="1" applyAlignment="1">
      <alignment horizontal="justify" vertical="center" wrapText="1"/>
    </xf>
    <xf numFmtId="1" fontId="5" fillId="2" borderId="0" xfId="0" applyNumberFormat="1" applyFont="1" applyFill="1" applyBorder="1" applyAlignment="1">
      <alignment horizontal="center" vertical="center" wrapText="1"/>
    </xf>
    <xf numFmtId="0" fontId="8" fillId="0" borderId="30" xfId="11" applyNumberFormat="1" applyFont="1" applyFill="1" applyBorder="1" applyAlignment="1">
      <alignment horizontal="center" vertical="center" wrapText="1"/>
    </xf>
    <xf numFmtId="0" fontId="8" fillId="0" borderId="17" xfId="0" applyNumberFormat="1" applyFont="1" applyFill="1" applyBorder="1" applyAlignment="1">
      <alignment horizontal="justify" vertical="center" wrapText="1"/>
    </xf>
    <xf numFmtId="0" fontId="8" fillId="0" borderId="30" xfId="13" applyNumberFormat="1" applyFont="1" applyFill="1" applyBorder="1" applyAlignment="1">
      <alignment horizontal="center" vertical="center" wrapText="1"/>
    </xf>
    <xf numFmtId="0" fontId="8" fillId="0" borderId="30" xfId="4" applyFont="1" applyFill="1" applyBorder="1" applyAlignment="1">
      <alignment horizontal="justify" vertical="center" wrapText="1"/>
    </xf>
    <xf numFmtId="0" fontId="8" fillId="0" borderId="32" xfId="13" applyNumberFormat="1" applyFont="1" applyFill="1" applyBorder="1" applyAlignment="1">
      <alignment horizontal="center" vertical="center" wrapText="1"/>
    </xf>
    <xf numFmtId="0" fontId="8" fillId="0" borderId="32" xfId="4" applyFont="1" applyFill="1" applyBorder="1" applyAlignment="1">
      <alignment horizontal="justify" vertical="center" wrapText="1"/>
    </xf>
    <xf numFmtId="0" fontId="8" fillId="0" borderId="32" xfId="4"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2" xfId="0" applyFont="1" applyFill="1" applyBorder="1" applyAlignment="1">
      <alignment horizontal="justify" vertical="center" wrapText="1"/>
    </xf>
    <xf numFmtId="9" fontId="5" fillId="0" borderId="25" xfId="0" applyNumberFormat="1" applyFont="1" applyFill="1" applyBorder="1" applyAlignment="1">
      <alignment horizontal="center" vertical="center" wrapText="1"/>
    </xf>
    <xf numFmtId="167" fontId="8" fillId="0" borderId="32" xfId="14" applyFont="1" applyFill="1" applyBorder="1" applyAlignment="1">
      <alignment horizontal="center" vertical="center"/>
    </xf>
    <xf numFmtId="0" fontId="5" fillId="0" borderId="32" xfId="0" applyFont="1" applyFill="1" applyBorder="1" applyAlignment="1">
      <alignment horizontal="justify" vertical="center" wrapText="1"/>
    </xf>
    <xf numFmtId="167" fontId="8" fillId="2" borderId="27" xfId="1" applyNumberFormat="1" applyFont="1" applyFill="1" applyBorder="1" applyAlignment="1">
      <alignment horizontal="center" vertical="center"/>
    </xf>
    <xf numFmtId="3" fontId="5" fillId="2" borderId="35" xfId="0" applyNumberFormat="1" applyFont="1" applyFill="1" applyBorder="1" applyAlignment="1">
      <alignment horizontal="center" vertical="center" wrapText="1"/>
    </xf>
    <xf numFmtId="1" fontId="2" fillId="11" borderId="53" xfId="0" applyNumberFormat="1" applyFont="1" applyFill="1" applyBorder="1" applyAlignment="1">
      <alignment horizontal="center" vertical="center" wrapText="1"/>
    </xf>
    <xf numFmtId="0" fontId="2" fillId="11" borderId="10" xfId="0" applyFont="1" applyFill="1" applyBorder="1" applyAlignment="1">
      <alignment horizontal="justify" vertical="center"/>
    </xf>
    <xf numFmtId="171" fontId="2" fillId="11" borderId="10" xfId="0" applyNumberFormat="1" applyFont="1" applyFill="1" applyBorder="1" applyAlignment="1">
      <alignment horizontal="center" vertical="center"/>
    </xf>
    <xf numFmtId="167" fontId="2" fillId="11" borderId="10" xfId="14" applyFont="1" applyFill="1" applyBorder="1" applyAlignment="1">
      <alignment horizontal="center" vertical="center"/>
    </xf>
    <xf numFmtId="167" fontId="2" fillId="11" borderId="10" xfId="1"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8" fillId="0" borderId="34" xfId="11" applyNumberFormat="1" applyFont="1" applyFill="1" applyBorder="1" applyAlignment="1">
      <alignment horizontal="center" vertical="center" wrapText="1"/>
    </xf>
    <xf numFmtId="0" fontId="8" fillId="0" borderId="31" xfId="0" applyNumberFormat="1" applyFont="1" applyFill="1" applyBorder="1" applyAlignment="1">
      <alignment horizontal="justify" vertical="center" wrapText="1"/>
    </xf>
    <xf numFmtId="0" fontId="8" fillId="0" borderId="34" xfId="0" applyNumberFormat="1" applyFont="1" applyFill="1" applyBorder="1" applyAlignment="1">
      <alignment horizontal="center" vertical="center" wrapText="1"/>
    </xf>
    <xf numFmtId="0" fontId="8" fillId="0" borderId="34" xfId="0" applyFont="1" applyFill="1" applyBorder="1" applyAlignment="1">
      <alignment horizontal="justify" vertical="center" wrapText="1"/>
    </xf>
    <xf numFmtId="0" fontId="8" fillId="2" borderId="34" xfId="4" applyFont="1" applyFill="1" applyBorder="1" applyAlignment="1">
      <alignment horizontal="center" vertical="center" wrapText="1"/>
    </xf>
    <xf numFmtId="167" fontId="8" fillId="2" borderId="36" xfId="1" applyNumberFormat="1" applyFont="1" applyFill="1" applyBorder="1" applyAlignment="1">
      <alignment horizontal="center" vertical="center"/>
    </xf>
    <xf numFmtId="0" fontId="8" fillId="0" borderId="33" xfId="11" applyNumberFormat="1" applyFont="1" applyFill="1" applyBorder="1" applyAlignment="1">
      <alignment horizontal="center" vertical="center" wrapText="1"/>
    </xf>
    <xf numFmtId="0" fontId="8" fillId="0" borderId="19" xfId="0" applyNumberFormat="1" applyFont="1" applyFill="1" applyBorder="1" applyAlignment="1">
      <alignment horizontal="justify" vertical="center" wrapText="1"/>
    </xf>
    <xf numFmtId="0" fontId="8" fillId="0" borderId="33" xfId="0" applyNumberFormat="1" applyFont="1" applyFill="1" applyBorder="1" applyAlignment="1">
      <alignment horizontal="center" vertical="center" wrapText="1"/>
    </xf>
    <xf numFmtId="0" fontId="8" fillId="0" borderId="33" xfId="0" applyFont="1" applyFill="1" applyBorder="1" applyAlignment="1">
      <alignment horizontal="justify" vertical="center" wrapText="1"/>
    </xf>
    <xf numFmtId="0" fontId="2" fillId="11" borderId="54" xfId="0" applyFont="1" applyFill="1" applyBorder="1" applyAlignment="1">
      <alignment horizontal="left" vertical="center"/>
    </xf>
    <xf numFmtId="0" fontId="2" fillId="11" borderId="46" xfId="0" applyFont="1" applyFill="1" applyBorder="1" applyAlignment="1">
      <alignment horizontal="left" vertical="center"/>
    </xf>
    <xf numFmtId="0" fontId="2" fillId="11" borderId="46" xfId="0" applyFont="1" applyFill="1" applyBorder="1" applyAlignment="1">
      <alignment horizontal="justify" vertical="center"/>
    </xf>
    <xf numFmtId="0" fontId="8" fillId="0" borderId="34" xfId="13" applyNumberFormat="1" applyFont="1" applyFill="1" applyBorder="1" applyAlignment="1">
      <alignment horizontal="center" vertical="center" wrapText="1"/>
    </xf>
    <xf numFmtId="0" fontId="8" fillId="0" borderId="34" xfId="4" applyFont="1" applyFill="1" applyBorder="1" applyAlignment="1">
      <alignment horizontal="justify" vertical="center" wrapText="1"/>
    </xf>
    <xf numFmtId="0" fontId="8" fillId="0" borderId="33" xfId="13" applyNumberFormat="1" applyFont="1" applyFill="1" applyBorder="1" applyAlignment="1">
      <alignment horizontal="center" vertical="center" wrapText="1"/>
    </xf>
    <xf numFmtId="0" fontId="8" fillId="0" borderId="33" xfId="4" applyFont="1" applyFill="1" applyBorder="1" applyAlignment="1">
      <alignment horizontal="justify" vertical="center" wrapText="1"/>
    </xf>
    <xf numFmtId="9" fontId="5" fillId="2" borderId="12" xfId="0" applyNumberFormat="1" applyFont="1" applyFill="1" applyBorder="1" applyAlignment="1">
      <alignment horizontal="center" vertical="center" wrapText="1"/>
    </xf>
    <xf numFmtId="167" fontId="8" fillId="2" borderId="20" xfId="1" applyNumberFormat="1" applyFont="1" applyFill="1" applyBorder="1" applyAlignment="1">
      <alignment horizontal="center" vertical="center"/>
    </xf>
    <xf numFmtId="1" fontId="5" fillId="4" borderId="9"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10" xfId="0" applyFont="1" applyFill="1" applyBorder="1" applyAlignment="1">
      <alignment horizontal="justify" vertical="center"/>
    </xf>
    <xf numFmtId="171" fontId="5" fillId="4" borderId="35" xfId="0" applyNumberFormat="1" applyFont="1" applyFill="1" applyBorder="1" applyAlignment="1">
      <alignment horizontal="center" vertical="center"/>
    </xf>
    <xf numFmtId="167" fontId="2" fillId="4" borderId="2" xfId="14" applyFont="1" applyFill="1" applyBorder="1" applyAlignment="1">
      <alignment horizontal="center" vertical="center"/>
    </xf>
    <xf numFmtId="0" fontId="5" fillId="4" borderId="9" xfId="0" applyFont="1" applyFill="1" applyBorder="1" applyAlignment="1">
      <alignment horizontal="justify" vertical="center"/>
    </xf>
    <xf numFmtId="0" fontId="5" fillId="4" borderId="35" xfId="0" applyFont="1" applyFill="1" applyBorder="1" applyAlignment="1">
      <alignment horizontal="justify" vertical="center"/>
    </xf>
    <xf numFmtId="170" fontId="2" fillId="4" borderId="10" xfId="0" applyNumberFormat="1" applyFont="1" applyFill="1" applyBorder="1" applyAlignment="1">
      <alignment horizontal="justify" vertical="center"/>
    </xf>
    <xf numFmtId="1" fontId="5" fillId="4" borderId="10" xfId="0" applyNumberFormat="1" applyFont="1" applyFill="1" applyBorder="1" applyAlignment="1">
      <alignment horizontal="center" vertical="center"/>
    </xf>
    <xf numFmtId="169" fontId="5" fillId="4" borderId="10" xfId="0" applyNumberFormat="1" applyFont="1" applyFill="1" applyBorder="1" applyAlignment="1">
      <alignment horizontal="center" vertical="center"/>
    </xf>
    <xf numFmtId="169" fontId="5" fillId="2" borderId="0" xfId="0" applyNumberFormat="1" applyFont="1" applyFill="1" applyAlignment="1">
      <alignment horizontal="center" vertical="center"/>
    </xf>
    <xf numFmtId="166" fontId="5" fillId="0" borderId="0" xfId="1" applyFont="1" applyAlignment="1">
      <alignment horizontal="center" vertical="center"/>
    </xf>
    <xf numFmtId="3" fontId="10" fillId="0" borderId="2" xfId="0" applyNumberFormat="1" applyFont="1" applyBorder="1" applyAlignment="1">
      <alignment horizontal="center" vertical="center" wrapText="1"/>
    </xf>
    <xf numFmtId="0" fontId="2" fillId="0" borderId="0" xfId="0" applyFont="1" applyAlignment="1">
      <alignment horizontal="center" vertical="center"/>
    </xf>
    <xf numFmtId="171" fontId="2" fillId="5" borderId="2" xfId="0" applyNumberFormat="1" applyFont="1" applyFill="1" applyBorder="1" applyAlignment="1">
      <alignment horizontal="center" vertical="center" wrapText="1"/>
    </xf>
    <xf numFmtId="170" fontId="2" fillId="5" borderId="2" xfId="0" applyNumberFormat="1" applyFont="1" applyFill="1" applyBorder="1" applyAlignment="1">
      <alignment horizontal="center" vertical="center" wrapText="1"/>
    </xf>
    <xf numFmtId="0" fontId="17" fillId="7" borderId="32"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3" fillId="19" borderId="15" xfId="0" applyFont="1" applyFill="1" applyBorder="1" applyAlignment="1">
      <alignment horizontal="center" vertical="center" wrapText="1"/>
    </xf>
    <xf numFmtId="0" fontId="3" fillId="9" borderId="20" xfId="0" applyFont="1" applyFill="1" applyBorder="1" applyAlignment="1">
      <alignment horizontal="center" vertical="center"/>
    </xf>
    <xf numFmtId="0" fontId="17" fillId="9" borderId="21"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18"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11" borderId="31" xfId="0" applyFont="1" applyFill="1" applyBorder="1" applyAlignment="1">
      <alignment horizontal="center" vertical="center" wrapText="1"/>
    </xf>
    <xf numFmtId="0" fontId="23" fillId="12" borderId="0" xfId="0" applyFont="1" applyFill="1" applyAlignment="1">
      <alignment horizontal="center" vertical="center" wrapText="1"/>
    </xf>
    <xf numFmtId="0" fontId="24" fillId="0" borderId="0" xfId="0" applyFont="1" applyAlignment="1">
      <alignment horizontal="center" vertical="center"/>
    </xf>
    <xf numFmtId="0" fontId="17" fillId="12" borderId="8"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8" fillId="0" borderId="43" xfId="0" applyFont="1" applyBorder="1" applyAlignment="1">
      <alignment horizontal="justify" vertical="center" wrapText="1"/>
    </xf>
    <xf numFmtId="0" fontId="9" fillId="12" borderId="6" xfId="0" applyFont="1" applyFill="1" applyBorder="1" applyAlignment="1">
      <alignment horizontal="center" vertical="center" wrapText="1"/>
    </xf>
    <xf numFmtId="9" fontId="9" fillId="12" borderId="6" xfId="0" applyNumberFormat="1" applyFont="1" applyFill="1" applyBorder="1" applyAlignment="1">
      <alignment horizontal="center" vertical="center" wrapText="1"/>
    </xf>
    <xf numFmtId="0" fontId="9" fillId="0" borderId="6" xfId="0" applyFont="1" applyBorder="1" applyAlignment="1">
      <alignment horizontal="justify" vertical="center" wrapText="1"/>
    </xf>
    <xf numFmtId="4" fontId="8" fillId="0" borderId="43" xfId="0" applyNumberFormat="1" applyFont="1" applyBorder="1" applyAlignment="1">
      <alignment horizontal="center" vertical="center" wrapText="1"/>
    </xf>
    <xf numFmtId="0" fontId="9" fillId="12" borderId="0" xfId="0" applyFont="1" applyFill="1" applyAlignment="1">
      <alignment horizontal="center" vertical="center" wrapText="1"/>
    </xf>
    <xf numFmtId="4" fontId="8" fillId="0" borderId="32" xfId="0" applyNumberFormat="1" applyFont="1" applyBorder="1" applyAlignment="1">
      <alignment horizontal="center" vertical="center" wrapText="1"/>
    </xf>
    <xf numFmtId="4" fontId="8" fillId="0" borderId="30" xfId="0" applyNumberFormat="1" applyFont="1" applyBorder="1" applyAlignment="1">
      <alignment horizontal="center" vertical="center" wrapText="1"/>
    </xf>
    <xf numFmtId="0" fontId="17" fillId="12" borderId="13"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9" fillId="19" borderId="5" xfId="0" applyFont="1" applyFill="1" applyBorder="1" applyAlignment="1">
      <alignment horizontal="center" vertical="center" wrapText="1"/>
    </xf>
    <xf numFmtId="4" fontId="18" fillId="19" borderId="5" xfId="0" applyNumberFormat="1" applyFont="1" applyFill="1" applyBorder="1" applyAlignment="1">
      <alignment horizontal="center" vertical="center" wrapText="1"/>
    </xf>
    <xf numFmtId="4" fontId="18" fillId="19" borderId="2" xfId="0" applyNumberFormat="1" applyFont="1" applyFill="1" applyBorder="1" applyAlignment="1">
      <alignment horizontal="center" vertical="center" wrapText="1"/>
    </xf>
    <xf numFmtId="0" fontId="9" fillId="19" borderId="6" xfId="0" applyFont="1" applyFill="1" applyBorder="1" applyAlignment="1">
      <alignment horizontal="center" vertical="center" wrapText="1"/>
    </xf>
    <xf numFmtId="0" fontId="25" fillId="0" borderId="0" xfId="0" applyFont="1" applyAlignment="1">
      <alignment horizontal="center" vertical="center"/>
    </xf>
    <xf numFmtId="0" fontId="25" fillId="0" borderId="0" xfId="0" applyFont="1" applyAlignment="1">
      <alignment horizontal="center"/>
    </xf>
    <xf numFmtId="9" fontId="25" fillId="0" borderId="0" xfId="2"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25" xfId="0" applyFont="1" applyFill="1" applyBorder="1" applyAlignment="1">
      <alignment horizontal="center" vertical="center" wrapText="1"/>
    </xf>
    <xf numFmtId="0" fontId="8" fillId="0" borderId="15"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2" fillId="2" borderId="0" xfId="0" applyFont="1" applyFill="1" applyAlignment="1">
      <alignment horizontal="center" vertical="center"/>
    </xf>
    <xf numFmtId="0" fontId="5" fillId="0" borderId="2" xfId="0" applyFont="1" applyFill="1" applyBorder="1" applyAlignment="1">
      <alignment horizontal="justify" vertical="center" wrapText="1"/>
    </xf>
    <xf numFmtId="0" fontId="8" fillId="0" borderId="36" xfId="0" applyFont="1" applyFill="1" applyBorder="1" applyAlignment="1">
      <alignment horizontal="justify" vertical="center" wrapText="1"/>
    </xf>
    <xf numFmtId="0" fontId="8" fillId="0" borderId="20" xfId="0" applyFont="1" applyFill="1" applyBorder="1" applyAlignment="1">
      <alignment horizontal="justify" vertical="center" wrapText="1"/>
    </xf>
    <xf numFmtId="3" fontId="3" fillId="4" borderId="2"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1" fontId="2" fillId="0" borderId="11"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 xfId="0"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11" borderId="46" xfId="0" applyFont="1" applyFill="1" applyBorder="1" applyAlignment="1">
      <alignment horizontal="left" vertical="center"/>
    </xf>
    <xf numFmtId="0" fontId="8" fillId="0" borderId="34" xfId="0" applyFont="1" applyFill="1" applyBorder="1" applyAlignment="1">
      <alignment horizontal="center" vertical="center" wrapText="1"/>
    </xf>
    <xf numFmtId="0" fontId="5" fillId="0" borderId="2" xfId="0" applyFont="1" applyBorder="1" applyAlignment="1">
      <alignment horizontal="left" vertical="center"/>
    </xf>
    <xf numFmtId="14" fontId="5" fillId="0" borderId="2" xfId="0" applyNumberFormat="1" applyFont="1" applyBorder="1" applyAlignment="1">
      <alignment horizontal="left" vertical="center" wrapText="1"/>
    </xf>
    <xf numFmtId="0" fontId="2" fillId="5" borderId="1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14" xfId="0" applyFont="1" applyFill="1" applyBorder="1" applyAlignment="1">
      <alignment horizontal="center" vertical="center" wrapText="1"/>
    </xf>
    <xf numFmtId="171" fontId="2" fillId="5" borderId="8" xfId="0" applyNumberFormat="1" applyFont="1" applyFill="1" applyBorder="1" applyAlignment="1">
      <alignment horizontal="center" vertical="center" wrapText="1"/>
    </xf>
    <xf numFmtId="170" fontId="2" fillId="5" borderId="8" xfId="0" applyNumberFormat="1" applyFont="1" applyFill="1" applyBorder="1" applyAlignment="1">
      <alignment horizontal="center" vertical="center" wrapText="1"/>
    </xf>
    <xf numFmtId="0" fontId="2" fillId="5" borderId="8" xfId="0" applyFont="1" applyFill="1" applyBorder="1" applyAlignment="1">
      <alignment horizontal="center" vertical="center" wrapText="1"/>
    </xf>
    <xf numFmtId="170" fontId="2" fillId="5" borderId="14" xfId="0" applyNumberFormat="1" applyFont="1" applyFill="1" applyBorder="1" applyAlignment="1">
      <alignment horizontal="center" vertical="center" wrapText="1"/>
    </xf>
    <xf numFmtId="0" fontId="2" fillId="5" borderId="12" xfId="0" applyFont="1" applyFill="1" applyBorder="1" applyAlignment="1">
      <alignment horizontal="center" vertical="center" textRotation="90" wrapText="1"/>
    </xf>
    <xf numFmtId="49" fontId="2" fillId="5" borderId="12" xfId="0" applyNumberFormat="1" applyFont="1" applyFill="1" applyBorder="1" applyAlignment="1">
      <alignment horizontal="center" vertical="center" textRotation="90" wrapText="1"/>
    </xf>
    <xf numFmtId="0" fontId="2" fillId="5" borderId="11" xfId="0" applyFont="1" applyFill="1" applyBorder="1" applyAlignment="1">
      <alignment horizontal="center" vertical="center" textRotation="90" wrapText="1"/>
    </xf>
    <xf numFmtId="0" fontId="2" fillId="7" borderId="7" xfId="0" applyFont="1" applyFill="1" applyBorder="1" applyAlignment="1">
      <alignment horizontal="center" vertical="center"/>
    </xf>
    <xf numFmtId="171" fontId="2" fillId="7" borderId="7" xfId="0" applyNumberFormat="1" applyFont="1" applyFill="1" applyBorder="1" applyAlignment="1">
      <alignment horizontal="center" vertical="center"/>
    </xf>
    <xf numFmtId="170" fontId="2" fillId="7" borderId="7" xfId="0" applyNumberFormat="1" applyFont="1" applyFill="1" applyBorder="1" applyAlignment="1">
      <alignment horizontal="center" vertical="center"/>
    </xf>
    <xf numFmtId="1" fontId="2" fillId="7" borderId="7" xfId="0" applyNumberFormat="1" applyFont="1" applyFill="1" applyBorder="1" applyAlignment="1">
      <alignment horizontal="center" vertical="center"/>
    </xf>
    <xf numFmtId="169" fontId="2" fillId="7" borderId="7" xfId="0" applyNumberFormat="1" applyFont="1" applyFill="1" applyBorder="1" applyAlignment="1">
      <alignment horizontal="center" vertical="center"/>
    </xf>
    <xf numFmtId="0" fontId="2" fillId="7" borderId="18" xfId="0" applyFont="1" applyFill="1" applyBorder="1" applyAlignment="1">
      <alignment horizontal="center" vertical="center"/>
    </xf>
    <xf numFmtId="171" fontId="2" fillId="9" borderId="21" xfId="0" applyNumberFormat="1" applyFont="1" applyFill="1" applyBorder="1" applyAlignment="1">
      <alignment horizontal="center" vertical="center"/>
    </xf>
    <xf numFmtId="170" fontId="2" fillId="9" borderId="21" xfId="0" applyNumberFormat="1" applyFont="1" applyFill="1" applyBorder="1" applyAlignment="1">
      <alignment horizontal="center" vertical="center"/>
    </xf>
    <xf numFmtId="0" fontId="3" fillId="11" borderId="43" xfId="0" applyFont="1" applyFill="1" applyBorder="1" applyAlignment="1">
      <alignment horizontal="center" vertical="center" wrapText="1"/>
    </xf>
    <xf numFmtId="171" fontId="2" fillId="11" borderId="0" xfId="0" applyNumberFormat="1" applyFont="1" applyFill="1" applyBorder="1" applyAlignment="1">
      <alignment horizontal="center" vertical="center"/>
    </xf>
    <xf numFmtId="170" fontId="2" fillId="11" borderId="0" xfId="0" applyNumberFormat="1" applyFont="1" applyFill="1" applyBorder="1" applyAlignment="1">
      <alignment horizontal="center" vertical="center"/>
    </xf>
    <xf numFmtId="170" fontId="2" fillId="11" borderId="5" xfId="0" applyNumberFormat="1" applyFont="1" applyFill="1" applyBorder="1" applyAlignment="1">
      <alignment horizontal="center" vertical="center"/>
    </xf>
    <xf numFmtId="1" fontId="2" fillId="11" borderId="0" xfId="0" applyNumberFormat="1" applyFont="1" applyFill="1" applyBorder="1" applyAlignment="1">
      <alignment horizontal="center" vertical="center"/>
    </xf>
    <xf numFmtId="169" fontId="2" fillId="11" borderId="0"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5" fillId="0" borderId="34" xfId="0" applyNumberFormat="1" applyFont="1" applyFill="1" applyBorder="1" applyAlignment="1">
      <alignment horizontal="justify" vertical="center" wrapText="1"/>
    </xf>
    <xf numFmtId="0" fontId="9" fillId="2" borderId="35" xfId="4" applyFont="1" applyFill="1" applyBorder="1" applyAlignment="1">
      <alignment horizontal="justify" vertical="center" wrapText="1"/>
    </xf>
    <xf numFmtId="43" fontId="5" fillId="0" borderId="13" xfId="3" applyFont="1" applyFill="1" applyBorder="1" applyAlignment="1">
      <alignment horizontal="center" vertical="center" wrapText="1"/>
    </xf>
    <xf numFmtId="0" fontId="9" fillId="0" borderId="34" xfId="0" applyFont="1" applyFill="1" applyBorder="1" applyAlignment="1">
      <alignment horizontal="center" vertical="center" wrapText="1"/>
    </xf>
    <xf numFmtId="0" fontId="5" fillId="2" borderId="35" xfId="4" applyFont="1" applyFill="1" applyBorder="1" applyAlignment="1">
      <alignment horizontal="justify" vertical="center" wrapText="1"/>
    </xf>
    <xf numFmtId="0" fontId="5" fillId="2" borderId="36" xfId="4" applyFont="1" applyFill="1" applyBorder="1" applyAlignment="1">
      <alignment horizontal="justify" vertical="center" wrapText="1"/>
    </xf>
    <xf numFmtId="43" fontId="5" fillId="0" borderId="20" xfId="3" applyFont="1" applyFill="1" applyBorder="1" applyAlignment="1">
      <alignment horizontal="center" vertical="center" wrapText="1"/>
    </xf>
    <xf numFmtId="0" fontId="9" fillId="0" borderId="33" xfId="0" applyFont="1" applyFill="1" applyBorder="1" applyAlignment="1">
      <alignment horizontal="center" vertical="center" wrapText="1"/>
    </xf>
    <xf numFmtId="43" fontId="5" fillId="0" borderId="2" xfId="3" applyFont="1" applyFill="1" applyBorder="1" applyAlignment="1">
      <alignment horizontal="center" vertical="center" wrapText="1"/>
    </xf>
    <xf numFmtId="0" fontId="3" fillId="9" borderId="0" xfId="0" applyFont="1" applyFill="1" applyBorder="1" applyAlignment="1">
      <alignment horizontal="center" vertical="center"/>
    </xf>
    <xf numFmtId="0" fontId="5" fillId="9" borderId="21" xfId="0" applyFont="1" applyFill="1" applyBorder="1" applyAlignment="1">
      <alignment horizontal="center" vertical="center" wrapText="1"/>
    </xf>
    <xf numFmtId="9" fontId="5" fillId="9" borderId="0" xfId="2" applyFont="1" applyFill="1" applyBorder="1" applyAlignment="1">
      <alignment horizontal="center" vertical="center" wrapText="1"/>
    </xf>
    <xf numFmtId="43" fontId="5" fillId="9" borderId="0" xfId="3" applyFont="1" applyFill="1" applyBorder="1" applyAlignment="1">
      <alignment horizontal="center" vertical="center" wrapText="1"/>
    </xf>
    <xf numFmtId="3" fontId="5" fillId="9" borderId="0" xfId="0" applyNumberFormat="1" applyFont="1" applyFill="1" applyBorder="1" applyAlignment="1">
      <alignment horizontal="center" vertical="center" wrapText="1"/>
    </xf>
    <xf numFmtId="0" fontId="5" fillId="9" borderId="0" xfId="4" applyFont="1" applyFill="1" applyBorder="1" applyAlignment="1">
      <alignment horizontal="center" vertical="center" wrapText="1"/>
    </xf>
    <xf numFmtId="166" fontId="5" fillId="9" borderId="0" xfId="1" applyFont="1" applyFill="1" applyBorder="1" applyAlignment="1">
      <alignment horizontal="center" vertical="center" wrapText="1"/>
    </xf>
    <xf numFmtId="0" fontId="9" fillId="9" borderId="0" xfId="0" applyFont="1" applyFill="1" applyBorder="1" applyAlignment="1">
      <alignment horizontal="center" vertical="center" wrapText="1"/>
    </xf>
    <xf numFmtId="1" fontId="5" fillId="9" borderId="0" xfId="0" applyNumberFormat="1" applyFont="1" applyFill="1" applyBorder="1" applyAlignment="1">
      <alignment horizontal="center" vertical="center" wrapText="1"/>
    </xf>
    <xf numFmtId="169" fontId="5" fillId="9" borderId="0" xfId="0" applyNumberFormat="1" applyFont="1" applyFill="1" applyBorder="1" applyAlignment="1">
      <alignment horizontal="center" vertical="center" wrapText="1"/>
    </xf>
    <xf numFmtId="3" fontId="5" fillId="9" borderId="17" xfId="0" applyNumberFormat="1" applyFont="1" applyFill="1" applyBorder="1" applyAlignment="1">
      <alignment horizontal="center" vertical="center" wrapText="1"/>
    </xf>
    <xf numFmtId="0" fontId="2" fillId="11" borderId="21" xfId="0" applyFont="1" applyFill="1" applyBorder="1" applyAlignment="1">
      <alignment horizontal="center" vertical="center"/>
    </xf>
    <xf numFmtId="171" fontId="2" fillId="11" borderId="21" xfId="0" applyNumberFormat="1" applyFont="1" applyFill="1" applyBorder="1" applyAlignment="1">
      <alignment horizontal="center" vertical="center"/>
    </xf>
    <xf numFmtId="43" fontId="2" fillId="11" borderId="21" xfId="3" applyFont="1" applyFill="1" applyBorder="1" applyAlignment="1">
      <alignment horizontal="center" vertical="center"/>
    </xf>
    <xf numFmtId="166" fontId="2" fillId="11" borderId="21" xfId="1" applyFont="1" applyFill="1" applyBorder="1" applyAlignment="1">
      <alignment horizontal="center" vertical="center"/>
    </xf>
    <xf numFmtId="1" fontId="2" fillId="11" borderId="21" xfId="0" applyNumberFormat="1" applyFont="1" applyFill="1" applyBorder="1" applyAlignment="1">
      <alignment horizontal="center" vertical="center"/>
    </xf>
    <xf numFmtId="169" fontId="2" fillId="11" borderId="21" xfId="0" applyNumberFormat="1" applyFont="1" applyFill="1" applyBorder="1" applyAlignment="1">
      <alignment horizontal="center" vertical="center"/>
    </xf>
    <xf numFmtId="0" fontId="2" fillId="11" borderId="31" xfId="0" applyFont="1" applyFill="1" applyBorder="1" applyAlignment="1">
      <alignment horizontal="center" vertical="center"/>
    </xf>
    <xf numFmtId="43" fontId="5" fillId="2" borderId="8" xfId="3" applyFont="1" applyFill="1" applyBorder="1" applyAlignment="1">
      <alignment horizontal="center" vertical="center" wrapText="1"/>
    </xf>
    <xf numFmtId="9" fontId="5" fillId="9" borderId="22" xfId="0" applyNumberFormat="1" applyFont="1" applyFill="1" applyBorder="1" applyAlignment="1">
      <alignment horizontal="center" vertical="center" wrapText="1"/>
    </xf>
    <xf numFmtId="43" fontId="5" fillId="9" borderId="22" xfId="3" applyFont="1" applyFill="1" applyBorder="1" applyAlignment="1">
      <alignment horizontal="center" vertical="center" wrapText="1"/>
    </xf>
    <xf numFmtId="3" fontId="5" fillId="9" borderId="22" xfId="0" applyNumberFormat="1" applyFont="1" applyFill="1" applyBorder="1" applyAlignment="1">
      <alignment horizontal="center" vertical="center" wrapText="1"/>
    </xf>
    <xf numFmtId="1" fontId="5" fillId="9" borderId="22" xfId="0" applyNumberFormat="1" applyFont="1" applyFill="1" applyBorder="1" applyAlignment="1">
      <alignment horizontal="center" vertical="center" wrapText="1"/>
    </xf>
    <xf numFmtId="0" fontId="9" fillId="9" borderId="22" xfId="0" applyFont="1" applyFill="1" applyBorder="1" applyAlignment="1">
      <alignment horizontal="center" vertical="center" wrapText="1"/>
    </xf>
    <xf numFmtId="169" fontId="5" fillId="9" borderId="22" xfId="0" applyNumberFormat="1" applyFont="1" applyFill="1" applyBorder="1" applyAlignment="1">
      <alignment horizontal="center" vertical="center" wrapText="1"/>
    </xf>
    <xf numFmtId="3" fontId="5" fillId="9" borderId="19" xfId="0" applyNumberFormat="1" applyFont="1" applyFill="1" applyBorder="1" applyAlignment="1">
      <alignment horizontal="center" vertical="center" wrapText="1"/>
    </xf>
    <xf numFmtId="0" fontId="3" fillId="11" borderId="0" xfId="0" applyFont="1" applyFill="1" applyBorder="1" applyAlignment="1">
      <alignment horizontal="center" vertical="center" wrapText="1"/>
    </xf>
    <xf numFmtId="0" fontId="3" fillId="11" borderId="45" xfId="0" applyFont="1" applyFill="1" applyBorder="1" applyAlignment="1">
      <alignment vertical="center"/>
    </xf>
    <xf numFmtId="0" fontId="3" fillId="11" borderId="7" xfId="0" applyFont="1" applyFill="1" applyBorder="1" applyAlignment="1">
      <alignment vertical="center"/>
    </xf>
    <xf numFmtId="0" fontId="2" fillId="11" borderId="7" xfId="0" applyFont="1" applyFill="1" applyBorder="1" applyAlignment="1">
      <alignment horizontal="center" vertical="center"/>
    </xf>
    <xf numFmtId="1" fontId="2" fillId="0" borderId="0" xfId="0" applyNumberFormat="1" applyFont="1" applyFill="1" applyBorder="1" applyAlignment="1">
      <alignment horizontal="center" vertical="center" wrapText="1"/>
    </xf>
    <xf numFmtId="43" fontId="5" fillId="2" borderId="13" xfId="3" applyFont="1" applyFill="1" applyBorder="1" applyAlignment="1">
      <alignment horizontal="center" vertical="center" wrapText="1"/>
    </xf>
    <xf numFmtId="0" fontId="9" fillId="2" borderId="34" xfId="0"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9" fillId="2" borderId="36" xfId="0" applyFont="1" applyFill="1" applyBorder="1" applyAlignment="1">
      <alignment horizontal="center" vertical="center" wrapText="1"/>
    </xf>
    <xf numFmtId="0" fontId="5" fillId="0" borderId="33" xfId="0" applyFont="1" applyFill="1" applyBorder="1" applyAlignment="1">
      <alignment horizontal="center" vertical="center" wrapText="1"/>
    </xf>
    <xf numFmtId="43" fontId="5" fillId="2" borderId="5" xfId="3" applyFont="1" applyFill="1" applyBorder="1" applyAlignment="1">
      <alignment horizontal="center" vertical="center" wrapText="1"/>
    </xf>
    <xf numFmtId="43" fontId="9" fillId="2" borderId="5" xfId="3" applyFont="1" applyFill="1" applyBorder="1" applyAlignment="1">
      <alignment horizontal="center" vertical="center" wrapText="1"/>
    </xf>
    <xf numFmtId="0" fontId="5" fillId="0" borderId="8" xfId="0" applyFont="1" applyFill="1" applyBorder="1" applyAlignment="1">
      <alignment horizontal="justify" vertical="center" wrapText="1"/>
    </xf>
    <xf numFmtId="9" fontId="5" fillId="0" borderId="0" xfId="0" applyNumberFormat="1" applyFont="1" applyFill="1" applyBorder="1" applyAlignment="1">
      <alignment horizontal="center" vertical="center" wrapText="1"/>
    </xf>
    <xf numFmtId="0" fontId="5" fillId="2" borderId="6" xfId="0" applyFont="1" applyFill="1" applyBorder="1" applyAlignment="1">
      <alignment horizontal="justify" vertical="center" wrapText="1"/>
    </xf>
    <xf numFmtId="0" fontId="9" fillId="0" borderId="32" xfId="0" applyFont="1" applyFill="1" applyBorder="1" applyAlignment="1">
      <alignment horizontal="center" vertical="center" wrapText="1"/>
    </xf>
    <xf numFmtId="0" fontId="5" fillId="2" borderId="35" xfId="0" applyFont="1" applyFill="1" applyBorder="1" applyAlignment="1">
      <alignment horizontal="justify" vertical="center" wrapText="1"/>
    </xf>
    <xf numFmtId="0" fontId="5" fillId="2" borderId="27" xfId="0" applyFont="1" applyFill="1" applyBorder="1" applyAlignment="1">
      <alignment horizontal="left" vertical="center" wrapText="1"/>
    </xf>
    <xf numFmtId="43" fontId="5" fillId="2" borderId="13" xfId="3" applyFont="1" applyFill="1" applyBorder="1" applyAlignment="1">
      <alignment horizontal="right" vertical="center" wrapText="1"/>
    </xf>
    <xf numFmtId="0" fontId="9" fillId="2" borderId="5" xfId="0" applyFont="1" applyFill="1" applyBorder="1" applyAlignment="1">
      <alignment horizontal="justify" vertical="center" wrapText="1"/>
    </xf>
    <xf numFmtId="43" fontId="9" fillId="2" borderId="13" xfId="3"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5" fillId="0" borderId="6" xfId="0" applyFont="1" applyFill="1" applyBorder="1" applyAlignment="1">
      <alignment horizontal="justify" vertical="center" wrapText="1"/>
    </xf>
    <xf numFmtId="43" fontId="5" fillId="0" borderId="25" xfId="3"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5" fillId="0" borderId="18" xfId="0" applyFont="1" applyFill="1" applyBorder="1" applyAlignment="1">
      <alignment horizontal="justify" vertical="center" wrapText="1"/>
    </xf>
    <xf numFmtId="0" fontId="8" fillId="0" borderId="34" xfId="0" applyFont="1" applyFill="1" applyBorder="1" applyAlignment="1" applyProtection="1">
      <alignment horizontal="justify" vertical="center" wrapText="1"/>
      <protection locked="0"/>
    </xf>
    <xf numFmtId="0" fontId="9" fillId="2" borderId="13" xfId="0" applyFont="1" applyFill="1" applyBorder="1" applyAlignment="1">
      <alignment horizontal="justify" vertical="center" wrapText="1"/>
    </xf>
    <xf numFmtId="43" fontId="9" fillId="2" borderId="25" xfId="3" applyFont="1" applyFill="1" applyBorder="1" applyAlignment="1">
      <alignment horizontal="center" vertical="center" wrapText="1"/>
    </xf>
    <xf numFmtId="0" fontId="9" fillId="2" borderId="8" xfId="0" applyFont="1" applyFill="1" applyBorder="1" applyAlignment="1">
      <alignment horizontal="justify" vertical="center" wrapText="1"/>
    </xf>
    <xf numFmtId="43" fontId="9" fillId="2" borderId="14" xfId="3" applyFont="1" applyFill="1" applyBorder="1" applyAlignment="1">
      <alignment horizontal="center" vertical="center" wrapText="1"/>
    </xf>
    <xf numFmtId="0" fontId="3" fillId="11" borderId="46" xfId="0" applyFont="1" applyFill="1" applyBorder="1" applyAlignment="1">
      <alignment vertical="center"/>
    </xf>
    <xf numFmtId="0" fontId="3" fillId="11" borderId="46" xfId="0" applyFont="1" applyFill="1" applyBorder="1" applyAlignment="1">
      <alignment horizontal="justify" vertical="center"/>
    </xf>
    <xf numFmtId="0" fontId="2" fillId="11" borderId="46" xfId="0" applyFont="1" applyFill="1" applyBorder="1" applyAlignment="1">
      <alignment horizontal="center" vertical="center"/>
    </xf>
    <xf numFmtId="0" fontId="2" fillId="11" borderId="46" xfId="0" applyFont="1" applyFill="1" applyBorder="1" applyAlignment="1">
      <alignment vertical="center"/>
    </xf>
    <xf numFmtId="0" fontId="2" fillId="11" borderId="21" xfId="0" applyFont="1" applyFill="1" applyBorder="1" applyAlignment="1">
      <alignment horizontal="justify" vertical="center"/>
    </xf>
    <xf numFmtId="43" fontId="5" fillId="0" borderId="14" xfId="3" applyFont="1" applyFill="1" applyBorder="1" applyAlignment="1">
      <alignment horizontal="center" vertical="center" wrapText="1"/>
    </xf>
    <xf numFmtId="0" fontId="5" fillId="0" borderId="33" xfId="0" applyFont="1" applyFill="1" applyBorder="1" applyAlignment="1">
      <alignment horizontal="justify" vertical="center" wrapText="1"/>
    </xf>
    <xf numFmtId="0" fontId="5" fillId="2" borderId="5" xfId="0" applyFont="1" applyFill="1" applyBorder="1" applyAlignment="1">
      <alignment horizontal="justify" vertical="center" wrapText="1"/>
    </xf>
    <xf numFmtId="1" fontId="5" fillId="0" borderId="19" xfId="0" applyNumberFormat="1" applyFont="1" applyFill="1" applyBorder="1" applyAlignment="1">
      <alignment horizontal="center" vertical="center" wrapText="1"/>
    </xf>
    <xf numFmtId="0" fontId="5" fillId="0" borderId="32" xfId="0" applyFont="1" applyFill="1" applyBorder="1" applyAlignment="1">
      <alignment horizontal="justify" vertical="center" wrapText="1"/>
    </xf>
    <xf numFmtId="0" fontId="5" fillId="0" borderId="16" xfId="0" applyFont="1" applyFill="1" applyBorder="1" applyAlignment="1">
      <alignment horizontal="center" vertical="center" wrapText="1"/>
    </xf>
    <xf numFmtId="0" fontId="3" fillId="11" borderId="46" xfId="0" applyFont="1" applyFill="1" applyBorder="1" applyAlignment="1">
      <alignment horizontal="left" vertical="center" wrapText="1"/>
    </xf>
    <xf numFmtId="0" fontId="3" fillId="11" borderId="46" xfId="0" applyFont="1" applyFill="1" applyBorder="1" applyAlignment="1">
      <alignment horizontal="justify" vertical="center" wrapText="1"/>
    </xf>
    <xf numFmtId="43" fontId="2" fillId="11" borderId="16" xfId="3" applyFont="1" applyFill="1" applyBorder="1" applyAlignment="1">
      <alignment horizontal="center" vertical="center"/>
    </xf>
    <xf numFmtId="0" fontId="2" fillId="11" borderId="16" xfId="0" applyFont="1" applyFill="1" applyBorder="1" applyAlignment="1">
      <alignment horizontal="justify" vertical="center"/>
    </xf>
    <xf numFmtId="167" fontId="8" fillId="11" borderId="0" xfId="10" applyFont="1" applyFill="1" applyBorder="1" applyAlignment="1">
      <alignment horizontal="center" vertical="center"/>
    </xf>
    <xf numFmtId="0" fontId="2" fillId="11" borderId="16" xfId="0" applyFont="1" applyFill="1" applyBorder="1" applyAlignment="1">
      <alignment horizontal="center" vertical="center"/>
    </xf>
    <xf numFmtId="169" fontId="2" fillId="11" borderId="16" xfId="0" applyNumberFormat="1" applyFont="1" applyFill="1" applyBorder="1" applyAlignment="1">
      <alignment horizontal="center" vertical="center"/>
    </xf>
    <xf numFmtId="0" fontId="2" fillId="11" borderId="43" xfId="0" applyFont="1" applyFill="1" applyBorder="1" applyAlignment="1">
      <alignment horizontal="center" vertical="center"/>
    </xf>
    <xf numFmtId="0" fontId="5" fillId="0" borderId="13" xfId="0" applyFont="1" applyFill="1" applyBorder="1" applyAlignment="1">
      <alignment horizontal="justify" vertical="center" wrapText="1"/>
    </xf>
    <xf numFmtId="0" fontId="5" fillId="2" borderId="12" xfId="0" applyFont="1" applyFill="1" applyBorder="1" applyAlignment="1">
      <alignment vertical="center" wrapText="1"/>
    </xf>
    <xf numFmtId="43" fontId="9" fillId="2" borderId="2" xfId="3" applyFont="1" applyFill="1" applyBorder="1" applyAlignment="1">
      <alignment horizontal="center" vertical="center" wrapText="1"/>
    </xf>
    <xf numFmtId="1" fontId="5" fillId="2" borderId="36"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1" fontId="5" fillId="2" borderId="27" xfId="0" applyNumberFormat="1" applyFont="1" applyFill="1" applyBorder="1" applyAlignment="1">
      <alignment horizontal="center" vertical="center" wrapText="1"/>
    </xf>
    <xf numFmtId="43" fontId="5" fillId="0" borderId="40" xfId="3" applyFont="1" applyFill="1" applyBorder="1" applyAlignment="1">
      <alignment horizontal="center" vertical="center" wrapText="1"/>
    </xf>
    <xf numFmtId="1" fontId="2" fillId="7" borderId="8" xfId="0" applyNumberFormat="1" applyFont="1" applyFill="1" applyBorder="1" applyAlignment="1">
      <alignment horizontal="center" vertical="center" wrapText="1"/>
    </xf>
    <xf numFmtId="0" fontId="2" fillId="7" borderId="16" xfId="0" applyFont="1" applyFill="1" applyBorder="1" applyAlignment="1">
      <alignment horizontal="center" vertical="center"/>
    </xf>
    <xf numFmtId="0" fontId="2" fillId="7" borderId="16" xfId="0" applyFont="1" applyFill="1" applyBorder="1" applyAlignment="1">
      <alignment horizontal="justify" vertical="center"/>
    </xf>
    <xf numFmtId="171" fontId="2" fillId="7" borderId="16" xfId="0" applyNumberFormat="1" applyFont="1" applyFill="1" applyBorder="1" applyAlignment="1">
      <alignment horizontal="center" vertical="center"/>
    </xf>
    <xf numFmtId="43" fontId="2" fillId="7" borderId="16" xfId="3" applyFont="1" applyFill="1" applyBorder="1" applyAlignment="1">
      <alignment horizontal="center" vertical="center"/>
    </xf>
    <xf numFmtId="0" fontId="2" fillId="7" borderId="21" xfId="0" applyFont="1" applyFill="1" applyBorder="1" applyAlignment="1">
      <alignment horizontal="center" vertical="center"/>
    </xf>
    <xf numFmtId="1" fontId="2" fillId="7" borderId="21" xfId="0" applyNumberFormat="1" applyFont="1" applyFill="1" applyBorder="1" applyAlignment="1">
      <alignment horizontal="center" vertical="center"/>
    </xf>
    <xf numFmtId="169" fontId="2" fillId="7" borderId="21" xfId="0" applyNumberFormat="1" applyFont="1" applyFill="1" applyBorder="1" applyAlignment="1">
      <alignment horizontal="center" vertical="center"/>
    </xf>
    <xf numFmtId="0" fontId="2" fillId="7" borderId="31" xfId="0" applyFont="1" applyFill="1" applyBorder="1" applyAlignment="1">
      <alignment horizontal="center" vertical="center"/>
    </xf>
    <xf numFmtId="0" fontId="3" fillId="9" borderId="59" xfId="0" applyFont="1" applyFill="1" applyBorder="1" applyAlignment="1">
      <alignment horizontal="center" vertical="center" wrapText="1"/>
    </xf>
    <xf numFmtId="43" fontId="2" fillId="9" borderId="0" xfId="3" applyFont="1" applyFill="1" applyBorder="1" applyAlignment="1">
      <alignment horizontal="center" vertical="center"/>
    </xf>
    <xf numFmtId="0" fontId="2" fillId="9" borderId="17" xfId="0" applyFont="1" applyFill="1" applyBorder="1" applyAlignment="1">
      <alignment horizontal="center" vertical="center"/>
    </xf>
    <xf numFmtId="1" fontId="2" fillId="0" borderId="0"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0" fontId="8" fillId="11" borderId="22" xfId="0" applyFont="1" applyFill="1" applyBorder="1" applyAlignment="1">
      <alignment horizontal="center" vertical="center"/>
    </xf>
    <xf numFmtId="1" fontId="2" fillId="0" borderId="13" xfId="0" applyNumberFormat="1" applyFont="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vertical="center"/>
    </xf>
    <xf numFmtId="0" fontId="3" fillId="9" borderId="7" xfId="0" applyFont="1" applyFill="1" applyBorder="1" applyAlignment="1">
      <alignment vertical="center"/>
    </xf>
    <xf numFmtId="0" fontId="3" fillId="9" borderId="7" xfId="0" applyFont="1" applyFill="1" applyBorder="1" applyAlignment="1">
      <alignment horizontal="justify" vertical="center"/>
    </xf>
    <xf numFmtId="0" fontId="5" fillId="9" borderId="22" xfId="0" applyFont="1" applyFill="1" applyBorder="1" applyAlignment="1">
      <alignment horizontal="justify" vertical="center" wrapText="1"/>
    </xf>
    <xf numFmtId="3" fontId="5" fillId="9" borderId="22" xfId="0" applyNumberFormat="1" applyFont="1" applyFill="1" applyBorder="1" applyAlignment="1">
      <alignment horizontal="justify" vertical="center" wrapText="1"/>
    </xf>
    <xf numFmtId="14" fontId="5" fillId="9" borderId="22" xfId="0" applyNumberFormat="1" applyFont="1" applyFill="1" applyBorder="1" applyAlignment="1">
      <alignment horizontal="center" vertical="center" wrapText="1"/>
    </xf>
    <xf numFmtId="1" fontId="5" fillId="9" borderId="19" xfId="0" applyNumberFormat="1" applyFont="1" applyFill="1" applyBorder="1" applyAlignment="1">
      <alignment horizontal="center" vertical="center" wrapText="1"/>
    </xf>
    <xf numFmtId="0" fontId="3" fillId="11" borderId="60"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2" fillId="7" borderId="21" xfId="0" applyFont="1" applyFill="1" applyBorder="1" applyAlignment="1">
      <alignment horizontal="justify" vertical="center"/>
    </xf>
    <xf numFmtId="171" fontId="2" fillId="7" borderId="21" xfId="0" applyNumberFormat="1" applyFont="1" applyFill="1" applyBorder="1" applyAlignment="1">
      <alignment horizontal="center" vertical="center"/>
    </xf>
    <xf numFmtId="43" fontId="2" fillId="7" borderId="21" xfId="3" applyFont="1" applyFill="1" applyBorder="1" applyAlignment="1">
      <alignment horizontal="center" vertical="center"/>
    </xf>
    <xf numFmtId="1" fontId="2" fillId="7" borderId="16" xfId="0" applyNumberFormat="1" applyFont="1" applyFill="1" applyBorder="1" applyAlignment="1">
      <alignment horizontal="center" vertical="center"/>
    </xf>
    <xf numFmtId="0" fontId="2" fillId="0" borderId="7" xfId="0" applyFont="1" applyFill="1" applyBorder="1" applyAlignment="1">
      <alignment horizontal="center" vertical="center"/>
    </xf>
    <xf numFmtId="0" fontId="3" fillId="9" borderId="41" xfId="0" applyFont="1" applyFill="1" applyBorder="1" applyAlignment="1">
      <alignment horizontal="center" vertical="center" wrapText="1"/>
    </xf>
    <xf numFmtId="0" fontId="2" fillId="9" borderId="7" xfId="0" applyFont="1" applyFill="1" applyBorder="1" applyAlignment="1">
      <alignment horizontal="justify" vertical="center"/>
    </xf>
    <xf numFmtId="0" fontId="3" fillId="11" borderId="31" xfId="0" applyFont="1" applyFill="1" applyBorder="1" applyAlignment="1">
      <alignment horizontal="center" vertical="center" wrapText="1"/>
    </xf>
    <xf numFmtId="0" fontId="8" fillId="11" borderId="46" xfId="0" applyFont="1" applyFill="1" applyBorder="1" applyAlignment="1">
      <alignment horizontal="justify" vertical="center"/>
    </xf>
    <xf numFmtId="0" fontId="8" fillId="11" borderId="46" xfId="0" applyFont="1" applyFill="1" applyBorder="1" applyAlignment="1">
      <alignment horizontal="left" vertical="center"/>
    </xf>
    <xf numFmtId="0" fontId="3" fillId="11" borderId="21" xfId="0" applyFont="1" applyFill="1" applyBorder="1" applyAlignment="1">
      <alignment horizontal="justify" vertical="center" wrapText="1"/>
    </xf>
    <xf numFmtId="43" fontId="3" fillId="11" borderId="21" xfId="3"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9" fillId="13" borderId="5" xfId="0" applyFont="1" applyFill="1" applyBorder="1" applyAlignment="1">
      <alignment horizontal="justify" vertical="center" wrapText="1"/>
    </xf>
    <xf numFmtId="43" fontId="9" fillId="13" borderId="25" xfId="3" applyFont="1" applyFill="1" applyBorder="1" applyAlignment="1">
      <alignment horizontal="center" vertical="center" wrapText="1"/>
    </xf>
    <xf numFmtId="3" fontId="5" fillId="0" borderId="32" xfId="0" applyNumberFormat="1" applyFont="1" applyFill="1" applyBorder="1" applyAlignment="1">
      <alignment horizontal="justify" vertical="center" wrapText="1"/>
    </xf>
    <xf numFmtId="0" fontId="8" fillId="2" borderId="5" xfId="0" applyFont="1" applyFill="1" applyBorder="1" applyAlignment="1">
      <alignment horizontal="justify" vertical="center" wrapText="1"/>
    </xf>
    <xf numFmtId="43" fontId="8" fillId="2" borderId="13" xfId="3" applyFont="1" applyFill="1" applyBorder="1" applyAlignment="1">
      <alignment horizontal="center" vertical="center" wrapText="1"/>
    </xf>
    <xf numFmtId="43" fontId="3" fillId="11" borderId="21" xfId="3" applyFont="1" applyFill="1" applyBorder="1" applyAlignment="1">
      <alignment horizontal="center" vertical="center"/>
    </xf>
    <xf numFmtId="43" fontId="5" fillId="11" borderId="21" xfId="3" applyFont="1" applyFill="1" applyBorder="1" applyAlignment="1">
      <alignment horizontal="center" vertical="center" wrapText="1"/>
    </xf>
    <xf numFmtId="1" fontId="5" fillId="11" borderId="22" xfId="0" applyNumberFormat="1" applyFont="1" applyFill="1" applyBorder="1" applyAlignment="1">
      <alignment horizontal="center" vertical="center" wrapText="1"/>
    </xf>
    <xf numFmtId="1" fontId="5" fillId="11" borderId="21" xfId="0" applyNumberFormat="1" applyFont="1" applyFill="1" applyBorder="1" applyAlignment="1">
      <alignment horizontal="center" vertical="center" wrapText="1"/>
    </xf>
    <xf numFmtId="14" fontId="5" fillId="11" borderId="21" xfId="0" applyNumberFormat="1" applyFont="1" applyFill="1" applyBorder="1" applyAlignment="1">
      <alignment horizontal="center" vertical="center" wrapText="1"/>
    </xf>
    <xf numFmtId="1" fontId="5" fillId="11" borderId="31"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 fillId="0" borderId="25" xfId="0" applyNumberFormat="1" applyFont="1" applyBorder="1" applyAlignment="1">
      <alignment horizontal="center" vertical="center" wrapText="1"/>
    </xf>
    <xf numFmtId="0" fontId="2" fillId="4" borderId="27"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21" xfId="0" applyFont="1" applyFill="1" applyBorder="1" applyAlignment="1">
      <alignment horizontal="center" vertical="center"/>
    </xf>
    <xf numFmtId="171" fontId="2" fillId="4" borderId="21" xfId="0" applyNumberFormat="1" applyFont="1" applyFill="1" applyBorder="1" applyAlignment="1">
      <alignment horizontal="center" vertical="center"/>
    </xf>
    <xf numFmtId="1" fontId="2" fillId="4" borderId="16" xfId="0" applyNumberFormat="1" applyFont="1" applyFill="1" applyBorder="1" applyAlignment="1">
      <alignment horizontal="center" vertical="center"/>
    </xf>
    <xf numFmtId="169" fontId="2" fillId="4" borderId="21" xfId="0" applyNumberFormat="1" applyFont="1" applyFill="1" applyBorder="1" applyAlignment="1">
      <alignment horizontal="center" vertical="center"/>
    </xf>
    <xf numFmtId="0" fontId="2" fillId="4" borderId="31" xfId="0" applyFont="1" applyFill="1" applyBorder="1" applyAlignment="1">
      <alignment horizontal="center" vertical="center"/>
    </xf>
    <xf numFmtId="170" fontId="2" fillId="2" borderId="0" xfId="0" applyNumberFormat="1" applyFont="1" applyFill="1" applyAlignment="1">
      <alignment horizontal="center" vertical="center"/>
    </xf>
    <xf numFmtId="0" fontId="27" fillId="2" borderId="0" xfId="0" applyFont="1" applyFill="1" applyAlignment="1">
      <alignment horizontal="center"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3" fillId="9" borderId="0" xfId="0" applyFont="1" applyFill="1" applyBorder="1" applyAlignment="1">
      <alignment horizontal="left" vertical="center"/>
    </xf>
    <xf numFmtId="0" fontId="9" fillId="0" borderId="12"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25" xfId="0" applyFont="1" applyBorder="1" applyAlignment="1">
      <alignment horizontal="justify" vertical="center" wrapText="1"/>
    </xf>
    <xf numFmtId="0" fontId="9" fillId="0" borderId="2" xfId="0" applyFont="1" applyBorder="1" applyAlignment="1">
      <alignment horizontal="justify" vertical="center" wrapText="1"/>
    </xf>
    <xf numFmtId="0" fontId="5" fillId="0" borderId="6"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3" fillId="9" borderId="22" xfId="0" applyFont="1" applyFill="1" applyBorder="1" applyAlignment="1">
      <alignment horizontal="left" vertical="center"/>
    </xf>
    <xf numFmtId="0" fontId="2" fillId="0" borderId="0" xfId="0" applyFont="1" applyAlignment="1">
      <alignment horizontal="center" vertical="center"/>
    </xf>
    <xf numFmtId="0" fontId="8" fillId="0" borderId="8" xfId="0" applyFont="1" applyBorder="1" applyAlignment="1">
      <alignment horizontal="center" vertical="center" wrapText="1"/>
    </xf>
    <xf numFmtId="0" fontId="2" fillId="0" borderId="2" xfId="4" applyFont="1" applyFill="1" applyBorder="1" applyAlignment="1">
      <alignment horizontal="center" vertical="center"/>
    </xf>
    <xf numFmtId="0" fontId="5" fillId="0" borderId="2" xfId="4" applyFont="1" applyFill="1" applyBorder="1" applyAlignment="1">
      <alignment horizontal="left" vertical="center"/>
    </xf>
    <xf numFmtId="14" fontId="6" fillId="0" borderId="4" xfId="0" applyNumberFormat="1" applyFont="1" applyFill="1" applyBorder="1" applyAlignment="1">
      <alignment horizontal="left" vertical="center" wrapText="1"/>
    </xf>
    <xf numFmtId="3" fontId="10" fillId="0" borderId="2" xfId="4" applyNumberFormat="1" applyFont="1" applyFill="1" applyBorder="1" applyAlignment="1">
      <alignment horizontal="center" vertical="center" wrapText="1"/>
    </xf>
    <xf numFmtId="4" fontId="2" fillId="0" borderId="5" xfId="0" applyNumberFormat="1" applyFont="1" applyBorder="1" applyAlignment="1">
      <alignment horizontal="center" vertical="center"/>
    </xf>
    <xf numFmtId="0" fontId="2" fillId="5" borderId="6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34" xfId="0" applyFont="1" applyFill="1" applyBorder="1" applyAlignment="1">
      <alignment horizontal="center" vertical="center" wrapText="1"/>
    </xf>
    <xf numFmtId="171" fontId="2" fillId="5" borderId="34" xfId="0" applyNumberFormat="1" applyFont="1" applyFill="1" applyBorder="1" applyAlignment="1">
      <alignment horizontal="center" vertical="center" wrapText="1"/>
    </xf>
    <xf numFmtId="170" fontId="2" fillId="5" borderId="34" xfId="0" applyNumberFormat="1" applyFont="1" applyFill="1" applyBorder="1" applyAlignment="1">
      <alignment horizontal="center" vertical="center" wrapText="1"/>
    </xf>
    <xf numFmtId="4" fontId="2" fillId="5" borderId="34" xfId="0" applyNumberFormat="1" applyFont="1" applyFill="1" applyBorder="1" applyAlignment="1">
      <alignment horizontal="center" vertical="center" wrapText="1"/>
    </xf>
    <xf numFmtId="0" fontId="2" fillId="5" borderId="35" xfId="0" applyFont="1" applyFill="1" applyBorder="1" applyAlignment="1">
      <alignment horizontal="center" vertical="center" wrapText="1"/>
    </xf>
    <xf numFmtId="1" fontId="2" fillId="7" borderId="30" xfId="0" applyNumberFormat="1" applyFont="1" applyFill="1" applyBorder="1" applyAlignment="1">
      <alignment horizontal="center" vertical="center" wrapText="1"/>
    </xf>
    <xf numFmtId="4" fontId="2" fillId="7" borderId="22" xfId="0" applyNumberFormat="1" applyFont="1" applyFill="1" applyBorder="1" applyAlignment="1">
      <alignment horizontal="center" vertical="center"/>
    </xf>
    <xf numFmtId="4" fontId="2" fillId="9" borderId="21" xfId="0" applyNumberFormat="1" applyFont="1" applyFill="1" applyBorder="1" applyAlignment="1">
      <alignment horizontal="center" vertical="center"/>
    </xf>
    <xf numFmtId="1" fontId="2" fillId="11" borderId="31" xfId="0" applyNumberFormat="1" applyFont="1" applyFill="1" applyBorder="1" applyAlignment="1">
      <alignment horizontal="center" vertical="center" wrapText="1" indent="1"/>
    </xf>
    <xf numFmtId="0" fontId="2" fillId="11" borderId="45" xfId="0" applyFont="1" applyFill="1" applyBorder="1" applyAlignment="1">
      <alignment horizontal="left" vertical="center"/>
    </xf>
    <xf numFmtId="171" fontId="2" fillId="11" borderId="5" xfId="0" applyNumberFormat="1" applyFont="1" applyFill="1" applyBorder="1" applyAlignment="1">
      <alignment horizontal="center" vertical="center"/>
    </xf>
    <xf numFmtId="4" fontId="2" fillId="11" borderId="5" xfId="0" applyNumberFormat="1" applyFont="1" applyFill="1" applyBorder="1" applyAlignment="1">
      <alignment horizontal="center" vertical="center"/>
    </xf>
    <xf numFmtId="43" fontId="5" fillId="0" borderId="8" xfId="3" applyFont="1" applyFill="1" applyBorder="1" applyAlignment="1">
      <alignment horizontal="center" vertical="center" wrapText="1"/>
    </xf>
    <xf numFmtId="0" fontId="9" fillId="0" borderId="30" xfId="0" applyFont="1" applyFill="1" applyBorder="1" applyAlignment="1">
      <alignment horizontal="center" vertical="center" wrapText="1"/>
    </xf>
    <xf numFmtId="0" fontId="5" fillId="0" borderId="35" xfId="0" applyFont="1" applyFill="1" applyBorder="1" applyAlignment="1">
      <alignment horizontal="justify" vertical="center" wrapText="1"/>
    </xf>
    <xf numFmtId="0" fontId="5" fillId="0" borderId="6" xfId="0" applyFont="1" applyFill="1" applyBorder="1" applyAlignment="1">
      <alignment vertical="center" wrapText="1"/>
    </xf>
    <xf numFmtId="0" fontId="8" fillId="0" borderId="32" xfId="0" applyFont="1" applyFill="1" applyBorder="1" applyAlignment="1">
      <alignment vertical="center" wrapText="1"/>
    </xf>
    <xf numFmtId="0" fontId="8" fillId="0" borderId="13" xfId="0" applyFont="1" applyFill="1" applyBorder="1" applyAlignment="1">
      <alignment vertical="center" wrapText="1"/>
    </xf>
    <xf numFmtId="10" fontId="5" fillId="0" borderId="25" xfId="2" applyNumberFormat="1" applyFont="1" applyFill="1" applyBorder="1" applyAlignment="1">
      <alignment horizontal="center" vertical="center" wrapText="1"/>
    </xf>
    <xf numFmtId="0" fontId="5" fillId="0" borderId="35" xfId="0" applyFont="1" applyFill="1" applyBorder="1" applyAlignment="1">
      <alignment vertical="center" wrapText="1"/>
    </xf>
    <xf numFmtId="0" fontId="8" fillId="0" borderId="36" xfId="0" applyFont="1" applyFill="1" applyBorder="1" applyAlignment="1">
      <alignment vertical="center" wrapText="1"/>
    </xf>
    <xf numFmtId="10" fontId="5" fillId="0" borderId="2" xfId="2" applyNumberFormat="1" applyFont="1" applyFill="1" applyBorder="1" applyAlignment="1">
      <alignment horizontal="center" vertical="center" wrapText="1"/>
    </xf>
    <xf numFmtId="0" fontId="8" fillId="0" borderId="33" xfId="3" applyNumberFormat="1" applyFont="1" applyFill="1" applyBorder="1" applyAlignment="1">
      <alignment horizontal="center" vertical="center" wrapText="1"/>
    </xf>
    <xf numFmtId="0" fontId="5" fillId="0" borderId="18" xfId="0" applyFont="1" applyFill="1" applyBorder="1" applyAlignment="1">
      <alignment vertical="center" wrapText="1"/>
    </xf>
    <xf numFmtId="0" fontId="8" fillId="0" borderId="20" xfId="0" applyFont="1" applyFill="1" applyBorder="1" applyAlignment="1">
      <alignment vertical="center" wrapText="1"/>
    </xf>
    <xf numFmtId="10" fontId="5" fillId="0" borderId="12" xfId="2" applyNumberFormat="1" applyFont="1" applyFill="1" applyBorder="1" applyAlignment="1">
      <alignment horizontal="center" vertical="center" wrapText="1"/>
    </xf>
    <xf numFmtId="43" fontId="9" fillId="0" borderId="35" xfId="3" applyFont="1" applyFill="1" applyBorder="1" applyAlignment="1">
      <alignment horizontal="center" vertical="center"/>
    </xf>
    <xf numFmtId="43" fontId="9" fillId="0" borderId="35" xfId="3" applyFont="1" applyFill="1" applyBorder="1" applyAlignment="1">
      <alignment horizontal="center" vertical="center" wrapText="1"/>
    </xf>
    <xf numFmtId="43" fontId="9" fillId="0" borderId="18" xfId="3" applyFont="1" applyFill="1" applyBorder="1" applyAlignment="1">
      <alignment horizontal="center" vertical="center" wrapText="1"/>
    </xf>
    <xf numFmtId="43" fontId="5" fillId="0" borderId="31" xfId="3" applyFont="1" applyFill="1" applyBorder="1" applyAlignment="1">
      <alignment horizontal="center" vertical="center" wrapText="1"/>
    </xf>
    <xf numFmtId="1" fontId="5" fillId="0" borderId="31" xfId="0" applyNumberFormat="1" applyFont="1" applyFill="1" applyBorder="1" applyAlignment="1">
      <alignment horizontal="center" vertical="center" wrapText="1"/>
    </xf>
    <xf numFmtId="43" fontId="5" fillId="0" borderId="19" xfId="3" applyFont="1" applyFill="1" applyBorder="1" applyAlignment="1">
      <alignment horizontal="center" vertical="center" wrapText="1"/>
    </xf>
    <xf numFmtId="43" fontId="5" fillId="0" borderId="31" xfId="3" applyFont="1" applyFill="1" applyBorder="1" applyAlignment="1">
      <alignment horizontal="center" vertical="center"/>
    </xf>
    <xf numFmtId="0" fontId="2" fillId="11" borderId="21" xfId="0" applyFont="1" applyFill="1" applyBorder="1" applyAlignment="1">
      <alignment horizontal="center" vertical="center" wrapText="1"/>
    </xf>
    <xf numFmtId="0" fontId="2" fillId="11" borderId="46" xfId="0" applyFont="1" applyFill="1" applyBorder="1" applyAlignment="1">
      <alignment horizontal="left" vertical="center" wrapText="1"/>
    </xf>
    <xf numFmtId="0" fontId="2" fillId="11" borderId="46" xfId="0" applyFont="1" applyFill="1" applyBorder="1" applyAlignment="1">
      <alignment vertical="center" wrapText="1"/>
    </xf>
    <xf numFmtId="0" fontId="2" fillId="11" borderId="16" xfId="0" applyFont="1" applyFill="1" applyBorder="1" applyAlignment="1">
      <alignment horizontal="center" vertical="center" wrapText="1"/>
    </xf>
    <xf numFmtId="0" fontId="2" fillId="11" borderId="16" xfId="0" applyFont="1" applyFill="1" applyBorder="1" applyAlignment="1">
      <alignment horizontal="justify" vertical="center" wrapText="1"/>
    </xf>
    <xf numFmtId="43" fontId="2" fillId="11" borderId="16" xfId="3"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2" fillId="11" borderId="43"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vertical="center" wrapText="1"/>
    </xf>
    <xf numFmtId="9" fontId="5" fillId="0" borderId="25" xfId="2" applyFont="1" applyFill="1" applyBorder="1" applyAlignment="1">
      <alignment horizontal="center" vertical="center" wrapText="1"/>
    </xf>
    <xf numFmtId="0" fontId="2" fillId="4" borderId="5" xfId="0" applyFont="1" applyFill="1" applyBorder="1" applyAlignment="1">
      <alignment horizontal="center" vertical="center"/>
    </xf>
    <xf numFmtId="171" fontId="2" fillId="4" borderId="5" xfId="0" applyNumberFormat="1" applyFont="1" applyFill="1" applyBorder="1" applyAlignment="1">
      <alignment horizontal="center" vertical="center"/>
    </xf>
    <xf numFmtId="4" fontId="2" fillId="4" borderId="5" xfId="0" applyNumberFormat="1" applyFont="1" applyFill="1" applyBorder="1" applyAlignment="1">
      <alignment horizontal="center" vertical="center"/>
    </xf>
    <xf numFmtId="43" fontId="2" fillId="4" borderId="5" xfId="3" applyFont="1" applyFill="1" applyBorder="1" applyAlignment="1">
      <alignment horizontal="center" vertical="center"/>
    </xf>
    <xf numFmtId="1" fontId="2" fillId="4" borderId="5" xfId="0" applyNumberFormat="1" applyFont="1" applyFill="1" applyBorder="1" applyAlignment="1">
      <alignment horizontal="center" vertical="center"/>
    </xf>
    <xf numFmtId="169" fontId="2" fillId="4" borderId="5" xfId="0" applyNumberFormat="1" applyFont="1" applyFill="1" applyBorder="1" applyAlignment="1">
      <alignment horizontal="center" vertical="center"/>
    </xf>
    <xf numFmtId="0" fontId="2" fillId="4" borderId="6"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8" fillId="0" borderId="2" xfId="0" applyFont="1" applyBorder="1" applyAlignment="1">
      <alignment horizontal="center" vertical="center" wrapText="1"/>
    </xf>
    <xf numFmtId="0" fontId="8" fillId="2" borderId="12" xfId="0" applyFont="1" applyFill="1" applyBorder="1" applyAlignment="1">
      <alignment horizontal="justify" vertical="center" wrapText="1"/>
    </xf>
    <xf numFmtId="0" fontId="8" fillId="2" borderId="12"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25"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 xfId="0"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8" fillId="2" borderId="2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4" applyFont="1" applyBorder="1" applyAlignment="1">
      <alignment horizontal="center" vertical="center" wrapText="1"/>
    </xf>
    <xf numFmtId="0" fontId="8" fillId="0" borderId="34"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8" fillId="0" borderId="33" xfId="0" applyFont="1" applyFill="1" applyBorder="1" applyAlignment="1">
      <alignment horizontal="center" vertical="center" wrapText="1"/>
    </xf>
    <xf numFmtId="0" fontId="8" fillId="0" borderId="34" xfId="0" applyFont="1" applyBorder="1" applyAlignment="1">
      <alignment horizontal="justify" vertical="center" wrapText="1"/>
    </xf>
    <xf numFmtId="0" fontId="8" fillId="0" borderId="33" xfId="0" applyFont="1" applyBorder="1" applyAlignment="1">
      <alignment horizontal="justify" vertical="center" wrapText="1"/>
    </xf>
    <xf numFmtId="0" fontId="8" fillId="0" borderId="32" xfId="0" applyFont="1" applyBorder="1" applyAlignment="1">
      <alignment horizontal="justify"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Fill="1" applyBorder="1" applyAlignment="1">
      <alignment horizontal="center" vertical="center"/>
    </xf>
    <xf numFmtId="168" fontId="6" fillId="0" borderId="4" xfId="0" applyNumberFormat="1" applyFont="1" applyFill="1" applyBorder="1" applyAlignment="1">
      <alignment horizontal="left" vertical="center"/>
    </xf>
    <xf numFmtId="3" fontId="7" fillId="0" borderId="4" xfId="0" applyNumberFormat="1" applyFont="1" applyFill="1" applyBorder="1" applyAlignment="1">
      <alignment horizontal="center" vertical="center" wrapText="1"/>
    </xf>
    <xf numFmtId="3" fontId="2" fillId="0" borderId="0" xfId="0" applyNumberFormat="1" applyFont="1" applyBorder="1" applyAlignment="1">
      <alignment horizontal="center" vertical="center"/>
    </xf>
    <xf numFmtId="0" fontId="2" fillId="5" borderId="9" xfId="0" applyFont="1" applyFill="1" applyBorder="1" applyAlignment="1">
      <alignment horizontal="center" vertical="center" wrapText="1"/>
    </xf>
    <xf numFmtId="3" fontId="2" fillId="5" borderId="2" xfId="0" applyNumberFormat="1" applyFont="1" applyFill="1" applyBorder="1" applyAlignment="1">
      <alignment horizontal="center" vertical="center" textRotation="90" wrapText="1"/>
    </xf>
    <xf numFmtId="0" fontId="18" fillId="7" borderId="2" xfId="0" applyFont="1" applyFill="1" applyBorder="1" applyAlignment="1">
      <alignment horizontal="center" vertical="center" wrapText="1"/>
    </xf>
    <xf numFmtId="0" fontId="18" fillId="7" borderId="10" xfId="0" applyFont="1" applyFill="1" applyBorder="1" applyAlignment="1">
      <alignment horizontal="center" wrapText="1"/>
    </xf>
    <xf numFmtId="0" fontId="18" fillId="7" borderId="10" xfId="0" applyFont="1" applyFill="1" applyBorder="1" applyAlignment="1">
      <alignment horizontal="center" vertical="center" wrapText="1"/>
    </xf>
    <xf numFmtId="0" fontId="28" fillId="7" borderId="10" xfId="0" applyFont="1" applyFill="1" applyBorder="1" applyAlignment="1">
      <alignment horizontal="center" wrapText="1"/>
    </xf>
    <xf numFmtId="3" fontId="18" fillId="7" borderId="10" xfId="0" applyNumberFormat="1" applyFont="1" applyFill="1" applyBorder="1" applyAlignment="1">
      <alignment horizontal="center" wrapText="1"/>
    </xf>
    <xf numFmtId="0" fontId="18" fillId="7" borderId="35" xfId="0" applyFont="1" applyFill="1" applyBorder="1" applyAlignment="1">
      <alignment horizontal="center" wrapText="1"/>
    </xf>
    <xf numFmtId="0" fontId="18" fillId="0" borderId="11" xfId="0" applyFont="1" applyBorder="1" applyAlignment="1">
      <alignment horizontal="center" wrapText="1"/>
    </xf>
    <xf numFmtId="0" fontId="18" fillId="0" borderId="1" xfId="0" applyFont="1" applyBorder="1" applyAlignment="1">
      <alignment horizontal="center" wrapText="1"/>
    </xf>
    <xf numFmtId="0" fontId="3" fillId="9" borderId="0" xfId="0" applyFont="1" applyFill="1" applyBorder="1" applyAlignment="1">
      <alignment horizontal="center" vertical="center" wrapText="1"/>
    </xf>
    <xf numFmtId="0" fontId="18" fillId="9" borderId="0" xfId="0" applyFont="1" applyFill="1" applyBorder="1" applyAlignment="1">
      <alignment horizontal="center" wrapText="1"/>
    </xf>
    <xf numFmtId="0" fontId="18" fillId="9" borderId="0" xfId="0" applyFont="1" applyFill="1" applyBorder="1" applyAlignment="1">
      <alignment horizontal="center" vertical="center" wrapText="1"/>
    </xf>
    <xf numFmtId="0" fontId="28" fillId="9" borderId="0" xfId="0" applyFont="1" applyFill="1" applyBorder="1" applyAlignment="1">
      <alignment horizontal="center" wrapText="1"/>
    </xf>
    <xf numFmtId="3" fontId="18" fillId="9" borderId="0" xfId="0" applyNumberFormat="1" applyFont="1" applyFill="1" applyBorder="1" applyAlignment="1">
      <alignment horizontal="center" wrapText="1"/>
    </xf>
    <xf numFmtId="0" fontId="18" fillId="9" borderId="17" xfId="0" applyFont="1" applyFill="1" applyBorder="1" applyAlignment="1">
      <alignment horizontal="center" wrapText="1"/>
    </xf>
    <xf numFmtId="0" fontId="8" fillId="0" borderId="8" xfId="0" applyFont="1" applyBorder="1" applyAlignment="1">
      <alignment horizontal="center" wrapText="1"/>
    </xf>
    <xf numFmtId="0" fontId="3" fillId="0" borderId="0" xfId="0" applyFont="1" applyBorder="1" applyAlignment="1">
      <alignment horizontal="center" wrapText="1"/>
    </xf>
    <xf numFmtId="0" fontId="3" fillId="0" borderId="11" xfId="0" applyFont="1" applyBorder="1" applyAlignment="1">
      <alignment horizontal="center" wrapText="1"/>
    </xf>
    <xf numFmtId="0" fontId="3" fillId="0" borderId="18" xfId="0" applyFont="1" applyBorder="1" applyAlignment="1">
      <alignment horizontal="center" wrapText="1"/>
    </xf>
    <xf numFmtId="0" fontId="3" fillId="10" borderId="31" xfId="0" applyFont="1" applyFill="1" applyBorder="1" applyAlignment="1">
      <alignment horizontal="center" vertical="center" wrapText="1"/>
    </xf>
    <xf numFmtId="0" fontId="3" fillId="10" borderId="21" xfId="0" applyFont="1" applyFill="1" applyBorder="1" applyAlignment="1">
      <alignment horizontal="center" wrapText="1"/>
    </xf>
    <xf numFmtId="0" fontId="3" fillId="10" borderId="21" xfId="0" applyFont="1" applyFill="1" applyBorder="1" applyAlignment="1">
      <alignment horizontal="center" vertical="center" wrapText="1"/>
    </xf>
    <xf numFmtId="3" fontId="3" fillId="10" borderId="21" xfId="0" applyNumberFormat="1" applyFont="1" applyFill="1" applyBorder="1" applyAlignment="1">
      <alignment horizontal="center" wrapText="1"/>
    </xf>
    <xf numFmtId="3" fontId="8" fillId="10" borderId="21" xfId="0" applyNumberFormat="1" applyFont="1" applyFill="1" applyBorder="1" applyAlignment="1">
      <alignment horizontal="center" wrapText="1"/>
    </xf>
    <xf numFmtId="0" fontId="8" fillId="10" borderId="21" xfId="0" applyFont="1" applyFill="1" applyBorder="1" applyAlignment="1">
      <alignment horizontal="center" wrapText="1"/>
    </xf>
    <xf numFmtId="0" fontId="8" fillId="10" borderId="31" xfId="0" applyFont="1" applyFill="1" applyBorder="1" applyAlignment="1">
      <alignment horizontal="center" wrapText="1"/>
    </xf>
    <xf numFmtId="0" fontId="5" fillId="0" borderId="8" xfId="0" applyFont="1" applyBorder="1" applyAlignment="1">
      <alignment horizontal="center"/>
    </xf>
    <xf numFmtId="0" fontId="9" fillId="0" borderId="5" xfId="0" applyFont="1" applyBorder="1" applyAlignment="1">
      <alignment horizontal="justify" vertical="center" wrapText="1"/>
    </xf>
    <xf numFmtId="43" fontId="9" fillId="0" borderId="6" xfId="3" applyFont="1" applyBorder="1" applyAlignment="1">
      <alignment horizontal="center" vertical="center" wrapText="1"/>
    </xf>
    <xf numFmtId="0" fontId="9" fillId="0" borderId="2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justify" vertical="center" wrapText="1"/>
    </xf>
    <xf numFmtId="43" fontId="9" fillId="0" borderId="1" xfId="3"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3" fillId="19" borderId="0" xfId="0" applyFont="1" applyFill="1" applyBorder="1" applyAlignment="1">
      <alignment horizontal="center" vertical="center" wrapText="1"/>
    </xf>
    <xf numFmtId="0" fontId="3" fillId="9" borderId="15" xfId="0" applyFont="1" applyFill="1" applyBorder="1" applyAlignment="1">
      <alignment horizontal="center" vertical="center"/>
    </xf>
    <xf numFmtId="0" fontId="5" fillId="9" borderId="22" xfId="0" applyFont="1" applyFill="1" applyBorder="1" applyAlignment="1">
      <alignment horizontal="center" vertical="center"/>
    </xf>
    <xf numFmtId="0" fontId="9" fillId="9" borderId="22" xfId="0" applyFont="1" applyFill="1" applyBorder="1" applyAlignment="1">
      <alignment horizontal="justify" vertical="center" wrapText="1"/>
    </xf>
    <xf numFmtId="9" fontId="9" fillId="9" borderId="22" xfId="0" applyNumberFormat="1" applyFont="1" applyFill="1" applyBorder="1" applyAlignment="1">
      <alignment horizontal="center" vertical="center" wrapText="1"/>
    </xf>
    <xf numFmtId="167" fontId="9" fillId="9" borderId="22" xfId="19" applyFont="1" applyFill="1" applyBorder="1" applyAlignment="1">
      <alignment horizontal="center" vertical="center" wrapText="1"/>
    </xf>
    <xf numFmtId="176" fontId="9" fillId="9" borderId="22" xfId="0" applyNumberFormat="1" applyFont="1" applyFill="1" applyBorder="1" applyAlignment="1">
      <alignment horizontal="center" vertical="center" wrapText="1"/>
    </xf>
    <xf numFmtId="0" fontId="9" fillId="9" borderId="19" xfId="0" applyFont="1" applyFill="1" applyBorder="1" applyAlignment="1">
      <alignment horizontal="center" vertical="center" wrapText="1"/>
    </xf>
    <xf numFmtId="0" fontId="3" fillId="10" borderId="36" xfId="0" applyFont="1" applyFill="1" applyBorder="1" applyAlignment="1">
      <alignment vertical="center"/>
    </xf>
    <xf numFmtId="0" fontId="3" fillId="10" borderId="21" xfId="0" applyFont="1" applyFill="1" applyBorder="1" applyAlignment="1">
      <alignment vertical="center"/>
    </xf>
    <xf numFmtId="0" fontId="3" fillId="10" borderId="21" xfId="0" applyFont="1" applyFill="1" applyBorder="1" applyAlignment="1">
      <alignment horizontal="justify" vertical="center"/>
    </xf>
    <xf numFmtId="167" fontId="3" fillId="10" borderId="21" xfId="19" applyFont="1" applyFill="1" applyBorder="1" applyAlignment="1">
      <alignment horizontal="center" vertical="center" wrapText="1"/>
    </xf>
    <xf numFmtId="0" fontId="3" fillId="10" borderId="21" xfId="0" applyFont="1" applyFill="1" applyBorder="1" applyAlignment="1">
      <alignment horizontal="justify" vertical="center" wrapText="1"/>
    </xf>
    <xf numFmtId="3" fontId="3" fillId="10" borderId="21" xfId="0" applyNumberFormat="1" applyFont="1" applyFill="1" applyBorder="1" applyAlignment="1">
      <alignment horizontal="center" vertical="center" wrapText="1"/>
    </xf>
    <xf numFmtId="3" fontId="8" fillId="10" borderId="21" xfId="0" applyNumberFormat="1"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9" fillId="0" borderId="8" xfId="0" applyFont="1" applyBorder="1" applyAlignment="1">
      <alignment horizontal="center" wrapText="1"/>
    </xf>
    <xf numFmtId="0" fontId="9" fillId="0" borderId="0" xfId="0" applyFont="1" applyBorder="1" applyAlignment="1">
      <alignment horizontal="center" vertical="center" wrapText="1"/>
    </xf>
    <xf numFmtId="167" fontId="9" fillId="0" borderId="6" xfId="19" applyFont="1" applyBorder="1" applyAlignment="1">
      <alignment horizontal="center" vertical="center" wrapText="1"/>
    </xf>
    <xf numFmtId="0" fontId="9" fillId="0" borderId="13" xfId="0" applyFont="1" applyBorder="1" applyAlignment="1">
      <alignment horizontal="center" wrapText="1"/>
    </xf>
    <xf numFmtId="0" fontId="9" fillId="0" borderId="5" xfId="0" applyFont="1" applyBorder="1" applyAlignment="1">
      <alignment horizontal="center" vertical="center" wrapText="1"/>
    </xf>
    <xf numFmtId="0" fontId="9" fillId="0" borderId="7" xfId="0" applyFont="1" applyBorder="1" applyAlignment="1">
      <alignment horizontal="justify" vertical="center" wrapText="1"/>
    </xf>
    <xf numFmtId="167" fontId="9" fillId="0" borderId="14" xfId="19" applyFont="1" applyBorder="1" applyAlignment="1">
      <alignment horizontal="center" vertical="center" wrapText="1"/>
    </xf>
    <xf numFmtId="0" fontId="3" fillId="7" borderId="21" xfId="0" applyFont="1" applyFill="1" applyBorder="1" applyAlignment="1">
      <alignment horizontal="center" vertical="center" wrapText="1"/>
    </xf>
    <xf numFmtId="0" fontId="8" fillId="7" borderId="21" xfId="0" applyFont="1" applyFill="1" applyBorder="1" applyAlignment="1">
      <alignment horizontal="center" vertical="center" wrapText="1"/>
    </xf>
    <xf numFmtId="167" fontId="3" fillId="7" borderId="21" xfId="19" applyFont="1" applyFill="1" applyBorder="1" applyAlignment="1">
      <alignment horizontal="center" vertical="center" wrapText="1"/>
    </xf>
    <xf numFmtId="3" fontId="3" fillId="7" borderId="21" xfId="0" applyNumberFormat="1" applyFont="1" applyFill="1" applyBorder="1" applyAlignment="1">
      <alignment horizontal="center" vertical="center" wrapText="1"/>
    </xf>
    <xf numFmtId="3" fontId="8" fillId="7" borderId="21" xfId="0" applyNumberFormat="1" applyFont="1" applyFill="1" applyBorder="1" applyAlignment="1">
      <alignment horizontal="center" vertical="center" wrapText="1"/>
    </xf>
    <xf numFmtId="0" fontId="8" fillId="7" borderId="31" xfId="0" applyFont="1" applyFill="1" applyBorder="1" applyAlignment="1">
      <alignment horizontal="center" vertical="center" wrapText="1"/>
    </xf>
    <xf numFmtId="0" fontId="3" fillId="19" borderId="19" xfId="0" applyFont="1" applyFill="1" applyBorder="1" applyAlignment="1">
      <alignment horizontal="center" vertical="center" wrapText="1"/>
    </xf>
    <xf numFmtId="167" fontId="3" fillId="9" borderId="0" xfId="19" applyFont="1" applyFill="1" applyBorder="1" applyAlignment="1">
      <alignment horizontal="center" vertical="center" wrapText="1"/>
    </xf>
    <xf numFmtId="3" fontId="3" fillId="9" borderId="0" xfId="0" applyNumberFormat="1" applyFont="1" applyFill="1" applyBorder="1" applyAlignment="1">
      <alignment horizontal="center" vertical="center" wrapText="1"/>
    </xf>
    <xf numFmtId="3" fontId="8" fillId="9" borderId="0" xfId="0" applyNumberFormat="1" applyFont="1" applyFill="1" applyBorder="1" applyAlignment="1">
      <alignment horizontal="center" vertical="center" wrapText="1"/>
    </xf>
    <xf numFmtId="0" fontId="8" fillId="9" borderId="17" xfId="0" applyFont="1" applyFill="1" applyBorder="1" applyAlignment="1">
      <alignment horizontal="center" vertical="center" wrapText="1"/>
    </xf>
    <xf numFmtId="167" fontId="3" fillId="11" borderId="21" xfId="19" applyFont="1" applyFill="1" applyBorder="1" applyAlignment="1">
      <alignment horizontal="center" vertical="center" wrapText="1"/>
    </xf>
    <xf numFmtId="3" fontId="3" fillId="11" borderId="21" xfId="0" applyNumberFormat="1" applyFont="1" applyFill="1" applyBorder="1" applyAlignment="1">
      <alignment horizontal="center" vertical="center" wrapText="1"/>
    </xf>
    <xf numFmtId="3" fontId="8" fillId="11" borderId="21" xfId="0" applyNumberFormat="1" applyFont="1" applyFill="1" applyBorder="1" applyAlignment="1">
      <alignment horizontal="center" vertical="center" wrapText="1"/>
    </xf>
    <xf numFmtId="0" fontId="8" fillId="11" borderId="31"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0" xfId="0" applyAlignment="1">
      <alignment vertical="center"/>
    </xf>
    <xf numFmtId="0" fontId="9" fillId="0" borderId="33" xfId="0" applyFont="1" applyBorder="1" applyAlignment="1">
      <alignment horizontal="center" vertical="center" wrapText="1"/>
    </xf>
    <xf numFmtId="0" fontId="9" fillId="0" borderId="63" xfId="0" applyFont="1" applyBorder="1" applyAlignment="1">
      <alignment horizontal="justify" vertical="center" wrapText="1"/>
    </xf>
    <xf numFmtId="0" fontId="9" fillId="0" borderId="37" xfId="0" applyFont="1" applyBorder="1" applyAlignment="1">
      <alignment horizontal="center" vertical="center" wrapText="1"/>
    </xf>
    <xf numFmtId="0" fontId="9" fillId="0" borderId="37" xfId="0" applyFont="1" applyBorder="1" applyAlignment="1">
      <alignment horizontal="justify" vertical="center" wrapText="1"/>
    </xf>
    <xf numFmtId="10" fontId="9" fillId="0" borderId="37" xfId="0" applyNumberFormat="1" applyFont="1" applyBorder="1" applyAlignment="1">
      <alignment horizontal="center" vertical="center" wrapText="1"/>
    </xf>
    <xf numFmtId="167" fontId="9" fillId="0" borderId="35" xfId="19" applyFont="1" applyBorder="1" applyAlignment="1">
      <alignment horizontal="center" vertical="center" wrapText="1"/>
    </xf>
    <xf numFmtId="0" fontId="9" fillId="0" borderId="2" xfId="0" applyFont="1" applyBorder="1" applyAlignment="1">
      <alignment horizontal="center" vertical="center" wrapText="1"/>
    </xf>
    <xf numFmtId="0" fontId="9" fillId="0" borderId="35" xfId="0" applyFont="1" applyBorder="1" applyAlignment="1">
      <alignment horizontal="center" vertical="center" wrapText="1"/>
    </xf>
    <xf numFmtId="167" fontId="9" fillId="0" borderId="12" xfId="19" applyFont="1" applyBorder="1" applyAlignment="1">
      <alignment horizontal="center" vertical="center" wrapText="1"/>
    </xf>
    <xf numFmtId="0" fontId="9" fillId="0" borderId="12" xfId="0" applyFont="1" applyBorder="1" applyAlignment="1">
      <alignment horizontal="center" vertical="center" wrapText="1"/>
    </xf>
    <xf numFmtId="0" fontId="9" fillId="0" borderId="35" xfId="0" applyFont="1" applyBorder="1" applyAlignment="1">
      <alignment horizontal="justify" vertical="center" wrapText="1"/>
    </xf>
    <xf numFmtId="0" fontId="9" fillId="0" borderId="16" xfId="0" applyFont="1" applyBorder="1" applyAlignment="1">
      <alignment horizontal="center" vertical="center" wrapText="1"/>
    </xf>
    <xf numFmtId="0" fontId="18" fillId="20" borderId="5" xfId="0" applyFont="1" applyFill="1" applyBorder="1" applyAlignment="1">
      <alignment horizontal="center" vertical="center" wrapText="1"/>
    </xf>
    <xf numFmtId="167" fontId="18" fillId="20" borderId="5" xfId="19" applyFont="1" applyFill="1" applyBorder="1" applyAlignment="1">
      <alignment horizontal="center" vertical="center" wrapText="1"/>
    </xf>
    <xf numFmtId="0" fontId="28" fillId="20" borderId="5" xfId="0" applyFont="1" applyFill="1" applyBorder="1" applyAlignment="1">
      <alignment horizontal="center" vertical="center" wrapText="1"/>
    </xf>
    <xf numFmtId="3" fontId="18" fillId="20" borderId="5" xfId="0" applyNumberFormat="1" applyFont="1" applyFill="1" applyBorder="1" applyAlignment="1">
      <alignment horizontal="center" wrapText="1"/>
    </xf>
    <xf numFmtId="0" fontId="18" fillId="20" borderId="5" xfId="0" applyFont="1" applyFill="1" applyBorder="1" applyAlignment="1">
      <alignment horizontal="center" wrapText="1"/>
    </xf>
    <xf numFmtId="0" fontId="18" fillId="20" borderId="6" xfId="0" applyFont="1" applyFill="1" applyBorder="1" applyAlignment="1">
      <alignment horizontal="center" wrapText="1"/>
    </xf>
    <xf numFmtId="3" fontId="5" fillId="0" borderId="0" xfId="0" applyNumberFormat="1" applyFont="1" applyAlignment="1">
      <alignment horizontal="center"/>
    </xf>
    <xf numFmtId="0" fontId="8" fillId="2" borderId="0" xfId="0" applyFont="1" applyFill="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left" vertical="center" wrapText="1"/>
    </xf>
    <xf numFmtId="0" fontId="3" fillId="0" borderId="0" xfId="0" applyFont="1" applyBorder="1" applyAlignment="1">
      <alignment horizontal="justify" vertical="center" wrapText="1"/>
    </xf>
    <xf numFmtId="9" fontId="3" fillId="0" borderId="0" xfId="2"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1" fontId="3" fillId="5" borderId="18"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4" xfId="0" applyFont="1" applyFill="1" applyBorder="1" applyAlignment="1">
      <alignment horizontal="center" vertical="center" wrapText="1"/>
    </xf>
    <xf numFmtId="9" fontId="3" fillId="5" borderId="34" xfId="2" applyFont="1" applyFill="1" applyBorder="1" applyAlignment="1">
      <alignment horizontal="center" vertical="center" wrapText="1"/>
    </xf>
    <xf numFmtId="170" fontId="3" fillId="5" borderId="34" xfId="0" applyNumberFormat="1" applyFont="1" applyFill="1" applyBorder="1" applyAlignment="1">
      <alignment horizontal="center" vertical="center" wrapText="1"/>
    </xf>
    <xf numFmtId="1" fontId="3" fillId="5" borderId="12" xfId="0" applyNumberFormat="1" applyFont="1" applyFill="1" applyBorder="1" applyAlignment="1">
      <alignment horizontal="center" vertical="center" wrapText="1"/>
    </xf>
    <xf numFmtId="0" fontId="3" fillId="5" borderId="12" xfId="0" applyFont="1" applyFill="1" applyBorder="1" applyAlignment="1">
      <alignment horizontal="center" vertical="center" textRotation="90" wrapText="1"/>
    </xf>
    <xf numFmtId="49" fontId="3" fillId="5" borderId="12" xfId="0" applyNumberFormat="1" applyFont="1" applyFill="1" applyBorder="1" applyAlignment="1">
      <alignment horizontal="center" vertical="center" textRotation="90" wrapText="1"/>
    </xf>
    <xf numFmtId="0" fontId="3" fillId="5" borderId="11" xfId="0" applyFont="1" applyFill="1" applyBorder="1" applyAlignment="1">
      <alignment horizontal="center" vertical="center" textRotation="90" wrapText="1"/>
    </xf>
    <xf numFmtId="0" fontId="3" fillId="7" borderId="63" xfId="0" applyFont="1" applyFill="1" applyBorder="1" applyAlignment="1">
      <alignment horizontal="center" vertical="center" wrapText="1"/>
    </xf>
    <xf numFmtId="0" fontId="3" fillId="7" borderId="22" xfId="0" applyFont="1" applyFill="1" applyBorder="1" applyAlignment="1">
      <alignment horizontal="center" vertical="center"/>
    </xf>
    <xf numFmtId="0" fontId="3" fillId="7" borderId="22" xfId="0" applyFont="1" applyFill="1" applyBorder="1" applyAlignment="1">
      <alignment horizontal="justify" vertical="center" wrapText="1"/>
    </xf>
    <xf numFmtId="9" fontId="3" fillId="7" borderId="22" xfId="2" applyFont="1" applyFill="1" applyBorder="1" applyAlignment="1">
      <alignment horizontal="center" vertical="center"/>
    </xf>
    <xf numFmtId="170" fontId="3" fillId="7" borderId="22" xfId="0" applyNumberFormat="1" applyFont="1" applyFill="1" applyBorder="1" applyAlignment="1">
      <alignment horizontal="center" vertical="center"/>
    </xf>
    <xf numFmtId="1" fontId="3" fillId="7" borderId="22" xfId="0" applyNumberFormat="1" applyFont="1" applyFill="1" applyBorder="1" applyAlignment="1">
      <alignment horizontal="center" vertical="center"/>
    </xf>
    <xf numFmtId="169" fontId="3" fillId="7" borderId="22" xfId="0" applyNumberFormat="1" applyFont="1" applyFill="1" applyBorder="1" applyAlignment="1">
      <alignment horizontal="center" vertical="center"/>
    </xf>
    <xf numFmtId="0" fontId="3" fillId="7" borderId="19"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21" xfId="0" applyFont="1" applyFill="1" applyBorder="1" applyAlignment="1">
      <alignment horizontal="justify" vertical="center" wrapText="1"/>
    </xf>
    <xf numFmtId="0" fontId="3" fillId="9" borderId="21" xfId="0" applyFont="1" applyFill="1" applyBorder="1" applyAlignment="1">
      <alignment horizontal="center" vertical="center"/>
    </xf>
    <xf numFmtId="9" fontId="3" fillId="9" borderId="21" xfId="2" applyFont="1" applyFill="1" applyBorder="1" applyAlignment="1">
      <alignment horizontal="center" vertical="center"/>
    </xf>
    <xf numFmtId="170" fontId="3" fillId="9" borderId="21" xfId="0" applyNumberFormat="1" applyFont="1" applyFill="1" applyBorder="1" applyAlignment="1">
      <alignment horizontal="center" vertical="center"/>
    </xf>
    <xf numFmtId="1" fontId="3" fillId="9" borderId="21" xfId="0" applyNumberFormat="1" applyFont="1" applyFill="1" applyBorder="1" applyAlignment="1">
      <alignment horizontal="center" vertical="center"/>
    </xf>
    <xf numFmtId="169" fontId="3" fillId="9" borderId="21" xfId="0" applyNumberFormat="1" applyFont="1" applyFill="1" applyBorder="1" applyAlignment="1">
      <alignment horizontal="center" vertical="center"/>
    </xf>
    <xf numFmtId="0" fontId="3" fillId="9" borderId="31" xfId="0" applyFont="1" applyFill="1" applyBorder="1" applyAlignment="1">
      <alignment horizontal="center" vertical="center"/>
    </xf>
    <xf numFmtId="1" fontId="3" fillId="2" borderId="1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9" fontId="3" fillId="11" borderId="5" xfId="2" applyFont="1" applyFill="1" applyBorder="1" applyAlignment="1">
      <alignment horizontal="center" vertical="center"/>
    </xf>
    <xf numFmtId="170" fontId="3" fillId="11" borderId="5" xfId="0" applyNumberFormat="1" applyFont="1" applyFill="1" applyBorder="1" applyAlignment="1">
      <alignment horizontal="center" vertical="center"/>
    </xf>
    <xf numFmtId="0" fontId="3" fillId="11" borderId="5" xfId="0" applyFont="1" applyFill="1" applyBorder="1" applyAlignment="1">
      <alignment horizontal="justify" vertical="center" wrapText="1"/>
    </xf>
    <xf numFmtId="0" fontId="3" fillId="11" borderId="0" xfId="0" applyFont="1" applyFill="1" applyBorder="1" applyAlignment="1">
      <alignment horizontal="center" vertical="center"/>
    </xf>
    <xf numFmtId="1" fontId="3" fillId="11" borderId="5" xfId="0" applyNumberFormat="1" applyFont="1" applyFill="1" applyBorder="1" applyAlignment="1">
      <alignment horizontal="center" vertical="center"/>
    </xf>
    <xf numFmtId="0" fontId="3" fillId="11" borderId="5" xfId="0" applyFont="1" applyFill="1" applyBorder="1" applyAlignment="1">
      <alignment horizontal="center" vertical="center"/>
    </xf>
    <xf numFmtId="169" fontId="3" fillId="11" borderId="5" xfId="0" applyNumberFormat="1" applyFont="1" applyFill="1" applyBorder="1" applyAlignment="1">
      <alignment horizontal="center" vertical="center"/>
    </xf>
    <xf numFmtId="0" fontId="3" fillId="11" borderId="6" xfId="0" applyFont="1" applyFill="1" applyBorder="1" applyAlignment="1">
      <alignment horizontal="center" vertical="center"/>
    </xf>
    <xf numFmtId="1" fontId="3" fillId="2" borderId="8" xfId="0" applyNumberFormat="1" applyFont="1" applyFill="1" applyBorder="1" applyAlignment="1">
      <alignment horizontal="center" vertical="center" wrapText="1"/>
    </xf>
    <xf numFmtId="41" fontId="8" fillId="0" borderId="2" xfId="20" applyFont="1" applyFill="1" applyBorder="1" applyAlignment="1">
      <alignment horizontal="center" vertical="center" wrapText="1"/>
    </xf>
    <xf numFmtId="1" fontId="8" fillId="0" borderId="35"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9" fontId="8" fillId="0" borderId="12" xfId="2" applyFont="1" applyFill="1" applyBorder="1" applyAlignment="1">
      <alignment horizontal="center" vertical="center" wrapText="1"/>
    </xf>
    <xf numFmtId="170" fontId="8" fillId="0" borderId="12" xfId="0" applyNumberFormat="1" applyFont="1" applyFill="1" applyBorder="1" applyAlignment="1">
      <alignment horizontal="justify" vertical="center" wrapText="1"/>
    </xf>
    <xf numFmtId="41" fontId="8" fillId="0" borderId="12" xfId="20" applyFont="1" applyFill="1" applyBorder="1" applyAlignment="1">
      <alignment horizontal="center" vertical="center" wrapText="1"/>
    </xf>
    <xf numFmtId="1" fontId="8" fillId="0" borderId="18" xfId="0" applyNumberFormat="1" applyFont="1" applyFill="1" applyBorder="1" applyAlignment="1">
      <alignment horizontal="center" vertical="center" wrapText="1"/>
    </xf>
    <xf numFmtId="9" fontId="8" fillId="0" borderId="2" xfId="2" applyFont="1" applyFill="1" applyBorder="1" applyAlignment="1">
      <alignment horizontal="center" vertical="center" wrapText="1"/>
    </xf>
    <xf numFmtId="0" fontId="8" fillId="0" borderId="11" xfId="0" applyFont="1" applyFill="1" applyBorder="1" applyAlignment="1">
      <alignment horizontal="justify" vertical="center" wrapText="1"/>
    </xf>
    <xf numFmtId="0" fontId="3" fillId="11" borderId="10" xfId="0" applyFont="1" applyFill="1" applyBorder="1" applyAlignment="1">
      <alignment horizontal="justify" vertical="center" wrapText="1"/>
    </xf>
    <xf numFmtId="41" fontId="3" fillId="11" borderId="10" xfId="20" applyFont="1" applyFill="1" applyBorder="1" applyAlignment="1">
      <alignment horizontal="center" vertical="center" wrapText="1"/>
    </xf>
    <xf numFmtId="0" fontId="3" fillId="11" borderId="10" xfId="0" applyFont="1" applyFill="1" applyBorder="1" applyAlignment="1">
      <alignment horizontal="center" vertical="center" wrapText="1"/>
    </xf>
    <xf numFmtId="1" fontId="8" fillId="0" borderId="8" xfId="0" applyNumberFormat="1"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47" xfId="0" applyFont="1" applyBorder="1" applyAlignment="1">
      <alignment horizontal="center" vertical="center" wrapText="1"/>
    </xf>
    <xf numFmtId="0" fontId="8" fillId="0" borderId="37" xfId="0" applyFont="1" applyBorder="1" applyAlignment="1">
      <alignment horizontal="justify" vertical="center" wrapText="1"/>
    </xf>
    <xf numFmtId="0" fontId="8" fillId="0" borderId="37"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0" xfId="0" applyFont="1" applyBorder="1" applyAlignment="1">
      <alignment horizontal="center" vertical="center"/>
    </xf>
    <xf numFmtId="41" fontId="8" fillId="0" borderId="36" xfId="20" applyFont="1" applyFill="1" applyBorder="1" applyAlignment="1">
      <alignment horizontal="center" vertical="center"/>
    </xf>
    <xf numFmtId="1" fontId="8" fillId="0" borderId="34" xfId="0" applyNumberFormat="1" applyFont="1" applyFill="1" applyBorder="1" applyAlignment="1">
      <alignment horizontal="center" vertical="center" wrapText="1"/>
    </xf>
    <xf numFmtId="0" fontId="8" fillId="0" borderId="25" xfId="4" applyFont="1" applyBorder="1" applyAlignment="1">
      <alignment horizontal="center" vertical="center" wrapText="1"/>
    </xf>
    <xf numFmtId="9" fontId="8" fillId="0" borderId="25" xfId="2" applyFont="1" applyFill="1" applyBorder="1" applyAlignment="1">
      <alignment horizontal="center" vertical="center" wrapText="1"/>
    </xf>
    <xf numFmtId="41" fontId="8" fillId="0" borderId="13" xfId="20" applyFont="1" applyFill="1" applyBorder="1" applyAlignment="1">
      <alignment horizontal="center" vertical="center" wrapText="1"/>
    </xf>
    <xf numFmtId="0" fontId="8" fillId="0" borderId="9" xfId="0"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13" xfId="0" applyNumberFormat="1"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64" xfId="0" applyFont="1" applyBorder="1" applyAlignment="1">
      <alignment horizontal="center" vertical="center" wrapText="1"/>
    </xf>
    <xf numFmtId="0" fontId="8" fillId="0" borderId="65" xfId="0" applyFont="1" applyBorder="1" applyAlignment="1">
      <alignment horizontal="justify" vertical="center" wrapText="1"/>
    </xf>
    <xf numFmtId="0" fontId="8" fillId="0" borderId="65" xfId="0" applyFont="1" applyBorder="1" applyAlignment="1">
      <alignment horizontal="center" vertical="center" wrapText="1"/>
    </xf>
    <xf numFmtId="0" fontId="8" fillId="0" borderId="12" xfId="4" applyFont="1" applyBorder="1" applyAlignment="1">
      <alignment horizontal="center" vertical="center" wrapText="1"/>
    </xf>
    <xf numFmtId="0" fontId="3" fillId="7" borderId="40" xfId="0" applyFont="1" applyFill="1" applyBorder="1" applyAlignment="1">
      <alignment horizontal="center" vertical="center" wrapText="1"/>
    </xf>
    <xf numFmtId="0" fontId="3" fillId="7" borderId="0" xfId="0" applyFont="1" applyFill="1" applyBorder="1" applyAlignment="1">
      <alignment horizontal="justify" vertical="center" wrapText="1"/>
    </xf>
    <xf numFmtId="0" fontId="3" fillId="7" borderId="0" xfId="0" applyFont="1" applyFill="1" applyBorder="1" applyAlignment="1">
      <alignment horizontal="center" vertical="center" wrapText="1"/>
    </xf>
    <xf numFmtId="0" fontId="3" fillId="7" borderId="0" xfId="0" applyFont="1" applyFill="1" applyBorder="1" applyAlignment="1">
      <alignment horizontal="center" vertical="center"/>
    </xf>
    <xf numFmtId="41" fontId="3" fillId="7" borderId="22" xfId="20" applyFont="1" applyFill="1" applyBorder="1" applyAlignment="1">
      <alignment horizontal="center" vertical="center"/>
    </xf>
    <xf numFmtId="0" fontId="3" fillId="9" borderId="22" xfId="0" applyFont="1" applyFill="1" applyBorder="1" applyAlignment="1">
      <alignment horizontal="center" vertical="center" wrapText="1"/>
    </xf>
    <xf numFmtId="0" fontId="3" fillId="9" borderId="22" xfId="0" applyFont="1" applyFill="1" applyBorder="1" applyAlignment="1">
      <alignment horizontal="justify" vertical="center" wrapText="1"/>
    </xf>
    <xf numFmtId="0" fontId="3" fillId="9" borderId="22" xfId="0" applyFont="1" applyFill="1" applyBorder="1" applyAlignment="1">
      <alignment horizontal="center" vertical="center"/>
    </xf>
    <xf numFmtId="9" fontId="3" fillId="9" borderId="22" xfId="2" applyFont="1" applyFill="1" applyBorder="1" applyAlignment="1">
      <alignment horizontal="center" vertical="center"/>
    </xf>
    <xf numFmtId="170" fontId="3" fillId="9" borderId="22" xfId="0" applyNumberFormat="1" applyFont="1" applyFill="1" applyBorder="1" applyAlignment="1">
      <alignment horizontal="center" vertical="center"/>
    </xf>
    <xf numFmtId="41" fontId="3" fillId="9" borderId="21" xfId="20" applyFont="1" applyFill="1" applyBorder="1" applyAlignment="1">
      <alignment horizontal="center" vertical="center"/>
    </xf>
    <xf numFmtId="1" fontId="3" fillId="2" borderId="18" xfId="0" applyNumberFormat="1" applyFont="1" applyFill="1" applyBorder="1" applyAlignment="1">
      <alignment horizontal="center" vertical="center" wrapText="1"/>
    </xf>
    <xf numFmtId="41" fontId="3" fillId="11" borderId="5" xfId="20" applyFont="1" applyFill="1" applyBorder="1" applyAlignment="1">
      <alignment horizontal="center" vertical="center" wrapText="1"/>
    </xf>
    <xf numFmtId="0" fontId="3" fillId="11" borderId="5" xfId="0" applyFont="1" applyFill="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36" xfId="13" applyFont="1" applyFill="1" applyBorder="1" applyAlignment="1">
      <alignment horizontal="center" vertical="center" wrapText="1"/>
    </xf>
    <xf numFmtId="9" fontId="8" fillId="2" borderId="2" xfId="2" applyFont="1" applyFill="1" applyBorder="1" applyAlignment="1">
      <alignment horizontal="center" vertical="center" wrapText="1"/>
    </xf>
    <xf numFmtId="1" fontId="8" fillId="0" borderId="13" xfId="0" applyNumberFormat="1" applyFont="1" applyBorder="1" applyAlignment="1">
      <alignment horizontal="center" vertical="center" wrapText="1"/>
    </xf>
    <xf numFmtId="0" fontId="8" fillId="0" borderId="49"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20" xfId="13" applyFont="1" applyFill="1" applyBorder="1" applyAlignment="1">
      <alignment horizontal="center" vertical="center" wrapText="1"/>
    </xf>
    <xf numFmtId="9" fontId="8" fillId="2" borderId="12" xfId="2" applyFont="1" applyFill="1" applyBorder="1" applyAlignment="1">
      <alignment horizontal="center" vertical="center" wrapText="1"/>
    </xf>
    <xf numFmtId="9" fontId="8" fillId="0" borderId="12" xfId="2" applyFont="1" applyFill="1" applyBorder="1" applyAlignment="1">
      <alignment horizontal="justify" vertical="center" wrapText="1"/>
    </xf>
    <xf numFmtId="0" fontId="3" fillId="11" borderId="43" xfId="0" applyFont="1" applyFill="1" applyBorder="1" applyAlignment="1">
      <alignment horizontal="center" vertical="center"/>
    </xf>
    <xf numFmtId="1" fontId="8" fillId="0" borderId="32" xfId="4" applyNumberFormat="1" applyFont="1" applyBorder="1" applyAlignment="1">
      <alignment horizontal="center" vertical="center" wrapText="1"/>
    </xf>
    <xf numFmtId="0" fontId="8" fillId="0" borderId="27" xfId="4" applyFont="1" applyBorder="1" applyAlignment="1">
      <alignment horizontal="justify" vertical="center" wrapText="1"/>
    </xf>
    <xf numFmtId="0" fontId="8" fillId="2" borderId="34" xfId="0" applyFont="1" applyFill="1" applyBorder="1" applyAlignment="1">
      <alignment horizontal="center" vertical="center"/>
    </xf>
    <xf numFmtId="1" fontId="8" fillId="0" borderId="35" xfId="0" applyNumberFormat="1" applyFont="1" applyBorder="1" applyAlignment="1">
      <alignment horizontal="center" vertical="center" wrapText="1"/>
    </xf>
    <xf numFmtId="1" fontId="8" fillId="0" borderId="34" xfId="4" applyNumberFormat="1" applyFont="1" applyBorder="1" applyAlignment="1">
      <alignment horizontal="center" vertical="center" wrapText="1"/>
    </xf>
    <xf numFmtId="0" fontId="8" fillId="0" borderId="36" xfId="4" applyFont="1" applyBorder="1" applyAlignment="1">
      <alignment horizontal="justify" vertical="center" wrapText="1"/>
    </xf>
    <xf numFmtId="0" fontId="8" fillId="0" borderId="32" xfId="13" applyFont="1" applyFill="1" applyBorder="1" applyAlignment="1">
      <alignment horizontal="center" vertical="center" wrapText="1"/>
    </xf>
    <xf numFmtId="0" fontId="8" fillId="2" borderId="25" xfId="0" applyFont="1" applyFill="1" applyBorder="1" applyAlignment="1">
      <alignment horizontal="center" vertical="center"/>
    </xf>
    <xf numFmtId="170" fontId="8" fillId="2" borderId="2" xfId="0" applyNumberFormat="1" applyFont="1" applyFill="1" applyBorder="1" applyAlignment="1">
      <alignment horizontal="center" vertical="center" wrapText="1"/>
    </xf>
    <xf numFmtId="41" fontId="8" fillId="2" borderId="12" xfId="20"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9" fontId="8" fillId="0" borderId="2" xfId="0" applyNumberFormat="1" applyFont="1" applyBorder="1" applyAlignment="1">
      <alignment horizontal="center" vertical="center" wrapText="1"/>
    </xf>
    <xf numFmtId="1" fontId="8" fillId="21" borderId="10" xfId="0" applyNumberFormat="1" applyFont="1" applyFill="1" applyBorder="1" applyAlignment="1">
      <alignment horizontal="center" vertical="center"/>
    </xf>
    <xf numFmtId="0" fontId="8" fillId="21" borderId="10" xfId="0" applyFont="1" applyFill="1" applyBorder="1" applyAlignment="1">
      <alignment horizontal="center" vertical="center"/>
    </xf>
    <xf numFmtId="0" fontId="8" fillId="21" borderId="5" xfId="0" applyFont="1" applyFill="1" applyBorder="1" applyAlignment="1">
      <alignment horizontal="center" vertical="center"/>
    </xf>
    <xf numFmtId="0" fontId="8" fillId="21" borderId="5" xfId="0" applyFont="1" applyFill="1" applyBorder="1" applyAlignment="1">
      <alignment horizontal="justify" vertical="center" wrapText="1"/>
    </xf>
    <xf numFmtId="0" fontId="8" fillId="21" borderId="5" xfId="0" applyFont="1" applyFill="1" applyBorder="1" applyAlignment="1">
      <alignment horizontal="center" vertical="center" wrapText="1"/>
    </xf>
    <xf numFmtId="9" fontId="8" fillId="21" borderId="5" xfId="2" applyFont="1" applyFill="1" applyBorder="1" applyAlignment="1">
      <alignment horizontal="center" vertical="center"/>
    </xf>
    <xf numFmtId="170" fontId="3" fillId="21" borderId="5" xfId="0" applyNumberFormat="1" applyFont="1" applyFill="1" applyBorder="1" applyAlignment="1">
      <alignment horizontal="center" vertical="center"/>
    </xf>
    <xf numFmtId="0" fontId="3" fillId="21" borderId="68" xfId="0" applyFont="1" applyFill="1" applyBorder="1" applyAlignment="1">
      <alignment horizontal="justify" vertical="center" wrapText="1"/>
    </xf>
    <xf numFmtId="41" fontId="3" fillId="21" borderId="68" xfId="20" applyFont="1" applyFill="1" applyBorder="1" applyAlignment="1">
      <alignment horizontal="center" vertical="center"/>
    </xf>
    <xf numFmtId="170" fontId="8" fillId="21" borderId="5" xfId="0" applyNumberFormat="1" applyFont="1" applyFill="1" applyBorder="1" applyAlignment="1">
      <alignment horizontal="center" vertical="center"/>
    </xf>
    <xf numFmtId="1" fontId="8" fillId="21" borderId="5" xfId="0" applyNumberFormat="1" applyFont="1" applyFill="1" applyBorder="1" applyAlignment="1">
      <alignment horizontal="center" vertical="center"/>
    </xf>
    <xf numFmtId="169" fontId="8" fillId="21" borderId="5" xfId="0" applyNumberFormat="1" applyFont="1" applyFill="1" applyBorder="1" applyAlignment="1">
      <alignment horizontal="center" vertical="center"/>
    </xf>
    <xf numFmtId="0" fontId="8" fillId="21" borderId="35" xfId="0" applyFont="1" applyFill="1" applyBorder="1" applyAlignment="1">
      <alignment horizontal="center" vertical="center"/>
    </xf>
    <xf numFmtId="1" fontId="8" fillId="0" borderId="0" xfId="0" applyNumberFormat="1" applyFont="1" applyAlignment="1">
      <alignment horizontal="center" vertical="center"/>
    </xf>
    <xf numFmtId="0" fontId="8" fillId="2" borderId="0" xfId="0" applyFont="1" applyFill="1" applyAlignment="1">
      <alignment horizontal="justify" vertical="center" wrapText="1"/>
    </xf>
    <xf numFmtId="0" fontId="8" fillId="2" borderId="0" xfId="0" applyFont="1" applyFill="1" applyAlignment="1">
      <alignment horizontal="center" vertical="center" wrapText="1"/>
    </xf>
    <xf numFmtId="9" fontId="8" fillId="2" borderId="0" xfId="2" applyFont="1" applyFill="1" applyAlignment="1">
      <alignment horizontal="center" vertical="center"/>
    </xf>
    <xf numFmtId="170" fontId="8" fillId="2" borderId="0" xfId="0" applyNumberFormat="1" applyFont="1" applyFill="1" applyAlignment="1">
      <alignment horizontal="center" vertical="center"/>
    </xf>
    <xf numFmtId="1" fontId="8" fillId="2" borderId="0" xfId="0" applyNumberFormat="1" applyFont="1" applyFill="1" applyAlignment="1">
      <alignment horizontal="center" vertical="center"/>
    </xf>
    <xf numFmtId="169" fontId="8" fillId="0" borderId="0" xfId="0" applyNumberFormat="1"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8" fillId="0" borderId="34" xfId="0" applyFont="1" applyBorder="1" applyAlignment="1">
      <alignment horizontal="center" vertical="center" wrapText="1"/>
    </xf>
    <xf numFmtId="0" fontId="2" fillId="2" borderId="0" xfId="0" applyFont="1" applyFill="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8" fillId="0" borderId="12" xfId="0" applyFont="1" applyBorder="1" applyAlignment="1">
      <alignment horizontal="justify" vertical="center" wrapText="1"/>
    </xf>
    <xf numFmtId="0" fontId="8" fillId="0" borderId="25"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25" xfId="0" applyFont="1" applyBorder="1" applyAlignment="1">
      <alignment horizontal="center" vertical="center" wrapText="1"/>
    </xf>
    <xf numFmtId="0" fontId="8" fillId="2" borderId="25" xfId="0"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5" fillId="0" borderId="6" xfId="0" applyFont="1" applyBorder="1" applyAlignment="1">
      <alignment horizontal="center" vertical="center"/>
    </xf>
    <xf numFmtId="3" fontId="5" fillId="0" borderId="12" xfId="0" applyNumberFormat="1" applyFont="1" applyBorder="1" applyAlignment="1">
      <alignment horizontal="justify" vertical="center" wrapText="1"/>
    </xf>
    <xf numFmtId="3" fontId="5" fillId="0" borderId="25" xfId="0" applyNumberFormat="1" applyFont="1" applyBorder="1" applyAlignment="1">
      <alignment horizontal="justify" vertical="center" wrapText="1"/>
    </xf>
    <xf numFmtId="1" fontId="2" fillId="2" borderId="1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0" fontId="2" fillId="0" borderId="18" xfId="0" applyFont="1" applyBorder="1" applyAlignment="1">
      <alignment horizontal="center" vertical="center"/>
    </xf>
    <xf numFmtId="0" fontId="5" fillId="0" borderId="25" xfId="0" applyFont="1" applyBorder="1" applyAlignment="1">
      <alignment horizontal="justify" vertical="center" wrapText="1"/>
    </xf>
    <xf numFmtId="1" fontId="5" fillId="0" borderId="8" xfId="0" applyNumberFormat="1" applyFont="1" applyBorder="1" applyAlignment="1">
      <alignment horizontal="center" vertical="center"/>
    </xf>
    <xf numFmtId="1" fontId="5" fillId="0" borderId="13" xfId="0" applyNumberFormat="1" applyFont="1" applyBorder="1" applyAlignment="1">
      <alignment horizontal="center" vertical="center"/>
    </xf>
    <xf numFmtId="0" fontId="8" fillId="0" borderId="25" xfId="4" applyFont="1" applyBorder="1" applyAlignment="1">
      <alignment horizontal="justify" vertical="center" wrapText="1"/>
    </xf>
    <xf numFmtId="0" fontId="8" fillId="0" borderId="34" xfId="4" applyFont="1" applyBorder="1" applyAlignment="1">
      <alignment horizontal="center" vertical="center" wrapText="1"/>
    </xf>
    <xf numFmtId="0" fontId="8" fillId="0" borderId="35"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1" xfId="0" applyFont="1" applyBorder="1" applyAlignment="1">
      <alignment horizontal="center" vertical="center" wrapText="1"/>
    </xf>
    <xf numFmtId="0" fontId="2" fillId="7" borderId="22" xfId="0" applyFont="1" applyFill="1" applyBorder="1" applyAlignment="1">
      <alignment horizontal="justify" vertical="center" wrapText="1"/>
    </xf>
    <xf numFmtId="0" fontId="2" fillId="9" borderId="22" xfId="0" applyFont="1" applyFill="1" applyBorder="1" applyAlignment="1">
      <alignment horizontal="justify" vertical="center" wrapText="1"/>
    </xf>
    <xf numFmtId="0" fontId="2" fillId="11" borderId="22" xfId="0" applyFont="1" applyFill="1" applyBorder="1" applyAlignment="1">
      <alignment horizontal="justify" vertical="center" wrapText="1"/>
    </xf>
    <xf numFmtId="170" fontId="2" fillId="11" borderId="21" xfId="0" applyNumberFormat="1" applyFont="1" applyFill="1" applyBorder="1" applyAlignment="1">
      <alignment horizontal="center" vertical="center"/>
    </xf>
    <xf numFmtId="0" fontId="8" fillId="0" borderId="32" xfId="0" applyFont="1" applyBorder="1" applyAlignment="1">
      <alignment horizontal="center" vertical="center"/>
    </xf>
    <xf numFmtId="0" fontId="8" fillId="2" borderId="6" xfId="0" applyFont="1" applyFill="1" applyBorder="1" applyAlignment="1">
      <alignment horizontal="justify" vertical="center" wrapText="1"/>
    </xf>
    <xf numFmtId="0" fontId="8" fillId="2" borderId="13" xfId="0" applyFont="1" applyFill="1" applyBorder="1" applyAlignment="1">
      <alignment horizontal="justify" vertical="center" wrapText="1"/>
    </xf>
    <xf numFmtId="0" fontId="8" fillId="2" borderId="32" xfId="4"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167" fontId="8" fillId="0" borderId="27" xfId="10" applyFont="1" applyFill="1" applyBorder="1" applyAlignment="1">
      <alignment horizontal="center" vertical="center" wrapText="1"/>
    </xf>
    <xf numFmtId="0" fontId="9" fillId="0" borderId="34" xfId="0" applyFont="1" applyBorder="1" applyAlignment="1">
      <alignment horizontal="center" vertical="center" wrapText="1"/>
    </xf>
    <xf numFmtId="1" fontId="5" fillId="0" borderId="6" xfId="0" applyNumberFormat="1" applyFont="1" applyBorder="1" applyAlignment="1">
      <alignment horizontal="center" vertical="center" wrapText="1"/>
    </xf>
    <xf numFmtId="167" fontId="8" fillId="0" borderId="36" xfId="10" applyFont="1" applyFill="1" applyBorder="1" applyAlignment="1">
      <alignment horizontal="center" vertical="center" wrapText="1"/>
    </xf>
    <xf numFmtId="1" fontId="5" fillId="0" borderId="18" xfId="0" applyNumberFormat="1" applyFont="1" applyBorder="1" applyAlignment="1">
      <alignment horizontal="center" vertical="center" wrapText="1"/>
    </xf>
    <xf numFmtId="1" fontId="5" fillId="0" borderId="35" xfId="0" applyNumberFormat="1" applyFont="1" applyBorder="1" applyAlignment="1">
      <alignment horizontal="center" vertical="center" wrapText="1"/>
    </xf>
    <xf numFmtId="0" fontId="8" fillId="0" borderId="34" xfId="11" applyNumberFormat="1" applyFont="1" applyFill="1" applyBorder="1">
      <alignment horizontal="center" vertical="center" wrapText="1"/>
    </xf>
    <xf numFmtId="0" fontId="8" fillId="0" borderId="2" xfId="13" applyFont="1" applyFill="1" applyBorder="1">
      <alignment horizontal="center" vertical="center" wrapText="1"/>
    </xf>
    <xf numFmtId="0" fontId="8" fillId="0" borderId="9" xfId="4" applyFont="1" applyBorder="1" applyAlignment="1">
      <alignment horizontal="justify" vertical="center" wrapText="1"/>
    </xf>
    <xf numFmtId="10" fontId="5" fillId="2" borderId="35" xfId="0" applyNumberFormat="1" applyFont="1" applyFill="1" applyBorder="1" applyAlignment="1">
      <alignment horizontal="center" vertical="center" wrapText="1"/>
    </xf>
    <xf numFmtId="0" fontId="8" fillId="0" borderId="8" xfId="4" applyFont="1" applyBorder="1" applyAlignment="1">
      <alignment horizontal="center" vertical="center" wrapText="1"/>
    </xf>
    <xf numFmtId="10" fontId="5" fillId="2" borderId="10" xfId="0" applyNumberFormat="1" applyFont="1" applyFill="1" applyBorder="1" applyAlignment="1">
      <alignment horizontal="center" vertical="center" wrapText="1"/>
    </xf>
    <xf numFmtId="0" fontId="5" fillId="0" borderId="35" xfId="0" applyFont="1" applyBorder="1" applyAlignment="1">
      <alignment horizontal="justify" vertical="center" wrapText="1"/>
    </xf>
    <xf numFmtId="0" fontId="8" fillId="0" borderId="11" xfId="4" applyFont="1" applyBorder="1" applyAlignment="1">
      <alignment horizontal="center" vertical="center" wrapText="1"/>
    </xf>
    <xf numFmtId="10" fontId="5" fillId="2" borderId="7" xfId="0" applyNumberFormat="1" applyFont="1" applyFill="1" applyBorder="1" applyAlignment="1">
      <alignment horizontal="center" vertical="center" wrapText="1"/>
    </xf>
    <xf numFmtId="0" fontId="9" fillId="0" borderId="36" xfId="0" applyFont="1" applyBorder="1" applyAlignment="1">
      <alignment horizontal="center" vertical="center" wrapText="1"/>
    </xf>
    <xf numFmtId="1" fontId="5" fillId="0" borderId="34" xfId="0" applyNumberFormat="1" applyFont="1" applyBorder="1" applyAlignment="1">
      <alignment horizontal="center" vertical="center" wrapText="1"/>
    </xf>
    <xf numFmtId="167" fontId="8" fillId="0" borderId="20" xfId="10" applyFont="1" applyFill="1" applyBorder="1" applyAlignment="1">
      <alignment horizontal="center" vertical="center" wrapText="1"/>
    </xf>
    <xf numFmtId="167" fontId="8" fillId="0" borderId="20" xfId="10" applyFont="1" applyFill="1" applyBorder="1" applyAlignment="1">
      <alignment horizontal="center" vertical="center"/>
    </xf>
    <xf numFmtId="0" fontId="8" fillId="9" borderId="22" xfId="0" applyFont="1" applyFill="1" applyBorder="1" applyAlignment="1">
      <alignment horizontal="center" vertical="center" wrapText="1"/>
    </xf>
    <xf numFmtId="0" fontId="8" fillId="9" borderId="22" xfId="0" applyFont="1" applyFill="1" applyBorder="1" applyAlignment="1">
      <alignment horizontal="justify" vertical="center" wrapText="1"/>
    </xf>
    <xf numFmtId="0" fontId="8" fillId="9" borderId="22" xfId="4" applyFont="1" applyFill="1" applyBorder="1" applyAlignment="1">
      <alignment horizontal="center" vertical="center" wrapText="1"/>
    </xf>
    <xf numFmtId="167" fontId="8" fillId="9" borderId="22" xfId="10" applyFont="1" applyFill="1" applyBorder="1" applyAlignment="1">
      <alignment horizontal="center" vertical="center"/>
    </xf>
    <xf numFmtId="0" fontId="5" fillId="9" borderId="0" xfId="0" applyFont="1" applyFill="1" applyAlignment="1">
      <alignment horizontal="center" vertical="center" wrapText="1"/>
    </xf>
    <xf numFmtId="1" fontId="2" fillId="0" borderId="8" xfId="0" applyNumberFormat="1" applyFont="1" applyBorder="1" applyAlignment="1">
      <alignment horizontal="center" vertical="center" wrapText="1" indent="1"/>
    </xf>
    <xf numFmtId="1" fontId="2" fillId="0" borderId="1" xfId="0" applyNumberFormat="1" applyFont="1" applyBorder="1" applyAlignment="1">
      <alignment horizontal="center" vertical="center" wrapText="1" indent="1"/>
    </xf>
    <xf numFmtId="1" fontId="2" fillId="0" borderId="11" xfId="0" applyNumberFormat="1" applyFont="1" applyBorder="1" applyAlignment="1">
      <alignment horizontal="center" vertical="center" wrapText="1" indent="1"/>
    </xf>
    <xf numFmtId="1" fontId="2" fillId="0" borderId="18" xfId="0" applyNumberFormat="1" applyFont="1" applyBorder="1" applyAlignment="1">
      <alignment horizontal="center" vertical="center" wrapText="1" indent="1"/>
    </xf>
    <xf numFmtId="170" fontId="3" fillId="11" borderId="21" xfId="0" applyNumberFormat="1" applyFont="1" applyFill="1" applyBorder="1" applyAlignment="1">
      <alignment horizontal="center" vertical="center"/>
    </xf>
    <xf numFmtId="0" fontId="5" fillId="11" borderId="21" xfId="0" applyFont="1" applyFill="1" applyBorder="1" applyAlignment="1">
      <alignment horizontal="center" vertical="center"/>
    </xf>
    <xf numFmtId="0" fontId="8" fillId="0" borderId="25" xfId="13" applyFont="1" applyFill="1" applyBorder="1">
      <alignment horizontal="center" vertical="center" wrapText="1"/>
    </xf>
    <xf numFmtId="9" fontId="5" fillId="2" borderId="25" xfId="0" applyNumberFormat="1" applyFont="1" applyFill="1" applyBorder="1" applyAlignment="1">
      <alignment horizontal="center" vertical="center"/>
    </xf>
    <xf numFmtId="1" fontId="5" fillId="21" borderId="9" xfId="0" applyNumberFormat="1" applyFont="1" applyFill="1" applyBorder="1" applyAlignment="1">
      <alignment horizontal="center" vertical="center"/>
    </xf>
    <xf numFmtId="0" fontId="5" fillId="21" borderId="10" xfId="0" applyFont="1" applyFill="1" applyBorder="1" applyAlignment="1">
      <alignment horizontal="center" vertical="center"/>
    </xf>
    <xf numFmtId="0" fontId="5" fillId="21" borderId="10" xfId="0" applyFont="1" applyFill="1" applyBorder="1" applyAlignment="1">
      <alignment horizontal="justify" vertical="center" wrapText="1"/>
    </xf>
    <xf numFmtId="171" fontId="5" fillId="21" borderId="35" xfId="0" applyNumberFormat="1" applyFont="1" applyFill="1" applyBorder="1" applyAlignment="1">
      <alignment horizontal="center" vertical="center"/>
    </xf>
    <xf numFmtId="178" fontId="2" fillId="21" borderId="2" xfId="0" applyNumberFormat="1" applyFont="1" applyFill="1" applyBorder="1" applyAlignment="1">
      <alignment horizontal="center" vertical="center"/>
    </xf>
    <xf numFmtId="0" fontId="5" fillId="21" borderId="9" xfId="0" applyFont="1" applyFill="1" applyBorder="1" applyAlignment="1">
      <alignment horizontal="justify" vertical="center" wrapText="1"/>
    </xf>
    <xf numFmtId="0" fontId="5" fillId="21" borderId="35" xfId="0" applyFont="1" applyFill="1" applyBorder="1" applyAlignment="1">
      <alignment horizontal="justify" vertical="center" wrapText="1"/>
    </xf>
    <xf numFmtId="0" fontId="2" fillId="21" borderId="2" xfId="0" applyFont="1" applyFill="1" applyBorder="1" applyAlignment="1">
      <alignment horizontal="justify" vertical="center" wrapText="1"/>
    </xf>
    <xf numFmtId="170" fontId="2" fillId="21" borderId="13" xfId="0" applyNumberFormat="1" applyFont="1" applyFill="1" applyBorder="1" applyAlignment="1">
      <alignment horizontal="center" vertical="center"/>
    </xf>
    <xf numFmtId="1" fontId="5" fillId="21" borderId="5" xfId="0" applyNumberFormat="1" applyFont="1" applyFill="1" applyBorder="1" applyAlignment="1">
      <alignment horizontal="center" vertical="center"/>
    </xf>
    <xf numFmtId="0" fontId="5" fillId="21" borderId="5" xfId="0" applyFont="1" applyFill="1" applyBorder="1" applyAlignment="1">
      <alignment horizontal="center" vertical="center"/>
    </xf>
    <xf numFmtId="169" fontId="5" fillId="21" borderId="5" xfId="0" applyNumberFormat="1" applyFont="1" applyFill="1" applyBorder="1" applyAlignment="1">
      <alignment horizontal="center" vertical="center"/>
    </xf>
    <xf numFmtId="178" fontId="5" fillId="2" borderId="0" xfId="0" applyNumberFormat="1" applyFont="1" applyFill="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43" fontId="5" fillId="0" borderId="2" xfId="3" applyFont="1" applyBorder="1" applyAlignment="1">
      <alignment horizontal="center" vertical="center"/>
    </xf>
    <xf numFmtId="0" fontId="8" fillId="0" borderId="3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34" xfId="0" applyFont="1" applyBorder="1" applyAlignment="1">
      <alignment horizontal="justify" vertical="center" wrapText="1"/>
    </xf>
    <xf numFmtId="0" fontId="8" fillId="2" borderId="33" xfId="0" applyFont="1" applyFill="1" applyBorder="1" applyAlignment="1">
      <alignment horizontal="justify" vertical="center" wrapText="1"/>
    </xf>
    <xf numFmtId="0" fontId="8" fillId="0" borderId="33" xfId="4" applyFont="1" applyBorder="1" applyAlignment="1">
      <alignment horizontal="justify" vertical="center" wrapText="1"/>
    </xf>
    <xf numFmtId="0" fontId="5" fillId="0" borderId="1" xfId="0" applyFont="1" applyBorder="1" applyAlignment="1">
      <alignment horizontal="center" vertical="center"/>
    </xf>
    <xf numFmtId="0" fontId="8" fillId="0" borderId="2" xfId="0" applyFont="1" applyBorder="1" applyAlignment="1">
      <alignment horizontal="justify" vertical="center" wrapText="1"/>
    </xf>
    <xf numFmtId="0" fontId="8" fillId="0" borderId="9" xfId="0" applyFont="1" applyBorder="1" applyAlignment="1">
      <alignment horizontal="justify" vertical="center" wrapText="1"/>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8" fillId="0" borderId="12" xfId="0" applyFont="1" applyBorder="1" applyAlignment="1">
      <alignment horizontal="justify" vertical="center" wrapText="1"/>
    </xf>
    <xf numFmtId="0" fontId="8" fillId="0" borderId="25" xfId="0" applyFont="1" applyBorder="1" applyAlignment="1">
      <alignment horizontal="justify" vertical="center" wrapText="1"/>
    </xf>
    <xf numFmtId="0" fontId="8" fillId="0" borderId="31" xfId="0" applyFont="1" applyBorder="1" applyAlignment="1">
      <alignment horizontal="center" vertical="center" wrapText="1"/>
    </xf>
    <xf numFmtId="0" fontId="5" fillId="0" borderId="25" xfId="0" applyFont="1" applyBorder="1" applyAlignment="1">
      <alignment horizontal="center" vertical="center" wrapText="1"/>
    </xf>
    <xf numFmtId="0" fontId="8" fillId="0" borderId="2" xfId="4" applyFont="1" applyBorder="1" applyAlignment="1">
      <alignment horizontal="justify" vertical="center" wrapText="1"/>
    </xf>
    <xf numFmtId="0" fontId="5"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2" xfId="0" applyFont="1" applyFill="1" applyBorder="1" applyAlignment="1">
      <alignment horizontal="justify" vertical="center" wrapText="1"/>
    </xf>
    <xf numFmtId="0" fontId="9" fillId="0" borderId="14" xfId="0" applyFont="1" applyBorder="1" applyAlignment="1">
      <alignment horizontal="justify" vertical="center" wrapText="1"/>
    </xf>
    <xf numFmtId="0" fontId="8" fillId="0" borderId="27" xfId="0" applyFont="1" applyBorder="1" applyAlignment="1">
      <alignment horizontal="justify"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1" fontId="5" fillId="4" borderId="9"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0" fontId="5" fillId="0" borderId="25" xfId="0" applyFont="1" applyBorder="1" applyAlignment="1">
      <alignment horizontal="justify" vertical="center" wrapText="1"/>
    </xf>
    <xf numFmtId="0" fontId="2" fillId="11" borderId="21" xfId="0" applyFont="1" applyFill="1" applyBorder="1" applyAlignment="1">
      <alignment horizontal="left" vertical="center"/>
    </xf>
    <xf numFmtId="0" fontId="8" fillId="0" borderId="36" xfId="4" applyFont="1" applyBorder="1" applyAlignment="1">
      <alignment horizontal="center" vertical="center" wrapText="1"/>
    </xf>
    <xf numFmtId="0" fontId="8" fillId="0" borderId="32"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36" xfId="0" applyFont="1" applyBorder="1" applyAlignment="1">
      <alignment horizontal="justify" vertical="center" wrapText="1"/>
    </xf>
    <xf numFmtId="0" fontId="2" fillId="0" borderId="0" xfId="0" applyFont="1" applyAlignment="1">
      <alignment horizontal="center" vertical="center"/>
    </xf>
    <xf numFmtId="43" fontId="5" fillId="0" borderId="14" xfId="3" applyFont="1" applyFill="1" applyBorder="1" applyAlignment="1">
      <alignment horizontal="center" vertical="center" wrapText="1"/>
    </xf>
    <xf numFmtId="43" fontId="5" fillId="0" borderId="25" xfId="3" applyFont="1" applyFill="1" applyBorder="1" applyAlignment="1">
      <alignment horizontal="center" vertical="center" wrapText="1"/>
    </xf>
    <xf numFmtId="43" fontId="5" fillId="0" borderId="34" xfId="3" applyFont="1" applyFill="1" applyBorder="1" applyAlignment="1">
      <alignment horizontal="center" vertical="center" wrapText="1"/>
    </xf>
    <xf numFmtId="0" fontId="2" fillId="7" borderId="7" xfId="0" applyFont="1" applyFill="1" applyBorder="1" applyAlignment="1">
      <alignment horizontal="left" vertical="center"/>
    </xf>
    <xf numFmtId="1" fontId="5" fillId="0" borderId="8" xfId="0" applyNumberFormat="1" applyFont="1" applyBorder="1" applyAlignment="1">
      <alignment horizontal="center" vertical="center"/>
    </xf>
    <xf numFmtId="1" fontId="5" fillId="0" borderId="6" xfId="0" applyNumberFormat="1" applyFont="1" applyBorder="1" applyAlignment="1">
      <alignment horizontal="center" vertical="center"/>
    </xf>
    <xf numFmtId="0" fontId="8" fillId="0" borderId="12" xfId="4" applyFont="1" applyBorder="1" applyAlignment="1">
      <alignment horizontal="justify" vertical="center" wrapText="1"/>
    </xf>
    <xf numFmtId="0" fontId="8" fillId="0" borderId="33" xfId="0" applyFont="1" applyBorder="1" applyAlignment="1">
      <alignment horizontal="justify" vertical="center" wrapText="1"/>
    </xf>
    <xf numFmtId="0" fontId="8" fillId="0" borderId="19" xfId="0" applyFont="1" applyBorder="1" applyAlignment="1">
      <alignment horizontal="center" vertical="center" wrapText="1"/>
    </xf>
    <xf numFmtId="0" fontId="9" fillId="0" borderId="31" xfId="0" applyFont="1" applyFill="1" applyBorder="1" applyAlignment="1">
      <alignment horizontal="center" vertical="center" wrapText="1"/>
    </xf>
    <xf numFmtId="43" fontId="5" fillId="0" borderId="12" xfId="3" applyFont="1" applyFill="1" applyBorder="1" applyAlignment="1">
      <alignment horizontal="center" vertical="center" wrapText="1"/>
    </xf>
    <xf numFmtId="0" fontId="8" fillId="0" borderId="6" xfId="0" applyFont="1" applyBorder="1" applyAlignment="1">
      <alignment horizontal="center" vertical="center" wrapText="1"/>
    </xf>
    <xf numFmtId="1" fontId="8" fillId="0" borderId="34"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5" fillId="0" borderId="1" xfId="0" applyFont="1" applyBorder="1" applyAlignment="1">
      <alignment horizontal="center" vertical="center"/>
    </xf>
    <xf numFmtId="0" fontId="8" fillId="0" borderId="14" xfId="0" applyFont="1" applyBorder="1" applyAlignment="1">
      <alignment horizontal="center" vertical="center" wrapText="1"/>
    </xf>
    <xf numFmtId="0" fontId="8" fillId="0" borderId="34" xfId="0" applyFont="1" applyBorder="1" applyAlignment="1">
      <alignment horizontal="center" vertical="center" wrapText="1"/>
    </xf>
    <xf numFmtId="0" fontId="5" fillId="0" borderId="32"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5" fillId="0" borderId="12"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5" fillId="0" borderId="9"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4" xfId="0" applyFont="1" applyBorder="1" applyAlignment="1">
      <alignment horizontal="justify" vertical="center" wrapText="1"/>
    </xf>
    <xf numFmtId="9" fontId="5" fillId="2" borderId="14" xfId="0" applyNumberFormat="1" applyFont="1" applyFill="1" applyBorder="1" applyAlignment="1">
      <alignment horizontal="center" vertical="center"/>
    </xf>
    <xf numFmtId="0" fontId="5" fillId="2" borderId="14" xfId="0" applyFont="1" applyFill="1" applyBorder="1" applyAlignment="1">
      <alignment horizontal="justify"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8" fillId="0" borderId="15" xfId="0" applyFont="1" applyBorder="1" applyAlignment="1">
      <alignment horizontal="justify" vertical="center" wrapText="1"/>
    </xf>
    <xf numFmtId="1" fontId="2" fillId="2" borderId="1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2" fillId="0" borderId="35" xfId="0" applyFont="1" applyBorder="1" applyAlignment="1">
      <alignment horizontal="center" vertical="center"/>
    </xf>
    <xf numFmtId="0" fontId="5" fillId="2" borderId="2" xfId="0" applyFont="1" applyFill="1" applyBorder="1" applyAlignment="1">
      <alignment horizontal="justify" vertical="center" wrapText="1"/>
    </xf>
    <xf numFmtId="49" fontId="5" fillId="2" borderId="14" xfId="0" applyNumberFormat="1" applyFont="1" applyFill="1" applyBorder="1" applyAlignment="1">
      <alignment horizontal="center" vertical="center" wrapText="1"/>
    </xf>
    <xf numFmtId="0" fontId="8" fillId="0" borderId="34" xfId="3" applyNumberFormat="1" applyFont="1" applyFill="1" applyBorder="1" applyAlignment="1">
      <alignment horizontal="center" vertical="center" wrapText="1"/>
    </xf>
    <xf numFmtId="0" fontId="2" fillId="0" borderId="0" xfId="0" applyFont="1" applyAlignment="1">
      <alignment horizontal="center" vertical="center"/>
    </xf>
    <xf numFmtId="0" fontId="8" fillId="0" borderId="32" xfId="0" applyFont="1" applyBorder="1" applyAlignment="1">
      <alignment horizontal="justify" vertical="center" wrapText="1"/>
    </xf>
    <xf numFmtId="0" fontId="8" fillId="0" borderId="34" xfId="0" applyFont="1" applyBorder="1" applyAlignment="1">
      <alignment horizontal="justify" vertical="center" wrapText="1"/>
    </xf>
    <xf numFmtId="169" fontId="5" fillId="2" borderId="14"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8" fillId="0" borderId="18" xfId="0" applyFont="1" applyBorder="1" applyAlignment="1">
      <alignment horizontal="justify" vertical="center" wrapText="1"/>
    </xf>
    <xf numFmtId="0" fontId="8" fillId="0" borderId="34" xfId="11" applyNumberFormat="1" applyFont="1" applyFill="1" applyBorder="1">
      <alignment horizontal="center" vertical="center" wrapText="1"/>
    </xf>
    <xf numFmtId="0" fontId="8" fillId="0" borderId="33" xfId="11" applyNumberFormat="1" applyFont="1" applyFill="1" applyBorder="1">
      <alignment horizontal="center" vertical="center" wrapText="1"/>
    </xf>
    <xf numFmtId="0" fontId="5" fillId="0" borderId="25" xfId="0" applyFont="1" applyBorder="1" applyAlignment="1">
      <alignment horizontal="justify" vertical="center" wrapText="1"/>
    </xf>
    <xf numFmtId="0" fontId="8" fillId="0" borderId="33" xfId="0" applyFont="1" applyBorder="1" applyAlignment="1">
      <alignment horizontal="justify" vertical="center" wrapText="1"/>
    </xf>
    <xf numFmtId="1" fontId="5" fillId="0" borderId="18" xfId="0" applyNumberFormat="1" applyFont="1" applyBorder="1" applyAlignment="1">
      <alignment horizontal="center" vertical="center"/>
    </xf>
    <xf numFmtId="1" fontId="5" fillId="0" borderId="8"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2" fillId="5" borderId="12" xfId="0" applyNumberFormat="1" applyFont="1" applyFill="1" applyBorder="1" applyAlignment="1">
      <alignment horizontal="center" vertical="center" wrapText="1"/>
    </xf>
    <xf numFmtId="0" fontId="8" fillId="0" borderId="30" xfId="0" applyFont="1" applyBorder="1" applyAlignment="1">
      <alignment horizontal="justify" vertical="center" wrapText="1"/>
    </xf>
    <xf numFmtId="0" fontId="9" fillId="0" borderId="34" xfId="0" applyFont="1" applyFill="1" applyBorder="1" applyAlignment="1">
      <alignment horizontal="center" vertical="center" wrapText="1"/>
    </xf>
    <xf numFmtId="0" fontId="9" fillId="0" borderId="33" xfId="0" applyFont="1" applyBorder="1" applyAlignment="1">
      <alignment horizontal="center" vertical="center" wrapText="1"/>
    </xf>
    <xf numFmtId="0" fontId="8" fillId="0" borderId="8" xfId="0" applyFont="1" applyBorder="1" applyAlignment="1">
      <alignment horizontal="center" vertical="center" wrapText="1"/>
    </xf>
    <xf numFmtId="14" fontId="2" fillId="0" borderId="2" xfId="0" applyNumberFormat="1" applyFont="1" applyBorder="1" applyAlignment="1">
      <alignment horizontal="center" vertical="center"/>
    </xf>
    <xf numFmtId="14" fontId="2" fillId="0" borderId="12" xfId="0" applyNumberFormat="1" applyFont="1" applyBorder="1" applyAlignment="1">
      <alignment horizontal="center" vertical="center"/>
    </xf>
    <xf numFmtId="3" fontId="10" fillId="0" borderId="12" xfId="0" applyNumberFormat="1" applyFont="1" applyBorder="1" applyAlignment="1">
      <alignment horizontal="center" vertical="center" wrapText="1"/>
    </xf>
    <xf numFmtId="0" fontId="2" fillId="0" borderId="10" xfId="0" applyFont="1" applyBorder="1" applyAlignment="1">
      <alignment vertical="center"/>
    </xf>
    <xf numFmtId="0" fontId="2" fillId="0" borderId="10" xfId="0" applyFont="1" applyBorder="1" applyAlignment="1">
      <alignment horizontal="left" vertical="center"/>
    </xf>
    <xf numFmtId="0" fontId="2" fillId="0" borderId="0" xfId="0" applyFont="1" applyAlignment="1">
      <alignment vertical="center"/>
    </xf>
    <xf numFmtId="9" fontId="2" fillId="0" borderId="0" xfId="2" applyFont="1" applyBorder="1" applyAlignment="1">
      <alignment horizontal="center" vertical="center"/>
    </xf>
    <xf numFmtId="0" fontId="2" fillId="0" borderId="0" xfId="0" applyFont="1" applyAlignment="1">
      <alignment horizontal="left" vertical="center"/>
    </xf>
    <xf numFmtId="14" fontId="2" fillId="0" borderId="5" xfId="0" applyNumberFormat="1" applyFont="1" applyBorder="1" applyAlignment="1">
      <alignment horizontal="center" vertical="center"/>
    </xf>
    <xf numFmtId="0" fontId="2" fillId="5" borderId="32" xfId="0" applyFont="1" applyFill="1" applyBorder="1" applyAlignment="1">
      <alignment horizontal="center" vertical="center" wrapText="1"/>
    </xf>
    <xf numFmtId="0" fontId="2" fillId="5" borderId="32" xfId="0" applyFont="1" applyFill="1" applyBorder="1" applyAlignment="1">
      <alignment vertical="center" wrapText="1"/>
    </xf>
    <xf numFmtId="171" fontId="2" fillId="5" borderId="32" xfId="0" applyNumberFormat="1" applyFont="1" applyFill="1" applyBorder="1" applyAlignment="1">
      <alignment horizontal="center" vertical="center" wrapText="1"/>
    </xf>
    <xf numFmtId="170" fontId="2" fillId="5" borderId="32" xfId="0" applyNumberFormat="1"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31" xfId="0" applyFont="1" applyFill="1" applyBorder="1" applyAlignment="1">
      <alignment horizontal="center" vertical="center" wrapText="1"/>
    </xf>
    <xf numFmtId="1" fontId="2" fillId="5" borderId="11" xfId="0" applyNumberFormat="1" applyFont="1" applyFill="1" applyBorder="1" applyAlignment="1">
      <alignment horizontal="center" vertical="center" textRotation="90" wrapText="1"/>
    </xf>
    <xf numFmtId="1" fontId="2" fillId="7" borderId="12" xfId="0" applyNumberFormat="1" applyFont="1" applyFill="1" applyBorder="1" applyAlignment="1">
      <alignment horizontal="center" vertical="center" wrapText="1"/>
    </xf>
    <xf numFmtId="0" fontId="2" fillId="7" borderId="7" xfId="0" applyFont="1" applyFill="1" applyBorder="1" applyAlignment="1">
      <alignment vertical="center"/>
    </xf>
    <xf numFmtId="14" fontId="2" fillId="7" borderId="7" xfId="0" applyNumberFormat="1" applyFont="1" applyFill="1" applyBorder="1" applyAlignment="1">
      <alignment horizontal="center" vertical="center"/>
    </xf>
    <xf numFmtId="0" fontId="2" fillId="9" borderId="22" xfId="0" applyFont="1" applyFill="1" applyBorder="1" applyAlignment="1">
      <alignment horizontal="left" vertical="center"/>
    </xf>
    <xf numFmtId="0" fontId="2" fillId="9" borderId="22" xfId="0" applyFont="1" applyFill="1" applyBorder="1" applyAlignment="1">
      <alignment vertical="center"/>
    </xf>
    <xf numFmtId="14" fontId="2" fillId="9" borderId="22" xfId="0" applyNumberFormat="1" applyFont="1" applyFill="1" applyBorder="1" applyAlignment="1">
      <alignment horizontal="center" vertical="center"/>
    </xf>
    <xf numFmtId="14" fontId="2" fillId="11" borderId="21" xfId="0" applyNumberFormat="1" applyFont="1" applyFill="1" applyBorder="1" applyAlignment="1">
      <alignment horizontal="center" vertical="center"/>
    </xf>
    <xf numFmtId="0" fontId="9" fillId="0" borderId="31" xfId="0" applyFont="1" applyBorder="1" applyAlignment="1">
      <alignment horizontal="center" vertical="center" wrapText="1"/>
    </xf>
    <xf numFmtId="0" fontId="9" fillId="0" borderId="19" xfId="0" applyFont="1" applyBorder="1" applyAlignment="1">
      <alignment horizontal="center" wrapText="1"/>
    </xf>
    <xf numFmtId="0" fontId="9" fillId="0" borderId="31" xfId="0" applyFont="1" applyBorder="1" applyAlignment="1">
      <alignment horizontal="center" vertical="center"/>
    </xf>
    <xf numFmtId="9" fontId="5" fillId="0" borderId="2" xfId="2" applyFont="1" applyFill="1" applyBorder="1" applyAlignment="1">
      <alignment horizontal="center" vertical="center" wrapText="1"/>
    </xf>
    <xf numFmtId="1" fontId="8" fillId="0" borderId="33" xfId="4" applyNumberFormat="1" applyFont="1" applyBorder="1" applyAlignment="1">
      <alignment horizontal="center" vertical="center" wrapText="1"/>
    </xf>
    <xf numFmtId="0" fontId="8" fillId="0" borderId="20" xfId="4" applyFont="1" applyBorder="1" applyAlignment="1">
      <alignment horizontal="justify" vertical="center" wrapText="1"/>
    </xf>
    <xf numFmtId="0" fontId="5" fillId="0" borderId="5" xfId="0" applyFont="1" applyBorder="1" applyAlignment="1">
      <alignment horizontal="justify" vertical="center" wrapText="1"/>
    </xf>
    <xf numFmtId="0" fontId="5" fillId="0" borderId="10" xfId="0" applyFont="1" applyBorder="1" applyAlignment="1">
      <alignment horizontal="justify" vertical="center" wrapText="1"/>
    </xf>
    <xf numFmtId="1" fontId="5" fillId="0" borderId="10" xfId="0" applyNumberFormat="1" applyFont="1" applyBorder="1" applyAlignment="1">
      <alignment horizontal="center" vertical="center" wrapText="1"/>
    </xf>
    <xf numFmtId="43" fontId="5" fillId="0" borderId="33" xfId="3" applyFont="1" applyFill="1" applyBorder="1" applyAlignment="1">
      <alignment horizontal="center" vertical="center" wrapText="1"/>
    </xf>
    <xf numFmtId="1" fontId="5" fillId="0" borderId="7" xfId="0" applyNumberFormat="1" applyFont="1" applyBorder="1" applyAlignment="1">
      <alignment horizontal="center" vertical="center" wrapText="1"/>
    </xf>
    <xf numFmtId="43" fontId="5" fillId="0" borderId="75" xfId="3" applyFont="1" applyFill="1" applyBorder="1" applyAlignment="1">
      <alignment horizontal="center" vertical="center" wrapText="1"/>
    </xf>
    <xf numFmtId="43" fontId="5" fillId="0" borderId="12" xfId="3" applyFont="1" applyFill="1" applyBorder="1" applyAlignment="1">
      <alignment horizontal="center" vertical="center"/>
    </xf>
    <xf numFmtId="1" fontId="8" fillId="0" borderId="2" xfId="4" applyNumberFormat="1" applyFont="1" applyBorder="1" applyAlignment="1">
      <alignment horizontal="center" vertical="center" wrapText="1"/>
    </xf>
    <xf numFmtId="1" fontId="5" fillId="0" borderId="35"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2" fillId="11" borderId="36" xfId="0" applyFont="1" applyFill="1" applyBorder="1" applyAlignment="1">
      <alignment vertical="center"/>
    </xf>
    <xf numFmtId="0" fontId="2" fillId="11" borderId="16" xfId="0" applyFont="1" applyFill="1" applyBorder="1" applyAlignment="1">
      <alignment vertical="center"/>
    </xf>
    <xf numFmtId="43" fontId="2" fillId="11" borderId="16" xfId="0" applyNumberFormat="1" applyFont="1" applyFill="1" applyBorder="1" applyAlignment="1">
      <alignment vertical="center"/>
    </xf>
    <xf numFmtId="43" fontId="2" fillId="11" borderId="75" xfId="3" applyFont="1" applyFill="1" applyBorder="1" applyAlignment="1">
      <alignment horizontal="center" vertical="center"/>
    </xf>
    <xf numFmtId="0" fontId="2" fillId="11" borderId="0" xfId="0" applyFont="1" applyFill="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justify" vertical="center" wrapText="1"/>
    </xf>
    <xf numFmtId="1" fontId="5" fillId="0" borderId="35" xfId="0" applyNumberFormat="1" applyFont="1" applyBorder="1" applyAlignment="1">
      <alignment horizontal="center" vertical="center"/>
    </xf>
    <xf numFmtId="0" fontId="8" fillId="0" borderId="31" xfId="0" applyFont="1" applyBorder="1" applyAlignment="1">
      <alignment horizontal="justify" vertical="center" wrapText="1"/>
    </xf>
    <xf numFmtId="0" fontId="8" fillId="0" borderId="36" xfId="0" applyFont="1" applyBorder="1" applyAlignment="1">
      <alignment horizontal="left" vertical="center" wrapText="1"/>
    </xf>
    <xf numFmtId="0" fontId="8" fillId="0" borderId="36" xfId="0" applyFont="1" applyBorder="1" applyAlignment="1">
      <alignment vertical="center" wrapText="1"/>
    </xf>
    <xf numFmtId="0" fontId="5" fillId="0" borderId="2" xfId="0" applyFont="1" applyBorder="1" applyAlignment="1">
      <alignment horizontal="center" vertical="center"/>
    </xf>
    <xf numFmtId="9" fontId="5" fillId="0" borderId="2" xfId="2" applyFont="1" applyFill="1" applyBorder="1" applyAlignment="1">
      <alignment horizontal="center" vertical="center"/>
    </xf>
    <xf numFmtId="0" fontId="5" fillId="0" borderId="9" xfId="0" applyFont="1" applyBorder="1" applyAlignment="1">
      <alignment horizontal="justify" vertical="center"/>
    </xf>
    <xf numFmtId="43" fontId="5" fillId="0" borderId="14" xfId="3" applyFont="1" applyBorder="1" applyAlignment="1">
      <alignment horizontal="center" vertical="center"/>
    </xf>
    <xf numFmtId="0" fontId="8" fillId="0" borderId="17" xfId="0" applyFont="1" applyBorder="1" applyAlignment="1">
      <alignment horizontal="justify" vertical="center" wrapText="1"/>
    </xf>
    <xf numFmtId="43" fontId="5" fillId="0" borderId="2" xfId="3" applyFont="1" applyFill="1" applyBorder="1" applyAlignment="1">
      <alignment horizontal="center" vertical="center"/>
    </xf>
    <xf numFmtId="0" fontId="8" fillId="0" borderId="31" xfId="0" applyFont="1" applyBorder="1" applyAlignment="1">
      <alignment horizontal="justify" vertical="center" wrapText="1"/>
    </xf>
    <xf numFmtId="0" fontId="8" fillId="0" borderId="19" xfId="0" applyFont="1" applyBorder="1" applyAlignment="1">
      <alignment horizontal="justify" vertical="center" wrapText="1"/>
    </xf>
    <xf numFmtId="1" fontId="8" fillId="0" borderId="33" xfId="0" applyNumberFormat="1" applyFont="1" applyBorder="1" applyAlignment="1">
      <alignment horizontal="center" vertical="center" wrapText="1"/>
    </xf>
    <xf numFmtId="0" fontId="8" fillId="0" borderId="33" xfId="0" applyFont="1" applyBorder="1" applyAlignment="1">
      <alignment horizontal="left" vertical="center" wrapText="1"/>
    </xf>
    <xf numFmtId="0" fontId="8" fillId="0" borderId="33" xfId="0" applyFont="1" applyBorder="1" applyAlignment="1">
      <alignment vertical="center" wrapText="1"/>
    </xf>
    <xf numFmtId="0" fontId="5" fillId="0" borderId="2" xfId="0" applyFont="1" applyBorder="1" applyAlignment="1">
      <alignment horizontal="justify" vertical="center"/>
    </xf>
    <xf numFmtId="0" fontId="9" fillId="0" borderId="19" xfId="0" applyFont="1" applyBorder="1" applyAlignment="1">
      <alignment horizontal="center" vertical="center" wrapText="1"/>
    </xf>
    <xf numFmtId="0" fontId="5" fillId="0" borderId="35" xfId="0" applyFont="1" applyBorder="1" applyAlignment="1">
      <alignment horizontal="center" vertical="center" wrapText="1"/>
    </xf>
    <xf numFmtId="0" fontId="9" fillId="0" borderId="4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21" applyFont="1" applyBorder="1" applyAlignment="1">
      <alignment horizontal="center" vertical="center" wrapText="1"/>
    </xf>
    <xf numFmtId="0" fontId="5" fillId="0" borderId="9" xfId="21" applyFont="1" applyBorder="1" applyAlignment="1">
      <alignment horizontal="center" vertical="center" wrapText="1"/>
    </xf>
    <xf numFmtId="0" fontId="8" fillId="0" borderId="2" xfId="21" applyFont="1" applyBorder="1" applyAlignment="1">
      <alignment horizontal="center" vertical="center" wrapText="1"/>
    </xf>
    <xf numFmtId="1" fontId="5" fillId="0" borderId="35" xfId="21" applyNumberFormat="1" applyFont="1" applyBorder="1" applyAlignment="1">
      <alignment horizontal="center" vertical="center" wrapText="1"/>
    </xf>
    <xf numFmtId="0" fontId="5" fillId="0" borderId="2" xfId="21" applyFont="1" applyBorder="1" applyAlignment="1">
      <alignment horizontal="justify" vertical="center"/>
    </xf>
    <xf numFmtId="43" fontId="8" fillId="0" borderId="2" xfId="3" applyFont="1" applyFill="1" applyBorder="1" applyAlignment="1">
      <alignment horizontal="center" vertical="center" wrapText="1"/>
    </xf>
    <xf numFmtId="43" fontId="8" fillId="0" borderId="12" xfId="3" applyFont="1" applyFill="1" applyBorder="1" applyAlignment="1">
      <alignment horizontal="center" vertical="center"/>
    </xf>
    <xf numFmtId="43" fontId="5" fillId="0" borderId="34" xfId="3" applyFont="1" applyBorder="1" applyAlignment="1">
      <alignment horizontal="center" vertical="center" wrapText="1"/>
    </xf>
    <xf numFmtId="0" fontId="2" fillId="11" borderId="21" xfId="0" applyFont="1" applyFill="1" applyBorder="1" applyAlignment="1">
      <alignment vertical="center"/>
    </xf>
    <xf numFmtId="43" fontId="2" fillId="11" borderId="21" xfId="0" applyNumberFormat="1" applyFont="1" applyFill="1" applyBorder="1" applyAlignment="1">
      <alignment vertical="center"/>
    </xf>
    <xf numFmtId="1" fontId="2" fillId="11" borderId="16" xfId="0" applyNumberFormat="1" applyFont="1" applyFill="1" applyBorder="1" applyAlignment="1">
      <alignment horizontal="center" vertical="center"/>
    </xf>
    <xf numFmtId="1" fontId="8" fillId="11" borderId="21" xfId="0" applyNumberFormat="1" applyFont="1" applyFill="1" applyBorder="1" applyAlignment="1">
      <alignment horizontal="center" vertical="center" wrapText="1"/>
    </xf>
    <xf numFmtId="1" fontId="8" fillId="0" borderId="25" xfId="4" applyNumberFormat="1" applyFont="1" applyBorder="1" applyAlignment="1">
      <alignment horizontal="center" vertical="center" wrapText="1"/>
    </xf>
    <xf numFmtId="0" fontId="8" fillId="0" borderId="25" xfId="0" applyFont="1" applyBorder="1" applyAlignment="1">
      <alignment horizontal="left" vertical="center" wrapText="1"/>
    </xf>
    <xf numFmtId="0" fontId="5" fillId="0" borderId="31" xfId="0" applyFont="1" applyBorder="1" applyAlignment="1">
      <alignment horizontal="center" vertical="center"/>
    </xf>
    <xf numFmtId="43" fontId="9" fillId="0" borderId="34" xfId="3" applyFont="1" applyBorder="1" applyAlignment="1">
      <alignment horizontal="center" vertical="center" wrapText="1"/>
    </xf>
    <xf numFmtId="0" fontId="5" fillId="0" borderId="2" xfId="21" applyFont="1" applyBorder="1" applyAlignment="1">
      <alignment horizontal="center" vertical="center" wrapText="1"/>
    </xf>
    <xf numFmtId="1" fontId="5" fillId="0" borderId="8" xfId="0" applyNumberFormat="1" applyFont="1" applyFill="1" applyBorder="1" applyAlignment="1">
      <alignment horizontal="center" vertical="center"/>
    </xf>
    <xf numFmtId="1" fontId="5" fillId="0" borderId="35" xfId="21" applyNumberFormat="1" applyFont="1" applyFill="1" applyBorder="1" applyAlignment="1">
      <alignment horizontal="center" vertical="center" wrapText="1"/>
    </xf>
    <xf numFmtId="0" fontId="5" fillId="0" borderId="2" xfId="21" applyFont="1" applyFill="1" applyBorder="1" applyAlignment="1">
      <alignment horizontal="center" vertical="center" wrapText="1"/>
    </xf>
    <xf numFmtId="0" fontId="5" fillId="22" borderId="0" xfId="0" applyFont="1" applyFill="1" applyAlignment="1">
      <alignment horizontal="center" vertical="center"/>
    </xf>
    <xf numFmtId="0" fontId="8" fillId="0" borderId="34" xfId="0" applyFont="1" applyBorder="1" applyAlignment="1">
      <alignment horizontal="left" vertical="center" wrapText="1"/>
    </xf>
    <xf numFmtId="0" fontId="8" fillId="0" borderId="27" xfId="4" applyFont="1" applyBorder="1" applyAlignment="1">
      <alignment horizontal="center" vertical="center" wrapText="1"/>
    </xf>
    <xf numFmtId="0" fontId="8" fillId="0" borderId="34" xfId="4" applyFont="1" applyBorder="1" applyAlignment="1">
      <alignment horizontal="left" vertical="center" wrapText="1"/>
    </xf>
    <xf numFmtId="0" fontId="8" fillId="0" borderId="34" xfId="4" applyFont="1" applyBorder="1" applyAlignment="1">
      <alignment horizontal="justify" vertical="center" wrapText="1"/>
    </xf>
    <xf numFmtId="0" fontId="8" fillId="0" borderId="33" xfId="4" applyFont="1" applyBorder="1" applyAlignment="1">
      <alignment horizontal="left" vertical="center" wrapText="1"/>
    </xf>
    <xf numFmtId="0" fontId="8" fillId="0" borderId="20" xfId="4" applyFont="1" applyBorder="1" applyAlignment="1">
      <alignment horizontal="center" vertical="center" wrapText="1"/>
    </xf>
    <xf numFmtId="1" fontId="8" fillId="0" borderId="12" xfId="4" applyNumberFormat="1" applyFont="1" applyBorder="1" applyAlignment="1">
      <alignment horizontal="center" vertical="center" wrapText="1"/>
    </xf>
    <xf numFmtId="0" fontId="8" fillId="0" borderId="12" xfId="4" applyFont="1" applyBorder="1" applyAlignment="1">
      <alignment horizontal="left" vertical="center" wrapText="1"/>
    </xf>
    <xf numFmtId="9" fontId="5" fillId="0" borderId="12" xfId="2" applyFont="1" applyFill="1" applyBorder="1" applyAlignment="1">
      <alignment horizontal="center" vertical="center"/>
    </xf>
    <xf numFmtId="1" fontId="5" fillId="0" borderId="18" xfId="21" applyNumberFormat="1" applyFont="1" applyBorder="1" applyAlignment="1">
      <alignment horizontal="center" vertical="center" wrapText="1"/>
    </xf>
    <xf numFmtId="0" fontId="5" fillId="0" borderId="12" xfId="21" applyFont="1" applyBorder="1" applyAlignment="1">
      <alignment horizontal="center" vertical="center" wrapText="1"/>
    </xf>
    <xf numFmtId="0" fontId="5" fillId="4" borderId="10" xfId="0" applyFont="1" applyFill="1" applyBorder="1" applyAlignment="1">
      <alignment vertical="center"/>
    </xf>
    <xf numFmtId="0" fontId="5" fillId="4" borderId="10" xfId="0" applyFont="1" applyFill="1" applyBorder="1" applyAlignment="1">
      <alignment horizontal="left" vertical="center"/>
    </xf>
    <xf numFmtId="171" fontId="5" fillId="4" borderId="10" xfId="0" applyNumberFormat="1" applyFont="1" applyFill="1" applyBorder="1" applyAlignment="1">
      <alignment horizontal="center" vertical="center"/>
    </xf>
    <xf numFmtId="43" fontId="2" fillId="4" borderId="2" xfId="0" applyNumberFormat="1" applyFont="1" applyFill="1" applyBorder="1" applyAlignment="1">
      <alignment horizontal="center" vertical="center"/>
    </xf>
    <xf numFmtId="0" fontId="2" fillId="4" borderId="2" xfId="0" applyFont="1" applyFill="1" applyBorder="1" applyAlignment="1">
      <alignment horizontal="left" vertical="center"/>
    </xf>
    <xf numFmtId="170" fontId="2" fillId="4" borderId="10"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1" fontId="8" fillId="4" borderId="10" xfId="0" applyNumberFormat="1" applyFont="1" applyFill="1" applyBorder="1" applyAlignment="1">
      <alignment horizontal="center" vertical="center" wrapText="1"/>
    </xf>
    <xf numFmtId="0" fontId="8" fillId="4" borderId="35" xfId="0" applyFont="1" applyFill="1" applyBorder="1" applyAlignment="1">
      <alignment horizontal="center" vertical="center" wrapText="1"/>
    </xf>
    <xf numFmtId="0" fontId="5" fillId="2" borderId="0" xfId="0" applyFont="1" applyFill="1" applyAlignment="1">
      <alignment vertical="center"/>
    </xf>
    <xf numFmtId="0" fontId="5" fillId="2" borderId="0" xfId="0" applyFont="1" applyFill="1" applyAlignment="1">
      <alignment horizontal="left" vertical="center"/>
    </xf>
    <xf numFmtId="14" fontId="5" fillId="0" borderId="0" xfId="0" applyNumberFormat="1" applyFont="1" applyAlignment="1">
      <alignment horizontal="center" vertical="center"/>
    </xf>
    <xf numFmtId="0" fontId="8" fillId="0" borderId="15"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36"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8" fillId="0" borderId="12" xfId="4" applyFont="1" applyFill="1" applyBorder="1" applyAlignment="1">
      <alignment horizontal="justify" vertical="center" wrapText="1"/>
    </xf>
    <xf numFmtId="0" fontId="8" fillId="0" borderId="14" xfId="4" applyFont="1" applyFill="1" applyBorder="1" applyAlignment="1">
      <alignment horizontal="justify" vertical="center" wrapText="1"/>
    </xf>
    <xf numFmtId="0" fontId="8" fillId="0" borderId="25" xfId="4" applyFont="1" applyFill="1" applyBorder="1" applyAlignment="1">
      <alignment horizontal="justify" vertical="center" wrapText="1"/>
    </xf>
    <xf numFmtId="0" fontId="8" fillId="0" borderId="2" xfId="4" applyFont="1" applyFill="1" applyBorder="1" applyAlignment="1">
      <alignment horizontal="justify" vertical="center" wrapText="1"/>
    </xf>
    <xf numFmtId="0" fontId="8" fillId="0" borderId="2" xfId="0" applyFont="1" applyBorder="1" applyAlignment="1">
      <alignment horizontal="left" vertical="center" wrapText="1"/>
    </xf>
    <xf numFmtId="0" fontId="8" fillId="0" borderId="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justify" vertical="center" wrapText="1"/>
    </xf>
    <xf numFmtId="173" fontId="3" fillId="0" borderId="0" xfId="20" applyNumberFormat="1" applyFont="1" applyAlignment="1">
      <alignment horizontal="center" vertical="center"/>
    </xf>
    <xf numFmtId="173" fontId="3" fillId="5" borderId="32" xfId="20" applyNumberFormat="1" applyFont="1" applyFill="1" applyBorder="1" applyAlignment="1">
      <alignment horizontal="center" vertical="center" wrapText="1"/>
    </xf>
    <xf numFmtId="0" fontId="3" fillId="7" borderId="12" xfId="0" applyFont="1" applyFill="1" applyBorder="1" applyAlignment="1">
      <alignment horizontal="center" vertical="center" wrapText="1"/>
    </xf>
    <xf numFmtId="0" fontId="2" fillId="7" borderId="7" xfId="0" applyFont="1" applyFill="1" applyBorder="1" applyAlignment="1">
      <alignment horizontal="justify" vertical="center" wrapText="1"/>
    </xf>
    <xf numFmtId="0" fontId="2" fillId="7" borderId="0" xfId="0" applyFont="1" applyFill="1" applyAlignment="1">
      <alignment horizontal="center" vertical="center"/>
    </xf>
    <xf numFmtId="0" fontId="2" fillId="7" borderId="0" xfId="0" applyFont="1" applyFill="1" applyAlignment="1">
      <alignment horizontal="justify" vertical="center" wrapText="1"/>
    </xf>
    <xf numFmtId="171" fontId="2" fillId="7" borderId="0" xfId="0" applyNumberFormat="1" applyFont="1" applyFill="1" applyAlignment="1">
      <alignment horizontal="center" vertical="center"/>
    </xf>
    <xf numFmtId="170" fontId="2" fillId="7" borderId="0" xfId="0" applyNumberFormat="1" applyFont="1" applyFill="1" applyAlignment="1">
      <alignment horizontal="center" vertical="center"/>
    </xf>
    <xf numFmtId="173" fontId="3" fillId="7" borderId="0" xfId="20" applyNumberFormat="1" applyFont="1" applyFill="1" applyAlignment="1">
      <alignment horizontal="center" vertical="center"/>
    </xf>
    <xf numFmtId="0" fontId="2" fillId="7" borderId="7" xfId="0" applyFont="1" applyFill="1" applyBorder="1" applyAlignment="1">
      <alignment horizontal="center" vertical="center" wrapText="1"/>
    </xf>
    <xf numFmtId="173" fontId="3" fillId="9" borderId="22" xfId="20" applyNumberFormat="1" applyFont="1" applyFill="1" applyBorder="1" applyAlignment="1">
      <alignment horizontal="center" vertical="center"/>
    </xf>
    <xf numFmtId="0" fontId="30" fillId="9" borderId="22" xfId="0" applyFont="1" applyFill="1" applyBorder="1" applyAlignment="1">
      <alignment horizontal="center" vertical="center"/>
    </xf>
    <xf numFmtId="173" fontId="3" fillId="11" borderId="21" xfId="20" applyNumberFormat="1" applyFont="1" applyFill="1" applyBorder="1" applyAlignment="1">
      <alignment horizontal="center" vertical="center"/>
    </xf>
    <xf numFmtId="0" fontId="2" fillId="11" borderId="22" xfId="0" applyFont="1" applyFill="1" applyBorder="1" applyAlignment="1">
      <alignment horizontal="center" vertical="center" wrapText="1"/>
    </xf>
    <xf numFmtId="173" fontId="8" fillId="0" borderId="13" xfId="20" applyNumberFormat="1" applyFont="1" applyBorder="1" applyAlignment="1">
      <alignment horizontal="center" vertical="center" wrapText="1"/>
    </xf>
    <xf numFmtId="173" fontId="8" fillId="0" borderId="9" xfId="20" applyNumberFormat="1" applyFont="1" applyBorder="1" applyAlignment="1">
      <alignment horizontal="center" vertical="center" wrapText="1"/>
    </xf>
    <xf numFmtId="173" fontId="8" fillId="0" borderId="11" xfId="20" applyNumberFormat="1" applyFont="1" applyBorder="1" applyAlignment="1">
      <alignment horizontal="center" vertical="center" wrapText="1"/>
    </xf>
    <xf numFmtId="173" fontId="8" fillId="0" borderId="34" xfId="20" applyNumberFormat="1" applyFont="1" applyBorder="1" applyAlignment="1">
      <alignment horizontal="center" vertical="center" wrapText="1"/>
    </xf>
    <xf numFmtId="0" fontId="9" fillId="0" borderId="20" xfId="0" applyFont="1" applyBorder="1" applyAlignment="1">
      <alignment horizontal="center" vertical="center" wrapText="1"/>
    </xf>
    <xf numFmtId="173" fontId="8" fillId="0" borderId="32" xfId="20" applyNumberFormat="1" applyFont="1" applyBorder="1" applyAlignment="1">
      <alignment horizontal="center" vertical="center" wrapText="1"/>
    </xf>
    <xf numFmtId="0" fontId="5" fillId="0" borderId="32" xfId="0" applyFont="1" applyBorder="1" applyAlignment="1">
      <alignment horizontal="center" vertical="center"/>
    </xf>
    <xf numFmtId="49" fontId="8" fillId="0" borderId="2" xfId="0" applyNumberFormat="1" applyFont="1" applyBorder="1" applyAlignment="1">
      <alignment horizontal="center" vertical="center" wrapText="1"/>
    </xf>
    <xf numFmtId="0" fontId="8" fillId="0" borderId="2" xfId="3" applyNumberFormat="1" applyFont="1" applyFill="1" applyBorder="1" applyAlignment="1">
      <alignment horizontal="center" vertical="center" wrapText="1"/>
    </xf>
    <xf numFmtId="3" fontId="8" fillId="0" borderId="2" xfId="4" applyNumberFormat="1" applyFont="1" applyBorder="1" applyAlignment="1">
      <alignment horizontal="center" vertical="center" wrapText="1"/>
    </xf>
    <xf numFmtId="10" fontId="8" fillId="0" borderId="9" xfId="4" applyNumberFormat="1" applyFont="1" applyBorder="1" applyAlignment="1">
      <alignment horizontal="center" vertical="center" wrapText="1"/>
    </xf>
    <xf numFmtId="0" fontId="8" fillId="0" borderId="2" xfId="11" applyNumberFormat="1" applyFont="1" applyFill="1" applyBorder="1">
      <alignment horizontal="center" vertical="center" wrapText="1"/>
    </xf>
    <xf numFmtId="49" fontId="8" fillId="0" borderId="32" xfId="0" applyNumberFormat="1" applyFont="1" applyBorder="1" applyAlignment="1">
      <alignment horizontal="center" vertical="center" wrapText="1"/>
    </xf>
    <xf numFmtId="0" fontId="8" fillId="0" borderId="32" xfId="11" applyNumberFormat="1" applyFont="1" applyFill="1" applyBorder="1">
      <alignment horizontal="center" vertical="center" wrapText="1"/>
    </xf>
    <xf numFmtId="3" fontId="8" fillId="0" borderId="32" xfId="4" applyNumberFormat="1" applyFont="1" applyBorder="1" applyAlignment="1">
      <alignment horizontal="center" vertical="center" wrapText="1"/>
    </xf>
    <xf numFmtId="10" fontId="8" fillId="0" borderId="32" xfId="4" applyNumberFormat="1" applyFont="1" applyBorder="1" applyAlignment="1">
      <alignment horizontal="center" vertical="center" wrapText="1"/>
    </xf>
    <xf numFmtId="49" fontId="8" fillId="0" borderId="34" xfId="0" applyNumberFormat="1" applyFont="1" applyBorder="1" applyAlignment="1">
      <alignment horizontal="center" vertical="center" wrapText="1"/>
    </xf>
    <xf numFmtId="3" fontId="8" fillId="0" borderId="34" xfId="4" applyNumberFormat="1" applyFont="1" applyBorder="1" applyAlignment="1">
      <alignment horizontal="center" vertical="center" wrapText="1"/>
    </xf>
    <xf numFmtId="10" fontId="8" fillId="0" borderId="34" xfId="4" applyNumberFormat="1" applyFont="1" applyBorder="1" applyAlignment="1">
      <alignment horizontal="center" vertical="center" wrapText="1"/>
    </xf>
    <xf numFmtId="49" fontId="5" fillId="0" borderId="78" xfId="0" applyNumberFormat="1" applyFont="1" applyBorder="1" applyAlignment="1">
      <alignment horizontal="justify" vertical="center" wrapText="1"/>
    </xf>
    <xf numFmtId="173" fontId="8" fillId="0" borderId="10" xfId="2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3" fontId="8" fillId="0" borderId="20" xfId="4" applyNumberFormat="1" applyFont="1" applyBorder="1" applyAlignment="1">
      <alignment horizontal="center" vertical="center" wrapText="1"/>
    </xf>
    <xf numFmtId="10" fontId="8" fillId="0" borderId="20" xfId="4" applyNumberFormat="1" applyFont="1" applyBorder="1" applyAlignment="1">
      <alignment horizontal="center" vertical="center" wrapText="1"/>
    </xf>
    <xf numFmtId="10" fontId="8" fillId="0" borderId="12" xfId="4" applyNumberFormat="1" applyFont="1" applyBorder="1" applyAlignment="1">
      <alignment horizontal="center" vertical="center" wrapText="1"/>
    </xf>
    <xf numFmtId="173" fontId="8" fillId="0" borderId="10" xfId="20" applyNumberFormat="1" applyFont="1" applyFill="1" applyBorder="1" applyAlignment="1">
      <alignment horizontal="center" vertical="center" wrapText="1"/>
    </xf>
    <xf numFmtId="173" fontId="8" fillId="0" borderId="9" xfId="20" applyNumberFormat="1" applyFont="1" applyFill="1" applyBorder="1" applyAlignment="1">
      <alignment horizontal="center" vertical="center" wrapText="1"/>
    </xf>
    <xf numFmtId="173" fontId="8" fillId="0" borderId="2" xfId="20" applyNumberFormat="1" applyFont="1" applyFill="1" applyBorder="1" applyAlignment="1">
      <alignment horizontal="center" vertical="center" wrapText="1"/>
    </xf>
    <xf numFmtId="173" fontId="8" fillId="0" borderId="12" xfId="20" applyNumberFormat="1" applyFont="1" applyFill="1" applyBorder="1" applyAlignment="1">
      <alignment horizontal="center" vertical="center" wrapText="1"/>
    </xf>
    <xf numFmtId="173" fontId="8" fillId="0" borderId="13" xfId="20" applyNumberFormat="1" applyFont="1" applyFill="1" applyBorder="1" applyAlignment="1">
      <alignment horizontal="center" vertical="center" wrapText="1"/>
    </xf>
    <xf numFmtId="1" fontId="5" fillId="0" borderId="2" xfId="0" applyNumberFormat="1" applyFont="1" applyBorder="1" applyAlignment="1">
      <alignment horizontal="center" vertical="center"/>
    </xf>
    <xf numFmtId="1" fontId="5" fillId="0" borderId="21" xfId="0" applyNumberFormat="1" applyFont="1" applyBorder="1" applyAlignment="1">
      <alignment horizontal="center" vertical="center"/>
    </xf>
    <xf numFmtId="173" fontId="8" fillId="0" borderId="11" xfId="20" applyNumberFormat="1" applyFont="1" applyFill="1" applyBorder="1" applyAlignment="1">
      <alignment horizontal="center" vertical="center" wrapText="1"/>
    </xf>
    <xf numFmtId="173" fontId="8" fillId="0" borderId="34" xfId="20" applyNumberFormat="1" applyFont="1" applyFill="1" applyBorder="1" applyAlignment="1">
      <alignment horizontal="center" vertical="center" wrapText="1"/>
    </xf>
    <xf numFmtId="1" fontId="5" fillId="0" borderId="31" xfId="0" applyNumberFormat="1" applyFont="1" applyBorder="1" applyAlignment="1">
      <alignment horizontal="center" vertical="center"/>
    </xf>
    <xf numFmtId="173" fontId="8" fillId="0" borderId="33" xfId="20" applyNumberFormat="1" applyFont="1" applyFill="1" applyBorder="1" applyAlignment="1">
      <alignment horizontal="center" vertical="center" wrapText="1"/>
    </xf>
    <xf numFmtId="1" fontId="5" fillId="0" borderId="19" xfId="0" applyNumberFormat="1" applyFont="1" applyBorder="1" applyAlignment="1">
      <alignment horizontal="center" vertical="center"/>
    </xf>
    <xf numFmtId="0" fontId="2" fillId="11" borderId="0" xfId="0" applyFont="1" applyFill="1" applyAlignment="1">
      <alignment horizontal="center" vertical="center" wrapText="1"/>
    </xf>
    <xf numFmtId="49" fontId="8" fillId="0" borderId="14" xfId="0" applyNumberFormat="1" applyFont="1" applyBorder="1" applyAlignment="1">
      <alignment horizontal="center" vertical="center" wrapText="1"/>
    </xf>
    <xf numFmtId="3" fontId="8" fillId="0" borderId="14" xfId="4" applyNumberFormat="1" applyFont="1" applyBorder="1" applyAlignment="1">
      <alignment horizontal="center" vertical="center" wrapText="1"/>
    </xf>
    <xf numFmtId="170" fontId="9" fillId="0" borderId="14" xfId="22" applyNumberFormat="1" applyFont="1" applyFill="1" applyBorder="1" applyAlignment="1">
      <alignment horizontal="center" vertical="center"/>
    </xf>
    <xf numFmtId="173" fontId="8" fillId="0" borderId="14" xfId="2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xf>
    <xf numFmtId="3" fontId="5" fillId="0" borderId="14" xfId="0" applyNumberFormat="1" applyFont="1" applyBorder="1" applyAlignment="1">
      <alignment horizontal="center" vertical="center" wrapText="1"/>
    </xf>
    <xf numFmtId="1" fontId="5" fillId="7" borderId="7" xfId="0" applyNumberFormat="1" applyFont="1" applyFill="1" applyBorder="1" applyAlignment="1">
      <alignment horizontal="center" vertical="center" wrapText="1"/>
    </xf>
    <xf numFmtId="1" fontId="5" fillId="7" borderId="7" xfId="0" applyNumberFormat="1" applyFont="1" applyFill="1" applyBorder="1" applyAlignment="1">
      <alignment horizontal="justify" vertical="center" wrapText="1"/>
    </xf>
    <xf numFmtId="173" fontId="8" fillId="7" borderId="7" xfId="20" applyNumberFormat="1" applyFont="1" applyFill="1" applyBorder="1" applyAlignment="1">
      <alignment horizontal="center" vertical="center" wrapText="1"/>
    </xf>
    <xf numFmtId="1" fontId="5" fillId="7" borderId="0" xfId="0" applyNumberFormat="1" applyFont="1" applyFill="1" applyAlignment="1">
      <alignment horizontal="center" vertical="center" wrapText="1"/>
    </xf>
    <xf numFmtId="1" fontId="5" fillId="7" borderId="18" xfId="0" applyNumberFormat="1" applyFont="1" applyFill="1" applyBorder="1" applyAlignment="1">
      <alignment horizontal="center" vertical="center" wrapText="1"/>
    </xf>
    <xf numFmtId="1" fontId="2" fillId="0" borderId="18" xfId="0" applyNumberFormat="1" applyFont="1" applyBorder="1" applyAlignment="1">
      <alignment horizontal="center" vertical="center"/>
    </xf>
    <xf numFmtId="0" fontId="3" fillId="19" borderId="22" xfId="0" applyFont="1" applyFill="1" applyBorder="1" applyAlignment="1">
      <alignment horizontal="center" vertical="center" wrapText="1"/>
    </xf>
    <xf numFmtId="1" fontId="5" fillId="9" borderId="22" xfId="0" applyNumberFormat="1" applyFont="1" applyFill="1" applyBorder="1" applyAlignment="1">
      <alignment horizontal="justify" vertical="center" wrapText="1"/>
    </xf>
    <xf numFmtId="173" fontId="8" fillId="9" borderId="22" xfId="20" applyNumberFormat="1" applyFont="1" applyFill="1" applyBorder="1" applyAlignment="1">
      <alignment horizontal="center" vertical="center" wrapText="1"/>
    </xf>
    <xf numFmtId="173" fontId="8" fillId="0" borderId="25" xfId="20" applyNumberFormat="1" applyFont="1" applyFill="1" applyBorder="1" applyAlignment="1">
      <alignment horizontal="center" vertical="center" wrapText="1"/>
    </xf>
    <xf numFmtId="0" fontId="5" fillId="21" borderId="5" xfId="0" applyFont="1" applyFill="1" applyBorder="1" applyAlignment="1">
      <alignment horizontal="justify" vertical="center" wrapText="1"/>
    </xf>
    <xf numFmtId="171" fontId="5" fillId="21" borderId="5" xfId="0" applyNumberFormat="1" applyFont="1" applyFill="1" applyBorder="1" applyAlignment="1">
      <alignment horizontal="center" vertical="center"/>
    </xf>
    <xf numFmtId="173" fontId="3" fillId="21" borderId="2" xfId="20" applyNumberFormat="1" applyFont="1" applyFill="1" applyBorder="1" applyAlignment="1">
      <alignment horizontal="center" vertical="center"/>
    </xf>
    <xf numFmtId="170" fontId="2" fillId="21" borderId="5" xfId="0" applyNumberFormat="1" applyFont="1" applyFill="1" applyBorder="1" applyAlignment="1">
      <alignment horizontal="center" vertical="center" wrapText="1"/>
    </xf>
    <xf numFmtId="0" fontId="5" fillId="21" borderId="35" xfId="0" applyFont="1" applyFill="1" applyBorder="1" applyAlignment="1">
      <alignment horizontal="center" vertical="center"/>
    </xf>
    <xf numFmtId="0" fontId="31" fillId="0" borderId="0" xfId="0" applyFont="1" applyAlignment="1">
      <alignment horizontal="center" vertical="center"/>
    </xf>
    <xf numFmtId="0" fontId="5" fillId="0" borderId="0" xfId="0" applyFont="1" applyAlignment="1">
      <alignment horizontal="justify" vertical="center" wrapText="1"/>
    </xf>
    <xf numFmtId="178" fontId="5" fillId="2" borderId="0" xfId="0" applyNumberFormat="1" applyFont="1" applyFill="1" applyAlignment="1">
      <alignment horizontal="justify" vertical="center" wrapText="1"/>
    </xf>
    <xf numFmtId="173" fontId="8" fillId="2" borderId="0" xfId="20" applyNumberFormat="1" applyFont="1" applyFill="1" applyAlignment="1">
      <alignment horizontal="center" vertical="center"/>
    </xf>
    <xf numFmtId="170" fontId="5" fillId="2" borderId="0" xfId="0" applyNumberFormat="1" applyFont="1" applyFill="1" applyAlignment="1">
      <alignment horizontal="center" vertical="center" wrapText="1"/>
    </xf>
    <xf numFmtId="0" fontId="2" fillId="2" borderId="0" xfId="0" applyFont="1" applyFill="1" applyAlignment="1">
      <alignment horizontal="center" vertical="center"/>
    </xf>
    <xf numFmtId="0" fontId="9" fillId="0"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25" xfId="0" applyFont="1" applyFill="1" applyBorder="1" applyAlignment="1">
      <alignment horizontal="justify" vertical="center" wrapText="1"/>
    </xf>
    <xf numFmtId="1" fontId="2" fillId="0" borderId="8"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69" fontId="5" fillId="0" borderId="14" xfId="0" applyNumberFormat="1" applyFont="1" applyFill="1" applyBorder="1" applyAlignment="1">
      <alignment horizontal="center" vertical="center" wrapText="1"/>
    </xf>
    <xf numFmtId="3" fontId="5" fillId="0" borderId="12"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1" fontId="5" fillId="2" borderId="12"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2" fillId="0" borderId="11" xfId="0" applyNumberFormat="1" applyFont="1" applyFill="1" applyBorder="1" applyAlignment="1">
      <alignment horizontal="center" vertical="center" wrapText="1"/>
    </xf>
    <xf numFmtId="0" fontId="2" fillId="0" borderId="18" xfId="0" applyFont="1" applyFill="1" applyBorder="1" applyAlignment="1">
      <alignment horizontal="center" vertical="center"/>
    </xf>
    <xf numFmtId="0" fontId="5" fillId="2" borderId="2" xfId="0" applyFont="1" applyFill="1" applyBorder="1" applyAlignment="1">
      <alignment horizontal="justify" vertical="center" wrapText="1"/>
    </xf>
    <xf numFmtId="1" fontId="5" fillId="0" borderId="2" xfId="0" applyNumberFormat="1" applyFont="1" applyFill="1" applyBorder="1" applyAlignment="1">
      <alignment horizontal="center" vertical="center" wrapText="1"/>
    </xf>
    <xf numFmtId="0" fontId="5" fillId="0" borderId="12"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3" xfId="0" applyFont="1" applyFill="1" applyBorder="1" applyAlignment="1">
      <alignment horizontal="justify" vertical="center" wrapText="1"/>
    </xf>
    <xf numFmtId="3" fontId="5" fillId="2" borderId="12" xfId="0" applyNumberFormat="1" applyFont="1" applyFill="1" applyBorder="1" applyAlignment="1">
      <alignment horizontal="justify" vertical="center" wrapText="1"/>
    </xf>
    <xf numFmtId="3" fontId="5" fillId="2" borderId="14" xfId="0" applyNumberFormat="1" applyFont="1" applyFill="1" applyBorder="1" applyAlignment="1">
      <alignment horizontal="justify" vertical="center" wrapText="1"/>
    </xf>
    <xf numFmtId="0" fontId="5" fillId="0" borderId="14" xfId="0" applyFont="1" applyFill="1" applyBorder="1" applyAlignment="1">
      <alignment horizontal="justify" vertical="center" wrapText="1"/>
    </xf>
    <xf numFmtId="3" fontId="5" fillId="0" borderId="14"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0" borderId="34" xfId="0" applyFont="1" applyFill="1" applyBorder="1" applyAlignment="1">
      <alignment horizontal="justify" vertical="center" wrapText="1"/>
    </xf>
    <xf numFmtId="0" fontId="5" fillId="0" borderId="31" xfId="0" applyFont="1" applyFill="1" applyBorder="1" applyAlignment="1">
      <alignment horizontal="center" vertical="center" wrapText="1"/>
    </xf>
    <xf numFmtId="0" fontId="5" fillId="0" borderId="34"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8" fillId="0" borderId="32" xfId="0" applyFont="1" applyFill="1" applyBorder="1" applyAlignment="1">
      <alignment horizontal="justify" vertical="center" wrapText="1"/>
    </xf>
    <xf numFmtId="43" fontId="5" fillId="0" borderId="14" xfId="3"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69" fontId="5" fillId="2" borderId="14"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169" fontId="5" fillId="2" borderId="12"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Fill="1" applyBorder="1" applyAlignment="1">
      <alignment horizontal="center" vertical="center" wrapText="1"/>
    </xf>
    <xf numFmtId="9" fontId="5" fillId="0" borderId="12"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2" borderId="12"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 fontId="2" fillId="5" borderId="12" xfId="0" applyNumberFormat="1" applyFont="1" applyFill="1" applyBorder="1" applyAlignment="1">
      <alignment horizontal="center" vertical="center" wrapText="1"/>
    </xf>
    <xf numFmtId="0" fontId="3" fillId="11" borderId="45" xfId="0" applyFont="1" applyFill="1" applyBorder="1" applyAlignment="1">
      <alignment horizontal="left" vertical="center"/>
    </xf>
    <xf numFmtId="0" fontId="3" fillId="11" borderId="46" xfId="0" applyFont="1" applyFill="1" applyBorder="1" applyAlignment="1">
      <alignment horizontal="left" vertical="center"/>
    </xf>
    <xf numFmtId="0" fontId="9" fillId="13" borderId="35" xfId="0" applyFont="1" applyFill="1" applyBorder="1" applyAlignment="1">
      <alignment horizontal="justify" vertical="center" wrapText="1"/>
    </xf>
    <xf numFmtId="0" fontId="9" fillId="0" borderId="18"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43" fontId="5" fillId="2" borderId="12" xfId="3" applyFont="1" applyFill="1" applyBorder="1" applyAlignment="1">
      <alignment horizontal="center" vertical="center" wrapText="1"/>
    </xf>
    <xf numFmtId="43" fontId="5" fillId="2" borderId="14" xfId="3"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9" fontId="5" fillId="0" borderId="34" xfId="0" applyNumberFormat="1" applyFont="1" applyFill="1" applyBorder="1" applyAlignment="1">
      <alignment horizontal="center" vertical="center" wrapText="1"/>
    </xf>
    <xf numFmtId="0" fontId="5" fillId="2" borderId="34"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1"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43" fontId="5" fillId="2" borderId="31" xfId="3" applyFont="1" applyFill="1" applyBorder="1" applyAlignment="1">
      <alignment horizontal="center" vertical="center" wrapText="1"/>
    </xf>
    <xf numFmtId="0" fontId="5" fillId="0" borderId="22" xfId="0" applyFont="1" applyFill="1" applyBorder="1" applyAlignment="1">
      <alignment horizontal="center" vertical="center" wrapText="1"/>
    </xf>
    <xf numFmtId="0" fontId="9" fillId="0" borderId="0" xfId="0"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43" fontId="5" fillId="0" borderId="12" xfId="3" applyFont="1" applyFill="1" applyBorder="1" applyAlignment="1">
      <alignment horizontal="center" vertical="center" wrapText="1"/>
    </xf>
    <xf numFmtId="1" fontId="5" fillId="0" borderId="7" xfId="0" applyNumberFormat="1" applyFont="1" applyFill="1" applyBorder="1" applyAlignment="1">
      <alignment horizontal="center" vertical="center" wrapText="1"/>
    </xf>
    <xf numFmtId="43" fontId="5" fillId="2" borderId="2" xfId="3"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0" fontId="9" fillId="12" borderId="0" xfId="0" applyFont="1" applyFill="1" applyBorder="1" applyAlignment="1">
      <alignment horizontal="center" vertical="center" wrapText="1"/>
    </xf>
    <xf numFmtId="3" fontId="5" fillId="2" borderId="34" xfId="0" applyNumberFormat="1" applyFont="1" applyFill="1" applyBorder="1" applyAlignment="1">
      <alignment horizontal="justify" vertical="center" wrapText="1"/>
    </xf>
    <xf numFmtId="1" fontId="2" fillId="0" borderId="8"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5" fillId="0" borderId="0" xfId="0" applyFont="1" applyAlignment="1">
      <alignment horizontal="center" vertical="center"/>
    </xf>
    <xf numFmtId="43" fontId="5" fillId="0" borderId="2" xfId="3" applyFont="1" applyFill="1" applyBorder="1" applyAlignment="1">
      <alignment horizontal="center" vertical="center" wrapText="1"/>
    </xf>
    <xf numFmtId="0" fontId="3" fillId="0" borderId="5" xfId="0" applyFont="1" applyBorder="1" applyAlignment="1">
      <alignment horizontal="justify" vertical="center" wrapText="1"/>
    </xf>
    <xf numFmtId="0" fontId="3" fillId="4" borderId="35" xfId="4" applyFont="1" applyFill="1" applyBorder="1" applyAlignment="1">
      <alignment horizontal="center" vertical="center" wrapText="1"/>
    </xf>
    <xf numFmtId="0" fontId="8" fillId="0" borderId="0" xfId="4" applyFont="1" applyAlignment="1">
      <alignment horizontal="center" vertical="center"/>
    </xf>
    <xf numFmtId="1" fontId="3" fillId="5" borderId="2" xfId="4" applyNumberFormat="1" applyFont="1" applyFill="1" applyBorder="1" applyAlignment="1">
      <alignment horizontal="center" vertical="center" wrapText="1"/>
    </xf>
    <xf numFmtId="0" fontId="3" fillId="5" borderId="2" xfId="4" applyFont="1" applyFill="1" applyBorder="1" applyAlignment="1">
      <alignment horizontal="center" vertical="center" wrapText="1"/>
    </xf>
    <xf numFmtId="171" fontId="3" fillId="5" borderId="2" xfId="4" applyNumberFormat="1" applyFont="1" applyFill="1" applyBorder="1" applyAlignment="1">
      <alignment horizontal="center" vertical="center" wrapText="1"/>
    </xf>
    <xf numFmtId="43" fontId="3" fillId="5" borderId="2" xfId="4" applyNumberFormat="1" applyFont="1" applyFill="1" applyBorder="1" applyAlignment="1">
      <alignment horizontal="center" vertical="center" wrapText="1"/>
    </xf>
    <xf numFmtId="173" fontId="3" fillId="5" borderId="2" xfId="4" applyNumberFormat="1" applyFont="1" applyFill="1" applyBorder="1" applyAlignment="1">
      <alignment horizontal="center" vertical="center" wrapText="1"/>
    </xf>
    <xf numFmtId="0" fontId="3" fillId="5" borderId="9" xfId="4" applyFont="1" applyFill="1" applyBorder="1" applyAlignment="1">
      <alignment horizontal="center" vertical="center" textRotation="90" wrapText="1"/>
    </xf>
    <xf numFmtId="49" fontId="3" fillId="5" borderId="9" xfId="4" applyNumberFormat="1" applyFont="1" applyFill="1" applyBorder="1" applyAlignment="1">
      <alignment horizontal="center" vertical="center" textRotation="90" wrapText="1"/>
    </xf>
    <xf numFmtId="0" fontId="3" fillId="6" borderId="2" xfId="0" applyFont="1" applyFill="1" applyBorder="1" applyAlignment="1">
      <alignment horizontal="center" vertical="center" wrapText="1"/>
    </xf>
    <xf numFmtId="1" fontId="3" fillId="7" borderId="30" xfId="4" applyNumberFormat="1" applyFont="1" applyFill="1" applyBorder="1" applyAlignment="1">
      <alignment horizontal="center" vertical="center" wrapText="1"/>
    </xf>
    <xf numFmtId="0" fontId="3" fillId="7" borderId="0" xfId="4" applyFont="1" applyFill="1" applyBorder="1" applyAlignment="1">
      <alignment horizontal="center" vertical="center"/>
    </xf>
    <xf numFmtId="0" fontId="3" fillId="7" borderId="0" xfId="4" applyFont="1" applyFill="1" applyBorder="1" applyAlignment="1">
      <alignment horizontal="justify" vertical="center" wrapText="1"/>
    </xf>
    <xf numFmtId="0" fontId="3" fillId="7" borderId="16" xfId="4" applyFont="1" applyFill="1" applyBorder="1" applyAlignment="1">
      <alignment horizontal="justify" vertical="center" wrapText="1"/>
    </xf>
    <xf numFmtId="0" fontId="3" fillId="7" borderId="16" xfId="4" applyFont="1" applyFill="1" applyBorder="1" applyAlignment="1">
      <alignment horizontal="center" vertical="center"/>
    </xf>
    <xf numFmtId="171" fontId="3" fillId="7" borderId="16" xfId="4" applyNumberFormat="1" applyFont="1" applyFill="1" applyBorder="1" applyAlignment="1">
      <alignment horizontal="center" vertical="center"/>
    </xf>
    <xf numFmtId="43" fontId="3" fillId="7" borderId="16" xfId="4" applyNumberFormat="1" applyFont="1" applyFill="1" applyBorder="1" applyAlignment="1">
      <alignment horizontal="center" vertical="center"/>
    </xf>
    <xf numFmtId="173" fontId="3" fillId="7" borderId="16" xfId="4" applyNumberFormat="1" applyFont="1" applyFill="1" applyBorder="1" applyAlignment="1">
      <alignment horizontal="center" vertical="center"/>
    </xf>
    <xf numFmtId="1" fontId="3" fillId="7" borderId="16" xfId="4" applyNumberFormat="1" applyFont="1" applyFill="1" applyBorder="1" applyAlignment="1">
      <alignment horizontal="center" vertical="center"/>
    </xf>
    <xf numFmtId="0" fontId="3" fillId="7" borderId="21" xfId="4" applyFont="1" applyFill="1" applyBorder="1" applyAlignment="1">
      <alignment horizontal="center" vertical="center"/>
    </xf>
    <xf numFmtId="169" fontId="3" fillId="7" borderId="21" xfId="4" applyNumberFormat="1" applyFont="1" applyFill="1" applyBorder="1" applyAlignment="1">
      <alignment horizontal="center" vertical="center"/>
    </xf>
    <xf numFmtId="0" fontId="8" fillId="7" borderId="43" xfId="4" applyFont="1" applyFill="1" applyBorder="1" applyAlignment="1">
      <alignment horizontal="center" vertical="center"/>
    </xf>
    <xf numFmtId="0" fontId="8" fillId="0" borderId="0" xfId="4" applyFont="1" applyBorder="1" applyAlignment="1">
      <alignment horizontal="center" vertical="center"/>
    </xf>
    <xf numFmtId="1" fontId="3" fillId="0" borderId="11" xfId="4" applyNumberFormat="1" applyFont="1" applyFill="1" applyBorder="1" applyAlignment="1">
      <alignment horizontal="center" vertical="center" wrapText="1"/>
    </xf>
    <xf numFmtId="0" fontId="3" fillId="0" borderId="18" xfId="4" applyFont="1" applyFill="1" applyBorder="1" applyAlignment="1">
      <alignment horizontal="center" vertical="center"/>
    </xf>
    <xf numFmtId="0" fontId="3" fillId="9" borderId="5" xfId="4" applyFont="1" applyFill="1" applyBorder="1" applyAlignment="1">
      <alignment horizontal="justify" vertical="center" wrapText="1"/>
    </xf>
    <xf numFmtId="0" fontId="3" fillId="9" borderId="5" xfId="4" applyFont="1" applyFill="1" applyBorder="1" applyAlignment="1">
      <alignment horizontal="center" vertical="center"/>
    </xf>
    <xf numFmtId="171" fontId="3" fillId="9" borderId="5" xfId="4" applyNumberFormat="1" applyFont="1" applyFill="1" applyBorder="1" applyAlignment="1">
      <alignment horizontal="center" vertical="center"/>
    </xf>
    <xf numFmtId="43" fontId="3" fillId="9" borderId="5" xfId="4" applyNumberFormat="1" applyFont="1" applyFill="1" applyBorder="1" applyAlignment="1">
      <alignment horizontal="center" vertical="center"/>
    </xf>
    <xf numFmtId="173" fontId="3" fillId="9" borderId="5" xfId="4" applyNumberFormat="1" applyFont="1" applyFill="1" applyBorder="1" applyAlignment="1">
      <alignment horizontal="center" vertical="center"/>
    </xf>
    <xf numFmtId="1" fontId="3" fillId="9" borderId="5" xfId="4" applyNumberFormat="1" applyFont="1" applyFill="1" applyBorder="1" applyAlignment="1">
      <alignment horizontal="center" vertical="center"/>
    </xf>
    <xf numFmtId="169" fontId="3" fillId="9" borderId="5" xfId="4" applyNumberFormat="1" applyFont="1" applyFill="1" applyBorder="1" applyAlignment="1">
      <alignment horizontal="center" vertical="center"/>
    </xf>
    <xf numFmtId="0" fontId="8" fillId="9" borderId="6" xfId="4" applyFont="1" applyFill="1" applyBorder="1" applyAlignment="1">
      <alignment horizontal="center" vertical="center"/>
    </xf>
    <xf numFmtId="0" fontId="8" fillId="0" borderId="0" xfId="4" applyFont="1" applyFill="1" applyBorder="1" applyAlignment="1">
      <alignment horizontal="center" vertical="center"/>
    </xf>
    <xf numFmtId="0" fontId="3" fillId="2" borderId="11" xfId="0" applyFont="1" applyFill="1" applyBorder="1" applyAlignment="1">
      <alignment horizontal="center" vertical="center"/>
    </xf>
    <xf numFmtId="0" fontId="3" fillId="2" borderId="18" xfId="0" applyFont="1" applyFill="1" applyBorder="1" applyAlignment="1">
      <alignment horizontal="center" vertical="center"/>
    </xf>
    <xf numFmtId="0" fontId="3" fillId="11" borderId="64" xfId="0" applyFont="1" applyFill="1" applyBorder="1" applyAlignment="1">
      <alignment horizontal="center" vertical="center"/>
    </xf>
    <xf numFmtId="0" fontId="3" fillId="11" borderId="10" xfId="0" applyFont="1" applyFill="1" applyBorder="1" applyAlignment="1">
      <alignment horizontal="center" vertical="center"/>
    </xf>
    <xf numFmtId="43" fontId="3" fillId="11" borderId="10" xfId="0" applyNumberFormat="1" applyFont="1" applyFill="1" applyBorder="1" applyAlignment="1">
      <alignment horizontal="center" vertical="center"/>
    </xf>
    <xf numFmtId="173" fontId="3" fillId="11" borderId="7" xfId="0" applyNumberFormat="1" applyFont="1" applyFill="1" applyBorder="1" applyAlignment="1">
      <alignment horizontal="center" vertical="center"/>
    </xf>
    <xf numFmtId="0" fontId="3" fillId="11" borderId="7" xfId="0" applyFont="1" applyFill="1" applyBorder="1" applyAlignment="1">
      <alignment horizontal="center" vertical="center"/>
    </xf>
    <xf numFmtId="0" fontId="8" fillId="11" borderId="35" xfId="0" applyFont="1" applyFill="1" applyBorder="1" applyAlignment="1">
      <alignment horizontal="center" vertical="center"/>
    </xf>
    <xf numFmtId="0" fontId="8" fillId="2" borderId="0" xfId="4" applyFont="1" applyFill="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173" fontId="8" fillId="0" borderId="2" xfId="20" applyNumberFormat="1" applyFont="1" applyFill="1" applyBorder="1" applyAlignment="1">
      <alignment horizontal="center" vertical="center"/>
    </xf>
    <xf numFmtId="1" fontId="8" fillId="0" borderId="35" xfId="4" applyNumberFormat="1" applyFont="1" applyFill="1" applyBorder="1" applyAlignment="1">
      <alignment horizontal="center" vertical="center" wrapText="1"/>
    </xf>
    <xf numFmtId="0" fontId="8" fillId="0" borderId="2" xfId="4" applyNumberFormat="1" applyFont="1" applyFill="1" applyBorder="1" applyAlignment="1">
      <alignment horizontal="justify" vertical="center" wrapText="1"/>
    </xf>
    <xf numFmtId="0" fontId="8" fillId="0" borderId="9" xfId="4" applyFont="1" applyFill="1" applyBorder="1" applyAlignment="1">
      <alignment horizontal="justify" vertical="center" wrapText="1"/>
    </xf>
    <xf numFmtId="0" fontId="8" fillId="0" borderId="10" xfId="4" applyFont="1" applyFill="1" applyBorder="1" applyAlignment="1">
      <alignment horizontal="justify" vertical="center" wrapText="1"/>
    </xf>
    <xf numFmtId="0" fontId="8" fillId="0" borderId="10" xfId="24" applyFont="1" applyFill="1" applyBorder="1" applyAlignment="1">
      <alignment horizontal="justify" vertical="center" wrapText="1"/>
    </xf>
    <xf numFmtId="1" fontId="8" fillId="0" borderId="18" xfId="4" applyNumberFormat="1" applyFont="1" applyFill="1" applyBorder="1" applyAlignment="1">
      <alignment horizontal="center" vertical="center" wrapText="1"/>
    </xf>
    <xf numFmtId="0" fontId="8" fillId="0" borderId="12" xfId="4" applyNumberFormat="1" applyFont="1" applyFill="1" applyBorder="1" applyAlignment="1">
      <alignment horizontal="justify" vertical="center" wrapText="1"/>
    </xf>
    <xf numFmtId="3" fontId="8" fillId="0" borderId="21" xfId="0" applyNumberFormat="1" applyFont="1" applyFill="1" applyBorder="1" applyAlignment="1">
      <alignment horizontal="justify" vertical="center" wrapText="1"/>
    </xf>
    <xf numFmtId="1" fontId="8" fillId="0" borderId="31" xfId="4" applyNumberFormat="1" applyFont="1" applyFill="1" applyBorder="1" applyAlignment="1">
      <alignment horizontal="center" vertical="center" wrapText="1"/>
    </xf>
    <xf numFmtId="0" fontId="8" fillId="0" borderId="34" xfId="4" applyNumberFormat="1" applyFont="1" applyFill="1" applyBorder="1" applyAlignment="1">
      <alignment horizontal="justify" vertical="center" wrapText="1"/>
    </xf>
    <xf numFmtId="0" fontId="3" fillId="11" borderId="53" xfId="0" applyFont="1" applyFill="1" applyBorder="1" applyAlignment="1">
      <alignment horizontal="center" vertical="center"/>
    </xf>
    <xf numFmtId="173" fontId="3" fillId="11" borderId="2" xfId="20" applyNumberFormat="1" applyFont="1" applyFill="1" applyBorder="1" applyAlignment="1">
      <alignment horizontal="center" vertical="center"/>
    </xf>
    <xf numFmtId="0" fontId="3" fillId="11" borderId="2" xfId="0" applyFont="1" applyFill="1" applyBorder="1" applyAlignment="1">
      <alignment horizontal="center" vertical="center"/>
    </xf>
    <xf numFmtId="0" fontId="3" fillId="11" borderId="0" xfId="0" applyFont="1" applyFill="1" applyBorder="1" applyAlignment="1">
      <alignment horizontal="justify" vertical="center" wrapText="1"/>
    </xf>
    <xf numFmtId="183" fontId="8" fillId="0" borderId="36" xfId="23" applyFont="1" applyFill="1" applyBorder="1" applyAlignment="1">
      <alignment horizontal="justify" vertical="center" wrapText="1"/>
    </xf>
    <xf numFmtId="0" fontId="8" fillId="0" borderId="9" xfId="4" applyNumberFormat="1" applyFont="1" applyFill="1" applyBorder="1" applyAlignment="1">
      <alignment horizontal="justify" vertical="center" wrapText="1"/>
    </xf>
    <xf numFmtId="0" fontId="8" fillId="2" borderId="9" xfId="25" applyFont="1" applyFill="1" applyBorder="1" applyAlignment="1">
      <alignment horizontal="justify" vertical="center" wrapText="1"/>
    </xf>
    <xf numFmtId="1" fontId="8" fillId="2" borderId="31" xfId="4" applyNumberFormat="1" applyFont="1" applyFill="1" applyBorder="1" applyAlignment="1">
      <alignment horizontal="center" vertical="center" wrapText="1"/>
    </xf>
    <xf numFmtId="0" fontId="8" fillId="0" borderId="35" xfId="4" applyNumberFormat="1" applyFont="1" applyFill="1" applyBorder="1" applyAlignment="1">
      <alignment horizontal="justify" vertical="center" wrapText="1"/>
    </xf>
    <xf numFmtId="0" fontId="3" fillId="2" borderId="49" xfId="0" applyFont="1" applyFill="1" applyBorder="1" applyAlignment="1">
      <alignment horizontal="center" vertical="center"/>
    </xf>
    <xf numFmtId="0" fontId="3" fillId="2" borderId="58" xfId="0" applyFont="1" applyFill="1" applyBorder="1" applyAlignment="1">
      <alignment horizontal="center" vertical="center"/>
    </xf>
    <xf numFmtId="0" fontId="8" fillId="2" borderId="36" xfId="25" applyFont="1" applyFill="1" applyBorder="1" applyAlignment="1">
      <alignment horizontal="justify" vertical="center" wrapText="1"/>
    </xf>
    <xf numFmtId="0" fontId="3" fillId="9" borderId="32" xfId="0" applyFont="1" applyFill="1" applyBorder="1" applyAlignment="1">
      <alignment horizontal="center" vertical="center" wrapText="1"/>
    </xf>
    <xf numFmtId="0" fontId="8" fillId="9" borderId="5" xfId="4" applyNumberFormat="1" applyFont="1" applyFill="1" applyBorder="1" applyAlignment="1">
      <alignment horizontal="justify" vertical="center" wrapText="1"/>
    </xf>
    <xf numFmtId="0" fontId="8" fillId="9" borderId="5" xfId="11" applyNumberFormat="1" applyFont="1" applyFill="1" applyBorder="1" applyAlignment="1">
      <alignment horizontal="center" vertical="center" wrapText="1"/>
    </xf>
    <xf numFmtId="0" fontId="8" fillId="9" borderId="5" xfId="4" applyNumberFormat="1" applyFont="1" applyFill="1" applyBorder="1" applyAlignment="1">
      <alignment horizontal="center" vertical="center" wrapText="1"/>
    </xf>
    <xf numFmtId="0" fontId="8" fillId="9" borderId="5" xfId="4" applyFont="1" applyFill="1" applyBorder="1" applyAlignment="1">
      <alignment horizontal="justify" vertical="center" wrapText="1"/>
    </xf>
    <xf numFmtId="0" fontId="8" fillId="9" borderId="5" xfId="4" applyFont="1" applyFill="1" applyBorder="1" applyAlignment="1">
      <alignment horizontal="center" vertical="center" wrapText="1"/>
    </xf>
    <xf numFmtId="0" fontId="8" fillId="9" borderId="10" xfId="4" applyNumberFormat="1" applyFont="1" applyFill="1" applyBorder="1" applyAlignment="1">
      <alignment horizontal="justify" vertical="center" wrapText="1"/>
    </xf>
    <xf numFmtId="9" fontId="8" fillId="9" borderId="10" xfId="4" applyNumberFormat="1" applyFont="1" applyFill="1" applyBorder="1" applyAlignment="1">
      <alignment horizontal="center" vertical="center" wrapText="1"/>
    </xf>
    <xf numFmtId="43" fontId="8" fillId="9" borderId="10" xfId="23" applyNumberFormat="1" applyFont="1" applyFill="1" applyBorder="1" applyAlignment="1">
      <alignment horizontal="center" vertical="center"/>
    </xf>
    <xf numFmtId="3" fontId="8" fillId="9" borderId="5" xfId="4" applyNumberFormat="1" applyFont="1" applyFill="1" applyBorder="1" applyAlignment="1">
      <alignment horizontal="justify" vertical="center" wrapText="1"/>
    </xf>
    <xf numFmtId="0" fontId="8" fillId="9" borderId="0" xfId="25" applyFont="1" applyFill="1" applyBorder="1" applyAlignment="1">
      <alignment horizontal="justify" vertical="center" wrapText="1"/>
    </xf>
    <xf numFmtId="173" fontId="8" fillId="9" borderId="2" xfId="20" applyNumberFormat="1" applyFont="1" applyFill="1" applyBorder="1" applyAlignment="1">
      <alignment horizontal="center" vertical="center" wrapText="1"/>
    </xf>
    <xf numFmtId="1" fontId="8" fillId="9" borderId="0" xfId="4" applyNumberFormat="1" applyFont="1" applyFill="1" applyBorder="1" applyAlignment="1">
      <alignment horizontal="center" vertical="center" wrapText="1"/>
    </xf>
    <xf numFmtId="0" fontId="8" fillId="9" borderId="7" xfId="4" applyNumberFormat="1" applyFont="1" applyFill="1" applyBorder="1" applyAlignment="1">
      <alignment horizontal="justify" vertical="center" wrapText="1"/>
    </xf>
    <xf numFmtId="3" fontId="8" fillId="9" borderId="5" xfId="0" applyNumberFormat="1" applyFont="1" applyFill="1" applyBorder="1" applyAlignment="1">
      <alignment horizontal="center" vertical="center"/>
    </xf>
    <xf numFmtId="1" fontId="8" fillId="9" borderId="0" xfId="20" applyNumberFormat="1" applyFont="1" applyFill="1" applyBorder="1" applyAlignment="1">
      <alignment horizontal="center" vertical="center" wrapText="1"/>
    </xf>
    <xf numFmtId="0" fontId="8" fillId="0" borderId="0" xfId="4" applyFont="1" applyFill="1" applyAlignment="1">
      <alignment horizontal="center" vertical="center"/>
    </xf>
    <xf numFmtId="0" fontId="3" fillId="2" borderId="8" xfId="0" applyFont="1" applyFill="1" applyBorder="1" applyAlignment="1">
      <alignment horizontal="center" vertical="center" wrapText="1"/>
    </xf>
    <xf numFmtId="0" fontId="3" fillId="11" borderId="7" xfId="0" applyFont="1" applyFill="1" applyBorder="1" applyAlignment="1">
      <alignment horizontal="justify"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center" vertical="center"/>
    </xf>
    <xf numFmtId="0" fontId="3" fillId="2" borderId="13" xfId="0" applyFont="1" applyFill="1" applyBorder="1" applyAlignment="1">
      <alignment horizontal="center" vertical="center"/>
    </xf>
    <xf numFmtId="0" fontId="8" fillId="9" borderId="16" xfId="0" applyFont="1" applyFill="1" applyBorder="1" applyAlignment="1">
      <alignment horizontal="justify" vertical="center" wrapText="1"/>
    </xf>
    <xf numFmtId="0" fontId="8" fillId="9" borderId="21" xfId="0" applyFont="1" applyFill="1" applyBorder="1" applyAlignment="1">
      <alignment horizontal="center" vertical="center"/>
    </xf>
    <xf numFmtId="0" fontId="8" fillId="9" borderId="21" xfId="0" applyFont="1" applyFill="1" applyBorder="1" applyAlignment="1">
      <alignment horizontal="justify" vertical="center" wrapText="1"/>
    </xf>
    <xf numFmtId="9" fontId="8" fillId="9" borderId="21" xfId="0" applyNumberFormat="1" applyFont="1" applyFill="1" applyBorder="1" applyAlignment="1">
      <alignment horizontal="center" vertical="center"/>
    </xf>
    <xf numFmtId="43" fontId="8" fillId="9" borderId="21" xfId="23" applyNumberFormat="1" applyFont="1" applyFill="1" applyBorder="1" applyAlignment="1">
      <alignment horizontal="center" vertical="center"/>
    </xf>
    <xf numFmtId="0" fontId="8" fillId="9" borderId="16" xfId="26" applyFont="1" applyFill="1" applyBorder="1" applyAlignment="1">
      <alignment horizontal="justify" vertical="center" wrapText="1"/>
    </xf>
    <xf numFmtId="173" fontId="8" fillId="9" borderId="2" xfId="20" applyNumberFormat="1" applyFont="1" applyFill="1" applyBorder="1" applyAlignment="1">
      <alignment horizontal="center" vertical="center"/>
    </xf>
    <xf numFmtId="3" fontId="8" fillId="9" borderId="21" xfId="0" applyNumberFormat="1" applyFont="1" applyFill="1" applyBorder="1" applyAlignment="1">
      <alignment horizontal="center" vertical="center"/>
    </xf>
    <xf numFmtId="1" fontId="8" fillId="9" borderId="21" xfId="20" applyNumberFormat="1" applyFont="1" applyFill="1" applyBorder="1" applyAlignment="1">
      <alignment horizontal="center" vertical="center" wrapText="1"/>
    </xf>
    <xf numFmtId="0" fontId="3" fillId="11" borderId="58" xfId="0" applyFont="1" applyFill="1" applyBorder="1" applyAlignment="1">
      <alignment horizontal="center" vertical="center"/>
    </xf>
    <xf numFmtId="43" fontId="3" fillId="11" borderId="0" xfId="0" applyNumberFormat="1" applyFont="1" applyFill="1" applyBorder="1" applyAlignment="1">
      <alignment horizontal="center" vertical="center"/>
    </xf>
    <xf numFmtId="0" fontId="8" fillId="0" borderId="7" xfId="0" applyFont="1" applyFill="1" applyBorder="1" applyAlignment="1">
      <alignment horizontal="justify" vertical="center" wrapText="1"/>
    </xf>
    <xf numFmtId="0" fontId="8" fillId="0" borderId="10" xfId="0" applyFont="1" applyFill="1" applyBorder="1" applyAlignment="1">
      <alignment horizontal="justify" vertical="center" wrapText="1"/>
    </xf>
    <xf numFmtId="43" fontId="3" fillId="11" borderId="5"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8" fillId="0" borderId="21" xfId="0" applyFont="1" applyFill="1" applyBorder="1" applyAlignment="1">
      <alignment horizontal="center" vertical="center"/>
    </xf>
    <xf numFmtId="0" fontId="8" fillId="9" borderId="0" xfId="0" applyFont="1" applyFill="1" applyBorder="1" applyAlignment="1">
      <alignment horizontal="center" vertical="center"/>
    </xf>
    <xf numFmtId="0" fontId="8" fillId="9" borderId="0" xfId="0" applyFont="1" applyFill="1" applyBorder="1" applyAlignment="1">
      <alignment horizontal="justify" vertical="center" wrapText="1"/>
    </xf>
    <xf numFmtId="0" fontId="8" fillId="9" borderId="22" xfId="0" applyFont="1" applyFill="1" applyBorder="1" applyAlignment="1">
      <alignment horizontal="center" vertical="center"/>
    </xf>
    <xf numFmtId="0" fontId="8" fillId="9" borderId="16" xfId="25" applyFont="1" applyFill="1" applyBorder="1" applyAlignment="1">
      <alignment horizontal="justify" vertical="center" wrapText="1"/>
    </xf>
    <xf numFmtId="0" fontId="8" fillId="9" borderId="16" xfId="0" applyFont="1" applyFill="1" applyBorder="1" applyAlignment="1">
      <alignment horizontal="center" vertical="center"/>
    </xf>
    <xf numFmtId="1" fontId="8" fillId="9" borderId="2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13" xfId="0" applyFont="1" applyFill="1" applyBorder="1" applyAlignment="1">
      <alignment horizontal="justify" vertical="center" wrapText="1"/>
    </xf>
    <xf numFmtId="0" fontId="8" fillId="0" borderId="10" xfId="21" applyFont="1" applyFill="1" applyBorder="1" applyAlignment="1">
      <alignment horizontal="justify" vertical="center" wrapText="1"/>
    </xf>
    <xf numFmtId="0" fontId="8" fillId="0" borderId="5" xfId="21" applyFont="1" applyFill="1" applyBorder="1" applyAlignment="1">
      <alignment horizontal="justify" vertical="center" wrapText="1"/>
    </xf>
    <xf numFmtId="0" fontId="8" fillId="0" borderId="7" xfId="21" applyFont="1" applyFill="1" applyBorder="1" applyAlignment="1">
      <alignment horizontal="justify" vertical="center" wrapText="1"/>
    </xf>
    <xf numFmtId="0" fontId="8" fillId="0" borderId="10" xfId="0" applyFont="1" applyFill="1" applyBorder="1" applyAlignment="1">
      <alignment horizontal="center" vertical="center"/>
    </xf>
    <xf numFmtId="0" fontId="3" fillId="2" borderId="49"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7" borderId="30" xfId="0" applyFont="1" applyFill="1" applyBorder="1" applyAlignment="1">
      <alignment horizontal="center" vertical="center" wrapText="1"/>
    </xf>
    <xf numFmtId="43" fontId="3" fillId="7" borderId="22" xfId="0" applyNumberFormat="1" applyFont="1" applyFill="1" applyBorder="1" applyAlignment="1">
      <alignment horizontal="center" vertical="center"/>
    </xf>
    <xf numFmtId="173" fontId="3" fillId="7" borderId="2" xfId="20" applyNumberFormat="1" applyFont="1" applyFill="1" applyBorder="1" applyAlignment="1">
      <alignment horizontal="center" vertical="center"/>
    </xf>
    <xf numFmtId="0" fontId="3" fillId="7" borderId="2" xfId="0" applyFont="1" applyFill="1" applyBorder="1" applyAlignment="1">
      <alignment horizontal="center" vertical="center"/>
    </xf>
    <xf numFmtId="43" fontId="3" fillId="9" borderId="21" xfId="0" applyNumberFormat="1" applyFont="1" applyFill="1" applyBorder="1" applyAlignment="1">
      <alignment horizontal="center" vertical="center"/>
    </xf>
    <xf numFmtId="173" fontId="3" fillId="9" borderId="2" xfId="20" applyNumberFormat="1" applyFont="1" applyFill="1" applyBorder="1" applyAlignment="1">
      <alignment horizontal="center" vertical="center"/>
    </xf>
    <xf numFmtId="0" fontId="3" fillId="9" borderId="2" xfId="0" applyFont="1" applyFill="1" applyBorder="1" applyAlignment="1">
      <alignment horizontal="center" vertical="center"/>
    </xf>
    <xf numFmtId="1" fontId="8" fillId="0" borderId="19" xfId="4" applyNumberFormat="1" applyFont="1" applyFill="1" applyBorder="1" applyAlignment="1">
      <alignment horizontal="center" vertical="center" wrapText="1"/>
    </xf>
    <xf numFmtId="0" fontId="8" fillId="0" borderId="33" xfId="4" applyNumberFormat="1" applyFont="1" applyFill="1" applyBorder="1" applyAlignment="1">
      <alignment horizontal="justify" vertical="center" wrapText="1"/>
    </xf>
    <xf numFmtId="0" fontId="3" fillId="2" borderId="13" xfId="0" applyFont="1" applyFill="1" applyBorder="1" applyAlignment="1">
      <alignment horizontal="center" vertical="center" wrapText="1"/>
    </xf>
    <xf numFmtId="0" fontId="8" fillId="9" borderId="16" xfId="4" applyNumberFormat="1" applyFont="1" applyFill="1" applyBorder="1" applyAlignment="1">
      <alignment horizontal="center" vertical="center"/>
    </xf>
    <xf numFmtId="0" fontId="8" fillId="9" borderId="21" xfId="4" applyNumberFormat="1" applyFont="1" applyFill="1" applyBorder="1" applyAlignment="1">
      <alignment horizontal="justify" vertical="center" wrapText="1"/>
    </xf>
    <xf numFmtId="0" fontId="8" fillId="9" borderId="21" xfId="13" applyNumberFormat="1" applyFont="1" applyFill="1" applyBorder="1" applyAlignment="1">
      <alignment horizontal="center" vertical="center" wrapText="1"/>
    </xf>
    <xf numFmtId="0" fontId="8" fillId="9" borderId="21" xfId="4" applyFont="1" applyFill="1" applyBorder="1" applyAlignment="1">
      <alignment horizontal="justify" vertical="center" wrapText="1"/>
    </xf>
    <xf numFmtId="0" fontId="8" fillId="9" borderId="21" xfId="4" applyFont="1" applyFill="1" applyBorder="1" applyAlignment="1">
      <alignment horizontal="center" vertical="center" wrapText="1"/>
    </xf>
    <xf numFmtId="9" fontId="8" fillId="9" borderId="21" xfId="4" applyNumberFormat="1" applyFont="1" applyFill="1" applyBorder="1" applyAlignment="1">
      <alignment horizontal="center" vertical="center"/>
    </xf>
    <xf numFmtId="43" fontId="8" fillId="9" borderId="21" xfId="23" applyNumberFormat="1" applyFont="1" applyFill="1" applyBorder="1" applyAlignment="1">
      <alignment horizontal="center" vertical="center" wrapText="1"/>
    </xf>
    <xf numFmtId="0" fontId="8" fillId="9" borderId="2" xfId="4" applyFont="1" applyFill="1" applyBorder="1" applyAlignment="1">
      <alignment horizontal="center" vertical="center"/>
    </xf>
    <xf numFmtId="1" fontId="8" fillId="9" borderId="16" xfId="4" applyNumberFormat="1" applyFont="1" applyFill="1" applyBorder="1" applyAlignment="1">
      <alignment horizontal="center" vertical="center" wrapText="1"/>
    </xf>
    <xf numFmtId="0" fontId="8" fillId="9" borderId="16" xfId="4" applyNumberFormat="1" applyFont="1" applyFill="1" applyBorder="1" applyAlignment="1">
      <alignment horizontal="justify" vertical="center" wrapText="1"/>
    </xf>
    <xf numFmtId="0" fontId="3" fillId="0" borderId="0" xfId="4" applyFont="1" applyAlignment="1">
      <alignment horizontal="center" vertical="center"/>
    </xf>
    <xf numFmtId="1" fontId="8" fillId="0" borderId="6" xfId="4" applyNumberFormat="1" applyFont="1" applyFill="1" applyBorder="1" applyAlignment="1">
      <alignment horizontal="center" vertical="center"/>
    </xf>
    <xf numFmtId="1" fontId="8" fillId="0" borderId="35" xfId="4" applyNumberFormat="1" applyFont="1" applyFill="1" applyBorder="1" applyAlignment="1">
      <alignment horizontal="center" vertical="center"/>
    </xf>
    <xf numFmtId="1" fontId="8" fillId="0" borderId="7" xfId="4" applyNumberFormat="1" applyFont="1" applyFill="1" applyBorder="1" applyAlignment="1">
      <alignment horizontal="center" vertical="center"/>
    </xf>
    <xf numFmtId="0" fontId="8" fillId="0" borderId="32" xfId="4" applyNumberFormat="1" applyFont="1" applyFill="1" applyBorder="1" applyAlignment="1">
      <alignment horizontal="justify" vertical="center" wrapText="1"/>
    </xf>
    <xf numFmtId="0" fontId="3" fillId="0" borderId="8" xfId="0" applyFont="1" applyFill="1" applyBorder="1" applyAlignment="1">
      <alignment horizontal="center" vertical="center"/>
    </xf>
    <xf numFmtId="1" fontId="8" fillId="0" borderId="1" xfId="4" applyNumberFormat="1" applyFont="1" applyFill="1" applyBorder="1" applyAlignment="1">
      <alignment horizontal="center" vertical="center"/>
    </xf>
    <xf numFmtId="1" fontId="8" fillId="0" borderId="18" xfId="4" applyNumberFormat="1" applyFont="1" applyFill="1" applyBorder="1" applyAlignment="1">
      <alignment horizontal="center" vertical="center"/>
    </xf>
    <xf numFmtId="1" fontId="8" fillId="0" borderId="43" xfId="4" applyNumberFormat="1" applyFont="1" applyFill="1" applyBorder="1" applyAlignment="1">
      <alignment horizontal="center" vertical="center"/>
    </xf>
    <xf numFmtId="1" fontId="8" fillId="0" borderId="31" xfId="4" applyNumberFormat="1" applyFont="1" applyFill="1" applyBorder="1" applyAlignment="1">
      <alignment horizontal="center" vertical="center"/>
    </xf>
    <xf numFmtId="1" fontId="8" fillId="0" borderId="0" xfId="4" applyNumberFormat="1" applyFont="1" applyFill="1" applyBorder="1" applyAlignment="1">
      <alignment horizontal="center" vertical="center"/>
    </xf>
    <xf numFmtId="43" fontId="3" fillId="7" borderId="0"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7" xfId="0" applyFont="1" applyFill="1" applyBorder="1" applyAlignment="1">
      <alignment horizontal="center" vertical="center"/>
    </xf>
    <xf numFmtId="1" fontId="8" fillId="0" borderId="21" xfId="4" applyNumberFormat="1" applyFont="1" applyFill="1" applyBorder="1" applyAlignment="1">
      <alignment horizontal="center" vertical="center"/>
    </xf>
    <xf numFmtId="0" fontId="8" fillId="0" borderId="24" xfId="24" applyFont="1" applyFill="1" applyBorder="1" applyAlignment="1">
      <alignment horizontal="justify" vertical="center" wrapText="1"/>
    </xf>
    <xf numFmtId="1" fontId="8" fillId="0" borderId="22" xfId="4" applyNumberFormat="1" applyFont="1" applyFill="1" applyBorder="1" applyAlignment="1">
      <alignment horizontal="center" vertical="center"/>
    </xf>
    <xf numFmtId="0" fontId="8" fillId="0" borderId="10" xfId="24" applyFont="1" applyFill="1" applyBorder="1" applyAlignment="1">
      <alignment horizontal="justify" vertical="center" wrapText="1" readingOrder="2"/>
    </xf>
    <xf numFmtId="1" fontId="8" fillId="0" borderId="5" xfId="4" applyNumberFormat="1" applyFont="1" applyFill="1" applyBorder="1" applyAlignment="1">
      <alignment horizontal="center" vertical="center"/>
    </xf>
    <xf numFmtId="1" fontId="8" fillId="0" borderId="10" xfId="4" applyNumberFormat="1" applyFont="1" applyFill="1" applyBorder="1" applyAlignment="1">
      <alignment horizontal="center" vertical="center"/>
    </xf>
    <xf numFmtId="0" fontId="8" fillId="2" borderId="30" xfId="4" applyFont="1" applyFill="1" applyBorder="1" applyAlignment="1">
      <alignment horizontal="justify" vertical="center" wrapText="1"/>
    </xf>
    <xf numFmtId="1" fontId="8" fillId="21" borderId="9" xfId="4" applyNumberFormat="1" applyFont="1" applyFill="1" applyBorder="1" applyAlignment="1">
      <alignment horizontal="center" vertical="center"/>
    </xf>
    <xf numFmtId="0" fontId="8" fillId="21" borderId="10" xfId="4" applyFont="1" applyFill="1" applyBorder="1" applyAlignment="1">
      <alignment horizontal="center" vertical="center"/>
    </xf>
    <xf numFmtId="0" fontId="8" fillId="21" borderId="10" xfId="4" applyFont="1" applyFill="1" applyBorder="1" applyAlignment="1">
      <alignment horizontal="justify" vertical="center" wrapText="1"/>
    </xf>
    <xf numFmtId="171" fontId="8" fillId="21" borderId="35" xfId="4" applyNumberFormat="1" applyFont="1" applyFill="1" applyBorder="1" applyAlignment="1">
      <alignment horizontal="center" vertical="center"/>
    </xf>
    <xf numFmtId="43" fontId="3" fillId="21" borderId="25" xfId="4" applyNumberFormat="1" applyFont="1" applyFill="1" applyBorder="1" applyAlignment="1">
      <alignment horizontal="center" vertical="center"/>
    </xf>
    <xf numFmtId="0" fontId="8" fillId="21" borderId="9" xfId="4" applyFont="1" applyFill="1" applyBorder="1" applyAlignment="1">
      <alignment horizontal="justify" vertical="center" wrapText="1"/>
    </xf>
    <xf numFmtId="0" fontId="8" fillId="21" borderId="35" xfId="4" applyFont="1" applyFill="1" applyBorder="1" applyAlignment="1">
      <alignment horizontal="justify" vertical="center" wrapText="1"/>
    </xf>
    <xf numFmtId="0" fontId="3" fillId="21" borderId="9" xfId="0" applyFont="1" applyFill="1" applyBorder="1" applyAlignment="1">
      <alignment horizontal="justify" vertical="center" wrapText="1"/>
    </xf>
    <xf numFmtId="170" fontId="3" fillId="21" borderId="2" xfId="4" applyNumberFormat="1" applyFont="1" applyFill="1" applyBorder="1" applyAlignment="1">
      <alignment horizontal="center" vertical="center"/>
    </xf>
    <xf numFmtId="1" fontId="8" fillId="21" borderId="5" xfId="4" applyNumberFormat="1" applyFont="1" applyFill="1" applyBorder="1" applyAlignment="1">
      <alignment horizontal="center" vertical="center"/>
    </xf>
    <xf numFmtId="0" fontId="8" fillId="21" borderId="5" xfId="4" applyFont="1" applyFill="1" applyBorder="1" applyAlignment="1">
      <alignment horizontal="justify" vertical="center" wrapText="1"/>
    </xf>
    <xf numFmtId="0" fontId="8" fillId="21" borderId="5" xfId="4" applyFont="1" applyFill="1" applyBorder="1" applyAlignment="1">
      <alignment horizontal="center" vertical="center"/>
    </xf>
    <xf numFmtId="0" fontId="8" fillId="29" borderId="2" xfId="4" applyFont="1" applyFill="1" applyBorder="1" applyAlignment="1">
      <alignment vertical="center"/>
    </xf>
    <xf numFmtId="1" fontId="8" fillId="0" borderId="0" xfId="4" applyNumberFormat="1" applyFont="1" applyAlignment="1">
      <alignment horizontal="center" vertical="center"/>
    </xf>
    <xf numFmtId="0" fontId="8" fillId="2" borderId="0" xfId="4" applyFont="1" applyFill="1" applyAlignment="1">
      <alignment horizontal="justify" vertical="center" wrapText="1"/>
    </xf>
    <xf numFmtId="171" fontId="8" fillId="2" borderId="0" xfId="4" applyNumberFormat="1" applyFont="1" applyFill="1" applyAlignment="1">
      <alignment horizontal="center" vertical="center"/>
    </xf>
    <xf numFmtId="43" fontId="8" fillId="2" borderId="0" xfId="4" applyNumberFormat="1" applyFont="1" applyFill="1" applyAlignment="1">
      <alignment horizontal="center" vertical="center"/>
    </xf>
    <xf numFmtId="173" fontId="8" fillId="2" borderId="0" xfId="4" applyNumberFormat="1" applyFont="1" applyFill="1" applyAlignment="1">
      <alignment horizontal="center" vertical="center"/>
    </xf>
    <xf numFmtId="170" fontId="8" fillId="2" borderId="0" xfId="4" applyNumberFormat="1" applyFont="1" applyFill="1" applyAlignment="1">
      <alignment horizontal="center" vertical="center"/>
    </xf>
    <xf numFmtId="1" fontId="8" fillId="2" borderId="0" xfId="4" applyNumberFormat="1" applyFont="1" applyFill="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left" vertical="center" wrapText="1"/>
    </xf>
    <xf numFmtId="0" fontId="9" fillId="0" borderId="2" xfId="0" applyFont="1" applyFill="1" applyBorder="1" applyAlignment="1">
      <alignment horizontal="center" vertical="center" wrapText="1"/>
    </xf>
    <xf numFmtId="0" fontId="5" fillId="0" borderId="1" xfId="0" applyFont="1" applyBorder="1" applyAlignment="1">
      <alignment horizontal="center" vertical="center"/>
    </xf>
    <xf numFmtId="0" fontId="9" fillId="0" borderId="25" xfId="0" applyFont="1" applyFill="1" applyBorder="1" applyAlignment="1">
      <alignment horizontal="center" vertical="center" wrapText="1"/>
    </xf>
    <xf numFmtId="49" fontId="2" fillId="5" borderId="2" xfId="0" applyNumberFormat="1" applyFont="1" applyFill="1" applyBorder="1" applyAlignment="1">
      <alignment horizontal="center" vertical="center" textRotation="90"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5" fillId="0" borderId="8"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3" fillId="9" borderId="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34"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12" borderId="0" xfId="0" applyFont="1" applyFill="1" applyBorder="1" applyAlignment="1">
      <alignment horizontal="center" vertical="center" wrapText="1"/>
    </xf>
    <xf numFmtId="0" fontId="5" fillId="0" borderId="0" xfId="0" applyFont="1" applyAlignment="1">
      <alignment horizontal="center" vertical="center"/>
    </xf>
    <xf numFmtId="0" fontId="8" fillId="0" borderId="0" xfId="0" applyFont="1" applyFill="1" applyBorder="1" applyAlignment="1">
      <alignment horizontal="center" vertical="center" wrapText="1"/>
    </xf>
    <xf numFmtId="168" fontId="8" fillId="0" borderId="2" xfId="0" applyNumberFormat="1" applyFont="1" applyFill="1" applyBorder="1" applyAlignment="1">
      <alignment horizontal="left" vertical="center"/>
    </xf>
    <xf numFmtId="14" fontId="8" fillId="0" borderId="2" xfId="0" applyNumberFormat="1" applyFont="1" applyFill="1" applyBorder="1" applyAlignment="1">
      <alignment horizontal="left" vertical="center" wrapText="1"/>
    </xf>
    <xf numFmtId="49" fontId="8" fillId="0" borderId="2" xfId="0" applyNumberFormat="1" applyFont="1" applyFill="1" applyBorder="1" applyAlignment="1">
      <alignment horizontal="justify" vertical="center"/>
    </xf>
    <xf numFmtId="49" fontId="8" fillId="0" borderId="2" xfId="0" applyNumberFormat="1" applyFont="1" applyFill="1" applyBorder="1" applyAlignment="1">
      <alignment horizontal="left" vertical="center"/>
    </xf>
    <xf numFmtId="49" fontId="8" fillId="0" borderId="2" xfId="0" applyNumberFormat="1" applyFont="1" applyBorder="1" applyAlignment="1">
      <alignment horizontal="left" vertical="center"/>
    </xf>
    <xf numFmtId="14" fontId="8" fillId="0" borderId="2" xfId="0" applyNumberFormat="1"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1" fontId="2" fillId="4" borderId="2" xfId="0" applyNumberFormat="1" applyFont="1" applyFill="1" applyBorder="1" applyAlignment="1">
      <alignment horizontal="center" vertical="center" wrapText="1"/>
    </xf>
    <xf numFmtId="1" fontId="2" fillId="4" borderId="9" xfId="0" applyNumberFormat="1"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0" borderId="14" xfId="0"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8" fillId="12"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169" fontId="2" fillId="5" borderId="11" xfId="0" applyNumberFormat="1" applyFont="1" applyFill="1" applyBorder="1" applyAlignment="1">
      <alignment horizontal="center" vertical="center" wrapText="1"/>
    </xf>
    <xf numFmtId="169" fontId="2" fillId="5" borderId="13" xfId="0" applyNumberFormat="1" applyFont="1" applyFill="1" applyBorder="1" applyAlignment="1">
      <alignment horizontal="center" vertical="center" wrapText="1"/>
    </xf>
    <xf numFmtId="3" fontId="2" fillId="5" borderId="12" xfId="0" applyNumberFormat="1" applyFont="1" applyFill="1" applyBorder="1" applyAlignment="1">
      <alignment horizontal="center" vertical="center" wrapText="1"/>
    </xf>
    <xf numFmtId="3" fontId="2" fillId="5" borderId="14"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textRotation="90" wrapText="1"/>
    </xf>
    <xf numFmtId="0" fontId="3" fillId="7" borderId="15" xfId="0" applyFont="1" applyFill="1" applyBorder="1" applyAlignment="1">
      <alignment horizontal="left" vertical="center"/>
    </xf>
    <xf numFmtId="0" fontId="3" fillId="7" borderId="16" xfId="0" applyFont="1" applyFill="1" applyBorder="1" applyAlignment="1">
      <alignment horizontal="left" vertical="center"/>
    </xf>
    <xf numFmtId="0" fontId="3" fillId="9" borderId="20" xfId="0" applyFont="1" applyFill="1" applyBorder="1" applyAlignment="1">
      <alignment horizontal="left" vertical="center"/>
    </xf>
    <xf numFmtId="0" fontId="3" fillId="9" borderId="21" xfId="0" applyFont="1" applyFill="1" applyBorder="1" applyAlignment="1">
      <alignment horizontal="left" vertical="center"/>
    </xf>
    <xf numFmtId="3" fontId="3" fillId="4" borderId="9" xfId="0" applyNumberFormat="1" applyFont="1" applyFill="1" applyBorder="1" applyAlignment="1">
      <alignment horizontal="center" vertical="center" wrapText="1"/>
    </xf>
    <xf numFmtId="3" fontId="3" fillId="4" borderId="10"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textRotation="90" wrapText="1"/>
    </xf>
    <xf numFmtId="0" fontId="9" fillId="12" borderId="2" xfId="0" applyFont="1" applyFill="1" applyBorder="1" applyAlignment="1">
      <alignment horizontal="center" vertical="center" wrapText="1"/>
    </xf>
    <xf numFmtId="3" fontId="9" fillId="12"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8" fillId="2" borderId="12" xfId="0" applyFont="1" applyFill="1" applyBorder="1" applyAlignment="1">
      <alignment horizontal="justify" vertical="center" wrapText="1"/>
    </xf>
    <xf numFmtId="0" fontId="8" fillId="2" borderId="12" xfId="0" applyFont="1" applyFill="1" applyBorder="1" applyAlignment="1">
      <alignment horizontal="center" vertical="center" wrapText="1"/>
    </xf>
    <xf numFmtId="3" fontId="9" fillId="12" borderId="12" xfId="0" applyNumberFormat="1" applyFont="1" applyFill="1" applyBorder="1" applyAlignment="1">
      <alignment horizontal="center" vertical="center" wrapText="1"/>
    </xf>
    <xf numFmtId="3" fontId="9" fillId="12" borderId="14" xfId="0" applyNumberFormat="1" applyFont="1" applyFill="1" applyBorder="1" applyAlignment="1">
      <alignment horizontal="center" vertical="center" wrapText="1"/>
    </xf>
    <xf numFmtId="3" fontId="9" fillId="12" borderId="25" xfId="0" applyNumberFormat="1" applyFont="1" applyFill="1" applyBorder="1" applyAlignment="1">
      <alignment horizontal="center" vertical="center" wrapText="1"/>
    </xf>
    <xf numFmtId="43" fontId="8" fillId="2" borderId="2" xfId="3" applyFont="1" applyFill="1" applyBorder="1" applyAlignment="1">
      <alignment horizontal="center" vertical="center"/>
    </xf>
    <xf numFmtId="0" fontId="8" fillId="2" borderId="2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5" fillId="0" borderId="24" xfId="0" applyFont="1" applyBorder="1" applyAlignment="1">
      <alignment horizontal="justify" vertical="center" wrapText="1"/>
    </xf>
    <xf numFmtId="0" fontId="5" fillId="0" borderId="15" xfId="0" applyFont="1" applyBorder="1" applyAlignment="1">
      <alignment horizontal="justify" vertical="center" wrapText="1"/>
    </xf>
    <xf numFmtId="14" fontId="9" fillId="12" borderId="2"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6" xfId="0" applyFont="1" applyFill="1" applyBorder="1" applyAlignment="1">
      <alignment horizontal="center" vertical="center" wrapText="1"/>
    </xf>
    <xf numFmtId="0" fontId="8" fillId="0" borderId="24"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0" borderId="27" xfId="0" applyFont="1" applyFill="1" applyBorder="1" applyAlignment="1">
      <alignment horizontal="justify" vertical="center" wrapText="1"/>
    </xf>
    <xf numFmtId="9" fontId="5" fillId="2" borderId="2" xfId="2"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3" fontId="5" fillId="0" borderId="2" xfId="3" applyFont="1" applyBorder="1" applyAlignment="1">
      <alignment horizontal="center" vertical="center"/>
    </xf>
    <xf numFmtId="14" fontId="9" fillId="12" borderId="12" xfId="0" applyNumberFormat="1" applyFont="1" applyFill="1" applyBorder="1" applyAlignment="1">
      <alignment horizontal="center" vertical="center" wrapText="1"/>
    </xf>
    <xf numFmtId="14" fontId="9" fillId="12" borderId="14" xfId="0" applyNumberFormat="1" applyFont="1" applyFill="1" applyBorder="1" applyAlignment="1">
      <alignment horizontal="center" vertical="center" wrapText="1"/>
    </xf>
    <xf numFmtId="14" fontId="9" fillId="12" borderId="25" xfId="0" applyNumberFormat="1" applyFont="1" applyFill="1" applyBorder="1" applyAlignment="1">
      <alignment horizontal="center" vertical="center" wrapText="1"/>
    </xf>
    <xf numFmtId="0" fontId="3" fillId="11" borderId="27" xfId="0" applyFont="1" applyFill="1" applyBorder="1" applyAlignment="1">
      <alignment horizontal="left" vertical="center"/>
    </xf>
    <xf numFmtId="0" fontId="3" fillId="11" borderId="16" xfId="0" applyFont="1" applyFill="1" applyBorder="1" applyAlignment="1">
      <alignment horizontal="left" vertical="center"/>
    </xf>
    <xf numFmtId="0" fontId="8" fillId="0" borderId="3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32"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33" xfId="0" applyFont="1" applyBorder="1" applyAlignment="1">
      <alignment horizontal="center" vertical="center" wrapText="1"/>
    </xf>
    <xf numFmtId="0" fontId="8" fillId="2" borderId="33" xfId="0" applyFont="1" applyFill="1" applyBorder="1" applyAlignment="1">
      <alignment horizontal="justify" vertical="center" wrapText="1"/>
    </xf>
    <xf numFmtId="0" fontId="8" fillId="2" borderId="30" xfId="0" applyFont="1" applyFill="1" applyBorder="1" applyAlignment="1">
      <alignment horizontal="justify" vertical="center" wrapText="1"/>
    </xf>
    <xf numFmtId="0" fontId="8" fillId="2" borderId="33" xfId="4" applyFont="1" applyFill="1" applyBorder="1" applyAlignment="1">
      <alignment horizontal="center" vertical="center" wrapText="1"/>
    </xf>
    <xf numFmtId="0" fontId="8" fillId="2" borderId="30" xfId="4" applyFont="1" applyFill="1" applyBorder="1" applyAlignment="1">
      <alignment horizontal="center" vertical="center" wrapText="1"/>
    </xf>
    <xf numFmtId="0" fontId="8" fillId="0" borderId="33" xfId="4" applyFont="1" applyBorder="1" applyAlignment="1">
      <alignment horizontal="justify" vertical="center" wrapText="1"/>
    </xf>
    <xf numFmtId="0" fontId="8" fillId="0" borderId="30" xfId="4" applyFont="1" applyBorder="1" applyAlignment="1">
      <alignment horizontal="justify"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1"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8" fillId="0" borderId="14" xfId="0" applyFont="1" applyBorder="1" applyAlignment="1">
      <alignment horizontal="center" vertical="center" wrapText="1"/>
    </xf>
    <xf numFmtId="0" fontId="9" fillId="0" borderId="11" xfId="0" applyFont="1" applyFill="1" applyBorder="1" applyAlignment="1">
      <alignment horizontal="justify" vertical="center" wrapText="1"/>
    </xf>
    <xf numFmtId="0" fontId="9" fillId="0" borderId="8" xfId="0" applyFont="1" applyFill="1" applyBorder="1" applyAlignment="1">
      <alignment horizontal="justify" vertical="center" wrapText="1"/>
    </xf>
    <xf numFmtId="9" fontId="5" fillId="2" borderId="2" xfId="2"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8" fillId="0" borderId="35" xfId="0" applyFont="1" applyBorder="1" applyAlignment="1">
      <alignment horizontal="center" vertical="center" wrapText="1"/>
    </xf>
    <xf numFmtId="0" fontId="8" fillId="0" borderId="2" xfId="0" applyFont="1" applyBorder="1" applyAlignment="1">
      <alignment horizontal="justify" vertical="center" wrapText="1"/>
    </xf>
    <xf numFmtId="4" fontId="8" fillId="0" borderId="2" xfId="0" applyNumberFormat="1" applyFont="1" applyBorder="1" applyAlignment="1">
      <alignment horizontal="center" vertical="center" wrapText="1"/>
    </xf>
    <xf numFmtId="0" fontId="8" fillId="0" borderId="9" xfId="0" applyFont="1" applyBorder="1" applyAlignment="1">
      <alignment horizontal="justify" vertical="center" wrapText="1"/>
    </xf>
    <xf numFmtId="0" fontId="5" fillId="0" borderId="34"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25" xfId="0" applyFont="1" applyBorder="1" applyAlignment="1">
      <alignment horizontal="center" vertical="center"/>
    </xf>
    <xf numFmtId="9" fontId="8" fillId="0" borderId="2" xfId="2" applyFont="1" applyBorder="1" applyAlignment="1">
      <alignment horizontal="center" vertical="center" wrapText="1"/>
    </xf>
    <xf numFmtId="14" fontId="5" fillId="2" borderId="12" xfId="0"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 xfId="0" applyFont="1" applyFill="1" applyBorder="1" applyAlignment="1">
      <alignment horizontal="center" vertical="center"/>
    </xf>
    <xf numFmtId="14" fontId="5" fillId="2" borderId="2" xfId="0" applyNumberFormat="1" applyFont="1" applyFill="1" applyBorder="1" applyAlignment="1">
      <alignment horizontal="center" vertical="center"/>
    </xf>
    <xf numFmtId="14" fontId="5" fillId="0" borderId="12" xfId="0" applyNumberFormat="1" applyFont="1" applyBorder="1" applyAlignment="1">
      <alignment horizontal="center" vertical="center"/>
    </xf>
    <xf numFmtId="14" fontId="5" fillId="0" borderId="11" xfId="0" applyNumberFormat="1"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4" fontId="5" fillId="2" borderId="12" xfId="0" applyNumberFormat="1" applyFont="1" applyFill="1" applyBorder="1" applyAlignment="1">
      <alignment horizontal="center" vertical="center"/>
    </xf>
    <xf numFmtId="4" fontId="5" fillId="2" borderId="14" xfId="0" applyNumberFormat="1" applyFont="1" applyFill="1" applyBorder="1" applyAlignment="1">
      <alignment horizontal="center" vertical="center"/>
    </xf>
    <xf numFmtId="4" fontId="5" fillId="2" borderId="25" xfId="0" applyNumberFormat="1" applyFont="1" applyFill="1" applyBorder="1" applyAlignment="1">
      <alignment horizontal="center" vertical="center"/>
    </xf>
    <xf numFmtId="173" fontId="8" fillId="0" borderId="12" xfId="8" applyNumberFormat="1" applyFont="1" applyBorder="1" applyAlignment="1">
      <alignment horizontal="center" vertical="center" wrapText="1"/>
    </xf>
    <xf numFmtId="173" fontId="8" fillId="0" borderId="14" xfId="8" applyNumberFormat="1" applyFont="1" applyBorder="1" applyAlignment="1">
      <alignment horizontal="center" vertical="center" wrapText="1"/>
    </xf>
    <xf numFmtId="0" fontId="8" fillId="0" borderId="12"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justify" vertical="center" wrapText="1"/>
    </xf>
    <xf numFmtId="0" fontId="5" fillId="2" borderId="12"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25" xfId="0" applyFont="1" applyFill="1" applyBorder="1" applyAlignment="1">
      <alignment horizontal="justify" vertical="center" wrapText="1"/>
    </xf>
    <xf numFmtId="9" fontId="8" fillId="0" borderId="2" xfId="0" applyNumberFormat="1" applyFont="1" applyBorder="1" applyAlignment="1">
      <alignment horizontal="center" vertical="center" wrapText="1"/>
    </xf>
    <xf numFmtId="0" fontId="8" fillId="0" borderId="12" xfId="0" applyFont="1" applyBorder="1" applyAlignment="1">
      <alignment horizontal="center" vertical="center" wrapText="1"/>
    </xf>
    <xf numFmtId="9" fontId="5" fillId="2" borderId="12" xfId="0" applyNumberFormat="1" applyFont="1" applyFill="1" applyBorder="1" applyAlignment="1">
      <alignment horizontal="center" vertical="center"/>
    </xf>
    <xf numFmtId="9" fontId="5" fillId="2" borderId="14" xfId="0" applyNumberFormat="1" applyFont="1" applyFill="1" applyBorder="1" applyAlignment="1">
      <alignment horizontal="center" vertical="center"/>
    </xf>
    <xf numFmtId="9" fontId="8" fillId="0" borderId="12" xfId="0" applyNumberFormat="1" applyFont="1" applyBorder="1" applyAlignment="1">
      <alignment horizontal="center" vertical="center" wrapText="1"/>
    </xf>
    <xf numFmtId="9" fontId="8" fillId="0" borderId="14" xfId="0" applyNumberFormat="1" applyFont="1" applyBorder="1" applyAlignment="1">
      <alignment horizontal="center" vertical="center" wrapText="1"/>
    </xf>
    <xf numFmtId="9" fontId="8" fillId="0" borderId="25" xfId="0" applyNumberFormat="1" applyFont="1" applyBorder="1" applyAlignment="1">
      <alignment horizontal="center" vertical="center" wrapText="1"/>
    </xf>
    <xf numFmtId="0" fontId="5" fillId="2" borderId="12"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2" xfId="0" applyFont="1" applyFill="1" applyBorder="1" applyAlignment="1">
      <alignment horizontal="justify" vertical="center" wrapText="1"/>
    </xf>
    <xf numFmtId="0" fontId="8" fillId="2" borderId="3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31" xfId="0" applyFont="1" applyBorder="1" applyAlignment="1">
      <alignment horizontal="justify" vertical="center" wrapText="1"/>
    </xf>
    <xf numFmtId="9" fontId="5" fillId="2" borderId="34" xfId="2"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7" xfId="0" applyFont="1" applyBorder="1" applyAlignment="1">
      <alignment horizontal="center" vertical="center" wrapText="1"/>
    </xf>
    <xf numFmtId="0" fontId="8" fillId="2" borderId="2" xfId="4" applyFont="1" applyFill="1" applyBorder="1" applyAlignment="1">
      <alignment horizontal="center" vertical="center" wrapText="1"/>
    </xf>
    <xf numFmtId="0" fontId="8" fillId="2" borderId="2" xfId="4" applyFont="1" applyFill="1" applyBorder="1" applyAlignment="1">
      <alignment horizontal="justify" vertical="center" wrapText="1"/>
    </xf>
    <xf numFmtId="0" fontId="8" fillId="0" borderId="2" xfId="4" applyFont="1" applyBorder="1" applyAlignment="1">
      <alignment horizontal="justify" vertical="center" wrapText="1"/>
    </xf>
    <xf numFmtId="3" fontId="5" fillId="2" borderId="21" xfId="0" applyNumberFormat="1" applyFont="1" applyFill="1" applyBorder="1" applyAlignment="1">
      <alignment horizontal="center" vertical="center"/>
    </xf>
    <xf numFmtId="0" fontId="5" fillId="0" borderId="34" xfId="0" applyFont="1" applyBorder="1" applyAlignment="1">
      <alignment horizontal="center" vertical="center"/>
    </xf>
    <xf numFmtId="174" fontId="5" fillId="2" borderId="21" xfId="0" applyNumberFormat="1" applyFont="1" applyFill="1" applyBorder="1" applyAlignment="1">
      <alignment horizontal="center" vertical="center" wrapText="1"/>
    </xf>
    <xf numFmtId="4" fontId="8" fillId="2" borderId="2" xfId="6" applyNumberFormat="1" applyFont="1" applyFill="1" applyBorder="1" applyAlignment="1">
      <alignment horizontal="center" vertical="center"/>
    </xf>
    <xf numFmtId="4" fontId="8" fillId="2" borderId="12" xfId="6" applyNumberFormat="1" applyFont="1" applyFill="1" applyBorder="1" applyAlignment="1">
      <alignment horizontal="center" vertical="center"/>
    </xf>
    <xf numFmtId="0" fontId="5"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8" fillId="13" borderId="2" xfId="0" applyFont="1" applyFill="1" applyBorder="1" applyAlignment="1">
      <alignment horizontal="center" vertical="center" wrapText="1"/>
    </xf>
    <xf numFmtId="0" fontId="8" fillId="13" borderId="12" xfId="0" applyFont="1" applyFill="1" applyBorder="1" applyAlignment="1">
      <alignment horizontal="center" vertical="center" wrapText="1"/>
    </xf>
    <xf numFmtId="9" fontId="5" fillId="2" borderId="12" xfId="2" applyFont="1" applyFill="1" applyBorder="1" applyAlignment="1">
      <alignment horizontal="center" vertical="center" wrapText="1"/>
    </xf>
    <xf numFmtId="0" fontId="5" fillId="0" borderId="36" xfId="0" applyFont="1" applyBorder="1" applyAlignment="1">
      <alignment horizontal="justify" vertical="center" wrapText="1"/>
    </xf>
    <xf numFmtId="14" fontId="5" fillId="0" borderId="37" xfId="0" applyNumberFormat="1" applyFont="1" applyBorder="1" applyAlignment="1">
      <alignment horizontal="center" vertical="center" wrapText="1"/>
    </xf>
    <xf numFmtId="4" fontId="5" fillId="0" borderId="34" xfId="6" applyNumberFormat="1" applyFont="1" applyBorder="1" applyAlignment="1">
      <alignment horizontal="center" vertical="center"/>
    </xf>
    <xf numFmtId="174" fontId="5" fillId="2" borderId="34" xfId="0" applyNumberFormat="1" applyFont="1" applyFill="1" applyBorder="1" applyAlignment="1">
      <alignment horizontal="center" vertical="center" wrapText="1"/>
    </xf>
    <xf numFmtId="1" fontId="5" fillId="2" borderId="31" xfId="0"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49" fontId="8" fillId="0" borderId="2" xfId="7" applyNumberFormat="1" applyFont="1" applyFill="1" applyBorder="1" applyAlignment="1">
      <alignment horizontal="justify" vertical="center" wrapText="1"/>
    </xf>
    <xf numFmtId="0" fontId="8" fillId="0" borderId="12" xfId="0" applyFont="1" applyFill="1" applyBorder="1" applyAlignment="1">
      <alignment horizontal="justify" vertical="center" wrapText="1"/>
    </xf>
    <xf numFmtId="0" fontId="8" fillId="0" borderId="25" xfId="0" applyFont="1" applyFill="1" applyBorder="1" applyAlignment="1">
      <alignment horizontal="justify" vertical="center" wrapText="1"/>
    </xf>
    <xf numFmtId="0" fontId="5" fillId="2" borderId="21" xfId="0" applyFont="1" applyFill="1" applyBorder="1" applyAlignment="1">
      <alignment horizontal="center" vertical="center"/>
    </xf>
    <xf numFmtId="0" fontId="5" fillId="2" borderId="34" xfId="0"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3" xfId="0"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3" fontId="5" fillId="2" borderId="32" xfId="0" applyNumberFormat="1" applyFont="1" applyFill="1" applyBorder="1" applyAlignment="1">
      <alignment horizontal="center" vertical="center"/>
    </xf>
    <xf numFmtId="0" fontId="5" fillId="0" borderId="32" xfId="0" applyFont="1" applyBorder="1" applyAlignment="1">
      <alignment horizontal="center" vertical="center" wrapText="1"/>
    </xf>
    <xf numFmtId="0" fontId="8" fillId="2" borderId="25" xfId="0" applyFont="1" applyFill="1" applyBorder="1" applyAlignment="1">
      <alignment horizontal="center" vertical="center" wrapText="1"/>
    </xf>
    <xf numFmtId="0" fontId="8" fillId="2" borderId="25" xfId="0" applyFont="1" applyFill="1" applyBorder="1" applyAlignment="1">
      <alignment horizontal="justify"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xf>
    <xf numFmtId="1" fontId="2" fillId="4" borderId="35" xfId="0" applyNumberFormat="1" applyFont="1" applyFill="1" applyBorder="1" applyAlignment="1">
      <alignment horizontal="center" vertical="center" wrapText="1"/>
    </xf>
    <xf numFmtId="1" fontId="2" fillId="4" borderId="11" xfId="0" applyNumberFormat="1" applyFont="1" applyFill="1" applyBorder="1" applyAlignment="1">
      <alignment horizontal="center" vertical="center" wrapText="1"/>
    </xf>
    <xf numFmtId="1" fontId="2" fillId="4" borderId="13" xfId="0" applyNumberFormat="1" applyFont="1" applyFill="1" applyBorder="1" applyAlignment="1">
      <alignment horizontal="center" vertical="center" wrapText="1"/>
    </xf>
    <xf numFmtId="0" fontId="3" fillId="4" borderId="11" xfId="0" applyFont="1" applyFill="1" applyBorder="1" applyAlignment="1">
      <alignment horizontal="center" vertical="center" textRotation="90" wrapText="1"/>
    </xf>
    <xf numFmtId="0" fontId="3" fillId="4" borderId="13" xfId="0" applyFont="1" applyFill="1" applyBorder="1" applyAlignment="1">
      <alignment horizontal="center" vertical="center" textRotation="90" wrapText="1"/>
    </xf>
    <xf numFmtId="169" fontId="2" fillId="5" borderId="8" xfId="0" applyNumberFormat="1" applyFont="1" applyFill="1" applyBorder="1" applyAlignment="1">
      <alignment horizontal="center"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8" fillId="12" borderId="32" xfId="0" applyFont="1" applyFill="1" applyBorder="1" applyAlignment="1">
      <alignment horizontal="center" vertical="center" wrapText="1"/>
    </xf>
    <xf numFmtId="0" fontId="8" fillId="12" borderId="34" xfId="0" applyFont="1" applyFill="1" applyBorder="1" applyAlignment="1">
      <alignment horizontal="center" vertical="center" wrapText="1"/>
    </xf>
    <xf numFmtId="0" fontId="8" fillId="12" borderId="33" xfId="0" applyFont="1" applyFill="1" applyBorder="1" applyAlignment="1">
      <alignment horizontal="center" vertical="center" wrapText="1"/>
    </xf>
    <xf numFmtId="0" fontId="8" fillId="0" borderId="8" xfId="0" applyFont="1" applyBorder="1" applyAlignment="1">
      <alignment horizontal="justify" vertical="center" wrapText="1"/>
    </xf>
    <xf numFmtId="0" fontId="8" fillId="0" borderId="8" xfId="0" applyFont="1" applyFill="1" applyBorder="1" applyAlignment="1">
      <alignment horizontal="justify" vertical="center" wrapText="1"/>
    </xf>
    <xf numFmtId="0" fontId="8" fillId="12" borderId="2" xfId="0" applyFont="1" applyFill="1" applyBorder="1" applyAlignment="1">
      <alignment horizontal="justify" vertical="center" wrapText="1"/>
    </xf>
    <xf numFmtId="9" fontId="9" fillId="12" borderId="2" xfId="0" applyNumberFormat="1" applyFont="1" applyFill="1" applyBorder="1" applyAlignment="1">
      <alignment horizontal="center" vertical="center" wrapText="1"/>
    </xf>
    <xf numFmtId="3" fontId="9" fillId="0" borderId="12" xfId="0" applyNumberFormat="1" applyFont="1" applyFill="1" applyBorder="1" applyAlignment="1" applyProtection="1">
      <alignment horizontal="center" vertical="center" wrapText="1"/>
      <protection locked="0"/>
    </xf>
    <xf numFmtId="3" fontId="9" fillId="0" borderId="14" xfId="0" applyNumberFormat="1" applyFont="1" applyFill="1" applyBorder="1" applyAlignment="1" applyProtection="1">
      <alignment horizontal="center" vertical="center" wrapText="1"/>
      <protection locked="0"/>
    </xf>
    <xf numFmtId="3" fontId="9" fillId="0" borderId="25" xfId="0" applyNumberFormat="1" applyFont="1" applyFill="1" applyBorder="1" applyAlignment="1" applyProtection="1">
      <alignment horizontal="center" vertical="center" wrapText="1"/>
      <protection locked="0"/>
    </xf>
    <xf numFmtId="14" fontId="9" fillId="12" borderId="12" xfId="0" applyNumberFormat="1" applyFont="1" applyFill="1" applyBorder="1" applyAlignment="1" applyProtection="1">
      <alignment horizontal="center" vertical="center" wrapText="1"/>
      <protection locked="0"/>
    </xf>
    <xf numFmtId="14" fontId="9" fillId="12" borderId="14" xfId="0" applyNumberFormat="1" applyFont="1" applyFill="1" applyBorder="1" applyAlignment="1" applyProtection="1">
      <alignment horizontal="center" vertical="center" wrapText="1"/>
      <protection locked="0"/>
    </xf>
    <xf numFmtId="14" fontId="9" fillId="12" borderId="25" xfId="0" applyNumberFormat="1"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9" fillId="0" borderId="12"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25" xfId="0" applyFont="1" applyBorder="1" applyAlignment="1">
      <alignment horizontal="justify" vertical="center" wrapText="1"/>
    </xf>
    <xf numFmtId="176" fontId="9" fillId="0" borderId="2" xfId="0" applyNumberFormat="1" applyFont="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Border="1" applyAlignment="1">
      <alignment horizontal="justify" vertical="center" wrapText="1"/>
    </xf>
    <xf numFmtId="0" fontId="8" fillId="12" borderId="43"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32" xfId="0" applyFont="1" applyFill="1" applyBorder="1" applyAlignment="1">
      <alignment horizontal="justify" vertical="center" wrapText="1"/>
    </xf>
    <xf numFmtId="0" fontId="8" fillId="12" borderId="34" xfId="0" applyFont="1" applyFill="1" applyBorder="1" applyAlignment="1">
      <alignment horizontal="justify" vertical="center" wrapText="1"/>
    </xf>
    <xf numFmtId="0" fontId="8" fillId="12" borderId="33" xfId="0" applyFont="1" applyFill="1" applyBorder="1" applyAlignment="1">
      <alignment horizontal="justify" vertical="center" wrapText="1"/>
    </xf>
    <xf numFmtId="0" fontId="8" fillId="2" borderId="30" xfId="0" applyFont="1" applyFill="1" applyBorder="1" applyAlignment="1" applyProtection="1">
      <alignment horizontal="justify" vertical="center" wrapText="1"/>
      <protection locked="0"/>
    </xf>
    <xf numFmtId="0" fontId="8" fillId="2" borderId="44" xfId="0" applyFont="1" applyFill="1" applyBorder="1" applyAlignment="1" applyProtection="1">
      <alignment horizontal="justify" vertical="center" wrapText="1"/>
      <protection locked="0"/>
    </xf>
    <xf numFmtId="0" fontId="8" fillId="0" borderId="27" xfId="0" applyFont="1" applyBorder="1" applyAlignment="1">
      <alignment horizontal="justify" vertical="center" wrapText="1"/>
    </xf>
    <xf numFmtId="0" fontId="8" fillId="0" borderId="36" xfId="0" applyFont="1" applyFill="1" applyBorder="1" applyAlignment="1">
      <alignment horizontal="justify" vertical="center" wrapText="1"/>
    </xf>
    <xf numFmtId="0" fontId="8" fillId="0" borderId="20" xfId="0" applyFont="1" applyFill="1" applyBorder="1" applyAlignment="1">
      <alignment horizontal="justify" vertical="center" wrapText="1"/>
    </xf>
    <xf numFmtId="3" fontId="9" fillId="0" borderId="12"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9" fontId="9" fillId="12" borderId="12" xfId="0" applyNumberFormat="1" applyFont="1" applyFill="1" applyBorder="1" applyAlignment="1">
      <alignment horizontal="center" vertical="center" wrapText="1"/>
    </xf>
    <xf numFmtId="9" fontId="9" fillId="12" borderId="14" xfId="0" applyNumberFormat="1" applyFont="1" applyFill="1" applyBorder="1" applyAlignment="1">
      <alignment horizontal="center" vertical="center" wrapText="1"/>
    </xf>
    <xf numFmtId="9" fontId="9" fillId="12" borderId="25" xfId="0" applyNumberFormat="1" applyFont="1" applyFill="1" applyBorder="1" applyAlignment="1">
      <alignment horizontal="center" vertical="center" wrapText="1"/>
    </xf>
    <xf numFmtId="175" fontId="9" fillId="0" borderId="12" xfId="0" applyNumberFormat="1" applyFont="1" applyBorder="1" applyAlignment="1">
      <alignment horizontal="center" vertical="center" wrapText="1"/>
    </xf>
    <xf numFmtId="175" fontId="9" fillId="0" borderId="14" xfId="0" applyNumberFormat="1" applyFont="1" applyBorder="1" applyAlignment="1">
      <alignment horizontal="center" vertical="center" wrapText="1"/>
    </xf>
    <xf numFmtId="175" fontId="9" fillId="0" borderId="25" xfId="0" applyNumberFormat="1" applyFont="1" applyBorder="1" applyAlignment="1">
      <alignment horizontal="center" vertical="center" wrapText="1"/>
    </xf>
    <xf numFmtId="0" fontId="3" fillId="11" borderId="20" xfId="0" applyFont="1" applyFill="1" applyBorder="1" applyAlignment="1">
      <alignment horizontal="left" vertical="center"/>
    </xf>
    <xf numFmtId="0" fontId="3" fillId="11" borderId="22" xfId="0" applyFont="1" applyFill="1" applyBorder="1" applyAlignment="1">
      <alignment horizontal="left" vertical="center"/>
    </xf>
    <xf numFmtId="0" fontId="8" fillId="12" borderId="12"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12" xfId="0" applyFont="1" applyFill="1" applyBorder="1" applyAlignment="1">
      <alignment horizontal="justify" vertical="center" wrapText="1"/>
    </xf>
    <xf numFmtId="0" fontId="8" fillId="12" borderId="14" xfId="0" applyFont="1" applyFill="1" applyBorder="1" applyAlignment="1">
      <alignment horizontal="justify" vertical="center" wrapText="1"/>
    </xf>
    <xf numFmtId="0" fontId="8" fillId="12" borderId="25" xfId="0" applyFont="1" applyFill="1" applyBorder="1" applyAlignment="1">
      <alignment horizontal="justify" vertical="center" wrapText="1"/>
    </xf>
    <xf numFmtId="0" fontId="8" fillId="12" borderId="38"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8" fillId="12" borderId="41" xfId="0" applyFont="1" applyFill="1" applyBorder="1" applyAlignment="1">
      <alignment horizontal="center" vertical="center" wrapText="1"/>
    </xf>
    <xf numFmtId="0" fontId="8" fillId="0" borderId="20" xfId="0" applyFont="1" applyBorder="1" applyAlignment="1">
      <alignment horizontal="justify" vertical="center" wrapText="1"/>
    </xf>
    <xf numFmtId="0" fontId="8" fillId="0" borderId="15" xfId="0" applyFont="1" applyBorder="1" applyAlignment="1">
      <alignment horizontal="justify" vertical="center" wrapText="1"/>
    </xf>
    <xf numFmtId="0" fontId="3" fillId="9" borderId="15" xfId="0" applyFont="1" applyFill="1" applyBorder="1" applyAlignment="1">
      <alignment horizontal="left" vertical="center"/>
    </xf>
    <xf numFmtId="0" fontId="3" fillId="9" borderId="0" xfId="0" applyFont="1" applyFill="1" applyBorder="1" applyAlignment="1">
      <alignment horizontal="left" vertical="center"/>
    </xf>
    <xf numFmtId="3" fontId="3" fillId="4" borderId="2" xfId="0" applyNumberFormat="1" applyFont="1" applyFill="1" applyBorder="1" applyAlignment="1">
      <alignment horizontal="center" vertical="center" wrapText="1"/>
    </xf>
    <xf numFmtId="0" fontId="3" fillId="7" borderId="2" xfId="0" applyNumberFormat="1" applyFont="1" applyFill="1" applyBorder="1" applyAlignment="1">
      <alignment horizontal="left" vertical="center"/>
    </xf>
    <xf numFmtId="0" fontId="2" fillId="16" borderId="2" xfId="0" applyFont="1" applyFill="1" applyBorder="1" applyAlignment="1">
      <alignment horizontal="center" vertical="center"/>
    </xf>
    <xf numFmtId="1" fontId="2" fillId="5" borderId="2" xfId="0" applyNumberFormat="1"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8" fillId="0" borderId="12" xfId="11" applyNumberFormat="1" applyFont="1" applyFill="1" applyBorder="1" applyAlignment="1">
      <alignment horizontal="justify" vertical="center" wrapText="1"/>
    </xf>
    <xf numFmtId="0" fontId="8" fillId="0" borderId="14" xfId="11" applyNumberFormat="1" applyFont="1" applyFill="1" applyBorder="1" applyAlignment="1">
      <alignment horizontal="justify" vertical="center" wrapText="1"/>
    </xf>
    <xf numFmtId="0" fontId="8" fillId="0" borderId="25" xfId="11" applyNumberFormat="1" applyFont="1" applyFill="1" applyBorder="1" applyAlignment="1">
      <alignment horizontal="justify" vertical="center" wrapText="1"/>
    </xf>
    <xf numFmtId="0" fontId="8" fillId="0" borderId="12" xfId="11" applyNumberFormat="1" applyFont="1" applyFill="1" applyBorder="1" applyAlignment="1">
      <alignment horizontal="center" vertical="center" wrapText="1"/>
    </xf>
    <xf numFmtId="0" fontId="8" fillId="0" borderId="14" xfId="11" applyNumberFormat="1" applyFont="1" applyFill="1" applyBorder="1" applyAlignment="1">
      <alignment horizontal="center" vertical="center" wrapText="1"/>
    </xf>
    <xf numFmtId="0" fontId="8" fillId="0" borderId="25" xfId="11" applyNumberFormat="1" applyFont="1" applyFill="1" applyBorder="1" applyAlignment="1">
      <alignment horizontal="center" vertical="center" wrapText="1"/>
    </xf>
    <xf numFmtId="10" fontId="5" fillId="0" borderId="12" xfId="2" applyNumberFormat="1" applyFont="1" applyFill="1" applyBorder="1" applyAlignment="1">
      <alignment horizontal="center" vertical="center"/>
    </xf>
    <xf numFmtId="10" fontId="5" fillId="0" borderId="14" xfId="2" applyNumberFormat="1" applyFont="1" applyFill="1" applyBorder="1" applyAlignment="1">
      <alignment horizontal="center" vertical="center"/>
    </xf>
    <xf numFmtId="10" fontId="5" fillId="0" borderId="25" xfId="2" applyNumberFormat="1" applyFont="1" applyFill="1" applyBorder="1" applyAlignment="1">
      <alignment horizontal="center" vertical="center"/>
    </xf>
    <xf numFmtId="169" fontId="5" fillId="0" borderId="2" xfId="0" applyNumberFormat="1" applyFont="1" applyFill="1" applyBorder="1" applyAlignment="1">
      <alignment horizontal="center" vertical="center" wrapText="1"/>
    </xf>
    <xf numFmtId="3" fontId="5" fillId="0" borderId="12"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3" fontId="5" fillId="0" borderId="25" xfId="0" applyNumberFormat="1" applyFont="1" applyFill="1" applyBorder="1" applyAlignment="1">
      <alignment horizontal="justify" vertical="center" wrapText="1"/>
    </xf>
    <xf numFmtId="0" fontId="8" fillId="2" borderId="12" xfId="11" applyNumberFormat="1" applyFont="1" applyFill="1" applyBorder="1" applyAlignment="1">
      <alignment horizontal="justify" vertical="center" wrapText="1"/>
    </xf>
    <xf numFmtId="0" fontId="8" fillId="2" borderId="14" xfId="11" applyNumberFormat="1" applyFont="1" applyFill="1" applyBorder="1" applyAlignment="1">
      <alignment horizontal="justify" vertical="center" wrapText="1"/>
    </xf>
    <xf numFmtId="0" fontId="8" fillId="2" borderId="25" xfId="11" applyNumberFormat="1" applyFont="1" applyFill="1" applyBorder="1" applyAlignment="1">
      <alignment horizontal="justify" vertical="center" wrapText="1"/>
    </xf>
    <xf numFmtId="0" fontId="8" fillId="0" borderId="2" xfId="0" applyFont="1" applyFill="1" applyBorder="1" applyAlignment="1">
      <alignment horizontal="center" vertical="center" wrapText="1"/>
    </xf>
    <xf numFmtId="173" fontId="8" fillId="0" borderId="2" xfId="8" applyNumberFormat="1" applyFont="1" applyFill="1" applyBorder="1" applyAlignment="1">
      <alignment horizontal="center" vertical="center"/>
    </xf>
    <xf numFmtId="0" fontId="2" fillId="7" borderId="2" xfId="0" applyFont="1" applyFill="1" applyBorder="1" applyAlignment="1">
      <alignment horizontal="left" vertical="center"/>
    </xf>
    <xf numFmtId="0" fontId="3" fillId="9" borderId="2" xfId="0" applyFont="1" applyFill="1" applyBorder="1" applyAlignment="1">
      <alignment horizontal="left" vertical="center"/>
    </xf>
    <xf numFmtId="0" fontId="2" fillId="11" borderId="2" xfId="0" applyFont="1" applyFill="1" applyBorder="1" applyAlignment="1">
      <alignment horizontal="left" vertical="center"/>
    </xf>
    <xf numFmtId="0" fontId="5" fillId="2" borderId="2" xfId="0" applyFont="1" applyFill="1" applyBorder="1" applyAlignment="1">
      <alignment horizontal="justify" vertical="center" wrapText="1"/>
    </xf>
    <xf numFmtId="170" fontId="5" fillId="2" borderId="2" xfId="0" applyNumberFormat="1" applyFont="1" applyFill="1" applyBorder="1" applyAlignment="1">
      <alignment horizontal="center" vertical="center" wrapText="1"/>
    </xf>
    <xf numFmtId="0" fontId="8" fillId="0" borderId="2" xfId="11" applyNumberFormat="1" applyFont="1" applyFill="1" applyBorder="1" applyAlignment="1">
      <alignment horizontal="center" vertical="center" wrapText="1"/>
    </xf>
    <xf numFmtId="0" fontId="8" fillId="0" borderId="2" xfId="11" applyNumberFormat="1" applyFont="1" applyFill="1" applyBorder="1" applyAlignment="1">
      <alignment horizontal="justify" vertical="center" wrapText="1"/>
    </xf>
    <xf numFmtId="169" fontId="5" fillId="0" borderId="12" xfId="0" applyNumberFormat="1" applyFont="1" applyFill="1" applyBorder="1" applyAlignment="1">
      <alignment horizontal="center" vertical="center" wrapText="1"/>
    </xf>
    <xf numFmtId="169" fontId="5" fillId="0" borderId="14" xfId="0" applyNumberFormat="1" applyFont="1" applyFill="1" applyBorder="1" applyAlignment="1">
      <alignment horizontal="center" vertical="center" wrapText="1"/>
    </xf>
    <xf numFmtId="169" fontId="5" fillId="0" borderId="25" xfId="0" applyNumberFormat="1" applyFont="1" applyFill="1" applyBorder="1" applyAlignment="1">
      <alignment horizontal="center" vertical="center" wrapText="1"/>
    </xf>
    <xf numFmtId="1" fontId="5" fillId="2" borderId="39" xfId="0" applyNumberFormat="1" applyFont="1" applyFill="1" applyBorder="1" applyAlignment="1">
      <alignment horizontal="center" vertical="center" wrapText="1"/>
    </xf>
    <xf numFmtId="1" fontId="5" fillId="2" borderId="40" xfId="0" applyNumberFormat="1" applyFont="1" applyFill="1" applyBorder="1" applyAlignment="1">
      <alignment horizontal="center" vertical="center" wrapText="1"/>
    </xf>
    <xf numFmtId="1" fontId="5" fillId="2" borderId="42" xfId="0" applyNumberFormat="1" applyFont="1" applyFill="1" applyBorder="1" applyAlignment="1">
      <alignment horizontal="center" vertical="center" wrapText="1"/>
    </xf>
    <xf numFmtId="9" fontId="5" fillId="2" borderId="14" xfId="2" applyFont="1" applyFill="1" applyBorder="1" applyAlignment="1">
      <alignment horizontal="center" vertical="center" wrapText="1"/>
    </xf>
    <xf numFmtId="9" fontId="5" fillId="2" borderId="25" xfId="2" applyFont="1" applyFill="1" applyBorder="1" applyAlignment="1">
      <alignment horizontal="center" vertical="center" wrapText="1"/>
    </xf>
    <xf numFmtId="170" fontId="5" fillId="2" borderId="12" xfId="0" applyNumberFormat="1" applyFont="1" applyFill="1" applyBorder="1" applyAlignment="1">
      <alignment horizontal="center" vertical="center" wrapText="1"/>
    </xf>
    <xf numFmtId="170" fontId="5" fillId="2" borderId="14" xfId="0" applyNumberFormat="1" applyFont="1" applyFill="1" applyBorder="1" applyAlignment="1">
      <alignment horizontal="center" vertical="center" wrapText="1"/>
    </xf>
    <xf numFmtId="170" fontId="5" fillId="2" borderId="25" xfId="0" applyNumberFormat="1" applyFont="1" applyFill="1" applyBorder="1" applyAlignment="1">
      <alignment horizontal="center" vertical="center" wrapText="1"/>
    </xf>
    <xf numFmtId="0" fontId="5" fillId="0" borderId="12"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8" fillId="2" borderId="12" xfId="11" applyNumberFormat="1" applyFont="1" applyFill="1" applyBorder="1" applyAlignment="1">
      <alignment horizontal="center" vertical="center" wrapText="1"/>
    </xf>
    <xf numFmtId="0" fontId="8" fillId="2" borderId="14" xfId="11" applyNumberFormat="1" applyFont="1" applyFill="1" applyBorder="1" applyAlignment="1">
      <alignment horizontal="center" vertical="center" wrapText="1"/>
    </xf>
    <xf numFmtId="0" fontId="8" fillId="2" borderId="25" xfId="11" applyNumberFormat="1" applyFont="1" applyFill="1" applyBorder="1" applyAlignment="1">
      <alignment horizontal="center" vertical="center" wrapText="1"/>
    </xf>
    <xf numFmtId="0" fontId="8" fillId="2" borderId="12" xfId="0" applyNumberFormat="1" applyFont="1" applyFill="1" applyBorder="1" applyAlignment="1">
      <alignment horizontal="justify" vertical="center" wrapText="1"/>
    </xf>
    <xf numFmtId="0" fontId="8" fillId="2" borderId="14" xfId="0" applyNumberFormat="1" applyFont="1" applyFill="1" applyBorder="1" applyAlignment="1">
      <alignment horizontal="justify" vertical="center" wrapText="1"/>
    </xf>
    <xf numFmtId="0" fontId="8" fillId="2" borderId="25" xfId="0" applyNumberFormat="1" applyFont="1" applyFill="1" applyBorder="1" applyAlignment="1">
      <alignment horizontal="justify" vertical="center" wrapText="1"/>
    </xf>
    <xf numFmtId="0" fontId="3" fillId="7" borderId="2" xfId="0" applyFont="1" applyFill="1" applyBorder="1" applyAlignment="1">
      <alignment horizontal="left" vertical="center"/>
    </xf>
    <xf numFmtId="1" fontId="5" fillId="0" borderId="8"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14" fontId="5" fillId="0" borderId="2" xfId="0" applyNumberFormat="1" applyFont="1" applyBorder="1" applyAlignment="1">
      <alignment horizontal="center" vertical="center" wrapText="1"/>
    </xf>
    <xf numFmtId="3" fontId="5" fillId="0" borderId="12" xfId="0" applyNumberFormat="1" applyFont="1" applyBorder="1" applyAlignment="1">
      <alignment horizontal="justify" vertical="center" wrapText="1"/>
    </xf>
    <xf numFmtId="3" fontId="5" fillId="0" borderId="25" xfId="0" applyNumberFormat="1" applyFont="1" applyBorder="1" applyAlignment="1">
      <alignment horizontal="justify" vertical="center" wrapText="1"/>
    </xf>
    <xf numFmtId="178" fontId="5" fillId="2" borderId="2" xfId="0" applyNumberFormat="1" applyFont="1" applyFill="1" applyBorder="1" applyAlignment="1">
      <alignment horizontal="center" vertical="center" wrapText="1"/>
    </xf>
    <xf numFmtId="0" fontId="8" fillId="0" borderId="2" xfId="4" applyFont="1" applyBorder="1" applyAlignment="1">
      <alignment horizontal="center" vertical="center" wrapText="1"/>
    </xf>
    <xf numFmtId="0" fontId="8" fillId="0" borderId="2" xfId="12" applyNumberFormat="1" applyFont="1" applyBorder="1" applyAlignment="1">
      <alignment horizontal="center" vertical="center" wrapText="1"/>
    </xf>
    <xf numFmtId="179" fontId="8" fillId="0" borderId="12" xfId="0" applyNumberFormat="1" applyFont="1" applyFill="1" applyBorder="1" applyAlignment="1">
      <alignment horizontal="justify" vertical="center" wrapText="1"/>
    </xf>
    <xf numFmtId="179" fontId="8" fillId="0" borderId="25" xfId="0" applyNumberFormat="1" applyFont="1" applyFill="1" applyBorder="1" applyAlignment="1">
      <alignment horizontal="justify" vertical="center" wrapText="1"/>
    </xf>
    <xf numFmtId="179" fontId="8" fillId="0" borderId="2" xfId="0" applyNumberFormat="1" applyFont="1" applyFill="1" applyBorder="1" applyAlignment="1">
      <alignment horizontal="justify" vertical="center" wrapText="1"/>
    </xf>
    <xf numFmtId="1" fontId="5" fillId="0" borderId="2" xfId="0" applyNumberFormat="1"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25" xfId="0" applyNumberFormat="1" applyFont="1" applyFill="1" applyBorder="1" applyAlignment="1">
      <alignment horizontal="center" vertical="center" wrapText="1"/>
    </xf>
    <xf numFmtId="0" fontId="8" fillId="2" borderId="12" xfId="12" applyNumberFormat="1" applyFont="1" applyFill="1" applyBorder="1" applyAlignment="1">
      <alignment horizontal="center" vertical="center" wrapText="1"/>
    </xf>
    <xf numFmtId="0" fontId="8" fillId="2" borderId="14" xfId="12" applyNumberFormat="1" applyFont="1" applyFill="1" applyBorder="1" applyAlignment="1">
      <alignment horizontal="center" vertical="center" wrapText="1"/>
    </xf>
    <xf numFmtId="0" fontId="8" fillId="2" borderId="25" xfId="12" applyNumberFormat="1" applyFont="1" applyFill="1" applyBorder="1" applyAlignment="1">
      <alignment horizontal="center" vertical="center" wrapText="1"/>
    </xf>
    <xf numFmtId="179" fontId="8" fillId="2" borderId="12" xfId="0" applyNumberFormat="1" applyFont="1" applyFill="1" applyBorder="1" applyAlignment="1">
      <alignment horizontal="justify" vertical="center" wrapText="1"/>
    </xf>
    <xf numFmtId="179" fontId="8" fillId="2" borderId="25" xfId="0" applyNumberFormat="1" applyFont="1" applyFill="1" applyBorder="1" applyAlignment="1">
      <alignment horizontal="justify" vertical="center" wrapText="1"/>
    </xf>
    <xf numFmtId="179" fontId="8" fillId="0" borderId="14" xfId="0" applyNumberFormat="1" applyFont="1" applyFill="1" applyBorder="1" applyAlignment="1">
      <alignment horizontal="justify" vertical="center" wrapText="1"/>
    </xf>
    <xf numFmtId="0" fontId="8" fillId="2" borderId="14" xfId="0" applyFont="1" applyFill="1" applyBorder="1" applyAlignment="1">
      <alignment horizontal="center" vertical="center" wrapText="1"/>
    </xf>
    <xf numFmtId="178" fontId="5" fillId="2" borderId="12" xfId="0" applyNumberFormat="1" applyFont="1" applyFill="1" applyBorder="1" applyAlignment="1">
      <alignment horizontal="center" vertical="center" wrapText="1"/>
    </xf>
    <xf numFmtId="178" fontId="5" fillId="2" borderId="14" xfId="0" applyNumberFormat="1" applyFont="1" applyFill="1" applyBorder="1" applyAlignment="1">
      <alignment horizontal="center" vertical="center" wrapText="1"/>
    </xf>
    <xf numFmtId="178" fontId="5" fillId="2" borderId="25" xfId="0" applyNumberFormat="1"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5" fillId="0" borderId="2" xfId="4" applyFont="1" applyBorder="1" applyAlignment="1">
      <alignment horizontal="justify" vertical="center" wrapText="1"/>
    </xf>
    <xf numFmtId="49" fontId="5" fillId="2" borderId="12"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25" xfId="0" applyNumberFormat="1" applyFont="1" applyFill="1" applyBorder="1" applyAlignment="1">
      <alignment horizontal="center" vertical="center" wrapText="1"/>
    </xf>
    <xf numFmtId="0" fontId="3" fillId="9" borderId="9" xfId="0" applyFont="1" applyFill="1" applyBorder="1" applyAlignment="1">
      <alignment horizontal="left" vertical="center"/>
    </xf>
    <xf numFmtId="0" fontId="3" fillId="9" borderId="10" xfId="0" applyFont="1" applyFill="1" applyBorder="1" applyAlignment="1">
      <alignment horizontal="left" vertical="center"/>
    </xf>
    <xf numFmtId="0" fontId="3" fillId="9" borderId="35" xfId="0" applyFont="1" applyFill="1" applyBorder="1" applyAlignment="1">
      <alignment horizontal="left" vertical="center"/>
    </xf>
    <xf numFmtId="0" fontId="8" fillId="2" borderId="12" xfId="0" applyNumberFormat="1" applyFont="1" applyFill="1" applyBorder="1" applyAlignment="1" applyProtection="1">
      <alignment horizontal="center" vertical="center" wrapText="1"/>
      <protection locked="0"/>
    </xf>
    <xf numFmtId="0" fontId="8" fillId="2" borderId="14" xfId="0" applyNumberFormat="1" applyFont="1" applyFill="1" applyBorder="1" applyAlignment="1" applyProtection="1">
      <alignment horizontal="center" vertical="center" wrapText="1"/>
      <protection locked="0"/>
    </xf>
    <xf numFmtId="0" fontId="8" fillId="2" borderId="25" xfId="0" applyNumberFormat="1" applyFont="1" applyFill="1" applyBorder="1" applyAlignment="1" applyProtection="1">
      <alignment horizontal="center" vertical="center" wrapText="1"/>
      <protection locked="0"/>
    </xf>
    <xf numFmtId="3" fontId="5" fillId="2" borderId="12" xfId="0" applyNumberFormat="1" applyFont="1" applyFill="1" applyBorder="1" applyAlignment="1">
      <alignment horizontal="justify" vertical="center" wrapText="1"/>
    </xf>
    <xf numFmtId="3" fontId="5" fillId="2" borderId="14" xfId="0" applyNumberFormat="1" applyFont="1" applyFill="1" applyBorder="1" applyAlignment="1">
      <alignment horizontal="justify" vertical="center" wrapText="1"/>
    </xf>
    <xf numFmtId="3" fontId="5" fillId="2" borderId="25" xfId="0" applyNumberFormat="1" applyFont="1" applyFill="1" applyBorder="1" applyAlignment="1">
      <alignment horizontal="justify" vertical="center" wrapText="1"/>
    </xf>
    <xf numFmtId="9" fontId="5" fillId="2" borderId="12" xfId="2" applyFont="1" applyFill="1" applyBorder="1" applyAlignment="1">
      <alignment horizontal="center" vertical="center"/>
    </xf>
    <xf numFmtId="9" fontId="5" fillId="2" borderId="14" xfId="2" applyFont="1" applyFill="1" applyBorder="1" applyAlignment="1">
      <alignment horizontal="center" vertical="center"/>
    </xf>
    <xf numFmtId="9" fontId="5" fillId="2" borderId="25" xfId="2" applyFont="1" applyFill="1" applyBorder="1" applyAlignment="1">
      <alignment horizontal="center" vertical="center"/>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justify" vertical="center" wrapText="1"/>
    </xf>
    <xf numFmtId="0" fontId="8" fillId="0" borderId="12" xfId="0" applyNumberFormat="1" applyFont="1" applyBorder="1" applyAlignment="1">
      <alignment horizontal="justify" vertical="center" wrapText="1"/>
    </xf>
    <xf numFmtId="0" fontId="8" fillId="0" borderId="14" xfId="0" applyNumberFormat="1" applyFont="1" applyBorder="1" applyAlignment="1">
      <alignment horizontal="justify" vertical="center" wrapText="1"/>
    </xf>
    <xf numFmtId="0" fontId="8" fillId="0" borderId="25" xfId="0" applyNumberFormat="1" applyFont="1" applyBorder="1" applyAlignment="1">
      <alignment horizontal="justify" vertical="center" wrapText="1"/>
    </xf>
    <xf numFmtId="169" fontId="5" fillId="0" borderId="12" xfId="0" applyNumberFormat="1" applyFont="1" applyFill="1" applyBorder="1" applyAlignment="1">
      <alignment horizontal="justify" vertical="center" wrapText="1"/>
    </xf>
    <xf numFmtId="169" fontId="5" fillId="0" borderId="14" xfId="0" applyNumberFormat="1" applyFont="1" applyFill="1" applyBorder="1" applyAlignment="1">
      <alignment horizontal="justify" vertical="center" wrapText="1"/>
    </xf>
    <xf numFmtId="169" fontId="5" fillId="0" borderId="25" xfId="0" applyNumberFormat="1" applyFont="1" applyFill="1" applyBorder="1" applyAlignment="1">
      <alignment horizontal="justify" vertical="center" wrapText="1"/>
    </xf>
    <xf numFmtId="0" fontId="8" fillId="2" borderId="14" xfId="0"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0" fontId="5" fillId="2" borderId="12" xfId="4" applyFont="1" applyFill="1" applyBorder="1" applyAlignment="1">
      <alignment horizontal="justify" vertical="center" wrapText="1"/>
    </xf>
    <xf numFmtId="0" fontId="5" fillId="2" borderId="25" xfId="4" applyFont="1" applyFill="1" applyBorder="1" applyAlignment="1">
      <alignment horizontal="justify" vertical="center" wrapText="1"/>
    </xf>
    <xf numFmtId="0" fontId="8" fillId="2" borderId="2" xfId="0" applyNumberFormat="1" applyFont="1" applyFill="1" applyBorder="1" applyAlignment="1">
      <alignment horizontal="center" vertical="center" wrapText="1"/>
    </xf>
    <xf numFmtId="3" fontId="5" fillId="2" borderId="2" xfId="0" applyNumberFormat="1" applyFont="1" applyFill="1" applyBorder="1" applyAlignment="1">
      <alignment horizontal="justify" vertical="center" wrapText="1"/>
    </xf>
    <xf numFmtId="0" fontId="5" fillId="0" borderId="12" xfId="4" applyFont="1" applyFill="1" applyBorder="1" applyAlignment="1">
      <alignment horizontal="justify" vertical="center" wrapText="1"/>
    </xf>
    <xf numFmtId="0" fontId="5" fillId="0" borderId="25" xfId="4" applyFont="1" applyFill="1" applyBorder="1" applyAlignment="1">
      <alignment horizontal="justify" vertical="center" wrapText="1"/>
    </xf>
    <xf numFmtId="0" fontId="8" fillId="2" borderId="2" xfId="0" applyNumberFormat="1" applyFont="1" applyFill="1" applyBorder="1" applyAlignment="1">
      <alignment horizontal="justify" vertical="center" wrapText="1"/>
    </xf>
    <xf numFmtId="9" fontId="5" fillId="2" borderId="2" xfId="2" applyFont="1" applyFill="1" applyBorder="1" applyAlignment="1">
      <alignment horizontal="center" vertical="center"/>
    </xf>
    <xf numFmtId="0" fontId="8" fillId="0" borderId="2" xfId="13" applyFont="1" applyFill="1" applyBorder="1" applyAlignment="1">
      <alignment horizontal="justify" vertical="center" wrapText="1"/>
    </xf>
    <xf numFmtId="0" fontId="8" fillId="0" borderId="2" xfId="13"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justify" vertical="center" wrapText="1"/>
    </xf>
    <xf numFmtId="3" fontId="5" fillId="0" borderId="12"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5" fillId="0" borderId="25" xfId="0" applyNumberFormat="1" applyFont="1" applyBorder="1" applyAlignment="1">
      <alignment horizontal="center" vertical="center"/>
    </xf>
    <xf numFmtId="167" fontId="8" fillId="0" borderId="2" xfId="12" applyFont="1" applyFill="1" applyBorder="1" applyAlignment="1">
      <alignment horizontal="center" vertical="center" wrapText="1"/>
    </xf>
    <xf numFmtId="3" fontId="5" fillId="0" borderId="2" xfId="0" applyNumberFormat="1" applyFont="1" applyBorder="1" applyAlignment="1">
      <alignment horizontal="center" vertical="center"/>
    </xf>
    <xf numFmtId="1" fontId="2" fillId="5" borderId="11" xfId="0" applyNumberFormat="1" applyFont="1" applyFill="1" applyBorder="1" applyAlignment="1">
      <alignment horizontal="center" vertical="center" wrapText="1"/>
    </xf>
    <xf numFmtId="1" fontId="2" fillId="5" borderId="13" xfId="0" applyNumberFormat="1" applyFont="1" applyFill="1" applyBorder="1" applyAlignment="1">
      <alignment horizontal="center" vertical="center" wrapText="1"/>
    </xf>
    <xf numFmtId="0" fontId="2" fillId="9" borderId="15" xfId="0" applyFont="1" applyFill="1" applyBorder="1" applyAlignment="1">
      <alignment horizontal="left" vertical="center"/>
    </xf>
    <xf numFmtId="0" fontId="2" fillId="9" borderId="0" xfId="0" applyFont="1" applyFill="1" applyBorder="1" applyAlignment="1">
      <alignment horizontal="left" vertical="center"/>
    </xf>
    <xf numFmtId="0" fontId="2" fillId="11" borderId="20" xfId="0" applyFont="1" applyFill="1" applyBorder="1" applyAlignment="1">
      <alignment horizontal="left" vertical="center"/>
    </xf>
    <xf numFmtId="0" fontId="2" fillId="11" borderId="22" xfId="0" applyFont="1" applyFill="1" applyBorder="1" applyAlignment="1">
      <alignment horizontal="left" vertical="center"/>
    </xf>
    <xf numFmtId="1" fontId="2" fillId="0" borderId="11" xfId="0" applyNumberFormat="1"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1" fontId="2" fillId="0" borderId="8"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 fontId="2" fillId="2" borderId="18"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170" fontId="2" fillId="6" borderId="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center" vertical="center"/>
    </xf>
    <xf numFmtId="1" fontId="5" fillId="4" borderId="9"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1" fontId="5" fillId="4" borderId="35" xfId="0" applyNumberFormat="1" applyFont="1" applyFill="1" applyBorder="1" applyAlignment="1">
      <alignment horizontal="center" vertical="center"/>
    </xf>
    <xf numFmtId="170" fontId="8" fillId="4" borderId="13" xfId="0" applyNumberFormat="1" applyFont="1" applyFill="1" applyBorder="1" applyAlignment="1">
      <alignment horizontal="center" vertical="center"/>
    </xf>
    <xf numFmtId="170" fontId="8" fillId="4" borderId="5" xfId="0" applyNumberFormat="1" applyFont="1" applyFill="1" applyBorder="1" applyAlignment="1">
      <alignment horizontal="center" vertical="center"/>
    </xf>
    <xf numFmtId="170" fontId="8" fillId="4" borderId="6" xfId="0" applyNumberFormat="1" applyFont="1" applyFill="1" applyBorder="1" applyAlignment="1">
      <alignment horizontal="center" vertical="center"/>
    </xf>
    <xf numFmtId="0" fontId="8" fillId="2" borderId="12" xfId="4" applyFont="1" applyFill="1" applyBorder="1" applyAlignment="1">
      <alignment horizontal="center" vertical="center" wrapText="1"/>
    </xf>
    <xf numFmtId="0" fontId="8" fillId="2" borderId="14" xfId="4" applyFont="1" applyFill="1" applyBorder="1" applyAlignment="1">
      <alignment horizontal="center" vertical="center" wrapText="1"/>
    </xf>
    <xf numFmtId="0" fontId="8" fillId="2" borderId="12" xfId="4" applyFont="1" applyFill="1" applyBorder="1" applyAlignment="1">
      <alignment horizontal="justify" vertical="center" wrapText="1"/>
    </xf>
    <xf numFmtId="0" fontId="8" fillId="2" borderId="14" xfId="4" applyFont="1" applyFill="1" applyBorder="1" applyAlignment="1">
      <alignment horizontal="justify" vertical="center" wrapText="1"/>
    </xf>
    <xf numFmtId="171" fontId="8" fillId="2" borderId="12" xfId="4" applyNumberFormat="1" applyFont="1" applyFill="1" applyBorder="1" applyAlignment="1">
      <alignment horizontal="center" vertical="center" wrapText="1"/>
    </xf>
    <xf numFmtId="171" fontId="8" fillId="2" borderId="14" xfId="4" applyNumberFormat="1" applyFont="1" applyFill="1" applyBorder="1" applyAlignment="1">
      <alignment horizontal="center" vertical="center" wrapText="1"/>
    </xf>
    <xf numFmtId="9" fontId="8" fillId="2" borderId="36" xfId="4" applyNumberFormat="1" applyFont="1" applyFill="1" applyBorder="1" applyAlignment="1">
      <alignment horizontal="center" vertical="center"/>
    </xf>
    <xf numFmtId="9" fontId="8" fillId="2" borderId="20" xfId="4" applyNumberFormat="1" applyFont="1" applyFill="1" applyBorder="1" applyAlignment="1">
      <alignment horizontal="center" vertical="center"/>
    </xf>
    <xf numFmtId="0" fontId="8" fillId="2" borderId="33" xfId="4" applyFont="1" applyFill="1" applyBorder="1" applyAlignment="1">
      <alignment horizontal="justify" vertical="center" wrapText="1"/>
    </xf>
    <xf numFmtId="0" fontId="8" fillId="2" borderId="30" xfId="4" applyFont="1" applyFill="1" applyBorder="1" applyAlignment="1">
      <alignment horizontal="justify" vertical="center" wrapText="1"/>
    </xf>
    <xf numFmtId="0" fontId="8" fillId="0" borderId="24" xfId="24" applyFont="1" applyFill="1" applyBorder="1" applyAlignment="1">
      <alignment horizontal="justify" vertical="center" wrapText="1"/>
    </xf>
    <xf numFmtId="0" fontId="8" fillId="0" borderId="69" xfId="24" applyFont="1" applyFill="1" applyBorder="1" applyAlignment="1">
      <alignment horizontal="justify" vertical="center" wrapText="1"/>
    </xf>
    <xf numFmtId="0" fontId="8" fillId="2" borderId="34" xfId="4" applyFont="1" applyFill="1" applyBorder="1" applyAlignment="1">
      <alignment horizontal="center" vertical="center" wrapText="1"/>
    </xf>
    <xf numFmtId="0" fontId="8" fillId="2" borderId="18" xfId="4" applyFont="1" applyFill="1" applyBorder="1" applyAlignment="1">
      <alignment horizontal="justify" vertical="center" wrapText="1"/>
    </xf>
    <xf numFmtId="0" fontId="8" fillId="2" borderId="1" xfId="4" applyFont="1" applyFill="1" applyBorder="1" applyAlignment="1">
      <alignment horizontal="justify" vertical="center" wrapText="1"/>
    </xf>
    <xf numFmtId="0" fontId="8" fillId="2" borderId="25" xfId="4" applyFont="1" applyFill="1" applyBorder="1" applyAlignment="1">
      <alignment horizontal="center" vertical="center" wrapText="1"/>
    </xf>
    <xf numFmtId="0" fontId="8" fillId="2" borderId="11" xfId="4" applyFont="1" applyFill="1" applyBorder="1" applyAlignment="1">
      <alignment horizontal="justify" vertical="center" wrapText="1"/>
    </xf>
    <xf numFmtId="0" fontId="8" fillId="2" borderId="8" xfId="4" applyFont="1" applyFill="1" applyBorder="1" applyAlignment="1">
      <alignment horizontal="justify" vertical="center" wrapText="1"/>
    </xf>
    <xf numFmtId="9" fontId="8" fillId="2" borderId="34" xfId="4" applyNumberFormat="1" applyFont="1" applyFill="1" applyBorder="1" applyAlignment="1">
      <alignment horizontal="center" vertical="center" wrapText="1"/>
    </xf>
    <xf numFmtId="9" fontId="8" fillId="2" borderId="33" xfId="4" applyNumberFormat="1" applyFont="1" applyFill="1" applyBorder="1" applyAlignment="1">
      <alignment horizontal="center" vertical="center"/>
    </xf>
    <xf numFmtId="9" fontId="8" fillId="2" borderId="30" xfId="4" applyNumberFormat="1" applyFont="1" applyFill="1" applyBorder="1" applyAlignment="1">
      <alignment horizontal="center" vertical="center"/>
    </xf>
    <xf numFmtId="9" fontId="8" fillId="2" borderId="32" xfId="4" applyNumberFormat="1" applyFont="1" applyFill="1" applyBorder="1" applyAlignment="1">
      <alignment horizontal="center" vertical="center"/>
    </xf>
    <xf numFmtId="0" fontId="8" fillId="0" borderId="36" xfId="24" applyFont="1" applyFill="1" applyBorder="1" applyAlignment="1">
      <alignment horizontal="justify" vertical="center" wrapText="1" readingOrder="2"/>
    </xf>
    <xf numFmtId="0" fontId="8" fillId="0" borderId="0" xfId="24" applyFont="1" applyFill="1" applyBorder="1" applyAlignment="1">
      <alignment horizontal="justify" vertical="center" wrapText="1" readingOrder="2"/>
    </xf>
    <xf numFmtId="0" fontId="8" fillId="0" borderId="5" xfId="24" applyFont="1" applyFill="1" applyBorder="1" applyAlignment="1">
      <alignment horizontal="justify" vertical="center" wrapText="1" readingOrder="2"/>
    </xf>
    <xf numFmtId="1" fontId="8" fillId="0" borderId="21" xfId="4" applyNumberFormat="1" applyFont="1" applyFill="1" applyBorder="1" applyAlignment="1">
      <alignment horizontal="center" vertical="center"/>
    </xf>
    <xf numFmtId="0" fontId="8" fillId="0" borderId="15" xfId="24" applyFont="1" applyFill="1" applyBorder="1" applyAlignment="1">
      <alignment horizontal="justify" vertical="center" wrapText="1"/>
    </xf>
    <xf numFmtId="0" fontId="8" fillId="0" borderId="7" xfId="24" applyFont="1" applyFill="1" applyBorder="1" applyAlignment="1">
      <alignment horizontal="justify" vertical="center" wrapText="1"/>
    </xf>
    <xf numFmtId="0" fontId="8" fillId="0" borderId="0" xfId="24" applyFont="1" applyFill="1" applyBorder="1" applyAlignment="1">
      <alignment horizontal="justify" vertical="center" wrapText="1"/>
    </xf>
    <xf numFmtId="9" fontId="8" fillId="2" borderId="27" xfId="4" applyNumberFormat="1" applyFont="1" applyFill="1" applyBorder="1" applyAlignment="1">
      <alignment horizontal="center" vertical="center"/>
    </xf>
    <xf numFmtId="0" fontId="8" fillId="2" borderId="6" xfId="4" applyFont="1" applyFill="1" applyBorder="1" applyAlignment="1">
      <alignment horizontal="justify" vertical="center" wrapText="1"/>
    </xf>
    <xf numFmtId="0" fontId="8" fillId="2" borderId="25" xfId="4" applyFont="1" applyFill="1" applyBorder="1" applyAlignment="1">
      <alignment horizontal="justify" vertical="center" wrapText="1"/>
    </xf>
    <xf numFmtId="0" fontId="8" fillId="2" borderId="12"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25" xfId="4"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8" fillId="0" borderId="52" xfId="0" applyNumberFormat="1" applyFont="1" applyFill="1" applyBorder="1" applyAlignment="1">
      <alignment horizontal="center" vertical="center"/>
    </xf>
    <xf numFmtId="3" fontId="8" fillId="12" borderId="12" xfId="0" applyNumberFormat="1" applyFont="1" applyFill="1" applyBorder="1" applyAlignment="1">
      <alignment horizontal="center" vertical="center"/>
    </xf>
    <xf numFmtId="3" fontId="8" fillId="12" borderId="14" xfId="0" applyNumberFormat="1" applyFont="1" applyFill="1" applyBorder="1" applyAlignment="1">
      <alignment horizontal="center" vertical="center"/>
    </xf>
    <xf numFmtId="3" fontId="8" fillId="12" borderId="52" xfId="0" applyNumberFormat="1" applyFont="1" applyFill="1" applyBorder="1" applyAlignment="1">
      <alignment horizontal="center" vertical="center"/>
    </xf>
    <xf numFmtId="14" fontId="8" fillId="0" borderId="2" xfId="4" applyNumberFormat="1" applyFont="1" applyBorder="1" applyAlignment="1">
      <alignment horizontal="center" vertical="center"/>
    </xf>
    <xf numFmtId="0" fontId="8" fillId="0" borderId="2" xfId="4" applyFont="1" applyBorder="1" applyAlignment="1">
      <alignment horizontal="center" vertical="center"/>
    </xf>
    <xf numFmtId="43" fontId="8" fillId="2" borderId="31" xfId="23" applyNumberFormat="1" applyFont="1" applyFill="1" applyBorder="1" applyAlignment="1">
      <alignment horizontal="center" vertical="center" wrapText="1"/>
    </xf>
    <xf numFmtId="43" fontId="8" fillId="2" borderId="34" xfId="23" applyNumberFormat="1" applyFont="1" applyFill="1" applyBorder="1" applyAlignment="1">
      <alignment horizontal="center" vertical="center" wrapText="1"/>
    </xf>
    <xf numFmtId="0" fontId="8" fillId="2" borderId="19" xfId="4" applyFont="1" applyFill="1" applyBorder="1" applyAlignment="1">
      <alignment horizontal="justify" vertical="center" wrapText="1"/>
    </xf>
    <xf numFmtId="0" fontId="8" fillId="2" borderId="17" xfId="4" applyFont="1" applyFill="1" applyBorder="1" applyAlignment="1">
      <alignment horizontal="justify" vertical="center" wrapText="1"/>
    </xf>
    <xf numFmtId="0" fontId="8" fillId="2" borderId="15" xfId="4" applyFont="1" applyFill="1" applyBorder="1" applyAlignment="1">
      <alignment horizontal="justify" vertical="center" wrapText="1"/>
    </xf>
    <xf numFmtId="0" fontId="8" fillId="0" borderId="5" xfId="24" applyFont="1" applyFill="1" applyBorder="1" applyAlignment="1">
      <alignment horizontal="justify" vertical="center" wrapText="1"/>
    </xf>
    <xf numFmtId="0" fontId="8" fillId="0" borderId="2" xfId="4" applyFont="1" applyFill="1" applyBorder="1" applyAlignment="1">
      <alignment horizontal="justify" vertical="center" wrapText="1"/>
    </xf>
    <xf numFmtId="0" fontId="8" fillId="0" borderId="2" xfId="4" applyFont="1" applyFill="1" applyBorder="1" applyAlignment="1">
      <alignment horizontal="center" vertical="center" wrapText="1"/>
    </xf>
    <xf numFmtId="0" fontId="8" fillId="0" borderId="18"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4" xfId="0" applyFont="1" applyFill="1" applyBorder="1" applyAlignment="1">
      <alignment horizontal="justify" vertical="center" wrapText="1"/>
    </xf>
    <xf numFmtId="184" fontId="8" fillId="0" borderId="12" xfId="0" applyNumberFormat="1" applyFont="1" applyFill="1" applyBorder="1" applyAlignment="1">
      <alignment horizontal="center" vertical="center"/>
    </xf>
    <xf numFmtId="184" fontId="8" fillId="0" borderId="14" xfId="0" applyNumberFormat="1" applyFont="1" applyFill="1" applyBorder="1" applyAlignment="1">
      <alignment horizontal="center" vertical="center"/>
    </xf>
    <xf numFmtId="184" fontId="8" fillId="0" borderId="25"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5" xfId="0" applyFont="1" applyFill="1" applyBorder="1" applyAlignment="1">
      <alignment horizontal="center" vertical="center"/>
    </xf>
    <xf numFmtId="9" fontId="8" fillId="0" borderId="11" xfId="0" applyNumberFormat="1" applyFont="1" applyFill="1" applyBorder="1" applyAlignment="1">
      <alignment horizontal="center" vertical="center"/>
    </xf>
    <xf numFmtId="9" fontId="8" fillId="0" borderId="8" xfId="0" applyNumberFormat="1" applyFont="1" applyFill="1" applyBorder="1" applyAlignment="1">
      <alignment horizontal="center" vertical="center"/>
    </xf>
    <xf numFmtId="43" fontId="8" fillId="0" borderId="34" xfId="23" applyNumberFormat="1" applyFont="1" applyFill="1" applyBorder="1" applyAlignment="1">
      <alignment horizontal="center" vertical="center"/>
    </xf>
    <xf numFmtId="43" fontId="8" fillId="0" borderId="33" xfId="23" applyNumberFormat="1" applyFont="1" applyFill="1" applyBorder="1" applyAlignment="1">
      <alignment horizontal="center" vertical="center"/>
    </xf>
    <xf numFmtId="0" fontId="8" fillId="2" borderId="34" xfId="4"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2" borderId="32" xfId="4" applyFont="1" applyFill="1" applyBorder="1" applyAlignment="1">
      <alignment horizontal="center" vertical="center" wrapText="1"/>
    </xf>
    <xf numFmtId="0" fontId="8" fillId="2" borderId="29" xfId="4" applyFont="1" applyFill="1" applyBorder="1" applyAlignment="1">
      <alignment horizontal="justify" vertical="center" wrapText="1"/>
    </xf>
    <xf numFmtId="0" fontId="8" fillId="2" borderId="44" xfId="4" applyFont="1" applyFill="1" applyBorder="1" applyAlignment="1">
      <alignment horizontal="justify" vertical="center" wrapText="1"/>
    </xf>
    <xf numFmtId="0" fontId="8" fillId="2" borderId="39" xfId="4" applyFont="1" applyFill="1" applyBorder="1" applyAlignment="1">
      <alignment horizontal="justify" vertical="center" wrapText="1"/>
    </xf>
    <xf numFmtId="0" fontId="8" fillId="2" borderId="40" xfId="4" applyFont="1" applyFill="1" applyBorder="1" applyAlignment="1">
      <alignment horizontal="justify" vertical="center" wrapText="1"/>
    </xf>
    <xf numFmtId="0" fontId="8" fillId="2" borderId="42" xfId="4" applyFont="1" applyFill="1" applyBorder="1" applyAlignment="1">
      <alignment horizontal="justify" vertical="center" wrapText="1"/>
    </xf>
    <xf numFmtId="0" fontId="8" fillId="2" borderId="37" xfId="4" applyFont="1" applyFill="1" applyBorder="1" applyAlignment="1">
      <alignment horizontal="center" vertical="center" wrapText="1"/>
    </xf>
    <xf numFmtId="9" fontId="8" fillId="2" borderId="34" xfId="4" applyNumberFormat="1" applyFont="1" applyFill="1" applyBorder="1" applyAlignment="1">
      <alignment horizontal="center" vertical="center"/>
    </xf>
    <xf numFmtId="0" fontId="8" fillId="0" borderId="21" xfId="0" applyFont="1" applyBorder="1" applyAlignment="1">
      <alignment horizontal="justify" vertical="center" wrapText="1"/>
    </xf>
    <xf numFmtId="0" fontId="8" fillId="0" borderId="31" xfId="0" applyFont="1" applyBorder="1" applyAlignment="1">
      <alignment horizontal="justify" vertical="center" wrapText="1"/>
    </xf>
    <xf numFmtId="0" fontId="3" fillId="7" borderId="8" xfId="0" applyFont="1" applyFill="1" applyBorder="1" applyAlignment="1">
      <alignment horizontal="left" vertical="center"/>
    </xf>
    <xf numFmtId="0" fontId="3" fillId="7" borderId="0" xfId="0" applyFont="1" applyFill="1" applyBorder="1" applyAlignment="1">
      <alignment horizontal="left" vertical="center"/>
    </xf>
    <xf numFmtId="0" fontId="8" fillId="28" borderId="2" xfId="4" applyFont="1" applyFill="1" applyBorder="1" applyAlignment="1">
      <alignment horizontal="center" vertical="center"/>
    </xf>
    <xf numFmtId="0" fontId="3" fillId="9" borderId="36" xfId="0" applyFont="1" applyFill="1" applyBorder="1" applyAlignment="1">
      <alignment horizontal="left" vertical="center"/>
    </xf>
    <xf numFmtId="0" fontId="3" fillId="9" borderId="22" xfId="0" applyFont="1" applyFill="1" applyBorder="1" applyAlignment="1">
      <alignment horizontal="left" vertical="center"/>
    </xf>
    <xf numFmtId="0" fontId="8" fillId="25" borderId="2" xfId="4"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11" borderId="36" xfId="0" applyFont="1" applyFill="1" applyBorder="1" applyAlignment="1">
      <alignment horizontal="left" vertical="center"/>
    </xf>
    <xf numFmtId="0" fontId="3" fillId="11" borderId="21" xfId="0" applyFont="1" applyFill="1" applyBorder="1" applyAlignment="1">
      <alignment horizontal="left" vertical="center"/>
    </xf>
    <xf numFmtId="0" fontId="8" fillId="11" borderId="2" xfId="4" applyFont="1" applyFill="1" applyBorder="1" applyAlignment="1">
      <alignment horizontal="center" vertical="center"/>
    </xf>
    <xf numFmtId="0" fontId="3" fillId="0" borderId="0" xfId="0" applyFont="1" applyFill="1" applyBorder="1" applyAlignment="1">
      <alignment horizontal="center" vertical="center"/>
    </xf>
    <xf numFmtId="14" fontId="8" fillId="0" borderId="2" xfId="4" applyNumberFormat="1" applyFont="1" applyFill="1" applyBorder="1" applyAlignment="1">
      <alignment horizontal="center" vertical="center"/>
    </xf>
    <xf numFmtId="0" fontId="8" fillId="0" borderId="2" xfId="4" applyFont="1" applyFill="1" applyBorder="1" applyAlignment="1">
      <alignment horizontal="center" vertical="center"/>
    </xf>
    <xf numFmtId="0" fontId="8" fillId="0" borderId="11" xfId="0" applyFont="1" applyFill="1" applyBorder="1" applyAlignment="1">
      <alignment horizontal="justify" vertical="center" wrapText="1"/>
    </xf>
    <xf numFmtId="0" fontId="8" fillId="0" borderId="13" xfId="0" applyFont="1" applyFill="1" applyBorder="1" applyAlignment="1">
      <alignment horizontal="justify" vertical="center" wrapText="1"/>
    </xf>
    <xf numFmtId="14" fontId="8" fillId="0" borderId="2"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0" fontId="8" fillId="0" borderId="24" xfId="26" applyFont="1" applyFill="1" applyBorder="1" applyAlignment="1">
      <alignment horizontal="justify" vertical="center" wrapText="1"/>
    </xf>
    <xf numFmtId="0" fontId="8" fillId="0" borderId="69" xfId="26" applyFont="1" applyFill="1" applyBorder="1" applyAlignment="1">
      <alignment horizontal="justify" vertical="center" wrapText="1"/>
    </xf>
    <xf numFmtId="0" fontId="8" fillId="0" borderId="15" xfId="26" applyFont="1" applyFill="1" applyBorder="1" applyAlignment="1">
      <alignment horizontal="justify" vertical="center" wrapText="1"/>
    </xf>
    <xf numFmtId="0" fontId="8" fillId="2" borderId="11" xfId="4" applyFont="1" applyFill="1" applyBorder="1" applyAlignment="1">
      <alignment horizontal="center" vertical="center"/>
    </xf>
    <xf numFmtId="0" fontId="8" fillId="2" borderId="8" xfId="4"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8" fillId="2" borderId="52" xfId="0" applyNumberFormat="1" applyFont="1" applyFill="1" applyBorder="1" applyAlignment="1">
      <alignment horizontal="center" vertical="center"/>
    </xf>
    <xf numFmtId="3" fontId="8" fillId="0" borderId="2" xfId="0" applyNumberFormat="1" applyFont="1" applyFill="1" applyBorder="1" applyAlignment="1">
      <alignment horizontal="center" vertical="center" wrapText="1"/>
    </xf>
    <xf numFmtId="3" fontId="8" fillId="2" borderId="18"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58" xfId="0" applyNumberFormat="1" applyFont="1" applyFill="1" applyBorder="1" applyAlignment="1">
      <alignment horizontal="center" vertical="center"/>
    </xf>
    <xf numFmtId="0" fontId="8" fillId="0" borderId="34" xfId="4" applyFont="1" applyBorder="1" applyAlignment="1">
      <alignment horizontal="center" vertical="center" wrapText="1"/>
    </xf>
    <xf numFmtId="0" fontId="8" fillId="0" borderId="34" xfId="4" applyFont="1" applyBorder="1" applyAlignment="1">
      <alignment horizontal="justify" vertical="center" wrapText="1"/>
    </xf>
    <xf numFmtId="43" fontId="8" fillId="0" borderId="34" xfId="23" applyNumberFormat="1" applyFont="1" applyBorder="1" applyAlignment="1">
      <alignment horizontal="center" vertical="center" wrapText="1"/>
    </xf>
    <xf numFmtId="0" fontId="8" fillId="0" borderId="31" xfId="4" applyFont="1" applyBorder="1" applyAlignment="1">
      <alignment horizontal="justify" vertical="center" wrapText="1"/>
    </xf>
    <xf numFmtId="0" fontId="8" fillId="0" borderId="19" xfId="4" applyFont="1" applyBorder="1" applyAlignment="1">
      <alignment horizontal="justify" vertical="center" wrapText="1"/>
    </xf>
    <xf numFmtId="0" fontId="8" fillId="2" borderId="31" xfId="4" applyFont="1" applyFill="1" applyBorder="1" applyAlignment="1">
      <alignment horizontal="justify" vertical="center" wrapText="1"/>
    </xf>
    <xf numFmtId="0" fontId="8" fillId="2" borderId="0" xfId="4" applyFont="1" applyFill="1" applyBorder="1" applyAlignment="1">
      <alignment horizontal="justify" vertical="center" wrapText="1"/>
    </xf>
    <xf numFmtId="0" fontId="8" fillId="0" borderId="69" xfId="0" applyFont="1" applyFill="1" applyBorder="1" applyAlignment="1">
      <alignment horizontal="justify" vertical="center" wrapText="1"/>
    </xf>
    <xf numFmtId="0" fontId="8" fillId="0" borderId="1" xfId="4" applyFont="1" applyBorder="1" applyAlignment="1">
      <alignment horizontal="justify" vertical="center" wrapText="1"/>
    </xf>
    <xf numFmtId="0" fontId="8" fillId="0" borderId="6" xfId="4" applyFont="1" applyBorder="1" applyAlignment="1">
      <alignment horizontal="justify" vertical="center" wrapText="1"/>
    </xf>
    <xf numFmtId="0" fontId="8" fillId="0" borderId="8" xfId="13" applyFont="1" applyFill="1" applyBorder="1" applyAlignment="1">
      <alignment horizontal="center" vertical="center" wrapText="1"/>
    </xf>
    <xf numFmtId="0" fontId="8" fillId="0" borderId="13" xfId="13" applyFont="1" applyFill="1" applyBorder="1" applyAlignment="1">
      <alignment horizontal="center" vertical="center" wrapText="1"/>
    </xf>
    <xf numFmtId="0" fontId="8" fillId="0" borderId="32" xfId="4" applyFont="1" applyBorder="1" applyAlignment="1">
      <alignment horizontal="justify" vertical="center" wrapText="1"/>
    </xf>
    <xf numFmtId="0" fontId="8" fillId="0" borderId="0" xfId="4" applyFont="1" applyBorder="1" applyAlignment="1">
      <alignment horizontal="center" vertical="center"/>
    </xf>
    <xf numFmtId="0" fontId="8" fillId="0" borderId="16" xfId="4" applyFont="1" applyBorder="1" applyAlignment="1">
      <alignment horizontal="center" vertical="center"/>
    </xf>
    <xf numFmtId="0" fontId="8" fillId="0" borderId="32" xfId="4" applyFont="1" applyBorder="1" applyAlignment="1">
      <alignment horizontal="center" vertical="center"/>
    </xf>
    <xf numFmtId="0" fontId="8" fillId="0" borderId="34" xfId="4" applyFont="1" applyBorder="1" applyAlignment="1">
      <alignment horizontal="center" vertical="center"/>
    </xf>
    <xf numFmtId="0" fontId="8" fillId="2" borderId="58" xfId="4" applyFont="1" applyFill="1" applyBorder="1" applyAlignment="1">
      <alignment horizontal="justify" vertical="center" wrapText="1"/>
    </xf>
    <xf numFmtId="0" fontId="8" fillId="2" borderId="11"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34" xfId="4" applyFont="1" applyFill="1" applyBorder="1" applyAlignment="1">
      <alignment horizontal="justify" vertical="center" wrapText="1"/>
    </xf>
    <xf numFmtId="0" fontId="8" fillId="0" borderId="49" xfId="0" applyFont="1" applyFill="1" applyBorder="1" applyAlignment="1">
      <alignment horizontal="justify" vertical="center" wrapText="1"/>
    </xf>
    <xf numFmtId="0" fontId="3" fillId="9" borderId="27" xfId="0" applyFont="1" applyFill="1" applyBorder="1" applyAlignment="1">
      <alignment horizontal="left" vertical="center"/>
    </xf>
    <xf numFmtId="0" fontId="3" fillId="9" borderId="16" xfId="0" applyFont="1" applyFill="1" applyBorder="1" applyAlignment="1">
      <alignment horizontal="left" vertical="center"/>
    </xf>
    <xf numFmtId="3" fontId="8" fillId="25" borderId="10" xfId="0" applyNumberFormat="1" applyFont="1" applyFill="1" applyBorder="1" applyAlignment="1">
      <alignment horizontal="center" vertical="center"/>
    </xf>
    <xf numFmtId="3" fontId="8" fillId="25" borderId="35" xfId="0" applyNumberFormat="1" applyFont="1" applyFill="1" applyBorder="1" applyAlignment="1">
      <alignment horizontal="center" vertical="center"/>
    </xf>
    <xf numFmtId="3" fontId="8" fillId="11" borderId="7" xfId="0" applyNumberFormat="1" applyFont="1" applyFill="1" applyBorder="1" applyAlignment="1">
      <alignment horizontal="center" vertical="center"/>
    </xf>
    <xf numFmtId="3" fontId="8" fillId="11" borderId="18"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14" fontId="8" fillId="0" borderId="12" xfId="2" applyNumberFormat="1" applyFont="1" applyFill="1" applyBorder="1" applyAlignment="1">
      <alignment horizontal="center" vertical="center"/>
    </xf>
    <xf numFmtId="14" fontId="8" fillId="0" borderId="14" xfId="2" applyNumberFormat="1" applyFont="1" applyFill="1" applyBorder="1" applyAlignment="1">
      <alignment horizontal="center" vertical="center"/>
    </xf>
    <xf numFmtId="3" fontId="8" fillId="2" borderId="39" xfId="0" applyNumberFormat="1" applyFont="1" applyFill="1" applyBorder="1" applyAlignment="1">
      <alignment horizontal="center" vertical="center"/>
    </xf>
    <xf numFmtId="3" fontId="8" fillId="2" borderId="40" xfId="0" applyNumberFormat="1" applyFont="1" applyFill="1" applyBorder="1" applyAlignment="1">
      <alignment horizontal="center" vertical="center"/>
    </xf>
    <xf numFmtId="3" fontId="8" fillId="2" borderId="56" xfId="0" applyNumberFormat="1" applyFont="1" applyFill="1" applyBorder="1" applyAlignment="1">
      <alignment horizontal="center" vertical="center"/>
    </xf>
    <xf numFmtId="184" fontId="8" fillId="25" borderId="2" xfId="0" applyNumberFormat="1" applyFont="1" applyFill="1" applyBorder="1" applyAlignment="1">
      <alignment horizontal="center" vertical="center"/>
    </xf>
    <xf numFmtId="0" fontId="3" fillId="11" borderId="50" xfId="0" applyFont="1" applyFill="1" applyBorder="1" applyAlignment="1">
      <alignment horizontal="left" vertical="center"/>
    </xf>
    <xf numFmtId="3" fontId="8" fillId="11" borderId="2" xfId="0" applyNumberFormat="1" applyFont="1" applyFill="1" applyBorder="1" applyAlignment="1">
      <alignment horizontal="center" vertical="center"/>
    </xf>
    <xf numFmtId="0" fontId="8" fillId="0" borderId="32" xfId="4" applyNumberFormat="1" applyFont="1" applyBorder="1" applyAlignment="1">
      <alignment horizontal="center" vertical="center"/>
    </xf>
    <xf numFmtId="0" fontId="8" fillId="0" borderId="34" xfId="4" applyNumberFormat="1" applyFont="1" applyBorder="1" applyAlignment="1">
      <alignment horizontal="center" vertical="center"/>
    </xf>
    <xf numFmtId="0" fontId="8" fillId="0" borderId="6" xfId="4" applyNumberFormat="1" applyFont="1" applyBorder="1" applyAlignment="1">
      <alignment horizontal="justify" vertical="center" wrapText="1"/>
    </xf>
    <xf numFmtId="0" fontId="8" fillId="0" borderId="1" xfId="4" applyNumberFormat="1" applyFont="1" applyBorder="1" applyAlignment="1">
      <alignment horizontal="justify" vertical="center" wrapText="1"/>
    </xf>
    <xf numFmtId="0" fontId="8" fillId="0" borderId="64" xfId="4" applyNumberFormat="1" applyFont="1" applyBorder="1" applyAlignment="1">
      <alignment horizontal="justify" vertical="center" wrapText="1"/>
    </xf>
    <xf numFmtId="0" fontId="8" fillId="0" borderId="18" xfId="4" applyNumberFormat="1" applyFont="1" applyBorder="1" applyAlignment="1">
      <alignment horizontal="justify" vertical="center" wrapText="1"/>
    </xf>
    <xf numFmtId="0" fontId="8" fillId="0" borderId="25" xfId="4" applyNumberFormat="1" applyFont="1" applyBorder="1" applyAlignment="1">
      <alignment horizontal="justify" vertical="center" wrapText="1"/>
    </xf>
    <xf numFmtId="0" fontId="8" fillId="0" borderId="14" xfId="4" applyNumberFormat="1" applyFont="1" applyBorder="1" applyAlignment="1">
      <alignment horizontal="justify" vertical="center" wrapText="1"/>
    </xf>
    <xf numFmtId="0" fontId="8" fillId="0" borderId="12" xfId="4" applyNumberFormat="1" applyFont="1" applyBorder="1" applyAlignment="1">
      <alignment horizontal="justify" vertical="center" wrapText="1"/>
    </xf>
    <xf numFmtId="9" fontId="8" fillId="2" borderId="12" xfId="4" applyNumberFormat="1" applyFont="1" applyFill="1" applyBorder="1" applyAlignment="1">
      <alignment horizontal="center" vertical="center"/>
    </xf>
    <xf numFmtId="9" fontId="8" fillId="2" borderId="14" xfId="4" applyNumberFormat="1" applyFont="1" applyFill="1" applyBorder="1" applyAlignment="1">
      <alignment horizontal="center" vertical="center"/>
    </xf>
    <xf numFmtId="43" fontId="8" fillId="0" borderId="2" xfId="23" applyNumberFormat="1" applyFont="1" applyBorder="1" applyAlignment="1">
      <alignment horizontal="center" vertical="center" wrapText="1"/>
    </xf>
    <xf numFmtId="43" fontId="8" fillId="0" borderId="12" xfId="23" applyNumberFormat="1" applyFont="1" applyBorder="1" applyAlignment="1">
      <alignment horizontal="center" vertical="center" wrapText="1"/>
    </xf>
    <xf numFmtId="0" fontId="8" fillId="0" borderId="2" xfId="4" applyNumberFormat="1" applyFont="1" applyBorder="1" applyAlignment="1">
      <alignment horizontal="justify" vertical="center" wrapText="1"/>
    </xf>
    <xf numFmtId="0" fontId="8" fillId="0" borderId="25" xfId="13" applyNumberFormat="1" applyFont="1" applyFill="1" applyBorder="1" applyAlignment="1">
      <alignment horizontal="center" vertical="center" wrapText="1"/>
    </xf>
    <xf numFmtId="0" fontId="8" fillId="0" borderId="14" xfId="13" applyNumberFormat="1" applyFont="1" applyFill="1" applyBorder="1" applyAlignment="1">
      <alignment horizontal="center" vertical="center" wrapText="1"/>
    </xf>
    <xf numFmtId="0" fontId="8" fillId="0" borderId="12" xfId="13" applyNumberFormat="1" applyFont="1" applyFill="1" applyBorder="1" applyAlignment="1">
      <alignment horizontal="center" vertical="center" wrapText="1"/>
    </xf>
    <xf numFmtId="0" fontId="8" fillId="0" borderId="25" xfId="4" applyFont="1" applyBorder="1" applyAlignment="1">
      <alignment horizontal="justify" vertical="center" wrapText="1"/>
    </xf>
    <xf numFmtId="0" fontId="8" fillId="0" borderId="14" xfId="4" applyFont="1" applyBorder="1" applyAlignment="1">
      <alignment horizontal="justify" vertical="center" wrapText="1"/>
    </xf>
    <xf numFmtId="0" fontId="8" fillId="0" borderId="12" xfId="4" applyFont="1" applyBorder="1" applyAlignment="1">
      <alignment horizontal="justify" vertical="center" wrapText="1"/>
    </xf>
    <xf numFmtId="0" fontId="8" fillId="0" borderId="25" xfId="4" applyFont="1" applyFill="1" applyBorder="1" applyAlignment="1">
      <alignment horizontal="center" vertical="center" wrapText="1"/>
    </xf>
    <xf numFmtId="0" fontId="8" fillId="0" borderId="14" xfId="4" applyFont="1" applyFill="1" applyBorder="1" applyAlignment="1">
      <alignment horizontal="center" vertical="center" wrapText="1"/>
    </xf>
    <xf numFmtId="0" fontId="8" fillId="0" borderId="12" xfId="4" applyFont="1" applyFill="1" applyBorder="1" applyAlignment="1">
      <alignment horizontal="center" vertical="center" wrapText="1"/>
    </xf>
    <xf numFmtId="14" fontId="8" fillId="0" borderId="12" xfId="0" applyNumberFormat="1" applyFont="1" applyFill="1" applyBorder="1" applyAlignment="1">
      <alignment horizontal="center" vertical="center"/>
    </xf>
    <xf numFmtId="14" fontId="8" fillId="0" borderId="14" xfId="0" applyNumberFormat="1" applyFont="1" applyFill="1" applyBorder="1" applyAlignment="1">
      <alignment horizontal="center" vertical="center"/>
    </xf>
    <xf numFmtId="14" fontId="8" fillId="2" borderId="39" xfId="0" applyNumberFormat="1" applyFont="1" applyFill="1" applyBorder="1" applyAlignment="1">
      <alignment horizontal="center" vertical="center"/>
    </xf>
    <xf numFmtId="14" fontId="8" fillId="2" borderId="40" xfId="0" applyNumberFormat="1" applyFont="1" applyFill="1" applyBorder="1" applyAlignment="1">
      <alignment horizontal="center" vertical="center"/>
    </xf>
    <xf numFmtId="184" fontId="8" fillId="2" borderId="39" xfId="0" applyNumberFormat="1" applyFont="1" applyFill="1" applyBorder="1" applyAlignment="1">
      <alignment horizontal="center" vertical="center"/>
    </xf>
    <xf numFmtId="184" fontId="8" fillId="2" borderId="40"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0" borderId="1" xfId="0" applyFont="1" applyFill="1" applyBorder="1" applyAlignment="1">
      <alignment horizontal="center" vertical="center"/>
    </xf>
    <xf numFmtId="0" fontId="3" fillId="7" borderId="15" xfId="4" applyFont="1" applyFill="1" applyBorder="1" applyAlignment="1">
      <alignment horizontal="left" vertical="center"/>
    </xf>
    <xf numFmtId="0" fontId="3" fillId="7" borderId="0" xfId="4" applyFont="1" applyFill="1" applyBorder="1" applyAlignment="1">
      <alignment horizontal="left" vertical="center"/>
    </xf>
    <xf numFmtId="184" fontId="8" fillId="27" borderId="2" xfId="0" applyNumberFormat="1" applyFont="1" applyFill="1" applyBorder="1" applyAlignment="1">
      <alignment horizontal="center" vertical="center"/>
    </xf>
    <xf numFmtId="3" fontId="8" fillId="2" borderId="37" xfId="0" applyNumberFormat="1" applyFont="1" applyFill="1" applyBorder="1" applyAlignment="1">
      <alignment horizontal="center" vertical="center"/>
    </xf>
    <xf numFmtId="184" fontId="8" fillId="2" borderId="39" xfId="0" applyNumberFormat="1" applyFont="1" applyFill="1" applyBorder="1" applyAlignment="1">
      <alignment horizontal="center" vertical="center" wrapText="1"/>
    </xf>
    <xf numFmtId="184" fontId="8" fillId="2" borderId="40" xfId="0" applyNumberFormat="1" applyFont="1" applyFill="1" applyBorder="1" applyAlignment="1">
      <alignment horizontal="center" vertical="center" wrapText="1"/>
    </xf>
    <xf numFmtId="3" fontId="8" fillId="0" borderId="63" xfId="0" applyNumberFormat="1" applyFont="1" applyFill="1" applyBorder="1" applyAlignment="1">
      <alignment horizontal="center" vertical="center"/>
    </xf>
    <xf numFmtId="3" fontId="8" fillId="0" borderId="40" xfId="0" applyNumberFormat="1" applyFont="1" applyFill="1" applyBorder="1" applyAlignment="1">
      <alignment horizontal="center" vertical="center"/>
    </xf>
    <xf numFmtId="3" fontId="8" fillId="0" borderId="56" xfId="0" applyNumberFormat="1" applyFont="1" applyFill="1" applyBorder="1" applyAlignment="1">
      <alignment horizontal="center" vertical="center"/>
    </xf>
    <xf numFmtId="3" fontId="8" fillId="0" borderId="37"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43" fontId="8" fillId="0" borderId="14" xfId="23" applyNumberFormat="1" applyFont="1" applyFill="1" applyBorder="1" applyAlignment="1">
      <alignment horizontal="center" vertical="center"/>
    </xf>
    <xf numFmtId="0" fontId="8" fillId="0" borderId="52" xfId="0" applyFont="1" applyFill="1" applyBorder="1" applyAlignment="1">
      <alignment horizontal="justify" vertical="center" wrapText="1"/>
    </xf>
    <xf numFmtId="0" fontId="3" fillId="0" borderId="16" xfId="0" applyFont="1" applyFill="1" applyBorder="1" applyAlignment="1">
      <alignment horizontal="center" vertical="center"/>
    </xf>
    <xf numFmtId="0" fontId="8" fillId="0" borderId="58" xfId="0" applyFont="1" applyFill="1" applyBorder="1" applyAlignment="1">
      <alignment horizontal="justify" vertical="center" wrapText="1"/>
    </xf>
    <xf numFmtId="1" fontId="8" fillId="2" borderId="2" xfId="20" applyNumberFormat="1" applyFont="1" applyFill="1" applyBorder="1" applyAlignment="1">
      <alignment horizontal="center" vertical="center" wrapText="1"/>
    </xf>
    <xf numFmtId="14" fontId="8" fillId="2" borderId="2" xfId="20" applyNumberFormat="1" applyFont="1" applyFill="1" applyBorder="1" applyAlignment="1">
      <alignment horizontal="center" vertical="center" wrapText="1"/>
    </xf>
    <xf numFmtId="0" fontId="8" fillId="0" borderId="34" xfId="0" applyFont="1" applyBorder="1" applyAlignment="1">
      <alignment horizontal="justify" vertical="center" wrapText="1"/>
    </xf>
    <xf numFmtId="0" fontId="8" fillId="0" borderId="24" xfId="21" applyFont="1" applyFill="1" applyBorder="1" applyAlignment="1">
      <alignment horizontal="justify" vertical="center" wrapText="1"/>
    </xf>
    <xf numFmtId="0" fontId="8" fillId="0" borderId="69" xfId="21" applyFont="1" applyFill="1" applyBorder="1" applyAlignment="1">
      <alignment horizontal="justify" vertical="center" wrapText="1"/>
    </xf>
    <xf numFmtId="0" fontId="8" fillId="0" borderId="2" xfId="0" applyFont="1" applyBorder="1" applyAlignment="1">
      <alignment horizontal="center" vertical="center"/>
    </xf>
    <xf numFmtId="0" fontId="8" fillId="0" borderId="31" xfId="0" applyFont="1" applyBorder="1" applyAlignment="1">
      <alignment horizontal="center" vertical="center"/>
    </xf>
    <xf numFmtId="9" fontId="8" fillId="0" borderId="34" xfId="0" applyNumberFormat="1" applyFont="1" applyBorder="1" applyAlignment="1">
      <alignment horizontal="center" vertical="center"/>
    </xf>
    <xf numFmtId="43" fontId="8" fillId="0" borderId="34" xfId="23" applyNumberFormat="1" applyFont="1" applyBorder="1" applyAlignment="1">
      <alignment horizontal="center" vertical="center"/>
    </xf>
    <xf numFmtId="0" fontId="8" fillId="0" borderId="34" xfId="0" applyFont="1" applyBorder="1" applyAlignment="1">
      <alignment horizontal="center" vertical="center"/>
    </xf>
    <xf numFmtId="0" fontId="8" fillId="0" borderId="36" xfId="0" applyFont="1" applyBorder="1" applyAlignment="1">
      <alignment horizontal="justify" vertical="center" wrapText="1"/>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1" fontId="8" fillId="2" borderId="33" xfId="0" applyNumberFormat="1" applyFont="1" applyFill="1" applyBorder="1" applyAlignment="1">
      <alignment horizontal="center" vertical="center" wrapText="1"/>
    </xf>
    <xf numFmtId="1" fontId="8" fillId="2" borderId="30" xfId="0" applyNumberFormat="1" applyFont="1" applyFill="1" applyBorder="1" applyAlignment="1">
      <alignment horizontal="center" vertical="center" wrapText="1"/>
    </xf>
    <xf numFmtId="1" fontId="8" fillId="2" borderId="32" xfId="0" applyNumberFormat="1" applyFont="1" applyFill="1" applyBorder="1" applyAlignment="1">
      <alignment horizontal="center" vertical="center" wrapText="1"/>
    </xf>
    <xf numFmtId="1" fontId="8" fillId="2" borderId="33" xfId="20" applyNumberFormat="1" applyFont="1" applyFill="1" applyBorder="1" applyAlignment="1">
      <alignment horizontal="center" vertical="center" wrapText="1"/>
    </xf>
    <xf numFmtId="1" fontId="8" fillId="2" borderId="30" xfId="20" applyNumberFormat="1" applyFont="1" applyFill="1" applyBorder="1" applyAlignment="1">
      <alignment horizontal="center" vertical="center" wrapText="1"/>
    </xf>
    <xf numFmtId="1" fontId="8" fillId="2" borderId="32" xfId="20" applyNumberFormat="1" applyFont="1" applyFill="1" applyBorder="1" applyAlignment="1">
      <alignment horizontal="center" vertical="center" wrapText="1"/>
    </xf>
    <xf numFmtId="1" fontId="8" fillId="26" borderId="2" xfId="2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1" fontId="8" fillId="11" borderId="2" xfId="20" applyNumberFormat="1" applyFont="1" applyFill="1" applyBorder="1" applyAlignment="1">
      <alignment horizontal="center" vertical="center" wrapText="1"/>
    </xf>
    <xf numFmtId="0" fontId="3" fillId="0" borderId="0" xfId="0" applyFont="1" applyBorder="1" applyAlignment="1">
      <alignment horizontal="center" vertical="center"/>
    </xf>
    <xf numFmtId="0" fontId="8" fillId="0" borderId="7" xfId="21" applyFont="1" applyFill="1" applyBorder="1" applyAlignment="1">
      <alignment horizontal="justify" vertical="center" wrapText="1"/>
    </xf>
    <xf numFmtId="0" fontId="8" fillId="0" borderId="5" xfId="21" applyFont="1" applyFill="1" applyBorder="1" applyAlignment="1">
      <alignment horizontal="justify" vertical="center" wrapText="1"/>
    </xf>
    <xf numFmtId="0" fontId="8" fillId="0" borderId="6" xfId="0" applyFont="1" applyFill="1" applyBorder="1" applyAlignment="1">
      <alignment horizontal="center" vertical="center"/>
    </xf>
    <xf numFmtId="0" fontId="8" fillId="0" borderId="0" xfId="21" applyFont="1" applyFill="1" applyBorder="1" applyAlignment="1">
      <alignment horizontal="justify" vertical="center" wrapText="1"/>
    </xf>
    <xf numFmtId="1" fontId="8" fillId="2" borderId="44" xfId="20" applyNumberFormat="1" applyFont="1" applyFill="1" applyBorder="1" applyAlignment="1">
      <alignment horizontal="center" vertical="center" wrapText="1"/>
    </xf>
    <xf numFmtId="0" fontId="8" fillId="0" borderId="2" xfId="0" applyFont="1" applyFill="1" applyBorder="1" applyAlignment="1">
      <alignment horizontal="center" vertical="center"/>
    </xf>
    <xf numFmtId="3" fontId="8" fillId="2" borderId="29"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3" fontId="8" fillId="2" borderId="32" xfId="0" applyNumberFormat="1" applyFont="1" applyFill="1" applyBorder="1" applyAlignment="1">
      <alignment horizontal="center" vertical="center"/>
    </xf>
    <xf numFmtId="0" fontId="8" fillId="0" borderId="36" xfId="25" applyFont="1" applyFill="1" applyBorder="1" applyAlignment="1">
      <alignment horizontal="justify" vertical="center" wrapText="1"/>
    </xf>
    <xf numFmtId="3" fontId="8" fillId="2" borderId="55"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0" fontId="8" fillId="0" borderId="20" xfId="25" applyFont="1" applyFill="1" applyBorder="1" applyAlignment="1">
      <alignment horizontal="justify" vertical="center" wrapText="1"/>
    </xf>
    <xf numFmtId="9" fontId="8" fillId="0" borderId="12" xfId="0" applyNumberFormat="1" applyFont="1" applyFill="1" applyBorder="1" applyAlignment="1">
      <alignment horizontal="center" vertical="center"/>
    </xf>
    <xf numFmtId="0" fontId="3" fillId="11" borderId="49" xfId="0" applyFont="1" applyFill="1" applyBorder="1" applyAlignment="1">
      <alignment horizontal="left" vertical="center"/>
    </xf>
    <xf numFmtId="1" fontId="8" fillId="11" borderId="0" xfId="0" applyNumberFormat="1" applyFont="1" applyFill="1" applyBorder="1" applyAlignment="1">
      <alignment horizontal="center" vertical="center" wrapText="1"/>
    </xf>
    <xf numFmtId="1" fontId="8" fillId="11" borderId="17" xfId="0" applyNumberFormat="1" applyFont="1" applyFill="1" applyBorder="1" applyAlignment="1">
      <alignment horizontal="center" vertical="center" wrapText="1"/>
    </xf>
    <xf numFmtId="0" fontId="8" fillId="0" borderId="52" xfId="0" applyFont="1" applyFill="1" applyBorder="1" applyAlignment="1">
      <alignment horizontal="center" vertical="center"/>
    </xf>
    <xf numFmtId="43" fontId="8" fillId="0" borderId="12" xfId="23" applyNumberFormat="1" applyFont="1" applyFill="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52" xfId="0" applyFont="1" applyBorder="1" applyAlignment="1">
      <alignment horizontal="center" vertical="center"/>
    </xf>
    <xf numFmtId="0" fontId="8" fillId="0" borderId="52" xfId="0" applyFont="1" applyBorder="1" applyAlignment="1">
      <alignment horizontal="justify" vertical="center" wrapText="1"/>
    </xf>
    <xf numFmtId="9" fontId="8" fillId="0" borderId="33" xfId="0" applyNumberFormat="1" applyFont="1" applyBorder="1" applyAlignment="1">
      <alignment horizontal="center" vertical="center"/>
    </xf>
    <xf numFmtId="9" fontId="8" fillId="0" borderId="30" xfId="0" applyNumberFormat="1" applyFont="1" applyBorder="1" applyAlignment="1">
      <alignment horizontal="center" vertical="center"/>
    </xf>
    <xf numFmtId="9" fontId="8" fillId="0" borderId="32" xfId="0" applyNumberFormat="1" applyFont="1" applyBorder="1" applyAlignment="1">
      <alignment horizontal="center" vertical="center"/>
    </xf>
    <xf numFmtId="0" fontId="8" fillId="0" borderId="30" xfId="0" applyFont="1" applyBorder="1" applyAlignment="1">
      <alignment horizontal="justify" vertical="center" wrapText="1"/>
    </xf>
    <xf numFmtId="0" fontId="8" fillId="0" borderId="32"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12" xfId="0" applyFont="1" applyFill="1" applyBorder="1" applyAlignment="1">
      <alignment horizontal="center" vertical="center"/>
    </xf>
    <xf numFmtId="9" fontId="8" fillId="0" borderId="33" xfId="0" applyNumberFormat="1" applyFont="1" applyFill="1" applyBorder="1" applyAlignment="1">
      <alignment horizontal="center" vertical="center"/>
    </xf>
    <xf numFmtId="9" fontId="8" fillId="0" borderId="30" xfId="0" applyNumberFormat="1" applyFont="1" applyFill="1" applyBorder="1" applyAlignment="1">
      <alignment horizontal="center" vertical="center"/>
    </xf>
    <xf numFmtId="9" fontId="8" fillId="0" borderId="32" xfId="0" applyNumberFormat="1" applyFont="1" applyFill="1" applyBorder="1" applyAlignment="1">
      <alignment horizontal="center" vertical="center"/>
    </xf>
    <xf numFmtId="0" fontId="8" fillId="0" borderId="33" xfId="0" applyFont="1" applyFill="1" applyBorder="1" applyAlignment="1">
      <alignment horizontal="justify" vertical="center" wrapText="1"/>
    </xf>
    <xf numFmtId="0" fontId="8" fillId="0" borderId="30"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8" fillId="0" borderId="29" xfId="0" applyFont="1" applyFill="1" applyBorder="1" applyAlignment="1">
      <alignment horizontal="justify" vertical="center" wrapText="1"/>
    </xf>
    <xf numFmtId="0" fontId="8" fillId="0" borderId="44" xfId="0" applyFont="1" applyFill="1" applyBorder="1" applyAlignment="1">
      <alignment horizontal="justify" vertical="center" wrapText="1"/>
    </xf>
    <xf numFmtId="0" fontId="8" fillId="0" borderId="39" xfId="0" applyFont="1" applyFill="1" applyBorder="1" applyAlignment="1">
      <alignment horizontal="justify" vertical="center" wrapText="1"/>
    </xf>
    <xf numFmtId="0" fontId="8" fillId="0" borderId="40" xfId="0" applyFont="1" applyFill="1" applyBorder="1" applyAlignment="1">
      <alignment horizontal="justify" vertical="center" wrapText="1"/>
    </xf>
    <xf numFmtId="0" fontId="8" fillId="0" borderId="42" xfId="0" applyFont="1" applyFill="1" applyBorder="1" applyAlignment="1">
      <alignment horizontal="justify" vertical="center" wrapText="1"/>
    </xf>
    <xf numFmtId="9" fontId="8" fillId="0" borderId="36" xfId="0" applyNumberFormat="1" applyFont="1" applyFill="1" applyBorder="1" applyAlignment="1">
      <alignment horizontal="center" vertical="center"/>
    </xf>
    <xf numFmtId="0" fontId="8" fillId="0" borderId="31" xfId="0" applyFont="1" applyFill="1" applyBorder="1" applyAlignment="1">
      <alignment horizontal="justify" vertical="center" wrapText="1"/>
    </xf>
    <xf numFmtId="1" fontId="8" fillId="2" borderId="2" xfId="0" applyNumberFormat="1" applyFont="1" applyFill="1" applyBorder="1" applyAlignment="1">
      <alignment horizontal="center" vertical="center" wrapText="1"/>
    </xf>
    <xf numFmtId="3" fontId="8" fillId="2" borderId="25" xfId="0" applyNumberFormat="1" applyFont="1" applyFill="1" applyBorder="1" applyAlignment="1">
      <alignment horizontal="center" vertical="center"/>
    </xf>
    <xf numFmtId="1" fontId="8" fillId="2" borderId="11"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4" fontId="8" fillId="2" borderId="11" xfId="0" applyNumberFormat="1" applyFont="1" applyFill="1" applyBorder="1" applyAlignment="1">
      <alignment horizontal="center" vertical="center" wrapText="1"/>
    </xf>
    <xf numFmtId="14" fontId="8" fillId="2" borderId="8" xfId="0" applyNumberFormat="1" applyFont="1" applyFill="1" applyBorder="1" applyAlignment="1">
      <alignment horizontal="center" vertical="center" wrapText="1"/>
    </xf>
    <xf numFmtId="3" fontId="8" fillId="2" borderId="42" xfId="0" applyNumberFormat="1" applyFont="1" applyFill="1" applyBorder="1" applyAlignment="1">
      <alignment horizontal="center" vertical="center"/>
    </xf>
    <xf numFmtId="1" fontId="8" fillId="11" borderId="2" xfId="0" applyNumberFormat="1" applyFont="1" applyFill="1" applyBorder="1" applyAlignment="1">
      <alignment horizontal="center" vertical="center" wrapText="1"/>
    </xf>
    <xf numFmtId="0" fontId="8" fillId="0" borderId="34" xfId="0" applyFont="1" applyFill="1" applyBorder="1" applyAlignment="1">
      <alignment horizontal="justify" vertical="center" wrapText="1"/>
    </xf>
    <xf numFmtId="0" fontId="8" fillId="0" borderId="9" xfId="26" applyFont="1" applyFill="1" applyBorder="1" applyAlignment="1">
      <alignment horizontal="justify" vertical="center" wrapText="1"/>
    </xf>
    <xf numFmtId="0" fontId="8" fillId="0" borderId="27" xfId="26" applyFont="1" applyFill="1" applyBorder="1" applyAlignment="1">
      <alignment horizontal="justify" vertical="center" wrapText="1"/>
    </xf>
    <xf numFmtId="0" fontId="8" fillId="0" borderId="36" xfId="26" applyFont="1" applyFill="1" applyBorder="1" applyAlignment="1">
      <alignment horizontal="justify" vertical="center" wrapText="1"/>
    </xf>
    <xf numFmtId="1" fontId="8" fillId="25" borderId="2" xfId="0" applyNumberFormat="1" applyFont="1" applyFill="1" applyBorder="1" applyAlignment="1">
      <alignment horizontal="center" vertical="center" wrapText="1"/>
    </xf>
    <xf numFmtId="1" fontId="8" fillId="0" borderId="2" xfId="20" applyNumberFormat="1" applyFont="1" applyFill="1" applyBorder="1" applyAlignment="1">
      <alignment horizontal="center" vertical="center" wrapText="1"/>
    </xf>
    <xf numFmtId="14" fontId="8" fillId="0" borderId="2" xfId="20" applyNumberFormat="1" applyFont="1" applyFill="1" applyBorder="1" applyAlignment="1">
      <alignment horizontal="center" vertical="center" wrapText="1"/>
    </xf>
    <xf numFmtId="1" fontId="8" fillId="24" borderId="2" xfId="20" applyNumberFormat="1" applyFont="1" applyFill="1" applyBorder="1" applyAlignment="1">
      <alignment horizontal="center" vertical="center" wrapText="1"/>
    </xf>
    <xf numFmtId="1" fontId="8" fillId="11" borderId="0" xfId="20" applyNumberFormat="1" applyFont="1" applyFill="1" applyBorder="1" applyAlignment="1">
      <alignment horizontal="center" vertical="center" wrapText="1"/>
    </xf>
    <xf numFmtId="1" fontId="8" fillId="11" borderId="1" xfId="20" applyNumberFormat="1" applyFont="1" applyFill="1" applyBorder="1" applyAlignment="1">
      <alignment horizontal="center" vertical="center" wrapText="1"/>
    </xf>
    <xf numFmtId="9" fontId="8" fillId="0" borderId="12"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0" fontId="8" fillId="0" borderId="11" xfId="26" applyFont="1" applyFill="1" applyBorder="1" applyAlignment="1">
      <alignment horizontal="justify" vertical="center" wrapText="1"/>
    </xf>
    <xf numFmtId="0" fontId="8" fillId="0" borderId="13" xfId="26" applyFont="1" applyFill="1" applyBorder="1" applyAlignment="1">
      <alignment horizontal="justify" vertical="center" wrapText="1"/>
    </xf>
    <xf numFmtId="14" fontId="8" fillId="2" borderId="24" xfId="20" applyNumberFormat="1" applyFont="1" applyFill="1" applyBorder="1" applyAlignment="1">
      <alignment horizontal="center" vertical="center" wrapText="1"/>
    </xf>
    <xf numFmtId="14" fontId="8" fillId="2" borderId="15" xfId="20" applyNumberFormat="1" applyFont="1" applyFill="1" applyBorder="1" applyAlignment="1">
      <alignment horizontal="center" vertical="center" wrapText="1"/>
    </xf>
    <xf numFmtId="0" fontId="8" fillId="2" borderId="11" xfId="25" applyFont="1" applyFill="1" applyBorder="1" applyAlignment="1">
      <alignment horizontal="justify" vertical="center" wrapText="1"/>
    </xf>
    <xf numFmtId="0" fontId="8" fillId="2" borderId="8" xfId="25" applyFont="1" applyFill="1" applyBorder="1" applyAlignment="1">
      <alignment horizontal="justify" vertical="center" wrapText="1"/>
    </xf>
    <xf numFmtId="1" fontId="8" fillId="2" borderId="31" xfId="4" applyNumberFormat="1" applyFont="1" applyFill="1" applyBorder="1" applyAlignment="1">
      <alignment horizontal="center" vertical="center" wrapText="1"/>
    </xf>
    <xf numFmtId="0" fontId="8" fillId="0" borderId="28" xfId="4" applyNumberFormat="1" applyFont="1" applyFill="1" applyBorder="1" applyAlignment="1">
      <alignment horizontal="justify" vertical="center" wrapText="1"/>
    </xf>
    <xf numFmtId="0" fontId="8" fillId="0" borderId="17" xfId="4" applyNumberFormat="1" applyFont="1" applyFill="1" applyBorder="1" applyAlignment="1">
      <alignment horizontal="justify" vertical="center" wrapText="1"/>
    </xf>
    <xf numFmtId="0" fontId="8" fillId="0" borderId="61" xfId="4" applyNumberFormat="1" applyFont="1" applyFill="1" applyBorder="1" applyAlignment="1">
      <alignment horizontal="justify" vertical="center" wrapText="1"/>
    </xf>
    <xf numFmtId="3" fontId="8" fillId="0" borderId="18"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0" fontId="8" fillId="2" borderId="0" xfId="4" applyFont="1" applyFill="1" applyBorder="1" applyAlignment="1">
      <alignment horizontal="center" vertical="center" wrapText="1"/>
    </xf>
    <xf numFmtId="0" fontId="8" fillId="2" borderId="16" xfId="4" applyFont="1" applyFill="1" applyBorder="1" applyAlignment="1">
      <alignment horizontal="center" vertical="center" wrapText="1"/>
    </xf>
    <xf numFmtId="0" fontId="8" fillId="0" borderId="32" xfId="11" applyNumberFormat="1" applyFont="1" applyFill="1" applyBorder="1" applyAlignment="1">
      <alignment horizontal="center" vertical="center" wrapText="1"/>
    </xf>
    <xf numFmtId="0" fontId="8" fillId="0" borderId="34" xfId="11" applyNumberFormat="1" applyFont="1" applyFill="1" applyBorder="1" applyAlignment="1">
      <alignment horizontal="center" vertical="center" wrapText="1"/>
    </xf>
    <xf numFmtId="0" fontId="8" fillId="0" borderId="58" xfId="4" applyNumberFormat="1" applyFont="1" applyBorder="1" applyAlignment="1">
      <alignment horizontal="justify" vertical="center" wrapText="1"/>
    </xf>
    <xf numFmtId="0" fontId="8" fillId="0" borderId="14" xfId="4" applyNumberFormat="1" applyFont="1" applyBorder="1" applyAlignment="1">
      <alignment horizontal="center" vertical="center" wrapText="1"/>
    </xf>
    <xf numFmtId="0" fontId="8" fillId="0" borderId="25" xfId="4" applyNumberFormat="1" applyFont="1" applyBorder="1" applyAlignment="1">
      <alignment horizontal="center" vertical="center" wrapText="1"/>
    </xf>
    <xf numFmtId="43" fontId="8" fillId="2" borderId="2" xfId="23" applyNumberFormat="1" applyFont="1" applyFill="1" applyBorder="1" applyAlignment="1">
      <alignment horizontal="center" vertical="center"/>
    </xf>
    <xf numFmtId="0" fontId="8" fillId="2" borderId="18" xfId="4" applyNumberFormat="1" applyFont="1" applyFill="1" applyBorder="1" applyAlignment="1">
      <alignment horizontal="justify" vertical="center" wrapText="1"/>
    </xf>
    <xf numFmtId="0" fontId="8" fillId="2" borderId="1" xfId="4" applyNumberFormat="1" applyFont="1" applyFill="1" applyBorder="1" applyAlignment="1">
      <alignment horizontal="justify" vertical="center" wrapText="1"/>
    </xf>
    <xf numFmtId="0" fontId="8" fillId="2" borderId="6" xfId="4" applyNumberFormat="1" applyFont="1" applyFill="1" applyBorder="1" applyAlignment="1">
      <alignment horizontal="justify" vertical="center" wrapText="1"/>
    </xf>
    <xf numFmtId="3" fontId="8" fillId="2" borderId="12" xfId="4" applyNumberFormat="1" applyFont="1" applyFill="1" applyBorder="1" applyAlignment="1">
      <alignment horizontal="justify" vertical="center" wrapText="1"/>
    </xf>
    <xf numFmtId="3" fontId="8" fillId="2" borderId="14" xfId="4" applyNumberFormat="1" applyFont="1" applyFill="1" applyBorder="1" applyAlignment="1">
      <alignment horizontal="justify" vertical="center" wrapText="1"/>
    </xf>
    <xf numFmtId="3" fontId="8" fillId="2" borderId="13" xfId="4" applyNumberFormat="1" applyFont="1" applyFill="1" applyBorder="1" applyAlignment="1">
      <alignment horizontal="justify" vertical="center" wrapText="1"/>
    </xf>
    <xf numFmtId="0" fontId="8" fillId="2" borderId="2" xfId="4" applyNumberFormat="1" applyFont="1" applyFill="1" applyBorder="1" applyAlignment="1">
      <alignment horizontal="justify" vertical="center" wrapText="1"/>
    </xf>
    <xf numFmtId="9" fontId="8" fillId="2" borderId="2" xfId="4" applyNumberFormat="1" applyFont="1" applyFill="1" applyBorder="1" applyAlignment="1">
      <alignment horizontal="center" vertical="center" wrapText="1"/>
    </xf>
    <xf numFmtId="1" fontId="8" fillId="2" borderId="24" xfId="20" applyNumberFormat="1" applyFont="1" applyFill="1" applyBorder="1" applyAlignment="1">
      <alignment horizontal="center" vertical="center" wrapText="1"/>
    </xf>
    <xf numFmtId="1" fontId="8" fillId="2" borderId="15" xfId="20" applyNumberFormat="1" applyFont="1" applyFill="1" applyBorder="1" applyAlignment="1">
      <alignment horizontal="center" vertical="center" wrapText="1"/>
    </xf>
    <xf numFmtId="0" fontId="32" fillId="0" borderId="2" xfId="0" applyFont="1" applyBorder="1" applyAlignment="1">
      <alignment horizontal="center" vertical="center" wrapText="1"/>
    </xf>
    <xf numFmtId="9" fontId="8" fillId="2" borderId="12" xfId="4" applyNumberFormat="1" applyFont="1" applyFill="1" applyBorder="1" applyAlignment="1">
      <alignment horizontal="center" vertical="center" wrapText="1"/>
    </xf>
    <xf numFmtId="9" fontId="8" fillId="2" borderId="14" xfId="4" applyNumberFormat="1" applyFont="1" applyFill="1" applyBorder="1" applyAlignment="1">
      <alignment horizontal="center" vertical="center" wrapText="1"/>
    </xf>
    <xf numFmtId="9" fontId="8" fillId="2" borderId="25" xfId="4" applyNumberFormat="1" applyFont="1" applyFill="1" applyBorder="1" applyAlignment="1">
      <alignment horizontal="center" vertical="center" wrapText="1"/>
    </xf>
    <xf numFmtId="0" fontId="3" fillId="11" borderId="8" xfId="0" applyFont="1" applyFill="1" applyBorder="1" applyAlignment="1">
      <alignment horizontal="left" vertical="center"/>
    </xf>
    <xf numFmtId="0" fontId="3" fillId="11" borderId="0" xfId="0" applyFont="1" applyFill="1" applyBorder="1" applyAlignment="1">
      <alignment horizontal="left" vertical="center"/>
    </xf>
    <xf numFmtId="1" fontId="8" fillId="11" borderId="5" xfId="20" applyNumberFormat="1" applyFont="1" applyFill="1" applyBorder="1" applyAlignment="1">
      <alignment horizontal="center" vertical="center" wrapText="1"/>
    </xf>
    <xf numFmtId="1" fontId="8" fillId="11" borderId="6" xfId="20" applyNumberFormat="1" applyFont="1" applyFill="1" applyBorder="1" applyAlignment="1">
      <alignment horizontal="center" vertical="center" wrapText="1"/>
    </xf>
    <xf numFmtId="0" fontId="8" fillId="2" borderId="22" xfId="4" applyFont="1" applyFill="1" applyBorder="1" applyAlignment="1">
      <alignment horizontal="center" vertical="center" wrapText="1"/>
    </xf>
    <xf numFmtId="0" fontId="8" fillId="2" borderId="34" xfId="11" applyNumberFormat="1" applyFont="1" applyFill="1" applyBorder="1" applyAlignment="1">
      <alignment horizontal="center" vertical="center" wrapText="1"/>
    </xf>
    <xf numFmtId="0" fontId="8" fillId="2" borderId="47" xfId="4" applyNumberFormat="1" applyFont="1" applyFill="1" applyBorder="1" applyAlignment="1">
      <alignment horizontal="justify" vertical="center" wrapText="1"/>
    </xf>
    <xf numFmtId="0" fontId="8" fillId="2" borderId="58" xfId="4" applyNumberFormat="1" applyFont="1" applyFill="1" applyBorder="1" applyAlignment="1">
      <alignment horizontal="justify" vertical="center" wrapText="1"/>
    </xf>
    <xf numFmtId="0" fontId="8" fillId="2" borderId="37" xfId="13" applyNumberFormat="1" applyFont="1" applyFill="1" applyBorder="1" applyAlignment="1">
      <alignment horizontal="center" vertical="center" wrapText="1"/>
    </xf>
    <xf numFmtId="0" fontId="8" fillId="2" borderId="14" xfId="13" applyNumberFormat="1" applyFont="1" applyFill="1" applyBorder="1" applyAlignment="1">
      <alignment horizontal="center" vertical="center" wrapText="1"/>
    </xf>
    <xf numFmtId="0" fontId="8" fillId="2" borderId="52" xfId="13" applyNumberFormat="1" applyFont="1" applyFill="1" applyBorder="1" applyAlignment="1">
      <alignment horizontal="center" vertical="center" wrapText="1"/>
    </xf>
    <xf numFmtId="0" fontId="8" fillId="2" borderId="37" xfId="4" applyFont="1" applyFill="1" applyBorder="1" applyAlignment="1">
      <alignment horizontal="justify" vertical="center" wrapText="1"/>
    </xf>
    <xf numFmtId="0" fontId="8" fillId="2" borderId="52" xfId="4" applyFont="1" applyFill="1" applyBorder="1" applyAlignment="1">
      <alignment horizontal="justify" vertical="center" wrapText="1"/>
    </xf>
    <xf numFmtId="43" fontId="8" fillId="0" borderId="2" xfId="23" applyNumberFormat="1" applyFont="1" applyFill="1" applyBorder="1" applyAlignment="1">
      <alignment horizontal="center" vertical="center" wrapText="1"/>
    </xf>
    <xf numFmtId="3" fontId="8" fillId="2" borderId="25" xfId="4" applyNumberFormat="1" applyFont="1" applyFill="1" applyBorder="1" applyAlignment="1">
      <alignment horizontal="justify" vertical="center" wrapText="1"/>
    </xf>
    <xf numFmtId="0" fontId="8" fillId="0" borderId="11" xfId="4" applyFont="1" applyFill="1" applyBorder="1" applyAlignment="1">
      <alignment horizontal="justify" vertical="center" wrapText="1"/>
    </xf>
    <xf numFmtId="0" fontId="8" fillId="0" borderId="13" xfId="4" applyFont="1" applyFill="1" applyBorder="1" applyAlignment="1">
      <alignment horizontal="justify" vertical="center" wrapText="1"/>
    </xf>
    <xf numFmtId="0" fontId="32" fillId="0" borderId="2" xfId="0" applyFont="1" applyBorder="1" applyAlignment="1">
      <alignment horizontal="justify" vertical="center" wrapText="1"/>
    </xf>
    <xf numFmtId="1" fontId="8" fillId="0" borderId="18" xfId="20" applyNumberFormat="1" applyFont="1" applyFill="1" applyBorder="1" applyAlignment="1">
      <alignment horizontal="center" vertical="center" wrapText="1"/>
    </xf>
    <xf numFmtId="1" fontId="8" fillId="0" borderId="1" xfId="20" applyNumberFormat="1" applyFont="1" applyFill="1" applyBorder="1" applyAlignment="1">
      <alignment horizontal="center" vertical="center" wrapText="1"/>
    </xf>
    <xf numFmtId="1" fontId="8" fillId="0" borderId="6" xfId="20" applyNumberFormat="1" applyFont="1" applyFill="1" applyBorder="1" applyAlignment="1">
      <alignment horizontal="center" vertical="center" wrapText="1"/>
    </xf>
    <xf numFmtId="1" fontId="8" fillId="2" borderId="11" xfId="20" applyNumberFormat="1" applyFont="1" applyFill="1" applyBorder="1" applyAlignment="1">
      <alignment horizontal="center" vertical="center" wrapText="1"/>
    </xf>
    <xf numFmtId="1" fontId="8" fillId="2" borderId="8" xfId="20" applyNumberFormat="1" applyFont="1" applyFill="1" applyBorder="1" applyAlignment="1">
      <alignment horizontal="center" vertical="center" wrapText="1"/>
    </xf>
    <xf numFmtId="14" fontId="8" fillId="2" borderId="11" xfId="20" applyNumberFormat="1" applyFont="1" applyFill="1" applyBorder="1" applyAlignment="1">
      <alignment horizontal="center" vertical="center" wrapText="1"/>
    </xf>
    <xf numFmtId="14" fontId="8" fillId="2" borderId="8" xfId="20" applyNumberFormat="1" applyFont="1" applyFill="1" applyBorder="1" applyAlignment="1">
      <alignment horizontal="center" vertical="center" wrapText="1"/>
    </xf>
    <xf numFmtId="43" fontId="8" fillId="0" borderId="2" xfId="23" applyNumberFormat="1" applyFont="1" applyBorder="1" applyAlignment="1">
      <alignment horizontal="center" vertical="center"/>
    </xf>
    <xf numFmtId="0" fontId="8" fillId="8" borderId="2" xfId="4" applyFont="1" applyFill="1" applyBorder="1" applyAlignment="1">
      <alignment horizontal="justify" vertical="center" wrapText="1"/>
    </xf>
    <xf numFmtId="0" fontId="3" fillId="9" borderId="66" xfId="0" applyFont="1" applyFill="1" applyBorder="1" applyAlignment="1">
      <alignment horizontal="left" vertical="center"/>
    </xf>
    <xf numFmtId="0" fontId="3" fillId="9" borderId="67" xfId="0" applyFont="1" applyFill="1" applyBorder="1" applyAlignment="1">
      <alignment horizontal="left" vertical="center"/>
    </xf>
    <xf numFmtId="0" fontId="3" fillId="11" borderId="54" xfId="0" applyFont="1" applyFill="1" applyBorder="1" applyAlignment="1">
      <alignment horizontal="left" vertical="center"/>
    </xf>
    <xf numFmtId="0" fontId="3" fillId="11" borderId="46" xfId="0" applyFont="1" applyFill="1" applyBorder="1" applyAlignment="1">
      <alignment horizontal="left" vertical="center"/>
    </xf>
    <xf numFmtId="1" fontId="3" fillId="4" borderId="7" xfId="4" applyNumberFormat="1" applyFont="1" applyFill="1" applyBorder="1" applyAlignment="1">
      <alignment horizontal="center" vertical="center" wrapText="1"/>
    </xf>
    <xf numFmtId="1" fontId="3" fillId="4" borderId="18" xfId="4" applyNumberFormat="1" applyFont="1" applyFill="1" applyBorder="1" applyAlignment="1">
      <alignment horizontal="center" vertical="center" wrapText="1"/>
    </xf>
    <xf numFmtId="3" fontId="3" fillId="4" borderId="9" xfId="4" applyNumberFormat="1" applyFont="1" applyFill="1" applyBorder="1" applyAlignment="1">
      <alignment horizontal="center" vertical="center" wrapText="1"/>
    </xf>
    <xf numFmtId="3" fontId="3" fillId="4" borderId="10" xfId="4" applyNumberFormat="1" applyFont="1" applyFill="1" applyBorder="1" applyAlignment="1">
      <alignment horizontal="center" vertical="center" wrapText="1"/>
    </xf>
    <xf numFmtId="0" fontId="8" fillId="2" borderId="14" xfId="4" applyNumberFormat="1" applyFont="1" applyFill="1" applyBorder="1" applyAlignment="1">
      <alignment horizontal="center" vertical="center" wrapText="1"/>
    </xf>
    <xf numFmtId="0" fontId="8" fillId="2" borderId="52" xfId="4" applyNumberFormat="1" applyFont="1" applyFill="1" applyBorder="1" applyAlignment="1">
      <alignment horizontal="center" vertical="center" wrapText="1"/>
    </xf>
    <xf numFmtId="0" fontId="8" fillId="2" borderId="52" xfId="4" applyFont="1" applyFill="1" applyBorder="1" applyAlignment="1">
      <alignment horizontal="center" vertical="center" wrapText="1"/>
    </xf>
    <xf numFmtId="0" fontId="8" fillId="0" borderId="65" xfId="4" applyFont="1" applyFill="1" applyBorder="1" applyAlignment="1">
      <alignment horizontal="center" vertical="center" wrapText="1"/>
    </xf>
    <xf numFmtId="0" fontId="8" fillId="8" borderId="7" xfId="4" applyFont="1" applyFill="1" applyBorder="1" applyAlignment="1">
      <alignment horizontal="justify" vertical="center" wrapText="1"/>
    </xf>
    <xf numFmtId="0" fontId="8" fillId="8" borderId="0" xfId="4" applyFont="1" applyFill="1" applyBorder="1" applyAlignment="1">
      <alignment horizontal="justify" vertical="center" wrapText="1"/>
    </xf>
    <xf numFmtId="0" fontId="8" fillId="8" borderId="5" xfId="4" applyFont="1" applyFill="1" applyBorder="1" applyAlignment="1">
      <alignment horizontal="justify" vertical="center" wrapText="1"/>
    </xf>
    <xf numFmtId="0" fontId="8" fillId="0" borderId="37" xfId="4" applyFont="1" applyFill="1" applyBorder="1" applyAlignment="1">
      <alignment horizontal="center" vertical="center" wrapText="1"/>
    </xf>
    <xf numFmtId="0" fontId="8" fillId="0" borderId="52" xfId="4"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 fontId="3" fillId="4" borderId="11" xfId="4" applyNumberFormat="1" applyFont="1" applyFill="1" applyBorder="1" applyAlignment="1">
      <alignment horizontal="center" vertical="center" wrapText="1"/>
    </xf>
    <xf numFmtId="1" fontId="3" fillId="4" borderId="11" xfId="0" applyNumberFormat="1" applyFont="1" applyFill="1" applyBorder="1" applyAlignment="1">
      <alignment horizontal="center" vertical="center" wrapText="1"/>
    </xf>
    <xf numFmtId="1" fontId="3" fillId="4" borderId="7" xfId="0" applyNumberFormat="1" applyFont="1" applyFill="1" applyBorder="1" applyAlignment="1">
      <alignment horizontal="center" vertical="center" wrapText="1"/>
    </xf>
    <xf numFmtId="0" fontId="3" fillId="16" borderId="9" xfId="4" applyFont="1" applyFill="1" applyBorder="1" applyAlignment="1">
      <alignment horizontal="center" vertical="center"/>
    </xf>
    <xf numFmtId="0" fontId="3" fillId="16" borderId="10" xfId="4" applyFont="1" applyFill="1" applyBorder="1" applyAlignment="1">
      <alignment horizontal="center" vertical="center"/>
    </xf>
    <xf numFmtId="169" fontId="3" fillId="5" borderId="11" xfId="0" applyNumberFormat="1" applyFont="1" applyFill="1" applyBorder="1" applyAlignment="1">
      <alignment horizontal="center" vertical="center" wrapText="1"/>
    </xf>
    <xf numFmtId="169" fontId="3" fillId="5" borderId="13" xfId="0" applyNumberFormat="1" applyFont="1" applyFill="1" applyBorder="1" applyAlignment="1">
      <alignment horizontal="center" vertical="center" wrapText="1"/>
    </xf>
    <xf numFmtId="3" fontId="3" fillId="5" borderId="2" xfId="4" applyNumberFormat="1" applyFont="1" applyFill="1" applyBorder="1" applyAlignment="1">
      <alignment horizontal="center" vertical="center" wrapText="1"/>
    </xf>
    <xf numFmtId="0" fontId="3" fillId="4" borderId="9"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3" fillId="4" borderId="9" xfId="4" applyFont="1" applyFill="1" applyBorder="1" applyAlignment="1">
      <alignment horizontal="center" vertical="center"/>
    </xf>
    <xf numFmtId="0" fontId="3" fillId="4" borderId="10" xfId="4" applyFont="1" applyFill="1" applyBorder="1" applyAlignment="1">
      <alignment horizontal="center" vertical="center"/>
    </xf>
    <xf numFmtId="0" fontId="3" fillId="4" borderId="2" xfId="4" applyFont="1" applyFill="1" applyBorder="1" applyAlignment="1">
      <alignment horizontal="center" vertical="center" textRotation="90" wrapText="1"/>
    </xf>
    <xf numFmtId="0" fontId="8" fillId="0" borderId="34" xfId="3" applyNumberFormat="1" applyFont="1" applyFill="1" applyBorder="1" applyAlignment="1">
      <alignment horizontal="center" vertical="center" wrapText="1"/>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0" fontId="8" fillId="0" borderId="12" xfId="3" applyNumberFormat="1" applyFont="1" applyFill="1" applyBorder="1" applyAlignment="1">
      <alignment horizontal="center" vertical="center" wrapText="1"/>
    </xf>
    <xf numFmtId="0" fontId="8" fillId="0" borderId="14" xfId="3" applyNumberFormat="1" applyFont="1" applyFill="1" applyBorder="1" applyAlignment="1">
      <alignment horizontal="center" vertical="center" wrapText="1"/>
    </xf>
    <xf numFmtId="0" fontId="8" fillId="0" borderId="25" xfId="3" applyNumberFormat="1" applyFont="1" applyFill="1" applyBorder="1" applyAlignment="1">
      <alignment horizontal="center" vertical="center" wrapText="1"/>
    </xf>
    <xf numFmtId="0" fontId="8" fillId="0" borderId="55" xfId="4" applyFont="1" applyFill="1" applyBorder="1" applyAlignment="1">
      <alignment vertical="center" wrapText="1"/>
    </xf>
    <xf numFmtId="0" fontId="8" fillId="0" borderId="23" xfId="4" applyFont="1" applyFill="1" applyBorder="1" applyAlignment="1">
      <alignment vertical="center" wrapText="1"/>
    </xf>
    <xf numFmtId="0" fontId="8" fillId="0" borderId="26" xfId="4" applyFont="1" applyFill="1" applyBorder="1" applyAlignment="1">
      <alignment vertical="center" wrapText="1"/>
    </xf>
    <xf numFmtId="3" fontId="5" fillId="0" borderId="14"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1" fontId="5" fillId="0" borderId="14"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center" wrapText="1"/>
    </xf>
    <xf numFmtId="0" fontId="8" fillId="0" borderId="55" xfId="4" applyFont="1" applyFill="1" applyBorder="1" applyAlignment="1">
      <alignment horizontal="justify" vertical="center" wrapText="1"/>
    </xf>
    <xf numFmtId="0" fontId="8" fillId="0" borderId="23" xfId="4" applyFont="1" applyFill="1" applyBorder="1" applyAlignment="1">
      <alignment horizontal="justify" vertical="center" wrapText="1"/>
    </xf>
    <xf numFmtId="0" fontId="8" fillId="0" borderId="26" xfId="4" applyFont="1" applyFill="1" applyBorder="1" applyAlignment="1">
      <alignment horizontal="justify" vertical="center" wrapText="1"/>
    </xf>
    <xf numFmtId="0" fontId="5" fillId="0" borderId="3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2" xfId="0" applyFont="1" applyFill="1" applyBorder="1" applyAlignment="1">
      <alignment horizontal="center" vertical="center" wrapText="1"/>
    </xf>
    <xf numFmtId="9" fontId="5" fillId="0" borderId="12" xfId="2" applyFont="1" applyFill="1" applyBorder="1" applyAlignment="1">
      <alignment horizontal="center" vertical="center" wrapText="1"/>
    </xf>
    <xf numFmtId="9" fontId="5" fillId="0" borderId="14" xfId="2" applyFont="1" applyFill="1" applyBorder="1" applyAlignment="1">
      <alignment horizontal="center" vertical="center" wrapText="1"/>
    </xf>
    <xf numFmtId="9" fontId="5" fillId="0" borderId="25" xfId="2" applyFont="1" applyFill="1" applyBorder="1" applyAlignment="1">
      <alignment horizontal="center" vertical="center" wrapText="1"/>
    </xf>
    <xf numFmtId="3" fontId="5" fillId="0" borderId="33" xfId="0" applyNumberFormat="1" applyFont="1" applyFill="1" applyBorder="1" applyAlignment="1">
      <alignment horizontal="justify" vertical="center" wrapText="1"/>
    </xf>
    <xf numFmtId="3" fontId="5" fillId="0" borderId="30" xfId="0" applyNumberFormat="1" applyFont="1" applyFill="1" applyBorder="1" applyAlignment="1">
      <alignment horizontal="justify" vertical="center" wrapText="1"/>
    </xf>
    <xf numFmtId="3" fontId="5" fillId="0" borderId="32" xfId="0" applyNumberFormat="1" applyFont="1" applyFill="1" applyBorder="1" applyAlignment="1">
      <alignment horizontal="justify" vertical="center" wrapText="1"/>
    </xf>
    <xf numFmtId="0" fontId="5" fillId="0" borderId="39" xfId="0" applyFont="1" applyFill="1" applyBorder="1" applyAlignment="1">
      <alignment horizontal="justify" vertical="center" wrapText="1"/>
    </xf>
    <xf numFmtId="0" fontId="5" fillId="0" borderId="40" xfId="0" applyFont="1" applyFill="1" applyBorder="1" applyAlignment="1">
      <alignment horizontal="justify" vertical="center" wrapText="1"/>
    </xf>
    <xf numFmtId="0" fontId="5" fillId="0" borderId="42" xfId="0" applyFont="1" applyFill="1" applyBorder="1" applyAlignment="1">
      <alignment horizontal="justify" vertical="center" wrapText="1"/>
    </xf>
    <xf numFmtId="1" fontId="5" fillId="0" borderId="32" xfId="0" applyNumberFormat="1" applyFont="1" applyFill="1" applyBorder="1" applyAlignment="1">
      <alignment horizontal="center" vertical="center" wrapText="1"/>
    </xf>
    <xf numFmtId="1" fontId="5" fillId="0" borderId="34" xfId="0" applyNumberFormat="1" applyFont="1" applyFill="1" applyBorder="1" applyAlignment="1">
      <alignment horizontal="center" vertical="center" wrapText="1"/>
    </xf>
    <xf numFmtId="169" fontId="5" fillId="0" borderId="32" xfId="0" applyNumberFormat="1" applyFont="1" applyFill="1" applyBorder="1" applyAlignment="1">
      <alignment horizontal="center" vertical="center" wrapText="1"/>
    </xf>
    <xf numFmtId="169" fontId="5" fillId="0" borderId="34" xfId="0"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43" fontId="5" fillId="0" borderId="14" xfId="3" applyFont="1" applyFill="1" applyBorder="1" applyAlignment="1">
      <alignment horizontal="center" vertical="center" wrapText="1"/>
    </xf>
    <xf numFmtId="43" fontId="5" fillId="0" borderId="25" xfId="3" applyFont="1" applyFill="1" applyBorder="1" applyAlignment="1">
      <alignment horizontal="center" vertical="center" wrapText="1"/>
    </xf>
    <xf numFmtId="0" fontId="5" fillId="0" borderId="38"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26" xfId="0" applyFont="1" applyFill="1" applyBorder="1" applyAlignment="1">
      <alignment horizontal="justify" vertical="center" wrapText="1"/>
    </xf>
    <xf numFmtId="43" fontId="5" fillId="0" borderId="32" xfId="3" applyFont="1" applyFill="1" applyBorder="1" applyAlignment="1">
      <alignment horizontal="center" vertical="center" wrapText="1"/>
    </xf>
    <xf numFmtId="43" fontId="5" fillId="0" borderId="34" xfId="3" applyFont="1" applyFill="1" applyBorder="1" applyAlignment="1">
      <alignment horizontal="center" vertical="center" wrapText="1"/>
    </xf>
    <xf numFmtId="0" fontId="5" fillId="0" borderId="33" xfId="0"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32" xfId="0" applyFont="1" applyFill="1" applyBorder="1" applyAlignment="1">
      <alignment horizontal="justify" vertical="center" wrapText="1"/>
    </xf>
    <xf numFmtId="3" fontId="5" fillId="0" borderId="20" xfId="0" applyNumberFormat="1" applyFont="1" applyFill="1" applyBorder="1" applyAlignment="1">
      <alignment horizontal="justify" vertical="center" wrapText="1"/>
    </xf>
    <xf numFmtId="3" fontId="5" fillId="0" borderId="15" xfId="0" applyNumberFormat="1" applyFont="1" applyFill="1" applyBorder="1" applyAlignment="1">
      <alignment horizontal="justify" vertical="center" wrapText="1"/>
    </xf>
    <xf numFmtId="3" fontId="5" fillId="0" borderId="27" xfId="0" applyNumberFormat="1" applyFont="1" applyFill="1" applyBorder="1" applyAlignment="1">
      <alignment horizontal="justify" vertical="center" wrapText="1"/>
    </xf>
    <xf numFmtId="0" fontId="5" fillId="0" borderId="34" xfId="0" applyFont="1" applyFill="1" applyBorder="1" applyAlignment="1">
      <alignment horizontal="justify" vertical="center" wrapText="1"/>
    </xf>
    <xf numFmtId="1" fontId="5" fillId="0" borderId="31" xfId="0" applyNumberFormat="1"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0" borderId="34" xfId="0" applyFont="1" applyFill="1" applyBorder="1" applyAlignment="1">
      <alignment horizontal="center" vertical="center" wrapText="1"/>
    </xf>
    <xf numFmtId="9" fontId="5" fillId="0" borderId="32" xfId="2" applyFont="1" applyFill="1" applyBorder="1" applyAlignment="1">
      <alignment horizontal="center" vertical="center" wrapText="1"/>
    </xf>
    <xf numFmtId="9" fontId="5" fillId="0" borderId="34" xfId="2"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2" xfId="0" applyFont="1" applyFill="1" applyBorder="1" applyAlignment="1">
      <alignment vertical="center" wrapText="1"/>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5" fillId="0" borderId="7"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16" xfId="0" applyFont="1" applyFill="1" applyBorder="1" applyAlignment="1">
      <alignment horizontal="justify" vertical="center" wrapText="1"/>
    </xf>
    <xf numFmtId="3" fontId="5" fillId="0" borderId="62" xfId="0" applyNumberFormat="1" applyFont="1" applyFill="1" applyBorder="1" applyAlignment="1">
      <alignment horizontal="justify" vertical="center" wrapText="1"/>
    </xf>
    <xf numFmtId="3" fontId="5" fillId="0" borderId="8" xfId="0" applyNumberFormat="1" applyFont="1" applyFill="1" applyBorder="1" applyAlignment="1">
      <alignment horizontal="justify" vertical="center" wrapText="1"/>
    </xf>
    <xf numFmtId="3" fontId="5" fillId="0" borderId="49" xfId="0" applyNumberFormat="1" applyFont="1" applyFill="1" applyBorder="1" applyAlignment="1">
      <alignment horizontal="justify" vertical="center" wrapText="1"/>
    </xf>
    <xf numFmtId="0" fontId="9" fillId="0" borderId="20"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27" xfId="0" applyFont="1" applyFill="1" applyBorder="1" applyAlignment="1">
      <alignment horizontal="justify" vertical="center" wrapText="1"/>
    </xf>
    <xf numFmtId="1" fontId="5" fillId="0" borderId="12" xfId="0" applyNumberFormat="1" applyFont="1" applyFill="1" applyBorder="1" applyAlignment="1">
      <alignment horizontal="center" vertical="center" textRotation="91" wrapText="1"/>
    </xf>
    <xf numFmtId="1" fontId="5" fillId="0" borderId="14" xfId="0" applyNumberFormat="1" applyFont="1" applyFill="1" applyBorder="1" applyAlignment="1">
      <alignment horizontal="center" vertical="center" textRotation="91" wrapText="1"/>
    </xf>
    <xf numFmtId="0" fontId="8" fillId="0" borderId="36" xfId="0" applyFont="1" applyFill="1" applyBorder="1" applyAlignment="1">
      <alignment vertical="center" wrapText="1"/>
    </xf>
    <xf numFmtId="0" fontId="5" fillId="0" borderId="31"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 fillId="7" borderId="15" xfId="0" applyFont="1" applyFill="1" applyBorder="1" applyAlignment="1">
      <alignment horizontal="left" vertical="center"/>
    </xf>
    <xf numFmtId="0" fontId="2" fillId="7" borderId="0" xfId="0" applyFont="1" applyFill="1" applyBorder="1" applyAlignment="1">
      <alignment horizontal="left" vertical="center"/>
    </xf>
    <xf numFmtId="0" fontId="3" fillId="9" borderId="24" xfId="0" applyFont="1" applyFill="1" applyBorder="1" applyAlignment="1">
      <alignment horizontal="left" vertical="center"/>
    </xf>
    <xf numFmtId="0" fontId="3" fillId="9" borderId="7"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17" xfId="0" applyFont="1" applyFill="1" applyBorder="1" applyAlignment="1">
      <alignment vertical="center" wrapText="1"/>
    </xf>
    <xf numFmtId="0" fontId="5" fillId="0" borderId="19"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33" xfId="0" applyFont="1" applyFill="1" applyBorder="1" applyAlignment="1">
      <alignment vertical="center" wrapText="1"/>
    </xf>
    <xf numFmtId="0" fontId="5" fillId="0" borderId="30" xfId="0" applyFont="1" applyFill="1" applyBorder="1" applyAlignment="1">
      <alignment vertical="center" wrapText="1"/>
    </xf>
    <xf numFmtId="0" fontId="3" fillId="4" borderId="35" xfId="0" applyFont="1" applyFill="1" applyBorder="1" applyAlignment="1">
      <alignment horizontal="center" vertical="center" wrapText="1"/>
    </xf>
    <xf numFmtId="0" fontId="3" fillId="4" borderId="35" xfId="0" applyFont="1" applyFill="1" applyBorder="1" applyAlignment="1">
      <alignment horizontal="center" vertical="center"/>
    </xf>
    <xf numFmtId="0" fontId="3" fillId="4" borderId="12" xfId="0" applyFont="1" applyFill="1" applyBorder="1" applyAlignment="1">
      <alignment horizontal="center" vertical="center" textRotation="90" wrapText="1"/>
    </xf>
    <xf numFmtId="0" fontId="3" fillId="4" borderId="25" xfId="0" applyFont="1" applyFill="1" applyBorder="1" applyAlignment="1">
      <alignment horizontal="center" vertical="center" textRotation="90" wrapText="1"/>
    </xf>
    <xf numFmtId="169" fontId="2" fillId="5" borderId="12" xfId="0" applyNumberFormat="1" applyFont="1" applyFill="1" applyBorder="1" applyAlignment="1">
      <alignment horizontal="center" vertical="center" wrapText="1"/>
    </xf>
    <xf numFmtId="169" fontId="2" fillId="5" borderId="14" xfId="0" applyNumberFormat="1" applyFont="1" applyFill="1" applyBorder="1" applyAlignment="1">
      <alignment horizontal="center" vertical="center" wrapText="1"/>
    </xf>
    <xf numFmtId="43" fontId="5" fillId="0" borderId="18" xfId="3" applyFont="1" applyFill="1" applyBorder="1" applyAlignment="1">
      <alignment horizontal="center" vertical="center" wrapText="1"/>
    </xf>
    <xf numFmtId="43" fontId="5" fillId="0" borderId="1" xfId="3" applyFont="1" applyFill="1" applyBorder="1" applyAlignment="1">
      <alignment horizontal="center" vertical="center" wrapText="1"/>
    </xf>
    <xf numFmtId="0" fontId="5" fillId="0" borderId="55" xfId="0" applyFont="1" applyFill="1" applyBorder="1" applyAlignment="1">
      <alignment horizontal="justify" vertical="center" wrapText="1"/>
    </xf>
    <xf numFmtId="3" fontId="5" fillId="0" borderId="12" xfId="0" applyNumberFormat="1" applyFont="1" applyFill="1" applyBorder="1" applyAlignment="1">
      <alignment horizontal="center" vertical="center" wrapText="1"/>
    </xf>
    <xf numFmtId="0" fontId="8" fillId="0" borderId="36" xfId="0" applyFont="1" applyFill="1" applyBorder="1" applyAlignment="1">
      <alignment horizontal="center" vertical="center" wrapText="1"/>
    </xf>
    <xf numFmtId="0" fontId="5" fillId="0" borderId="34" xfId="0" applyFont="1" applyFill="1" applyBorder="1" applyAlignment="1">
      <alignment vertical="center" wrapText="1"/>
    </xf>
    <xf numFmtId="0" fontId="5" fillId="0" borderId="3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4" xfId="0" applyFont="1" applyFill="1" applyBorder="1" applyAlignment="1">
      <alignment horizontal="justify" vertical="center" wrapText="1"/>
    </xf>
    <xf numFmtId="0" fontId="5" fillId="0" borderId="15" xfId="0" applyFont="1" applyFill="1" applyBorder="1" applyAlignment="1">
      <alignment horizontal="justify" vertical="center" wrapText="1"/>
    </xf>
    <xf numFmtId="10" fontId="5" fillId="0" borderId="12" xfId="2" applyNumberFormat="1" applyFont="1" applyFill="1" applyBorder="1" applyAlignment="1">
      <alignment horizontal="center" vertical="center" wrapText="1"/>
    </xf>
    <xf numFmtId="10" fontId="5" fillId="0" borderId="14" xfId="2" applyNumberFormat="1" applyFont="1" applyFill="1" applyBorder="1" applyAlignment="1">
      <alignment horizontal="center" vertical="center" wrapText="1"/>
    </xf>
    <xf numFmtId="10" fontId="5" fillId="0" borderId="34" xfId="2"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7" xfId="4" applyFont="1" applyBorder="1" applyAlignment="1">
      <alignment horizontal="center" vertical="center"/>
    </xf>
    <xf numFmtId="0" fontId="2" fillId="0" borderId="5" xfId="4" applyFont="1" applyBorder="1" applyAlignment="1">
      <alignment horizontal="center" vertical="center"/>
    </xf>
    <xf numFmtId="0" fontId="2" fillId="0" borderId="0" xfId="4" applyFont="1" applyBorder="1" applyAlignment="1">
      <alignment horizontal="center" vertical="center"/>
    </xf>
    <xf numFmtId="0" fontId="2" fillId="0" borderId="25" xfId="0" applyFont="1" applyBorder="1" applyAlignment="1">
      <alignment horizontal="center" vertical="center"/>
    </xf>
    <xf numFmtId="0" fontId="2" fillId="16" borderId="11" xfId="0" applyFont="1" applyFill="1" applyBorder="1" applyAlignment="1">
      <alignment horizontal="center" vertical="center"/>
    </xf>
    <xf numFmtId="0" fontId="2" fillId="16" borderId="7" xfId="0" applyFont="1" applyFill="1" applyBorder="1" applyAlignment="1">
      <alignment horizontal="center" vertical="center"/>
    </xf>
    <xf numFmtId="1" fontId="2" fillId="4" borderId="7" xfId="0" applyNumberFormat="1" applyFont="1" applyFill="1" applyBorder="1" applyAlignment="1">
      <alignment horizontal="center" vertical="center" wrapText="1"/>
    </xf>
    <xf numFmtId="1" fontId="2" fillId="4" borderId="18" xfId="0" applyNumberFormat="1" applyFont="1" applyFill="1" applyBorder="1" applyAlignment="1">
      <alignment horizontal="center" vertical="center" wrapText="1"/>
    </xf>
    <xf numFmtId="0" fontId="5" fillId="0" borderId="55" xfId="0" applyFont="1" applyBorder="1" applyAlignment="1">
      <alignment horizontal="justify" vertical="center" wrapText="1"/>
    </xf>
    <xf numFmtId="0" fontId="5" fillId="0" borderId="26" xfId="0" applyFont="1" applyBorder="1" applyAlignment="1">
      <alignment horizontal="justify" vertical="center" wrapText="1"/>
    </xf>
    <xf numFmtId="9" fontId="5" fillId="2" borderId="25" xfId="0" applyNumberFormat="1" applyFont="1" applyFill="1" applyBorder="1" applyAlignment="1">
      <alignment horizontal="center" vertical="center"/>
    </xf>
    <xf numFmtId="0" fontId="5" fillId="0" borderId="14" xfId="0" applyFont="1" applyBorder="1" applyAlignment="1">
      <alignment horizontal="justify" vertical="center" wrapText="1"/>
    </xf>
    <xf numFmtId="0" fontId="5" fillId="0" borderId="25" xfId="0" applyFont="1" applyBorder="1" applyAlignment="1">
      <alignment horizontal="justify"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4" xfId="13" applyFont="1" applyFill="1" applyBorder="1">
      <alignment horizontal="center" vertical="center" wrapText="1"/>
    </xf>
    <xf numFmtId="0" fontId="8" fillId="0" borderId="8" xfId="4" applyFont="1" applyBorder="1" applyAlignment="1">
      <alignment horizontal="justify" vertical="center" wrapText="1"/>
    </xf>
    <xf numFmtId="0" fontId="8" fillId="0" borderId="2" xfId="13" applyFont="1" applyFill="1" applyBorder="1">
      <alignment horizontal="center" vertical="center" wrapText="1"/>
    </xf>
    <xf numFmtId="169" fontId="5" fillId="2" borderId="37" xfId="0" applyNumberFormat="1" applyFont="1" applyFill="1" applyBorder="1" applyAlignment="1">
      <alignment horizontal="center" vertical="center" wrapText="1"/>
    </xf>
    <xf numFmtId="169" fontId="5" fillId="2" borderId="14" xfId="0" applyNumberFormat="1" applyFont="1" applyFill="1" applyBorder="1" applyAlignment="1">
      <alignment horizontal="center" vertical="center" wrapText="1"/>
    </xf>
    <xf numFmtId="169" fontId="5" fillId="2" borderId="25" xfId="0" applyNumberFormat="1" applyFont="1" applyFill="1" applyBorder="1" applyAlignment="1">
      <alignment horizontal="center" vertical="center" wrapText="1"/>
    </xf>
    <xf numFmtId="3" fontId="5" fillId="2" borderId="37"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25" xfId="0" applyNumberFormat="1" applyFont="1" applyFill="1" applyBorder="1" applyAlignment="1">
      <alignment horizontal="center" vertical="center" wrapText="1"/>
    </xf>
    <xf numFmtId="0" fontId="2" fillId="11" borderId="36" xfId="0" applyFont="1" applyFill="1" applyBorder="1" applyAlignment="1">
      <alignment horizontal="left" vertical="center"/>
    </xf>
    <xf numFmtId="0" fontId="2" fillId="11" borderId="21" xfId="0" applyFont="1" applyFill="1" applyBorder="1" applyAlignment="1">
      <alignment horizontal="left" vertical="center"/>
    </xf>
    <xf numFmtId="167" fontId="8" fillId="0" borderId="14" xfId="10" applyFont="1" applyBorder="1" applyAlignment="1">
      <alignment horizontal="center" vertical="center" wrapText="1"/>
    </xf>
    <xf numFmtId="167" fontId="8" fillId="0" borderId="25" xfId="10" applyFont="1" applyBorder="1" applyAlignment="1">
      <alignment horizontal="center" vertical="center" wrapText="1"/>
    </xf>
    <xf numFmtId="169" fontId="5" fillId="2" borderId="12" xfId="0" applyNumberFormat="1" applyFont="1" applyFill="1" applyBorder="1" applyAlignment="1">
      <alignment horizontal="center" vertical="center" wrapText="1"/>
    </xf>
    <xf numFmtId="169" fontId="5" fillId="2" borderId="52"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52" xfId="0" applyNumberFormat="1" applyFont="1" applyFill="1" applyBorder="1" applyAlignment="1">
      <alignment horizontal="center" vertical="center" wrapText="1"/>
    </xf>
    <xf numFmtId="0" fontId="5" fillId="0" borderId="23" xfId="0" applyFont="1" applyBorder="1" applyAlignment="1">
      <alignment horizontal="justify" vertical="center" wrapText="1"/>
    </xf>
    <xf numFmtId="0" fontId="5" fillId="0" borderId="41" xfId="0" applyFont="1" applyBorder="1" applyAlignment="1">
      <alignment horizontal="justify" vertical="center" wrapText="1"/>
    </xf>
    <xf numFmtId="3" fontId="5" fillId="0" borderId="14" xfId="0" applyNumberFormat="1" applyFont="1" applyBorder="1" applyAlignment="1">
      <alignment horizontal="justify" vertical="center" wrapText="1"/>
    </xf>
    <xf numFmtId="1" fontId="5" fillId="2" borderId="1" xfId="0" applyNumberFormat="1" applyFont="1" applyFill="1" applyBorder="1" applyAlignment="1">
      <alignment horizontal="center" vertical="center" wrapText="1"/>
    </xf>
    <xf numFmtId="0" fontId="8" fillId="0" borderId="34" xfId="11" applyNumberFormat="1" applyFont="1" applyFill="1" applyBorder="1">
      <alignment horizontal="center" vertical="center" wrapText="1"/>
    </xf>
    <xf numFmtId="0" fontId="8" fillId="0" borderId="33" xfId="11" applyNumberFormat="1" applyFont="1" applyFill="1" applyBorder="1">
      <alignment horizontal="center" vertical="center" wrapText="1"/>
    </xf>
    <xf numFmtId="0" fontId="8" fillId="0" borderId="15" xfId="0" applyFont="1" applyBorder="1" applyAlignment="1">
      <alignment horizontal="center" vertical="center" wrapText="1"/>
    </xf>
    <xf numFmtId="0" fontId="8" fillId="0" borderId="69" xfId="0" applyFont="1" applyBorder="1" applyAlignment="1">
      <alignment horizontal="center" vertical="center" wrapText="1"/>
    </xf>
    <xf numFmtId="0" fontId="8" fillId="2" borderId="34" xfId="11" applyNumberFormat="1" applyFont="1" applyFill="1" applyBorder="1">
      <alignment horizontal="center" vertical="center" wrapText="1"/>
    </xf>
    <xf numFmtId="0" fontId="8" fillId="2" borderId="31" xfId="0" applyFont="1" applyFill="1" applyBorder="1" applyAlignment="1">
      <alignment horizontal="justify" vertical="center" wrapText="1"/>
    </xf>
    <xf numFmtId="0" fontId="8" fillId="2" borderId="34" xfId="13" applyFont="1" applyFill="1" applyBorder="1">
      <alignment horizontal="center" vertical="center" wrapText="1"/>
    </xf>
    <xf numFmtId="1" fontId="5" fillId="2" borderId="34" xfId="0" applyNumberFormat="1" applyFont="1" applyFill="1" applyBorder="1" applyAlignment="1">
      <alignment horizontal="center" vertical="center" wrapText="1"/>
    </xf>
    <xf numFmtId="0" fontId="8" fillId="2" borderId="40" xfId="0" applyFont="1" applyFill="1" applyBorder="1" applyAlignment="1">
      <alignment horizontal="justify" vertical="center" wrapText="1"/>
    </xf>
    <xf numFmtId="9" fontId="5" fillId="2" borderId="23" xfId="0" applyNumberFormat="1" applyFont="1" applyFill="1" applyBorder="1" applyAlignment="1">
      <alignment horizontal="center" vertical="center" wrapText="1"/>
    </xf>
    <xf numFmtId="167" fontId="8" fillId="2" borderId="30" xfId="10" applyFont="1" applyFill="1" applyBorder="1" applyAlignment="1">
      <alignment horizontal="center" vertical="center"/>
    </xf>
    <xf numFmtId="0" fontId="8" fillId="0" borderId="63" xfId="0" applyFont="1" applyBorder="1" applyAlignment="1">
      <alignment horizontal="justify" vertical="center" wrapText="1"/>
    </xf>
    <xf numFmtId="0" fontId="8" fillId="0" borderId="40" xfId="0" applyFont="1" applyBorder="1" applyAlignment="1">
      <alignment horizontal="justify" vertical="center" wrapText="1"/>
    </xf>
    <xf numFmtId="10" fontId="5" fillId="2" borderId="34" xfId="0" applyNumberFormat="1" applyFont="1" applyFill="1" applyBorder="1" applyAlignment="1">
      <alignment horizontal="center" vertical="center" wrapText="1"/>
    </xf>
    <xf numFmtId="0" fontId="5" fillId="0" borderId="44" xfId="0" applyFont="1" applyBorder="1" applyAlignment="1">
      <alignment horizontal="justify" vertical="center" wrapText="1"/>
    </xf>
    <xf numFmtId="167" fontId="8" fillId="0" borderId="34" xfId="10" applyFont="1" applyBorder="1" applyAlignment="1">
      <alignment horizontal="center" vertical="center" wrapText="1"/>
    </xf>
    <xf numFmtId="167" fontId="8" fillId="0" borderId="31" xfId="10" applyFont="1" applyBorder="1" applyAlignment="1">
      <alignment horizontal="center" vertical="center" wrapText="1"/>
    </xf>
    <xf numFmtId="3" fontId="5" fillId="0" borderId="34" xfId="0" applyNumberFormat="1" applyFont="1" applyBorder="1" applyAlignment="1">
      <alignment horizontal="justify" vertical="center" wrapText="1"/>
    </xf>
    <xf numFmtId="0" fontId="8" fillId="0" borderId="36" xfId="4" applyFont="1" applyBorder="1" applyAlignment="1">
      <alignment horizontal="center" vertical="center" wrapText="1"/>
    </xf>
    <xf numFmtId="169" fontId="5" fillId="2" borderId="39" xfId="0" applyNumberFormat="1" applyFont="1" applyFill="1" applyBorder="1" applyAlignment="1">
      <alignment horizontal="center" vertical="center" wrapText="1"/>
    </xf>
    <xf numFmtId="169" fontId="5" fillId="2" borderId="40" xfId="0" applyNumberFormat="1" applyFont="1" applyFill="1" applyBorder="1" applyAlignment="1">
      <alignment horizontal="center" vertical="center" wrapText="1"/>
    </xf>
    <xf numFmtId="169" fontId="5" fillId="2" borderId="42"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textRotation="180" wrapText="1"/>
    </xf>
    <xf numFmtId="1" fontId="5" fillId="2" borderId="14" xfId="0" applyNumberFormat="1" applyFont="1" applyFill="1" applyBorder="1" applyAlignment="1">
      <alignment horizontal="center" vertical="center" textRotation="180" wrapText="1"/>
    </xf>
    <xf numFmtId="167" fontId="8" fillId="0" borderId="19" xfId="10" applyFont="1" applyBorder="1" applyAlignment="1">
      <alignment horizontal="center" vertical="center" wrapText="1"/>
    </xf>
    <xf numFmtId="167" fontId="8" fillId="0" borderId="17" xfId="10" applyFont="1" applyBorder="1" applyAlignment="1">
      <alignment horizontal="center" vertical="center" wrapText="1"/>
    </xf>
    <xf numFmtId="3" fontId="5" fillId="0" borderId="39" xfId="0" applyNumberFormat="1" applyFont="1" applyBorder="1" applyAlignment="1">
      <alignment horizontal="justify" vertical="center" wrapText="1"/>
    </xf>
    <xf numFmtId="3" fontId="5" fillId="0" borderId="40" xfId="0" applyNumberFormat="1" applyFont="1" applyBorder="1" applyAlignment="1">
      <alignment horizontal="justify" vertical="center" wrapText="1"/>
    </xf>
    <xf numFmtId="3" fontId="5" fillId="0" borderId="42" xfId="0" applyNumberFormat="1" applyFont="1" applyBorder="1" applyAlignment="1">
      <alignment horizontal="justify" vertical="center" wrapText="1"/>
    </xf>
    <xf numFmtId="0" fontId="8" fillId="0" borderId="12" xfId="13" applyFont="1" applyFill="1" applyBorder="1">
      <alignment horizontal="center" vertical="center" wrapText="1"/>
    </xf>
    <xf numFmtId="0" fontId="8" fillId="0" borderId="25" xfId="13" applyFont="1" applyFill="1" applyBorder="1">
      <alignment horizontal="center" vertical="center" wrapText="1"/>
    </xf>
    <xf numFmtId="0" fontId="8" fillId="0" borderId="11" xfId="4" applyFont="1" applyBorder="1" applyAlignment="1">
      <alignment horizontal="justify" vertical="center" wrapText="1"/>
    </xf>
    <xf numFmtId="0" fontId="8" fillId="0" borderId="13" xfId="4" applyFont="1" applyBorder="1" applyAlignment="1">
      <alignment horizontal="justify" vertical="center" wrapText="1"/>
    </xf>
    <xf numFmtId="10" fontId="5" fillId="2" borderId="28" xfId="0" applyNumberFormat="1" applyFont="1" applyFill="1" applyBorder="1" applyAlignment="1">
      <alignment horizontal="center" vertical="center" wrapText="1"/>
    </xf>
    <xf numFmtId="10" fontId="5" fillId="2" borderId="17" xfId="0" applyNumberFormat="1" applyFont="1" applyFill="1" applyBorder="1" applyAlignment="1">
      <alignment horizontal="center" vertical="center" wrapText="1"/>
    </xf>
    <xf numFmtId="10" fontId="5" fillId="2" borderId="61" xfId="0" applyNumberFormat="1" applyFont="1" applyFill="1" applyBorder="1" applyAlignment="1">
      <alignment horizontal="center" vertical="center" wrapText="1"/>
    </xf>
    <xf numFmtId="0" fontId="8"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13" xfId="0" applyFont="1" applyBorder="1" applyAlignment="1">
      <alignment horizontal="justify" vertical="center" wrapText="1"/>
    </xf>
    <xf numFmtId="0" fontId="5" fillId="2" borderId="0" xfId="0" applyFont="1" applyFill="1" applyAlignment="1">
      <alignment horizontal="center" vertical="center" wrapText="1"/>
    </xf>
    <xf numFmtId="0" fontId="8" fillId="8" borderId="34" xfId="0" applyFont="1" applyFill="1" applyBorder="1" applyAlignment="1">
      <alignment horizontal="justify" vertical="center" wrapText="1"/>
    </xf>
    <xf numFmtId="167" fontId="8" fillId="0" borderId="23" xfId="10" applyFont="1" applyBorder="1" applyAlignment="1">
      <alignment horizontal="center" vertical="center"/>
    </xf>
    <xf numFmtId="167" fontId="8" fillId="0" borderId="41" xfId="10" applyFont="1" applyBorder="1" applyAlignment="1">
      <alignment horizontal="center" vertical="center"/>
    </xf>
    <xf numFmtId="10" fontId="5" fillId="2" borderId="18" xfId="0" applyNumberFormat="1" applyFont="1" applyFill="1" applyBorder="1" applyAlignment="1">
      <alignment horizontal="center" vertical="center" wrapText="1"/>
    </xf>
    <xf numFmtId="10" fontId="5" fillId="2" borderId="1" xfId="0" applyNumberFormat="1" applyFont="1" applyFill="1" applyBorder="1" applyAlignment="1">
      <alignment horizontal="center" vertical="center" wrapText="1"/>
    </xf>
    <xf numFmtId="10" fontId="5" fillId="2" borderId="6" xfId="0" applyNumberFormat="1" applyFont="1" applyFill="1" applyBorder="1" applyAlignment="1">
      <alignment horizontal="center" vertical="center" wrapText="1"/>
    </xf>
    <xf numFmtId="0" fontId="2" fillId="7" borderId="20" xfId="0" applyFont="1" applyFill="1" applyBorder="1" applyAlignment="1">
      <alignment horizontal="left" vertical="center"/>
    </xf>
    <xf numFmtId="0" fontId="2" fillId="7" borderId="22" xfId="0" applyFont="1" applyFill="1" applyBorder="1" applyAlignment="1">
      <alignment horizontal="left" vertical="center"/>
    </xf>
    <xf numFmtId="0" fontId="2" fillId="0" borderId="0" xfId="0" applyFont="1" applyAlignment="1">
      <alignment horizontal="center" vertical="center"/>
    </xf>
    <xf numFmtId="3" fontId="2" fillId="5" borderId="25" xfId="0" applyNumberFormat="1" applyFont="1" applyFill="1" applyBorder="1" applyAlignment="1">
      <alignment horizontal="center" vertical="center" wrapText="1"/>
    </xf>
    <xf numFmtId="1" fontId="2" fillId="4" borderId="5" xfId="0" applyNumberFormat="1" applyFont="1" applyFill="1" applyBorder="1" applyAlignment="1">
      <alignment horizontal="center" vertical="center" wrapText="1"/>
    </xf>
    <xf numFmtId="1" fontId="2" fillId="4" borderId="6" xfId="0" applyNumberFormat="1" applyFont="1" applyFill="1" applyBorder="1" applyAlignment="1">
      <alignment horizontal="center" vertical="center" wrapText="1"/>
    </xf>
    <xf numFmtId="0" fontId="2" fillId="16" borderId="32" xfId="0" applyFont="1" applyFill="1" applyBorder="1" applyAlignment="1">
      <alignment horizontal="center" vertical="center"/>
    </xf>
    <xf numFmtId="0" fontId="2" fillId="16" borderId="34" xfId="0" applyFont="1" applyFill="1" applyBorder="1" applyAlignment="1">
      <alignment horizontal="center" vertical="center"/>
    </xf>
    <xf numFmtId="1" fontId="2" fillId="5" borderId="12" xfId="0" applyNumberFormat="1" applyFont="1" applyFill="1" applyBorder="1" applyAlignment="1">
      <alignment horizontal="center" vertical="center" wrapText="1"/>
    </xf>
    <xf numFmtId="1" fontId="2" fillId="5" borderId="14" xfId="0" applyNumberFormat="1" applyFont="1" applyFill="1" applyBorder="1" applyAlignment="1">
      <alignment horizontal="center" vertical="center" wrapText="1"/>
    </xf>
    <xf numFmtId="1" fontId="2" fillId="5" borderId="25" xfId="0" applyNumberFormat="1" applyFont="1" applyFill="1" applyBorder="1" applyAlignment="1">
      <alignment horizontal="center" vertical="center" wrapText="1"/>
    </xf>
    <xf numFmtId="0" fontId="2" fillId="7" borderId="7" xfId="0" applyFont="1" applyFill="1" applyBorder="1" applyAlignment="1">
      <alignment horizontal="left" vertical="center"/>
    </xf>
    <xf numFmtId="1" fontId="8" fillId="0" borderId="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12" xfId="13" applyFont="1" applyFill="1" applyBorder="1" applyAlignment="1">
      <alignment horizontal="center" vertical="center" wrapText="1"/>
    </xf>
    <xf numFmtId="0" fontId="8" fillId="0" borderId="14" xfId="13" applyFont="1" applyFill="1" applyBorder="1" applyAlignment="1">
      <alignment horizontal="center" vertical="center" wrapText="1"/>
    </xf>
    <xf numFmtId="0" fontId="8" fillId="0" borderId="25" xfId="13" applyFont="1" applyFill="1" applyBorder="1" applyAlignment="1">
      <alignment horizontal="center" vertical="center" wrapText="1"/>
    </xf>
    <xf numFmtId="0" fontId="8" fillId="0" borderId="12" xfId="4" applyFont="1" applyFill="1" applyBorder="1" applyAlignment="1">
      <alignment horizontal="justify" vertical="center" wrapText="1"/>
    </xf>
    <xf numFmtId="0" fontId="8" fillId="0" borderId="14" xfId="4" applyFont="1" applyFill="1" applyBorder="1" applyAlignment="1">
      <alignment horizontal="justify" vertical="center" wrapText="1"/>
    </xf>
    <xf numFmtId="0" fontId="8" fillId="0" borderId="25" xfId="4" applyFont="1" applyFill="1" applyBorder="1" applyAlignment="1">
      <alignment horizontal="justify" vertical="center" wrapText="1"/>
    </xf>
    <xf numFmtId="0" fontId="9" fillId="0" borderId="12"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25" xfId="4"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2" borderId="2" xfId="0" applyNumberFormat="1" applyFont="1" applyFill="1" applyBorder="1" applyAlignment="1">
      <alignment horizontal="center" vertical="center" wrapText="1"/>
    </xf>
    <xf numFmtId="167" fontId="8" fillId="0" borderId="12" xfId="14" applyFont="1" applyBorder="1" applyAlignment="1">
      <alignment horizontal="center" vertical="center" wrapText="1"/>
    </xf>
    <xf numFmtId="167" fontId="8" fillId="0" borderId="14" xfId="14" applyFont="1" applyBorder="1" applyAlignment="1">
      <alignment horizontal="center" vertical="center" wrapText="1"/>
    </xf>
    <xf numFmtId="167" fontId="8" fillId="0" borderId="25" xfId="14" applyFont="1" applyBorder="1" applyAlignment="1">
      <alignment horizontal="center" vertical="center" wrapText="1"/>
    </xf>
    <xf numFmtId="1" fontId="5" fillId="2" borderId="18"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xf>
    <xf numFmtId="14" fontId="5" fillId="2" borderId="25" xfId="0" applyNumberFormat="1" applyFont="1" applyFill="1" applyBorder="1" applyAlignment="1">
      <alignment horizontal="center" vertical="center"/>
    </xf>
    <xf numFmtId="0" fontId="8" fillId="0" borderId="12" xfId="0" applyNumberFormat="1" applyFont="1" applyFill="1" applyBorder="1" applyAlignment="1">
      <alignment horizontal="justify" vertical="center" wrapText="1"/>
    </xf>
    <xf numFmtId="0" fontId="8" fillId="0" borderId="25" xfId="0" applyNumberFormat="1" applyFont="1" applyFill="1" applyBorder="1" applyAlignment="1">
      <alignment horizontal="justify" vertical="center" wrapText="1"/>
    </xf>
    <xf numFmtId="1" fontId="8" fillId="0" borderId="12" xfId="13" applyNumberFormat="1" applyFont="1" applyFill="1" applyBorder="1" applyAlignment="1">
      <alignment horizontal="center" vertical="center" wrapText="1"/>
    </xf>
    <xf numFmtId="1" fontId="8" fillId="0" borderId="25" xfId="13" applyNumberFormat="1" applyFont="1" applyFill="1" applyBorder="1" applyAlignment="1">
      <alignment horizontal="center" vertical="center" wrapText="1"/>
    </xf>
    <xf numFmtId="9" fontId="5" fillId="2" borderId="12" xfId="0" applyNumberFormat="1" applyFont="1" applyFill="1" applyBorder="1" applyAlignment="1">
      <alignment horizontal="center" vertical="center" wrapText="1"/>
    </xf>
    <xf numFmtId="9" fontId="5" fillId="2" borderId="25"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8" fillId="0" borderId="12" xfId="11" applyNumberFormat="1" applyFont="1" applyFill="1" applyBorder="1" applyAlignment="1">
      <alignment horizontal="center" vertical="center"/>
    </xf>
    <xf numFmtId="0" fontId="8" fillId="0" borderId="14" xfId="11" applyNumberFormat="1" applyFont="1" applyFill="1" applyBorder="1" applyAlignment="1">
      <alignment horizontal="center" vertical="center"/>
    </xf>
    <xf numFmtId="0" fontId="8" fillId="0" borderId="25" xfId="11" applyNumberFormat="1" applyFont="1" applyFill="1" applyBorder="1" applyAlignment="1">
      <alignment horizontal="center" vertical="center"/>
    </xf>
    <xf numFmtId="167" fontId="8" fillId="0" borderId="2" xfId="14" applyFont="1" applyBorder="1" applyAlignment="1">
      <alignment horizontal="center" vertical="center" wrapText="1"/>
    </xf>
    <xf numFmtId="1" fontId="5" fillId="0" borderId="18"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4" fontId="5" fillId="2" borderId="12" xfId="0" applyNumberFormat="1" applyFont="1" applyFill="1" applyBorder="1" applyAlignment="1">
      <alignment horizontal="center" vertical="center" wrapText="1"/>
    </xf>
    <xf numFmtId="14" fontId="5" fillId="2" borderId="14" xfId="0" applyNumberFormat="1" applyFont="1" applyFill="1" applyBorder="1" applyAlignment="1">
      <alignment horizontal="center" vertical="center" wrapText="1"/>
    </xf>
    <xf numFmtId="14" fontId="5" fillId="2" borderId="25"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1" fontId="5" fillId="0" borderId="12" xfId="0"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1" fontId="5" fillId="0" borderId="25"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1" fontId="5" fillId="0" borderId="12" xfId="0" applyNumberFormat="1" applyFont="1" applyFill="1" applyBorder="1" applyAlignment="1">
      <alignment horizontal="center" vertical="center" wrapText="1"/>
    </xf>
    <xf numFmtId="9" fontId="5" fillId="0" borderId="12"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167" fontId="8" fillId="0" borderId="2" xfId="14" applyFont="1" applyBorder="1" applyAlignment="1">
      <alignment horizontal="center" vertical="center"/>
    </xf>
    <xf numFmtId="167" fontId="8" fillId="0" borderId="12" xfId="14" applyFont="1" applyFill="1" applyBorder="1" applyAlignment="1">
      <alignment horizontal="center" vertical="center" wrapText="1"/>
    </xf>
    <xf numFmtId="167" fontId="8" fillId="0" borderId="25" xfId="14"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5" xfId="0" applyFont="1" applyFill="1" applyBorder="1" applyAlignment="1">
      <alignment horizontal="center" vertical="center" wrapText="1"/>
    </xf>
    <xf numFmtId="169" fontId="5" fillId="0" borderId="11" xfId="0" applyNumberFormat="1" applyFont="1" applyFill="1" applyBorder="1" applyAlignment="1">
      <alignment horizontal="center" vertical="center" wrapText="1"/>
    </xf>
    <xf numFmtId="169" fontId="5" fillId="0" borderId="8" xfId="0" applyNumberFormat="1" applyFont="1" applyFill="1" applyBorder="1" applyAlignment="1">
      <alignment horizontal="center" vertical="center" wrapText="1"/>
    </xf>
    <xf numFmtId="169" fontId="5" fillId="0" borderId="13" xfId="0" applyNumberFormat="1" applyFont="1" applyFill="1" applyBorder="1" applyAlignment="1">
      <alignment horizontal="center" vertical="center" wrapText="1"/>
    </xf>
    <xf numFmtId="169" fontId="5" fillId="2" borderId="11" xfId="0" applyNumberFormat="1" applyFont="1" applyFill="1" applyBorder="1" applyAlignment="1">
      <alignment horizontal="center" vertical="center" wrapText="1"/>
    </xf>
    <xf numFmtId="169" fontId="5" fillId="2" borderId="8" xfId="0" applyNumberFormat="1" applyFont="1" applyFill="1" applyBorder="1" applyAlignment="1">
      <alignment horizontal="center" vertical="center" wrapText="1"/>
    </xf>
    <xf numFmtId="169" fontId="5" fillId="2" borderId="13" xfId="0" applyNumberFormat="1" applyFont="1" applyFill="1" applyBorder="1" applyAlignment="1">
      <alignment horizontal="center" vertical="center" wrapText="1"/>
    </xf>
    <xf numFmtId="0" fontId="8" fillId="0" borderId="2" xfId="13" applyFont="1" applyFill="1" applyBorder="1" applyAlignment="1">
      <alignment horizontal="center" vertical="center" wrapText="1"/>
    </xf>
    <xf numFmtId="1" fontId="5" fillId="0" borderId="34" xfId="0" applyNumberFormat="1" applyFont="1" applyFill="1" applyBorder="1" applyAlignment="1">
      <alignment horizontal="center" vertical="center"/>
    </xf>
    <xf numFmtId="167" fontId="5" fillId="0" borderId="2" xfId="14" applyFont="1" applyFill="1" applyBorder="1" applyAlignment="1">
      <alignment horizontal="center" vertical="center"/>
    </xf>
    <xf numFmtId="1" fontId="5" fillId="0" borderId="31" xfId="0" applyNumberFormat="1" applyFont="1" applyFill="1" applyBorder="1" applyAlignment="1">
      <alignment horizontal="center" vertical="center"/>
    </xf>
    <xf numFmtId="1" fontId="5" fillId="0" borderId="11"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5" fillId="0" borderId="8"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6" xfId="0" applyNumberFormat="1" applyFont="1" applyBorder="1" applyAlignment="1">
      <alignment horizontal="center" vertical="center"/>
    </xf>
    <xf numFmtId="14" fontId="5" fillId="0" borderId="39" xfId="0" applyNumberFormat="1" applyFont="1" applyFill="1" applyBorder="1" applyAlignment="1">
      <alignment horizontal="center" vertical="center"/>
    </xf>
    <xf numFmtId="14" fontId="5" fillId="0" borderId="42" xfId="0" applyNumberFormat="1" applyFont="1" applyFill="1" applyBorder="1" applyAlignment="1">
      <alignment horizontal="center" vertical="center"/>
    </xf>
    <xf numFmtId="14" fontId="5" fillId="2" borderId="39" xfId="0" applyNumberFormat="1" applyFont="1" applyFill="1" applyBorder="1" applyAlignment="1">
      <alignment horizontal="center" vertical="center"/>
    </xf>
    <xf numFmtId="14" fontId="5" fillId="2" borderId="42" xfId="0" applyNumberFormat="1" applyFont="1" applyFill="1" applyBorder="1" applyAlignment="1">
      <alignment horizontal="center" vertical="center"/>
    </xf>
    <xf numFmtId="167" fontId="5" fillId="0" borderId="2" xfId="14" applyFont="1" applyBorder="1" applyAlignment="1">
      <alignment horizontal="center" vertical="center"/>
    </xf>
    <xf numFmtId="14" fontId="5" fillId="0" borderId="11" xfId="0" applyNumberFormat="1" applyFont="1" applyFill="1" applyBorder="1" applyAlignment="1">
      <alignment horizontal="center" vertical="center"/>
    </xf>
    <xf numFmtId="14" fontId="5" fillId="0" borderId="8" xfId="0" applyNumberFormat="1" applyFont="1" applyFill="1" applyBorder="1" applyAlignment="1">
      <alignment horizontal="center" vertical="center"/>
    </xf>
    <xf numFmtId="14" fontId="5" fillId="0" borderId="13" xfId="0" applyNumberFormat="1" applyFont="1" applyFill="1" applyBorder="1" applyAlignment="1">
      <alignment horizontal="center" vertical="center"/>
    </xf>
    <xf numFmtId="14" fontId="5" fillId="2" borderId="11" xfId="0" applyNumberFormat="1" applyFont="1" applyFill="1" applyBorder="1" applyAlignment="1">
      <alignment horizontal="center" vertical="center"/>
    </xf>
    <xf numFmtId="14" fontId="5" fillId="2" borderId="8" xfId="0" applyNumberFormat="1" applyFont="1" applyFill="1" applyBorder="1" applyAlignment="1">
      <alignment horizontal="center" vertical="center"/>
    </xf>
    <xf numFmtId="14" fontId="5" fillId="2" borderId="13"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167" fontId="8" fillId="0" borderId="2" xfId="14" applyFont="1" applyFill="1" applyBorder="1" applyAlignment="1">
      <alignment horizontal="center" vertical="center"/>
    </xf>
    <xf numFmtId="0" fontId="8" fillId="2" borderId="2" xfId="4" applyFont="1" applyFill="1" applyBorder="1" applyAlignment="1">
      <alignment horizontal="center" vertical="center"/>
    </xf>
    <xf numFmtId="0" fontId="5" fillId="0" borderId="2" xfId="0" applyNumberFormat="1" applyFont="1" applyFill="1" applyBorder="1" applyAlignment="1">
      <alignment horizontal="center" vertical="center"/>
    </xf>
    <xf numFmtId="3" fontId="5" fillId="2" borderId="43" xfId="0" applyNumberFormat="1" applyFont="1" applyFill="1" applyBorder="1" applyAlignment="1">
      <alignment horizontal="center" vertical="center" wrapText="1"/>
    </xf>
    <xf numFmtId="3" fontId="5" fillId="2" borderId="19" xfId="0" applyNumberFormat="1" applyFont="1" applyFill="1" applyBorder="1" applyAlignment="1">
      <alignment horizontal="center" vertical="center" wrapText="1"/>
    </xf>
    <xf numFmtId="14" fontId="5" fillId="0" borderId="12" xfId="0" applyNumberFormat="1" applyFont="1" applyFill="1" applyBorder="1" applyAlignment="1">
      <alignment horizontal="center" vertical="center"/>
    </xf>
    <xf numFmtId="14" fontId="5" fillId="0" borderId="25" xfId="0" applyNumberFormat="1" applyFont="1" applyFill="1" applyBorder="1" applyAlignment="1">
      <alignment horizontal="center" vertical="center"/>
    </xf>
    <xf numFmtId="14" fontId="5" fillId="0" borderId="14"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167" fontId="8" fillId="0" borderId="12" xfId="14" applyFont="1" applyFill="1" applyBorder="1" applyAlignment="1">
      <alignment horizontal="center" vertical="center"/>
    </xf>
    <xf numFmtId="167" fontId="8" fillId="0" borderId="14" xfId="14" applyFont="1" applyFill="1" applyBorder="1" applyAlignment="1">
      <alignment horizontal="center" vertical="center"/>
    </xf>
    <xf numFmtId="167" fontId="8" fillId="0" borderId="25" xfId="14" applyFont="1" applyFill="1" applyBorder="1" applyAlignment="1">
      <alignment horizontal="center" vertical="center"/>
    </xf>
    <xf numFmtId="1" fontId="5" fillId="2" borderId="21" xfId="0" applyNumberFormat="1" applyFont="1" applyFill="1" applyBorder="1" applyAlignment="1">
      <alignment horizontal="center" vertical="center" wrapText="1"/>
    </xf>
    <xf numFmtId="0" fontId="2" fillId="11" borderId="54" xfId="0" applyFont="1" applyFill="1" applyBorder="1" applyAlignment="1">
      <alignment horizontal="left" vertical="center"/>
    </xf>
    <xf numFmtId="0" fontId="2" fillId="11" borderId="46" xfId="0" applyFont="1" applyFill="1" applyBorder="1" applyAlignment="1">
      <alignment horizontal="left" vertical="center"/>
    </xf>
    <xf numFmtId="1" fontId="5" fillId="2" borderId="16" xfId="0" applyNumberFormat="1" applyFont="1" applyFill="1" applyBorder="1" applyAlignment="1">
      <alignment horizontal="center" vertical="center" wrapText="1"/>
    </xf>
    <xf numFmtId="0" fontId="8" fillId="0" borderId="14" xfId="0" applyNumberFormat="1" applyFont="1" applyFill="1" applyBorder="1" applyAlignment="1">
      <alignment horizontal="justify" vertical="center" wrapText="1"/>
    </xf>
    <xf numFmtId="0" fontId="8" fillId="0" borderId="33" xfId="0" applyFont="1" applyBorder="1" applyAlignment="1">
      <alignment horizontal="justify" vertical="center" wrapText="1"/>
    </xf>
    <xf numFmtId="167" fontId="8" fillId="0" borderId="55" xfId="14" applyFont="1" applyFill="1" applyBorder="1" applyAlignment="1">
      <alignment horizontal="center" vertical="center"/>
    </xf>
    <xf numFmtId="167" fontId="8" fillId="0" borderId="23" xfId="14" applyFont="1" applyFill="1" applyBorder="1" applyAlignment="1">
      <alignment horizontal="center" vertical="center"/>
    </xf>
    <xf numFmtId="0" fontId="8" fillId="8" borderId="34" xfId="0" applyFont="1" applyFill="1" applyBorder="1" applyAlignment="1">
      <alignment horizontal="center" vertical="center" wrapText="1"/>
    </xf>
    <xf numFmtId="0" fontId="8" fillId="0" borderId="39" xfId="0" applyFont="1" applyBorder="1" applyAlignment="1">
      <alignment horizontal="justify" vertical="center" wrapText="1"/>
    </xf>
    <xf numFmtId="0" fontId="8" fillId="0" borderId="56" xfId="0" applyFont="1" applyBorder="1" applyAlignment="1">
      <alignment horizontal="justify" vertical="center" wrapText="1"/>
    </xf>
    <xf numFmtId="167" fontId="8" fillId="0" borderId="26" xfId="14" applyFont="1" applyFill="1" applyBorder="1" applyAlignment="1">
      <alignment horizontal="center" vertical="center"/>
    </xf>
    <xf numFmtId="169" fontId="5" fillId="2" borderId="0" xfId="0" applyNumberFormat="1" applyFont="1" applyFill="1" applyBorder="1" applyAlignment="1">
      <alignment horizontal="center" vertical="center" wrapText="1"/>
    </xf>
    <xf numFmtId="169" fontId="5" fillId="2" borderId="2" xfId="0" applyNumberFormat="1" applyFont="1" applyFill="1" applyBorder="1" applyAlignment="1">
      <alignment horizontal="center" vertical="center" wrapText="1"/>
    </xf>
    <xf numFmtId="167" fontId="8" fillId="0" borderId="25" xfId="0" applyNumberFormat="1" applyFont="1" applyBorder="1" applyAlignment="1">
      <alignment horizontal="center" vertical="center" wrapText="1"/>
    </xf>
    <xf numFmtId="167" fontId="8" fillId="0" borderId="2" xfId="0" applyNumberFormat="1" applyFont="1" applyBorder="1" applyAlignment="1">
      <alignment horizontal="center" vertical="center" wrapText="1"/>
    </xf>
    <xf numFmtId="3" fontId="5" fillId="0" borderId="15"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44" xfId="0" applyNumberFormat="1" applyFont="1" applyBorder="1" applyAlignment="1">
      <alignment horizontal="center" vertical="center"/>
    </xf>
    <xf numFmtId="3" fontId="8" fillId="0" borderId="30" xfId="0" applyNumberFormat="1" applyFont="1" applyBorder="1" applyAlignment="1">
      <alignment horizontal="center" vertical="center" wrapText="1"/>
    </xf>
    <xf numFmtId="0" fontId="8" fillId="2" borderId="33" xfId="4" applyFont="1" applyFill="1" applyBorder="1" applyAlignment="1">
      <alignment horizontal="center" vertical="center"/>
    </xf>
    <xf numFmtId="0" fontId="8" fillId="2" borderId="30" xfId="4" applyFont="1" applyFill="1" applyBorder="1" applyAlignment="1">
      <alignment horizontal="center" vertical="center"/>
    </xf>
    <xf numFmtId="0" fontId="8" fillId="8" borderId="33" xfId="0" applyFont="1" applyFill="1" applyBorder="1" applyAlignment="1">
      <alignment horizontal="justify" vertical="center" wrapText="1"/>
    </xf>
    <xf numFmtId="0" fontId="8" fillId="8" borderId="30" xfId="0" applyFont="1" applyFill="1" applyBorder="1" applyAlignment="1">
      <alignment horizontal="justify" vertical="center" wrapText="1"/>
    </xf>
    <xf numFmtId="9" fontId="8" fillId="0" borderId="30" xfId="0" applyNumberFormat="1" applyFont="1" applyBorder="1" applyAlignment="1">
      <alignment horizontal="center" vertical="center" wrapText="1"/>
    </xf>
    <xf numFmtId="0" fontId="3" fillId="11" borderId="24" xfId="0" applyFont="1" applyFill="1" applyBorder="1" applyAlignment="1">
      <alignment horizontal="left" vertical="center"/>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167" fontId="8" fillId="0" borderId="12" xfId="0" applyNumberFormat="1" applyFont="1" applyBorder="1" applyAlignment="1">
      <alignment horizontal="justify" vertical="center" wrapText="1"/>
    </xf>
    <xf numFmtId="167" fontId="8" fillId="0" borderId="25" xfId="0" applyNumberFormat="1" applyFont="1" applyBorder="1" applyAlignment="1">
      <alignment horizontal="justify" vertical="center" wrapText="1"/>
    </xf>
    <xf numFmtId="3" fontId="5" fillId="0" borderId="31" xfId="0" applyNumberFormat="1" applyFont="1" applyBorder="1" applyAlignment="1">
      <alignment horizontal="center" vertical="center"/>
    </xf>
    <xf numFmtId="3" fontId="5" fillId="0" borderId="19" xfId="0" applyNumberFormat="1" applyFont="1" applyBorder="1" applyAlignment="1">
      <alignment horizontal="center" vertical="center"/>
    </xf>
    <xf numFmtId="0" fontId="8" fillId="0" borderId="2" xfId="9" applyNumberFormat="1" applyFont="1" applyBorder="1" applyAlignment="1">
      <alignment horizontal="center" vertical="center"/>
    </xf>
    <xf numFmtId="0" fontId="8" fillId="0" borderId="12" xfId="9" applyNumberFormat="1" applyFont="1" applyBorder="1" applyAlignment="1">
      <alignment horizontal="center" vertical="center"/>
    </xf>
    <xf numFmtId="167" fontId="8" fillId="0" borderId="2" xfId="9" applyFont="1" applyBorder="1" applyAlignment="1">
      <alignment horizontal="center" vertical="center" wrapText="1"/>
    </xf>
    <xf numFmtId="167" fontId="8" fillId="0" borderId="12" xfId="9" applyFont="1" applyBorder="1" applyAlignment="1">
      <alignment horizontal="center" vertical="center" wrapText="1"/>
    </xf>
    <xf numFmtId="0" fontId="8" fillId="0" borderId="33" xfId="9" applyNumberFormat="1" applyFont="1" applyBorder="1" applyAlignment="1">
      <alignment horizontal="justify" vertical="center" wrapText="1"/>
    </xf>
    <xf numFmtId="167" fontId="8" fillId="0" borderId="20" xfId="9" applyFont="1" applyBorder="1" applyAlignment="1">
      <alignment horizontal="justify" vertical="center" wrapText="1"/>
    </xf>
    <xf numFmtId="0" fontId="8" fillId="0" borderId="33" xfId="4" applyFont="1" applyBorder="1" applyAlignment="1">
      <alignment horizontal="center" vertical="center" wrapText="1"/>
    </xf>
    <xf numFmtId="3" fontId="8" fillId="0" borderId="2" xfId="0" applyNumberFormat="1" applyFont="1" applyBorder="1" applyAlignment="1">
      <alignment horizontal="center" vertical="center" wrapText="1"/>
    </xf>
    <xf numFmtId="0" fontId="8" fillId="0" borderId="2" xfId="10" applyNumberFormat="1" applyFont="1" applyFill="1" applyBorder="1" applyAlignment="1">
      <alignment horizontal="justify" vertical="center" wrapText="1"/>
    </xf>
    <xf numFmtId="167" fontId="8" fillId="0" borderId="2" xfId="0" applyNumberFormat="1" applyFont="1" applyBorder="1" applyAlignment="1">
      <alignment horizontal="justify" vertical="center" wrapText="1"/>
    </xf>
    <xf numFmtId="9" fontId="8" fillId="0" borderId="33" xfId="0" applyNumberFormat="1" applyFont="1" applyBorder="1" applyAlignment="1">
      <alignment horizontal="center" vertical="center" wrapText="1"/>
    </xf>
    <xf numFmtId="3" fontId="8" fillId="0" borderId="33" xfId="0" applyNumberFormat="1" applyFont="1" applyBorder="1" applyAlignment="1">
      <alignment horizontal="center" vertical="center" wrapText="1"/>
    </xf>
    <xf numFmtId="0" fontId="3" fillId="11" borderId="45" xfId="0" applyFont="1" applyFill="1" applyBorder="1" applyAlignment="1">
      <alignment horizontal="left" vertical="center"/>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1" fontId="2" fillId="4" borderId="9" xfId="0" applyNumberFormat="1" applyFont="1" applyFill="1" applyBorder="1" applyAlignment="1">
      <alignment horizontal="center" vertical="center"/>
    </xf>
    <xf numFmtId="1" fontId="2" fillId="4" borderId="35" xfId="0" applyNumberFormat="1" applyFont="1" applyFill="1" applyBorder="1" applyAlignment="1">
      <alignment horizontal="center" vertical="center"/>
    </xf>
    <xf numFmtId="0" fontId="2" fillId="16" borderId="9" xfId="0" applyFont="1" applyFill="1" applyBorder="1" applyAlignment="1">
      <alignment horizontal="center" vertical="center"/>
    </xf>
    <xf numFmtId="0" fontId="2" fillId="16" borderId="10" xfId="0" applyFont="1" applyFill="1" applyBorder="1" applyAlignment="1">
      <alignment horizontal="center" vertical="center"/>
    </xf>
    <xf numFmtId="0" fontId="3" fillId="7" borderId="11" xfId="0" applyFont="1" applyFill="1" applyBorder="1" applyAlignment="1">
      <alignment horizontal="left" vertical="center"/>
    </xf>
    <xf numFmtId="0" fontId="3" fillId="7" borderId="7" xfId="0" applyFont="1" applyFill="1" applyBorder="1" applyAlignment="1">
      <alignment horizontal="left" vertical="center"/>
    </xf>
    <xf numFmtId="0" fontId="30" fillId="7" borderId="7" xfId="0" applyFont="1" applyFill="1" applyBorder="1" applyAlignment="1">
      <alignment horizontal="center" vertical="center"/>
    </xf>
    <xf numFmtId="0" fontId="5" fillId="7" borderId="7" xfId="0" applyFont="1" applyFill="1" applyBorder="1" applyAlignment="1">
      <alignment horizontal="center" vertical="center"/>
    </xf>
    <xf numFmtId="1" fontId="2" fillId="11" borderId="36" xfId="0" applyNumberFormat="1" applyFont="1" applyFill="1" applyBorder="1" applyAlignment="1">
      <alignment horizontal="left" vertical="center"/>
    </xf>
    <xf numFmtId="1" fontId="2" fillId="11" borderId="21" xfId="0" applyNumberFormat="1" applyFont="1" applyFill="1" applyBorder="1" applyAlignment="1">
      <alignment horizontal="left" vertical="center"/>
    </xf>
    <xf numFmtId="49" fontId="8" fillId="0" borderId="14"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0" fontId="8" fillId="0" borderId="32" xfId="3" applyNumberFormat="1" applyFont="1" applyFill="1" applyBorder="1" applyAlignment="1">
      <alignment horizontal="center" vertical="center" wrapText="1"/>
    </xf>
    <xf numFmtId="3" fontId="8" fillId="0" borderId="32" xfId="4" applyNumberFormat="1" applyFont="1" applyBorder="1" applyAlignment="1">
      <alignment horizontal="center" vertical="center" wrapText="1"/>
    </xf>
    <xf numFmtId="3" fontId="8" fillId="0" borderId="34" xfId="4"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5" fillId="0" borderId="8" xfId="0" applyFont="1" applyBorder="1" applyAlignment="1">
      <alignment horizontal="justify" vertical="center" wrapText="1"/>
    </xf>
    <xf numFmtId="0" fontId="5" fillId="0" borderId="13" xfId="0" applyFont="1" applyBorder="1" applyAlignment="1">
      <alignment horizontal="justify" vertical="center" wrapText="1"/>
    </xf>
    <xf numFmtId="49" fontId="8" fillId="0" borderId="12" xfId="0" applyNumberFormat="1" applyFont="1" applyBorder="1" applyAlignment="1">
      <alignment horizontal="center" vertical="center" wrapText="1"/>
    </xf>
    <xf numFmtId="3" fontId="8" fillId="0" borderId="12" xfId="4" applyNumberFormat="1" applyFont="1" applyBorder="1" applyAlignment="1">
      <alignment horizontal="center" vertical="center" wrapText="1"/>
    </xf>
    <xf numFmtId="3" fontId="8" fillId="0" borderId="14" xfId="4" applyNumberFormat="1" applyFont="1" applyBorder="1" applyAlignment="1">
      <alignment horizontal="center" vertical="center" wrapText="1"/>
    </xf>
    <xf numFmtId="3" fontId="8" fillId="0" borderId="25" xfId="4" applyNumberFormat="1" applyFont="1" applyBorder="1" applyAlignment="1">
      <alignment horizontal="center" vertical="center" wrapText="1"/>
    </xf>
    <xf numFmtId="0" fontId="8" fillId="0" borderId="14" xfId="11" applyNumberFormat="1" applyFont="1" applyFill="1" applyBorder="1">
      <alignment horizontal="center" vertical="center" wrapText="1"/>
    </xf>
    <xf numFmtId="0" fontId="8" fillId="0" borderId="25" xfId="11" applyNumberFormat="1" applyFont="1" applyFill="1" applyBorder="1">
      <alignment horizontal="center" vertical="center" wrapText="1"/>
    </xf>
    <xf numFmtId="10" fontId="8" fillId="0" borderId="11" xfId="4" applyNumberFormat="1" applyFont="1" applyBorder="1" applyAlignment="1">
      <alignment horizontal="center" vertical="center" wrapText="1"/>
    </xf>
    <xf numFmtId="10" fontId="8" fillId="0" borderId="8" xfId="4" applyNumberFormat="1" applyFont="1" applyBorder="1" applyAlignment="1">
      <alignment horizontal="center" vertical="center" wrapText="1"/>
    </xf>
    <xf numFmtId="10" fontId="8" fillId="0" borderId="13" xfId="4" applyNumberFormat="1" applyFont="1" applyBorder="1" applyAlignment="1">
      <alignment horizontal="center" vertical="center" wrapText="1"/>
    </xf>
    <xf numFmtId="10" fontId="5" fillId="0" borderId="8" xfId="2" applyNumberFormat="1" applyFont="1" applyBorder="1" applyAlignment="1">
      <alignment horizontal="center" vertical="center"/>
    </xf>
    <xf numFmtId="10" fontId="5" fillId="0" borderId="13" xfId="2" applyNumberFormat="1" applyFont="1" applyBorder="1" applyAlignment="1">
      <alignment horizontal="center" vertical="center"/>
    </xf>
    <xf numFmtId="4" fontId="5" fillId="2" borderId="32" xfId="0" applyNumberFormat="1" applyFont="1" applyFill="1" applyBorder="1" applyAlignment="1">
      <alignment horizontal="center" vertical="center" wrapText="1"/>
    </xf>
    <xf numFmtId="4" fontId="5" fillId="2" borderId="34" xfId="0" applyNumberFormat="1" applyFont="1" applyFill="1" applyBorder="1" applyAlignment="1">
      <alignment horizontal="center" vertical="center" wrapText="1"/>
    </xf>
    <xf numFmtId="0" fontId="8" fillId="0" borderId="12" xfId="11" applyNumberFormat="1" applyFont="1" applyFill="1" applyBorder="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justify" vertical="center" wrapText="1"/>
    </xf>
    <xf numFmtId="3" fontId="5" fillId="0" borderId="12" xfId="0" applyNumberFormat="1" applyFont="1" applyBorder="1" applyAlignment="1">
      <alignment horizontal="center" vertical="center" wrapText="1"/>
    </xf>
    <xf numFmtId="3" fontId="8" fillId="0" borderId="2" xfId="4" applyNumberFormat="1" applyFont="1" applyBorder="1" applyAlignment="1">
      <alignment horizontal="center" vertical="center" wrapText="1"/>
    </xf>
    <xf numFmtId="10" fontId="8" fillId="0" borderId="9" xfId="4" applyNumberFormat="1" applyFont="1" applyBorder="1" applyAlignment="1">
      <alignment horizontal="center" vertical="center" wrapText="1"/>
    </xf>
    <xf numFmtId="170" fontId="5" fillId="2" borderId="14" xfId="0" applyNumberFormat="1" applyFont="1" applyFill="1" applyBorder="1" applyAlignment="1">
      <alignment horizontal="center" vertical="center"/>
    </xf>
    <xf numFmtId="170" fontId="5" fillId="2" borderId="25" xfId="0" applyNumberFormat="1" applyFont="1" applyFill="1" applyBorder="1" applyAlignment="1">
      <alignment horizontal="center" vertical="center"/>
    </xf>
    <xf numFmtId="49" fontId="8" fillId="0" borderId="33"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3" fontId="8" fillId="0" borderId="63" xfId="4" applyNumberFormat="1" applyFont="1" applyBorder="1" applyAlignment="1">
      <alignment horizontal="center" vertical="center" wrapText="1"/>
    </xf>
    <xf numFmtId="3" fontId="8" fillId="0" borderId="40" xfId="4" applyNumberFormat="1" applyFont="1" applyBorder="1" applyAlignment="1">
      <alignment horizontal="center" vertical="center" wrapText="1"/>
    </xf>
    <xf numFmtId="0" fontId="8" fillId="0" borderId="2" xfId="3" applyNumberFormat="1" applyFont="1" applyFill="1" applyBorder="1" applyAlignment="1">
      <alignment horizontal="center" vertical="center" wrapText="1"/>
    </xf>
    <xf numFmtId="0" fontId="5" fillId="0" borderId="18"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6" xfId="0" applyFont="1" applyBorder="1" applyAlignment="1">
      <alignment horizontal="justify" vertical="center" wrapText="1"/>
    </xf>
    <xf numFmtId="1" fontId="5" fillId="0" borderId="34"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10" fontId="8" fillId="0" borderId="2" xfId="0" applyNumberFormat="1" applyFont="1" applyBorder="1" applyAlignment="1">
      <alignment horizontal="center"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25" xfId="0" applyFont="1" applyBorder="1" applyAlignment="1">
      <alignment horizontal="left" vertical="center" wrapText="1"/>
    </xf>
    <xf numFmtId="10" fontId="8" fillId="0" borderId="63" xfId="4" applyNumberFormat="1" applyFont="1" applyBorder="1" applyAlignment="1">
      <alignment horizontal="center" vertical="center" wrapText="1"/>
    </xf>
    <xf numFmtId="10" fontId="8" fillId="0" borderId="40" xfId="4" applyNumberFormat="1" applyFont="1" applyBorder="1" applyAlignment="1">
      <alignment horizontal="center" vertical="center" wrapText="1"/>
    </xf>
    <xf numFmtId="178" fontId="5" fillId="2" borderId="2" xfId="0" applyNumberFormat="1" applyFont="1" applyFill="1" applyBorder="1" applyAlignment="1">
      <alignment horizontal="center" vertical="center"/>
    </xf>
    <xf numFmtId="178" fontId="5" fillId="2" borderId="12" xfId="0" applyNumberFormat="1" applyFont="1" applyFill="1" applyBorder="1" applyAlignment="1">
      <alignment horizontal="center" vertical="center"/>
    </xf>
    <xf numFmtId="10" fontId="8" fillId="0" borderId="39" xfId="2" applyNumberFormat="1" applyFont="1" applyFill="1" applyBorder="1" applyAlignment="1">
      <alignment horizontal="center" vertical="center" wrapText="1"/>
    </xf>
    <xf numFmtId="10" fontId="8" fillId="0" borderId="40" xfId="2" applyNumberFormat="1" applyFont="1" applyFill="1" applyBorder="1" applyAlignment="1">
      <alignment horizontal="center" vertical="center" wrapText="1"/>
    </xf>
    <xf numFmtId="10" fontId="8" fillId="0" borderId="56" xfId="2" applyNumberFormat="1" applyFont="1" applyFill="1" applyBorder="1" applyAlignment="1">
      <alignment horizontal="center" vertical="center" wrapText="1"/>
    </xf>
    <xf numFmtId="0" fontId="5" fillId="2" borderId="9" xfId="0" applyFont="1" applyFill="1" applyBorder="1" applyAlignment="1">
      <alignment horizontal="justify" vertical="center" wrapText="1"/>
    </xf>
    <xf numFmtId="0" fontId="8" fillId="0" borderId="28"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43" xfId="0" applyFont="1" applyBorder="1" applyAlignment="1">
      <alignment horizontal="justify" vertical="center" wrapText="1"/>
    </xf>
    <xf numFmtId="1" fontId="5" fillId="0" borderId="39" xfId="0" applyNumberFormat="1" applyFont="1" applyBorder="1" applyAlignment="1">
      <alignment horizontal="center" vertical="center"/>
    </xf>
    <xf numFmtId="1" fontId="5" fillId="0" borderId="40" xfId="0" applyNumberFormat="1" applyFont="1" applyBorder="1" applyAlignment="1">
      <alignment horizontal="center" vertical="center"/>
    </xf>
    <xf numFmtId="1" fontId="5" fillId="0" borderId="42" xfId="0" applyNumberFormat="1" applyFont="1" applyBorder="1" applyAlignment="1">
      <alignment horizontal="center" vertical="center"/>
    </xf>
    <xf numFmtId="49" fontId="8" fillId="0" borderId="29" xfId="0" applyNumberFormat="1" applyFont="1" applyBorder="1" applyAlignment="1">
      <alignment horizontal="center" vertical="center" wrapText="1"/>
    </xf>
    <xf numFmtId="49" fontId="8" fillId="0" borderId="32" xfId="0" applyNumberFormat="1" applyFont="1" applyBorder="1" applyAlignment="1">
      <alignment horizontal="center" vertical="center" wrapText="1"/>
    </xf>
    <xf numFmtId="0" fontId="8" fillId="0" borderId="29" xfId="0" applyFont="1" applyBorder="1" applyAlignment="1">
      <alignment horizontal="justify" vertical="center" wrapText="1"/>
    </xf>
    <xf numFmtId="0" fontId="8" fillId="0" borderId="29" xfId="11" applyNumberFormat="1" applyFont="1" applyFill="1" applyBorder="1">
      <alignment horizontal="center" vertical="center" wrapText="1"/>
    </xf>
    <xf numFmtId="0" fontId="8" fillId="0" borderId="30" xfId="11" applyNumberFormat="1" applyFont="1" applyFill="1" applyBorder="1">
      <alignment horizontal="center" vertical="center" wrapText="1"/>
    </xf>
    <xf numFmtId="0" fontId="8" fillId="0" borderId="32" xfId="11" applyNumberFormat="1" applyFont="1" applyFill="1" applyBorder="1">
      <alignment horizontal="center" vertical="center" wrapText="1"/>
    </xf>
    <xf numFmtId="10" fontId="8" fillId="0" borderId="12" xfId="4" applyNumberFormat="1" applyFont="1" applyBorder="1" applyAlignment="1">
      <alignment horizontal="center" vertical="center" wrapText="1"/>
    </xf>
    <xf numFmtId="10" fontId="8" fillId="0" borderId="14" xfId="4" applyNumberFormat="1" applyFont="1" applyBorder="1" applyAlignment="1">
      <alignment horizontal="center" vertical="center" wrapText="1"/>
    </xf>
    <xf numFmtId="10" fontId="8" fillId="0" borderId="25" xfId="4" applyNumberFormat="1" applyFont="1" applyBorder="1" applyAlignment="1">
      <alignment horizontal="center" vertical="center" wrapText="1"/>
    </xf>
    <xf numFmtId="3" fontId="8" fillId="0" borderId="39" xfId="4" applyNumberFormat="1" applyFont="1" applyBorder="1" applyAlignment="1">
      <alignment horizontal="center" vertical="center" wrapText="1"/>
    </xf>
    <xf numFmtId="3" fontId="8" fillId="0" borderId="56" xfId="4" applyNumberFormat="1" applyFont="1" applyBorder="1" applyAlignment="1">
      <alignment horizontal="center" vertical="center" wrapText="1"/>
    </xf>
    <xf numFmtId="10" fontId="8" fillId="0" borderId="39" xfId="4" applyNumberFormat="1" applyFont="1" applyBorder="1" applyAlignment="1">
      <alignment horizontal="center" vertical="center" wrapText="1"/>
    </xf>
    <xf numFmtId="10" fontId="8" fillId="0" borderId="56" xfId="4" applyNumberFormat="1" applyFont="1" applyBorder="1" applyAlignment="1">
      <alignment horizontal="center" vertical="center" wrapText="1"/>
    </xf>
    <xf numFmtId="182" fontId="8" fillId="0" borderId="34" xfId="2" applyNumberFormat="1" applyFont="1" applyFill="1" applyBorder="1" applyAlignment="1">
      <alignment horizontal="center" vertical="center" wrapText="1"/>
    </xf>
    <xf numFmtId="178" fontId="9" fillId="0" borderId="18" xfId="22" applyNumberFormat="1" applyFont="1" applyFill="1" applyBorder="1" applyAlignment="1">
      <alignment horizontal="center" vertical="center"/>
    </xf>
    <xf numFmtId="178" fontId="9" fillId="0" borderId="1" xfId="22" applyNumberFormat="1" applyFont="1" applyFill="1" applyBorder="1" applyAlignment="1">
      <alignment horizontal="center" vertical="center"/>
    </xf>
    <xf numFmtId="178" fontId="9" fillId="0" borderId="6" xfId="22" applyNumberFormat="1" applyFont="1" applyFill="1" applyBorder="1" applyAlignment="1">
      <alignment horizontal="center" vertical="center"/>
    </xf>
    <xf numFmtId="3" fontId="5" fillId="0" borderId="25" xfId="0" applyNumberFormat="1" applyFont="1" applyBorder="1" applyAlignment="1">
      <alignment horizontal="center" vertical="center" wrapText="1"/>
    </xf>
    <xf numFmtId="1" fontId="5" fillId="0" borderId="31" xfId="0" applyNumberFormat="1" applyFont="1" applyBorder="1" applyAlignment="1">
      <alignment horizontal="center" vertical="center"/>
    </xf>
    <xf numFmtId="182" fontId="8" fillId="0" borderId="34" xfId="4" applyNumberFormat="1" applyFont="1" applyBorder="1" applyAlignment="1">
      <alignment horizontal="center" vertical="center" wrapText="1"/>
    </xf>
    <xf numFmtId="0" fontId="8" fillId="0" borderId="55"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6" xfId="0" applyFont="1" applyBorder="1" applyAlignment="1">
      <alignment horizontal="justify" vertical="center" wrapText="1"/>
    </xf>
    <xf numFmtId="9" fontId="8" fillId="0" borderId="40" xfId="4" applyNumberFormat="1" applyFont="1" applyBorder="1" applyAlignment="1">
      <alignment horizontal="center" vertical="center" wrapText="1"/>
    </xf>
    <xf numFmtId="9" fontId="8" fillId="0" borderId="56" xfId="4" applyNumberFormat="1" applyFont="1" applyBorder="1" applyAlignment="1">
      <alignment horizontal="center" vertical="center" wrapText="1"/>
    </xf>
    <xf numFmtId="9" fontId="8" fillId="0" borderId="39" xfId="4" applyNumberFormat="1" applyFont="1" applyBorder="1" applyAlignment="1">
      <alignment horizontal="center" vertical="center" wrapText="1"/>
    </xf>
    <xf numFmtId="178" fontId="9" fillId="0" borderId="12" xfId="22" applyNumberFormat="1" applyFont="1" applyFill="1" applyBorder="1" applyAlignment="1">
      <alignment horizontal="center" vertical="center"/>
    </xf>
    <xf numFmtId="178" fontId="9" fillId="0" borderId="14" xfId="22" applyNumberFormat="1" applyFont="1" applyFill="1" applyBorder="1" applyAlignment="1">
      <alignment horizontal="center" vertical="center"/>
    </xf>
    <xf numFmtId="178" fontId="9" fillId="0" borderId="25" xfId="22" applyNumberFormat="1" applyFont="1" applyFill="1" applyBorder="1" applyAlignment="1">
      <alignment horizontal="center" vertical="center"/>
    </xf>
    <xf numFmtId="0" fontId="8" fillId="0" borderId="33" xfId="3" applyNumberFormat="1" applyFont="1" applyFill="1" applyBorder="1" applyAlignment="1">
      <alignment horizontal="center" vertical="center" wrapText="1"/>
    </xf>
    <xf numFmtId="0" fontId="8" fillId="0" borderId="30" xfId="3" applyNumberFormat="1" applyFont="1" applyFill="1" applyBorder="1" applyAlignment="1">
      <alignment horizontal="center" vertical="center" wrapText="1"/>
    </xf>
    <xf numFmtId="3" fontId="8" fillId="0" borderId="20" xfId="4" applyNumberFormat="1" applyFont="1" applyBorder="1" applyAlignment="1">
      <alignment horizontal="center" vertical="center" wrapText="1"/>
    </xf>
    <xf numFmtId="3" fontId="8" fillId="0" borderId="15" xfId="4" applyNumberFormat="1" applyFont="1" applyBorder="1" applyAlignment="1">
      <alignment horizontal="center" vertical="center" wrapText="1"/>
    </xf>
    <xf numFmtId="3" fontId="8" fillId="0" borderId="27" xfId="4" applyNumberFormat="1" applyFont="1" applyBorder="1" applyAlignment="1">
      <alignment horizontal="center" vertical="center" wrapText="1"/>
    </xf>
    <xf numFmtId="10" fontId="8" fillId="0" borderId="20" xfId="4" applyNumberFormat="1" applyFont="1" applyBorder="1" applyAlignment="1">
      <alignment horizontal="center" vertical="center" wrapText="1"/>
    </xf>
    <xf numFmtId="10" fontId="8" fillId="0" borderId="15" xfId="4" applyNumberFormat="1" applyFont="1" applyBorder="1" applyAlignment="1">
      <alignment horizontal="center" vertical="center" wrapText="1"/>
    </xf>
    <xf numFmtId="10" fontId="8" fillId="0" borderId="27" xfId="4" applyNumberFormat="1" applyFont="1" applyBorder="1" applyAlignment="1">
      <alignment horizontal="center" vertical="center" wrapText="1"/>
    </xf>
    <xf numFmtId="3" fontId="8" fillId="0" borderId="33" xfId="4" applyNumberFormat="1" applyFont="1" applyBorder="1" applyAlignment="1">
      <alignment horizontal="center" vertical="center" wrapText="1"/>
    </xf>
    <xf numFmtId="3" fontId="8" fillId="0" borderId="30" xfId="4" applyNumberFormat="1" applyFont="1" applyBorder="1" applyAlignment="1">
      <alignment horizontal="center" vertical="center" wrapText="1"/>
    </xf>
    <xf numFmtId="178" fontId="9" fillId="0" borderId="2" xfId="22" applyNumberFormat="1" applyFont="1" applyFill="1" applyBorder="1" applyAlignment="1">
      <alignment horizontal="center" vertical="center"/>
    </xf>
    <xf numFmtId="10" fontId="8" fillId="0" borderId="19" xfId="2" applyNumberFormat="1" applyFont="1" applyFill="1" applyBorder="1" applyAlignment="1">
      <alignment horizontal="center" vertical="center" wrapText="1"/>
    </xf>
    <xf numFmtId="10" fontId="8" fillId="0" borderId="17" xfId="2" applyNumberFormat="1" applyFont="1" applyFill="1" applyBorder="1" applyAlignment="1">
      <alignment horizontal="center" vertical="center" wrapText="1"/>
    </xf>
    <xf numFmtId="10" fontId="8" fillId="0" borderId="43" xfId="2" applyNumberFormat="1" applyFont="1" applyFill="1" applyBorder="1" applyAlignment="1">
      <alignment horizontal="center" vertical="center" wrapText="1"/>
    </xf>
    <xf numFmtId="10" fontId="8" fillId="0" borderId="19" xfId="4" applyNumberFormat="1" applyFont="1" applyBorder="1" applyAlignment="1">
      <alignment horizontal="center" vertical="center" wrapText="1"/>
    </xf>
    <xf numFmtId="10" fontId="8" fillId="0" borderId="17" xfId="4" applyNumberFormat="1" applyFont="1" applyBorder="1" applyAlignment="1">
      <alignment horizontal="center" vertical="center" wrapText="1"/>
    </xf>
    <xf numFmtId="10" fontId="8" fillId="0" borderId="61" xfId="4" applyNumberFormat="1" applyFont="1" applyBorder="1" applyAlignment="1">
      <alignment horizontal="center" vertical="center" wrapText="1"/>
    </xf>
    <xf numFmtId="0" fontId="8" fillId="0" borderId="2" xfId="11" applyNumberFormat="1" applyFont="1" applyFill="1" applyBorder="1">
      <alignment horizontal="center" vertical="center" wrapText="1"/>
    </xf>
    <xf numFmtId="10" fontId="8" fillId="0" borderId="35" xfId="4" applyNumberFormat="1" applyFont="1" applyBorder="1" applyAlignment="1">
      <alignment horizontal="center" vertical="center" wrapText="1"/>
    </xf>
    <xf numFmtId="0" fontId="8" fillId="0" borderId="19" xfId="0" applyFont="1" applyBorder="1" applyAlignment="1">
      <alignment horizontal="justify" vertical="center" wrapText="1"/>
    </xf>
    <xf numFmtId="0" fontId="8" fillId="0" borderId="61" xfId="0" applyFont="1" applyBorder="1" applyAlignment="1">
      <alignment horizontal="justify" vertical="center" wrapText="1"/>
    </xf>
    <xf numFmtId="49" fontId="8" fillId="0" borderId="12" xfId="0" applyNumberFormat="1" applyFont="1" applyBorder="1" applyAlignment="1">
      <alignment horizontal="justify" vertical="center" wrapText="1"/>
    </xf>
    <xf numFmtId="49" fontId="8" fillId="0" borderId="14" xfId="0" applyNumberFormat="1" applyFont="1" applyBorder="1" applyAlignment="1">
      <alignment horizontal="justify" vertical="center" wrapText="1"/>
    </xf>
    <xf numFmtId="49" fontId="8" fillId="0" borderId="52" xfId="0" applyNumberFormat="1" applyFont="1" applyBorder="1" applyAlignment="1">
      <alignment horizontal="justify" vertical="center" wrapText="1"/>
    </xf>
    <xf numFmtId="49" fontId="8" fillId="0" borderId="52" xfId="0" applyNumberFormat="1" applyFont="1" applyBorder="1" applyAlignment="1">
      <alignment horizontal="center" vertical="center" wrapText="1"/>
    </xf>
    <xf numFmtId="49" fontId="5" fillId="2" borderId="52" xfId="0" applyNumberFormat="1" applyFont="1" applyFill="1" applyBorder="1" applyAlignment="1">
      <alignment horizontal="center" vertical="center" wrapText="1"/>
    </xf>
    <xf numFmtId="49" fontId="8" fillId="0" borderId="44" xfId="0" applyNumberFormat="1" applyFont="1" applyBorder="1" applyAlignment="1">
      <alignment horizontal="center" vertical="center" wrapText="1"/>
    </xf>
    <xf numFmtId="0" fontId="8" fillId="0" borderId="44" xfId="0" applyFont="1" applyBorder="1" applyAlignment="1">
      <alignment horizontal="justify" vertical="center" wrapText="1"/>
    </xf>
    <xf numFmtId="0" fontId="8" fillId="0" borderId="69" xfId="0" applyFont="1" applyBorder="1" applyAlignment="1">
      <alignment horizontal="justify" vertical="center" wrapText="1"/>
    </xf>
    <xf numFmtId="0" fontId="2" fillId="11" borderId="16" xfId="0" applyFont="1" applyFill="1" applyBorder="1" applyAlignment="1">
      <alignment horizontal="left" vertical="center"/>
    </xf>
    <xf numFmtId="1" fontId="5" fillId="0" borderId="10" xfId="0" applyNumberFormat="1" applyFont="1" applyBorder="1" applyAlignment="1">
      <alignment horizontal="center" vertical="center"/>
    </xf>
    <xf numFmtId="1" fontId="5" fillId="0" borderId="35" xfId="0" applyNumberFormat="1" applyFont="1" applyBorder="1" applyAlignment="1">
      <alignment horizontal="center" vertical="center"/>
    </xf>
    <xf numFmtId="49" fontId="8" fillId="0" borderId="11" xfId="0" applyNumberFormat="1" applyFont="1" applyBorder="1" applyAlignment="1">
      <alignment horizontal="justify" vertical="center" wrapText="1"/>
    </xf>
    <xf numFmtId="49" fontId="8" fillId="0" borderId="8" xfId="0" applyNumberFormat="1" applyFont="1" applyBorder="1" applyAlignment="1">
      <alignment horizontal="justify" vertical="center" wrapText="1"/>
    </xf>
    <xf numFmtId="49" fontId="8" fillId="0" borderId="49" xfId="0" applyNumberFormat="1" applyFont="1" applyBorder="1" applyAlignment="1">
      <alignment horizontal="justify" vertical="center" wrapText="1"/>
    </xf>
    <xf numFmtId="49" fontId="8" fillId="0" borderId="34" xfId="0" applyNumberFormat="1" applyFont="1" applyBorder="1" applyAlignment="1">
      <alignment horizontal="center" vertical="center" wrapText="1"/>
    </xf>
    <xf numFmtId="1" fontId="8" fillId="0" borderId="25"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170" fontId="9" fillId="0" borderId="14" xfId="22" applyNumberFormat="1" applyFont="1" applyFill="1" applyBorder="1" applyAlignment="1">
      <alignment horizontal="center" vertical="center"/>
    </xf>
    <xf numFmtId="170" fontId="9" fillId="0" borderId="25" xfId="22" applyNumberFormat="1" applyFont="1" applyFill="1" applyBorder="1" applyAlignment="1">
      <alignment horizontal="center" vertical="center"/>
    </xf>
    <xf numFmtId="1" fontId="2" fillId="7" borderId="11" xfId="0" applyNumberFormat="1" applyFont="1" applyFill="1" applyBorder="1" applyAlignment="1">
      <alignment horizontal="left" vertical="center"/>
    </xf>
    <xf numFmtId="1" fontId="2" fillId="7" borderId="7" xfId="0" applyNumberFormat="1" applyFont="1" applyFill="1" applyBorder="1" applyAlignment="1">
      <alignment horizontal="left" vertical="center"/>
    </xf>
    <xf numFmtId="0" fontId="3" fillId="9" borderId="20" xfId="0" applyFont="1" applyFill="1" applyBorder="1" applyAlignment="1">
      <alignment horizontal="left" vertical="center" wrapText="1"/>
    </xf>
    <xf numFmtId="0" fontId="3" fillId="9" borderId="22" xfId="0" applyFont="1" applyFill="1" applyBorder="1" applyAlignment="1">
      <alignment horizontal="left" vertical="center" wrapText="1"/>
    </xf>
    <xf numFmtId="0" fontId="8" fillId="0" borderId="25" xfId="4" applyFont="1" applyBorder="1" applyAlignment="1">
      <alignment horizontal="center" vertical="center" wrapText="1"/>
    </xf>
    <xf numFmtId="3" fontId="5" fillId="0" borderId="2" xfId="0" applyNumberFormat="1" applyFont="1" applyBorder="1" applyAlignment="1">
      <alignment horizontal="center" vertical="center" wrapText="1"/>
    </xf>
    <xf numFmtId="1" fontId="5" fillId="2" borderId="6" xfId="0" applyNumberFormat="1" applyFont="1" applyFill="1" applyBorder="1" applyAlignment="1">
      <alignment horizontal="center" vertical="center"/>
    </xf>
    <xf numFmtId="1" fontId="5" fillId="2" borderId="35" xfId="0" applyNumberFormat="1" applyFont="1" applyFill="1" applyBorder="1" applyAlignment="1">
      <alignment horizontal="center" vertical="center"/>
    </xf>
    <xf numFmtId="1" fontId="2" fillId="4" borderId="8" xfId="0" applyNumberFormat="1" applyFont="1" applyFill="1" applyBorder="1" applyAlignment="1">
      <alignment horizontal="center" vertical="center" wrapText="1"/>
    </xf>
    <xf numFmtId="0" fontId="2" fillId="7" borderId="11" xfId="0" applyFont="1" applyFill="1" applyBorder="1" applyAlignment="1">
      <alignment horizontal="left" vertical="center"/>
    </xf>
    <xf numFmtId="0" fontId="3" fillId="9" borderId="57" xfId="0" applyFont="1" applyFill="1" applyBorder="1" applyAlignment="1">
      <alignment horizontal="left" vertical="center"/>
    </xf>
    <xf numFmtId="0" fontId="3" fillId="11" borderId="27" xfId="4" applyFont="1" applyFill="1" applyBorder="1" applyAlignment="1">
      <alignment horizontal="left" vertical="center"/>
    </xf>
    <xf numFmtId="0" fontId="3" fillId="11" borderId="16" xfId="4" applyFont="1" applyFill="1" applyBorder="1" applyAlignment="1">
      <alignment horizontal="left" vertical="center"/>
    </xf>
    <xf numFmtId="0" fontId="3" fillId="11" borderId="46" xfId="4" applyFont="1" applyFill="1" applyBorder="1" applyAlignment="1">
      <alignment horizontal="left" vertical="center"/>
    </xf>
    <xf numFmtId="3" fontId="5" fillId="0" borderId="31"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1" xfId="0" applyFont="1" applyFill="1" applyBorder="1" applyAlignment="1">
      <alignment horizontal="center" vertical="center" wrapText="1"/>
    </xf>
    <xf numFmtId="3" fontId="5" fillId="0" borderId="34" xfId="0" applyNumberFormat="1" applyFont="1" applyFill="1" applyBorder="1" applyAlignment="1">
      <alignment horizontal="justify" vertical="center" wrapText="1"/>
    </xf>
    <xf numFmtId="3" fontId="5" fillId="0" borderId="36" xfId="0" applyNumberFormat="1" applyFont="1" applyFill="1" applyBorder="1" applyAlignment="1">
      <alignment horizontal="justify" vertical="center" wrapText="1"/>
    </xf>
    <xf numFmtId="1" fontId="5" fillId="0" borderId="21" xfId="0" applyNumberFormat="1" applyFont="1" applyFill="1" applyBorder="1" applyAlignment="1">
      <alignment horizontal="center" vertical="center" wrapText="1"/>
    </xf>
    <xf numFmtId="9" fontId="5" fillId="0" borderId="34" xfId="2" applyNumberFormat="1" applyFont="1" applyFill="1" applyBorder="1" applyAlignment="1">
      <alignment horizontal="center" vertical="center" wrapText="1"/>
    </xf>
    <xf numFmtId="169" fontId="5" fillId="0" borderId="21" xfId="0" applyNumberFormat="1" applyFont="1" applyFill="1" applyBorder="1" applyAlignment="1">
      <alignment horizontal="center" vertical="center" wrapText="1"/>
    </xf>
    <xf numFmtId="9" fontId="5" fillId="0" borderId="34" xfId="0" applyNumberFormat="1"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0" borderId="31" xfId="0" applyFont="1" applyFill="1" applyBorder="1" applyAlignment="1">
      <alignment vertical="center" wrapText="1"/>
    </xf>
    <xf numFmtId="0" fontId="5" fillId="0" borderId="4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2" borderId="37"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4" fontId="5" fillId="0" borderId="34" xfId="0" applyNumberFormat="1"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3" xfId="0" applyFont="1" applyFill="1" applyBorder="1" applyAlignment="1">
      <alignment horizontal="justify" vertical="center" wrapText="1"/>
    </xf>
    <xf numFmtId="0" fontId="5" fillId="2" borderId="21" xfId="0" applyFont="1" applyFill="1" applyBorder="1" applyAlignment="1">
      <alignment horizontal="justify" vertical="center" wrapText="1"/>
    </xf>
    <xf numFmtId="43" fontId="5" fillId="2" borderId="27" xfId="3" applyFont="1" applyFill="1" applyBorder="1" applyAlignment="1">
      <alignment horizontal="center" vertical="center" wrapText="1"/>
    </xf>
    <xf numFmtId="43" fontId="5" fillId="2" borderId="21" xfId="3" applyFont="1" applyFill="1" applyBorder="1" applyAlignment="1">
      <alignment horizontal="center" vertical="center" wrapText="1"/>
    </xf>
    <xf numFmtId="3" fontId="5" fillId="2" borderId="32" xfId="0" applyNumberFormat="1" applyFont="1" applyFill="1" applyBorder="1" applyAlignment="1">
      <alignment horizontal="justify" vertical="center" wrapText="1"/>
    </xf>
    <xf numFmtId="3" fontId="5" fillId="2" borderId="34" xfId="0" applyNumberFormat="1" applyFont="1" applyFill="1" applyBorder="1" applyAlignment="1">
      <alignment horizontal="justify" vertical="center" wrapText="1"/>
    </xf>
    <xf numFmtId="3" fontId="5" fillId="2" borderId="43" xfId="0" applyNumberFormat="1" applyFont="1" applyFill="1" applyBorder="1" applyAlignment="1">
      <alignment horizontal="justify" vertical="center" wrapText="1"/>
    </xf>
    <xf numFmtId="3" fontId="5" fillId="2" borderId="31" xfId="0" applyNumberFormat="1" applyFont="1" applyFill="1" applyBorder="1" applyAlignment="1">
      <alignment horizontal="justify"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12" borderId="0"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0" borderId="31" xfId="0" applyFont="1" applyFill="1" applyBorder="1" applyAlignment="1">
      <alignment horizontal="center" vertical="center" wrapText="1"/>
    </xf>
    <xf numFmtId="14" fontId="5" fillId="2" borderId="32" xfId="0" applyNumberFormat="1" applyFont="1" applyFill="1" applyBorder="1" applyAlignment="1">
      <alignment horizontal="center" vertical="center" wrapText="1"/>
    </xf>
    <xf numFmtId="14" fontId="5" fillId="2" borderId="34" xfId="0" applyNumberFormat="1" applyFont="1" applyFill="1" applyBorder="1" applyAlignment="1">
      <alignment horizontal="center" vertical="center" wrapText="1"/>
    </xf>
    <xf numFmtId="0" fontId="5" fillId="0" borderId="31" xfId="0" applyFont="1" applyFill="1" applyBorder="1" applyAlignment="1">
      <alignment horizontal="justify" vertical="center" wrapText="1"/>
    </xf>
    <xf numFmtId="0" fontId="5" fillId="0" borderId="3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9" fillId="12" borderId="34"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0" borderId="6" xfId="0" applyFont="1" applyFill="1" applyBorder="1" applyAlignment="1">
      <alignment horizontal="justify" vertical="center" wrapText="1"/>
    </xf>
    <xf numFmtId="1" fontId="5" fillId="2" borderId="32" xfId="0" applyNumberFormat="1" applyFont="1" applyFill="1" applyBorder="1" applyAlignment="1">
      <alignment horizontal="center" vertical="center" wrapText="1"/>
    </xf>
    <xf numFmtId="14" fontId="5" fillId="2" borderId="0" xfId="0" applyNumberFormat="1" applyFont="1" applyFill="1" applyBorder="1" applyAlignment="1">
      <alignment horizontal="center" vertical="center" wrapText="1"/>
    </xf>
    <xf numFmtId="14" fontId="5" fillId="2" borderId="5" xfId="0" applyNumberFormat="1" applyFont="1" applyFill="1" applyBorder="1" applyAlignment="1">
      <alignment horizontal="center" vertical="center" wrapText="1"/>
    </xf>
    <xf numFmtId="0" fontId="9" fillId="0" borderId="52" xfId="0" applyFont="1" applyFill="1" applyBorder="1" applyAlignment="1">
      <alignment horizontal="center" vertical="center" wrapText="1"/>
    </xf>
    <xf numFmtId="1" fontId="5" fillId="0" borderId="7"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0" fontId="5" fillId="0" borderId="18" xfId="0" applyFont="1" applyFill="1" applyBorder="1" applyAlignment="1">
      <alignment horizontal="justify" vertical="center" wrapText="1"/>
    </xf>
    <xf numFmtId="14" fontId="5" fillId="0" borderId="12"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58" xfId="0" applyFont="1" applyFill="1" applyBorder="1" applyAlignment="1">
      <alignment horizontal="center" vertical="center" wrapText="1"/>
    </xf>
    <xf numFmtId="43" fontId="5" fillId="0" borderId="12" xfId="3"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0" borderId="43" xfId="0" applyFont="1" applyFill="1" applyBorder="1" applyAlignment="1">
      <alignment horizontal="justify" vertical="center" wrapText="1"/>
    </xf>
    <xf numFmtId="0" fontId="5" fillId="0" borderId="27" xfId="0" applyFont="1" applyFill="1" applyBorder="1" applyAlignment="1">
      <alignment horizontal="center" vertical="center" wrapText="1"/>
    </xf>
    <xf numFmtId="0" fontId="5" fillId="0" borderId="20" xfId="0" applyFont="1" applyFill="1" applyBorder="1" applyAlignment="1">
      <alignment horizontal="center" vertical="center" wrapText="1"/>
    </xf>
    <xf numFmtId="43" fontId="5" fillId="2" borderId="2" xfId="3"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37" xfId="0" applyFont="1" applyFill="1" applyBorder="1" applyAlignment="1">
      <alignment horizontal="center" vertical="center" wrapText="1"/>
    </xf>
    <xf numFmtId="9" fontId="5" fillId="0" borderId="33" xfId="0" applyNumberFormat="1" applyFont="1" applyFill="1" applyBorder="1" applyAlignment="1">
      <alignment horizontal="center" vertical="center" wrapText="1"/>
    </xf>
    <xf numFmtId="9" fontId="5" fillId="0" borderId="30" xfId="0" applyNumberFormat="1" applyFont="1" applyFill="1" applyBorder="1" applyAlignment="1">
      <alignment horizontal="center" vertical="center" wrapText="1"/>
    </xf>
    <xf numFmtId="9" fontId="5" fillId="0" borderId="32" xfId="0"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1" fontId="5" fillId="0" borderId="19"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 fontId="5" fillId="0" borderId="43" xfId="0" applyNumberFormat="1" applyFont="1" applyFill="1" applyBorder="1" applyAlignment="1">
      <alignment horizontal="center" vertical="center" wrapText="1"/>
    </xf>
    <xf numFmtId="14" fontId="5" fillId="0" borderId="22"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0" fontId="5" fillId="0" borderId="21" xfId="0" applyFont="1" applyFill="1" applyBorder="1" applyAlignment="1">
      <alignment horizontal="justify" vertical="center" wrapText="1"/>
    </xf>
    <xf numFmtId="43" fontId="5" fillId="0" borderId="16" xfId="3" applyFont="1" applyFill="1" applyBorder="1" applyAlignment="1">
      <alignment horizontal="center" vertical="center" wrapText="1"/>
    </xf>
    <xf numFmtId="43" fontId="5" fillId="0" borderId="21" xfId="3" applyFont="1" applyFill="1" applyBorder="1" applyAlignment="1">
      <alignment horizontal="center" vertical="center" wrapText="1"/>
    </xf>
    <xf numFmtId="0" fontId="5" fillId="2" borderId="34" xfId="0" applyFont="1" applyFill="1" applyBorder="1" applyAlignment="1">
      <alignment horizontal="justify" vertical="center" wrapText="1"/>
    </xf>
    <xf numFmtId="43" fontId="5" fillId="2" borderId="43" xfId="3" applyFont="1" applyFill="1" applyBorder="1" applyAlignment="1">
      <alignment horizontal="center" vertical="center" wrapText="1"/>
    </xf>
    <xf numFmtId="43" fontId="5" fillId="2" borderId="31" xfId="3" applyFont="1" applyFill="1" applyBorder="1" applyAlignment="1">
      <alignment horizontal="center" vertical="center" wrapText="1"/>
    </xf>
    <xf numFmtId="43" fontId="5" fillId="2" borderId="19" xfId="3" applyFont="1" applyFill="1" applyBorder="1" applyAlignment="1">
      <alignment horizontal="center" vertical="center" wrapText="1"/>
    </xf>
    <xf numFmtId="0" fontId="5" fillId="2" borderId="1" xfId="0" applyFont="1" applyFill="1" applyBorder="1" applyAlignment="1">
      <alignment horizontal="justify" vertical="center" wrapText="1"/>
    </xf>
    <xf numFmtId="1" fontId="5" fillId="0" borderId="16" xfId="0" applyNumberFormat="1" applyFont="1" applyFill="1" applyBorder="1" applyAlignment="1">
      <alignment horizontal="center" vertical="center" wrapText="1"/>
    </xf>
    <xf numFmtId="14" fontId="5" fillId="0" borderId="21" xfId="0" applyNumberFormat="1" applyFont="1" applyFill="1" applyBorder="1" applyAlignment="1">
      <alignment horizontal="center" vertical="center" wrapText="1"/>
    </xf>
    <xf numFmtId="14" fontId="5" fillId="0" borderId="32"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0" xfId="0"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5" fillId="2" borderId="27" xfId="0" applyFont="1" applyFill="1" applyBorder="1" applyAlignment="1">
      <alignment horizontal="justify" vertical="center" wrapText="1"/>
    </xf>
    <xf numFmtId="0" fontId="5" fillId="2" borderId="31" xfId="0" applyFont="1" applyFill="1" applyBorder="1" applyAlignment="1">
      <alignment horizontal="justify" vertical="center" wrapText="1"/>
    </xf>
    <xf numFmtId="9" fontId="5" fillId="2" borderId="33" xfId="0" applyNumberFormat="1" applyFont="1" applyFill="1" applyBorder="1" applyAlignment="1">
      <alignment horizontal="center" vertical="center" wrapText="1"/>
    </xf>
    <xf numFmtId="9" fontId="5" fillId="2" borderId="30" xfId="0" applyNumberFormat="1" applyFont="1" applyFill="1" applyBorder="1" applyAlignment="1">
      <alignment horizontal="center" vertical="center" wrapText="1"/>
    </xf>
    <xf numFmtId="9" fontId="5" fillId="2" borderId="32" xfId="0" applyNumberFormat="1" applyFont="1" applyFill="1" applyBorder="1" applyAlignment="1">
      <alignment horizontal="center" vertical="center" wrapText="1"/>
    </xf>
    <xf numFmtId="0" fontId="5" fillId="0" borderId="27" xfId="0" applyFont="1" applyFill="1" applyBorder="1" applyAlignment="1">
      <alignment horizontal="justify" vertical="center" wrapText="1"/>
    </xf>
    <xf numFmtId="0" fontId="5" fillId="0" borderId="36" xfId="0" applyFont="1" applyFill="1" applyBorder="1" applyAlignment="1">
      <alignment horizontal="justify" vertical="center" wrapText="1"/>
    </xf>
    <xf numFmtId="0" fontId="5" fillId="0" borderId="20" xfId="0" applyFont="1" applyFill="1" applyBorder="1" applyAlignment="1">
      <alignment horizontal="justify" vertical="center" wrapText="1"/>
    </xf>
    <xf numFmtId="3" fontId="5" fillId="0" borderId="31" xfId="0" applyNumberFormat="1" applyFont="1" applyFill="1" applyBorder="1" applyAlignment="1">
      <alignment horizontal="justify" vertical="center" wrapText="1"/>
    </xf>
    <xf numFmtId="0" fontId="5" fillId="2" borderId="33" xfId="0" applyFont="1" applyFill="1" applyBorder="1" applyAlignment="1">
      <alignment horizontal="justify" vertical="center" wrapText="1"/>
    </xf>
    <xf numFmtId="0" fontId="5" fillId="2" borderId="30" xfId="0" applyFont="1" applyFill="1" applyBorder="1" applyAlignment="1">
      <alignment horizontal="justify" vertical="center" wrapText="1"/>
    </xf>
    <xf numFmtId="0" fontId="5" fillId="2" borderId="32" xfId="0" applyFont="1" applyFill="1" applyBorder="1" applyAlignment="1">
      <alignment horizontal="justify" vertical="center" wrapText="1"/>
    </xf>
    <xf numFmtId="182" fontId="5" fillId="0" borderId="27" xfId="0" applyNumberFormat="1" applyFont="1" applyFill="1" applyBorder="1" applyAlignment="1">
      <alignment horizontal="center" vertical="center" wrapText="1"/>
    </xf>
    <xf numFmtId="182" fontId="5" fillId="0" borderId="36"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1" xfId="0" applyFont="1" applyFill="1" applyBorder="1" applyAlignment="1">
      <alignment horizontal="center" vertical="center" wrapText="1"/>
    </xf>
    <xf numFmtId="182" fontId="5" fillId="0" borderId="33" xfId="0" applyNumberFormat="1" applyFont="1" applyFill="1" applyBorder="1" applyAlignment="1">
      <alignment horizontal="center" vertical="center" wrapText="1"/>
    </xf>
    <xf numFmtId="182" fontId="5" fillId="0" borderId="30" xfId="0" applyNumberFormat="1" applyFont="1" applyFill="1" applyBorder="1" applyAlignment="1">
      <alignment horizontal="center" vertical="center" wrapText="1"/>
    </xf>
    <xf numFmtId="182" fontId="5" fillId="0" borderId="3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5" fillId="0" borderId="20" xfId="0" applyNumberFormat="1" applyFont="1" applyFill="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27" xfId="0" applyNumberFormat="1" applyFont="1" applyFill="1" applyBorder="1" applyAlignment="1">
      <alignment horizontal="center" vertical="center" wrapText="1"/>
    </xf>
    <xf numFmtId="0" fontId="2" fillId="7" borderId="24" xfId="0" applyFont="1" applyFill="1" applyBorder="1" applyAlignment="1">
      <alignment horizontal="left" vertical="center"/>
    </xf>
    <xf numFmtId="0" fontId="5" fillId="0" borderId="15" xfId="0" applyFont="1" applyFill="1" applyBorder="1" applyAlignment="1">
      <alignment horizontal="center" vertical="center" wrapText="1"/>
    </xf>
    <xf numFmtId="43" fontId="5" fillId="2" borderId="14" xfId="3"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9" fillId="12" borderId="14" xfId="0" applyFont="1" applyFill="1" applyBorder="1" applyAlignment="1">
      <alignment horizontal="center" vertical="center" wrapText="1"/>
    </xf>
    <xf numFmtId="0" fontId="5" fillId="2" borderId="19" xfId="0" applyFont="1" applyFill="1" applyBorder="1" applyAlignment="1">
      <alignment horizontal="justify" vertical="center" wrapText="1"/>
    </xf>
    <xf numFmtId="0" fontId="3" fillId="9" borderId="45"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7" xfId="0" applyFont="1" applyFill="1" applyBorder="1" applyAlignment="1">
      <alignment horizontal="center" vertical="center"/>
    </xf>
    <xf numFmtId="0" fontId="5" fillId="2" borderId="37" xfId="0" applyFont="1" applyFill="1" applyBorder="1" applyAlignment="1">
      <alignment horizontal="justify" vertical="center" wrapText="1"/>
    </xf>
    <xf numFmtId="0" fontId="8" fillId="0" borderId="1" xfId="0" applyFont="1" applyFill="1" applyBorder="1" applyAlignment="1">
      <alignment horizontal="center" vertical="center" wrapText="1"/>
    </xf>
    <xf numFmtId="9" fontId="5" fillId="2" borderId="34" xfId="0" applyNumberFormat="1" applyFont="1" applyFill="1" applyBorder="1" applyAlignment="1">
      <alignment horizontal="center" vertical="center" wrapText="1"/>
    </xf>
    <xf numFmtId="43" fontId="5" fillId="2" borderId="34" xfId="3"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3" fontId="5" fillId="0" borderId="17" xfId="0" applyNumberFormat="1" applyFont="1" applyFill="1" applyBorder="1" applyAlignment="1">
      <alignment horizontal="justify" vertical="center" wrapText="1"/>
    </xf>
    <xf numFmtId="3" fontId="5" fillId="0" borderId="61" xfId="0" applyNumberFormat="1" applyFont="1" applyFill="1" applyBorder="1" applyAlignment="1">
      <alignment horizontal="justify" vertical="center" wrapText="1"/>
    </xf>
    <xf numFmtId="0" fontId="9" fillId="0" borderId="43" xfId="0" applyFont="1" applyFill="1" applyBorder="1" applyAlignment="1">
      <alignment horizontal="center" vertical="center" wrapText="1"/>
    </xf>
    <xf numFmtId="43" fontId="5" fillId="2" borderId="12" xfId="3"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0" fontId="5" fillId="0" borderId="37" xfId="0" applyFont="1" applyFill="1" applyBorder="1" applyAlignment="1">
      <alignment horizontal="justify" vertical="center" wrapText="1"/>
    </xf>
    <xf numFmtId="1" fontId="5" fillId="0" borderId="11" xfId="0" applyNumberFormat="1"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43" fontId="5" fillId="2" borderId="12" xfId="0" applyNumberFormat="1" applyFont="1" applyFill="1" applyBorder="1" applyAlignment="1">
      <alignment horizontal="center" vertical="center" wrapText="1"/>
    </xf>
    <xf numFmtId="3" fontId="5" fillId="2" borderId="12" xfId="3" applyNumberFormat="1" applyFont="1" applyFill="1" applyBorder="1" applyAlignment="1">
      <alignment horizontal="justify" vertical="center" wrapText="1"/>
    </xf>
    <xf numFmtId="3" fontId="5" fillId="2" borderId="14" xfId="3" applyNumberFormat="1" applyFont="1" applyFill="1" applyBorder="1" applyAlignment="1">
      <alignment horizontal="justify" vertical="center" wrapText="1"/>
    </xf>
    <xf numFmtId="3" fontId="5" fillId="2" borderId="52" xfId="3" applyNumberFormat="1" applyFont="1" applyFill="1" applyBorder="1" applyAlignment="1">
      <alignment horizontal="justify" vertical="center" wrapText="1"/>
    </xf>
    <xf numFmtId="3" fontId="5" fillId="2" borderId="52" xfId="0" applyNumberFormat="1" applyFont="1" applyFill="1" applyBorder="1" applyAlignment="1">
      <alignment horizontal="justify" vertical="center" wrapText="1"/>
    </xf>
    <xf numFmtId="0" fontId="9" fillId="12" borderId="1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9" fillId="13" borderId="35" xfId="0" applyFont="1" applyFill="1" applyBorder="1" applyAlignment="1">
      <alignment horizontal="justify" vertical="center" wrapText="1"/>
    </xf>
    <xf numFmtId="14" fontId="8" fillId="0" borderId="12" xfId="0" applyNumberFormat="1" applyFont="1" applyBorder="1" applyAlignment="1">
      <alignment horizontal="center" vertical="center" wrapText="1"/>
    </xf>
    <xf numFmtId="43" fontId="5" fillId="0" borderId="2" xfId="0" applyNumberFormat="1" applyFont="1" applyBorder="1" applyAlignment="1">
      <alignment horizontal="center" vertical="center"/>
    </xf>
    <xf numFmtId="43" fontId="5" fillId="0" borderId="12" xfId="0" applyNumberFormat="1" applyFont="1" applyBorder="1" applyAlignment="1">
      <alignment horizontal="center" vertical="center"/>
    </xf>
    <xf numFmtId="1" fontId="8" fillId="0" borderId="12"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1" fontId="8" fillId="0" borderId="29" xfId="0" applyNumberFormat="1" applyFont="1" applyBorder="1" applyAlignment="1">
      <alignment horizontal="center" vertical="center" wrapText="1"/>
    </xf>
    <xf numFmtId="1" fontId="8" fillId="0" borderId="30" xfId="0" applyNumberFormat="1" applyFont="1" applyBorder="1" applyAlignment="1">
      <alignment horizontal="center" vertical="center" wrapText="1"/>
    </xf>
    <xf numFmtId="1" fontId="8" fillId="0" borderId="32" xfId="0" applyNumberFormat="1" applyFont="1" applyBorder="1" applyAlignment="1">
      <alignment horizontal="center" vertical="center" wrapText="1"/>
    </xf>
    <xf numFmtId="0" fontId="8" fillId="0" borderId="24" xfId="0" applyFont="1" applyBorder="1" applyAlignment="1">
      <alignment horizontal="justify" vertical="center" wrapText="1"/>
    </xf>
    <xf numFmtId="0" fontId="5" fillId="0" borderId="9" xfId="0" applyFont="1" applyBorder="1" applyAlignment="1">
      <alignment horizontal="center" vertical="center"/>
    </xf>
    <xf numFmtId="9" fontId="5" fillId="0" borderId="2" xfId="2" applyFont="1" applyFill="1" applyBorder="1" applyAlignment="1">
      <alignment horizontal="center" vertical="center"/>
    </xf>
    <xf numFmtId="0" fontId="8" fillId="0" borderId="44" xfId="4" applyFont="1" applyBorder="1" applyAlignment="1">
      <alignment horizontal="justify" vertical="center" wrapText="1"/>
    </xf>
    <xf numFmtId="0" fontId="8" fillId="0" borderId="63" xfId="4" applyFont="1" applyBorder="1" applyAlignment="1">
      <alignment horizontal="center" vertical="center" wrapText="1"/>
    </xf>
    <xf numFmtId="0" fontId="8" fillId="0" borderId="40" xfId="4" applyFont="1" applyBorder="1" applyAlignment="1">
      <alignment horizontal="center" vertical="center" wrapText="1"/>
    </xf>
    <xf numFmtId="0" fontId="8" fillId="0" borderId="42" xfId="4" applyFont="1" applyBorder="1" applyAlignment="1">
      <alignment horizontal="center" vertical="center" wrapText="1"/>
    </xf>
    <xf numFmtId="0" fontId="8" fillId="0" borderId="28"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8" fillId="0" borderId="27" xfId="0" applyFont="1" applyBorder="1" applyAlignment="1">
      <alignment horizontal="left" vertical="center" wrapText="1"/>
    </xf>
    <xf numFmtId="0" fontId="8" fillId="0" borderId="38" xfId="0" applyFont="1" applyBorder="1" applyAlignment="1">
      <alignment horizontal="justify"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2" xfId="0" applyFont="1" applyBorder="1" applyAlignment="1">
      <alignment horizontal="center" vertical="center" wrapText="1"/>
    </xf>
    <xf numFmtId="1" fontId="8" fillId="0" borderId="33" xfId="0" applyNumberFormat="1" applyFont="1" applyBorder="1" applyAlignment="1">
      <alignment horizontal="center" vertical="center" wrapText="1"/>
    </xf>
    <xf numFmtId="1" fontId="8" fillId="0" borderId="44" xfId="0" applyNumberFormat="1" applyFont="1" applyBorder="1" applyAlignment="1">
      <alignment horizontal="center" vertical="center" wrapText="1"/>
    </xf>
    <xf numFmtId="0" fontId="8" fillId="0" borderId="33" xfId="4" applyFont="1" applyBorder="1" applyAlignment="1">
      <alignment horizontal="left" vertical="center" wrapText="1"/>
    </xf>
    <xf numFmtId="0" fontId="8" fillId="0" borderId="30" xfId="4" applyFont="1" applyBorder="1" applyAlignment="1">
      <alignment horizontal="left" vertical="center" wrapText="1"/>
    </xf>
    <xf numFmtId="0" fontId="8" fillId="0" borderId="44" xfId="4" applyFont="1" applyBorder="1" applyAlignment="1">
      <alignment horizontal="left" vertical="center" wrapText="1"/>
    </xf>
    <xf numFmtId="1" fontId="8" fillId="0" borderId="19"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43" xfId="0" applyNumberFormat="1" applyFont="1" applyBorder="1" applyAlignment="1">
      <alignment horizontal="center" vertical="center" wrapText="1"/>
    </xf>
    <xf numFmtId="0" fontId="8" fillId="0" borderId="19" xfId="0" applyFont="1" applyBorder="1" applyAlignment="1">
      <alignment horizontal="left" vertical="center" wrapText="1"/>
    </xf>
    <xf numFmtId="0" fontId="8" fillId="0" borderId="17" xfId="0" applyFont="1" applyBorder="1" applyAlignment="1">
      <alignment horizontal="left" vertical="center" wrapText="1"/>
    </xf>
    <xf numFmtId="0" fontId="8" fillId="0" borderId="43" xfId="0" applyFont="1" applyBorder="1" applyAlignment="1">
      <alignment horizontal="left" vertical="center" wrapText="1"/>
    </xf>
    <xf numFmtId="9" fontId="5" fillId="0" borderId="2" xfId="2"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center" vertical="center" wrapText="1"/>
    </xf>
    <xf numFmtId="14" fontId="8" fillId="0" borderId="14" xfId="0" applyNumberFormat="1" applyFont="1" applyBorder="1" applyAlignment="1">
      <alignment horizontal="center" vertical="center" wrapText="1"/>
    </xf>
    <xf numFmtId="0" fontId="8" fillId="0" borderId="2" xfId="0" applyFont="1" applyBorder="1" applyAlignment="1">
      <alignment horizontal="left" vertical="center" wrapText="1"/>
    </xf>
    <xf numFmtId="0" fontId="5" fillId="0" borderId="35" xfId="0" applyFont="1" applyBorder="1" applyAlignment="1">
      <alignment horizontal="center" vertical="center"/>
    </xf>
    <xf numFmtId="0" fontId="5" fillId="0" borderId="2" xfId="0" applyFont="1" applyBorder="1" applyAlignment="1">
      <alignment horizontal="center" vertical="center"/>
    </xf>
    <xf numFmtId="9" fontId="5" fillId="0" borderId="25" xfId="2" applyFont="1" applyFill="1" applyBorder="1" applyAlignment="1">
      <alignment horizontal="center" vertical="center"/>
    </xf>
    <xf numFmtId="43" fontId="5" fillId="0" borderId="25" xfId="0" applyNumberFormat="1" applyFont="1" applyBorder="1" applyAlignment="1">
      <alignment horizontal="center" vertical="center"/>
    </xf>
    <xf numFmtId="0" fontId="8" fillId="0" borderId="5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 xfId="0" applyFont="1" applyBorder="1" applyAlignment="1">
      <alignment vertical="center" wrapText="1"/>
    </xf>
    <xf numFmtId="0" fontId="8" fillId="0" borderId="12" xfId="0" applyFont="1" applyBorder="1" applyAlignment="1">
      <alignment vertical="center" wrapText="1"/>
    </xf>
    <xf numFmtId="9" fontId="5" fillId="0" borderId="12" xfId="2" applyFont="1" applyFill="1" applyBorder="1" applyAlignment="1">
      <alignment horizontal="center" vertical="center"/>
    </xf>
    <xf numFmtId="0" fontId="8" fillId="0" borderId="35" xfId="0" applyFont="1" applyBorder="1" applyAlignment="1">
      <alignment horizontal="justify" vertical="center" wrapText="1"/>
    </xf>
    <xf numFmtId="0" fontId="8" fillId="0" borderId="12" xfId="0" applyFont="1" applyBorder="1" applyAlignment="1">
      <alignment horizontal="left" vertical="center" wrapText="1"/>
    </xf>
    <xf numFmtId="1" fontId="8" fillId="0" borderId="28" xfId="0" applyNumberFormat="1" applyFont="1" applyBorder="1" applyAlignment="1">
      <alignment horizontal="center" vertical="center" wrapText="1"/>
    </xf>
    <xf numFmtId="0" fontId="8" fillId="0" borderId="28" xfId="0" applyFont="1" applyBorder="1" applyAlignment="1">
      <alignment horizontal="left" vertical="center" wrapText="1"/>
    </xf>
    <xf numFmtId="14" fontId="8" fillId="0" borderId="55" xfId="0" applyNumberFormat="1" applyFont="1" applyBorder="1" applyAlignment="1">
      <alignment horizontal="center" vertical="center" wrapText="1"/>
    </xf>
    <xf numFmtId="14" fontId="8" fillId="0" borderId="23" xfId="0" applyNumberFormat="1" applyFont="1" applyBorder="1" applyAlignment="1">
      <alignment horizontal="center" vertical="center" wrapText="1"/>
    </xf>
    <xf numFmtId="1" fontId="8" fillId="0" borderId="55" xfId="0" applyNumberFormat="1" applyFont="1" applyBorder="1" applyAlignment="1">
      <alignment horizontal="center" vertical="center" wrapText="1"/>
    </xf>
    <xf numFmtId="1" fontId="8" fillId="0" borderId="23"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8" fillId="0" borderId="11"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43" fontId="5" fillId="0" borderId="2" xfId="3" applyFont="1" applyFill="1" applyBorder="1" applyAlignment="1">
      <alignment horizontal="center" vertical="center" wrapText="1"/>
    </xf>
    <xf numFmtId="0" fontId="8" fillId="0" borderId="11" xfId="0" applyFont="1" applyBorder="1" applyAlignment="1">
      <alignment horizontal="center" vertical="center" wrapText="1"/>
    </xf>
    <xf numFmtId="1" fontId="8" fillId="0" borderId="11"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0" fontId="5" fillId="0" borderId="2" xfId="0" applyFont="1" applyBorder="1" applyAlignment="1">
      <alignment horizontal="justify" vertical="center"/>
    </xf>
    <xf numFmtId="14" fontId="5" fillId="0" borderId="14" xfId="0" applyNumberFormat="1" applyFont="1" applyBorder="1" applyAlignment="1">
      <alignment horizontal="center" vertical="center"/>
    </xf>
    <xf numFmtId="14" fontId="5" fillId="0" borderId="25" xfId="0" applyNumberFormat="1" applyFont="1" applyBorder="1" applyAlignment="1">
      <alignment horizontal="center" vertical="center"/>
    </xf>
    <xf numFmtId="1" fontId="8" fillId="0" borderId="40" xfId="0" applyNumberFormat="1" applyFont="1" applyBorder="1" applyAlignment="1">
      <alignment horizontal="center" vertical="center" wrapText="1"/>
    </xf>
    <xf numFmtId="1" fontId="8" fillId="0" borderId="42" xfId="0" applyNumberFormat="1" applyFont="1" applyBorder="1" applyAlignment="1">
      <alignment horizontal="center" vertical="center" wrapText="1"/>
    </xf>
    <xf numFmtId="0" fontId="5" fillId="0" borderId="2" xfId="0" applyFont="1" applyBorder="1" applyAlignment="1">
      <alignment vertical="center" wrapText="1"/>
    </xf>
    <xf numFmtId="14" fontId="5" fillId="0" borderId="34" xfId="0" applyNumberFormat="1" applyFont="1" applyBorder="1" applyAlignment="1">
      <alignment horizontal="center" vertical="center"/>
    </xf>
    <xf numFmtId="3" fontId="5" fillId="0" borderId="34" xfId="0" applyNumberFormat="1" applyFont="1" applyBorder="1" applyAlignment="1">
      <alignment horizontal="center" vertical="center"/>
    </xf>
    <xf numFmtId="0" fontId="5" fillId="0" borderId="31" xfId="0" applyFont="1" applyBorder="1" applyAlignment="1">
      <alignment horizontal="center" vertical="center" wrapText="1"/>
    </xf>
    <xf numFmtId="0" fontId="5" fillId="0" borderId="35" xfId="0" applyFont="1" applyBorder="1" applyAlignment="1">
      <alignment horizontal="justify" vertical="center" wrapText="1"/>
    </xf>
    <xf numFmtId="1" fontId="5"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1" fontId="5" fillId="0" borderId="34" xfId="0" applyNumberFormat="1" applyFont="1" applyBorder="1" applyAlignment="1">
      <alignment horizontal="center" vertical="center"/>
    </xf>
    <xf numFmtId="9" fontId="5" fillId="0" borderId="12" xfId="2" applyFont="1" applyBorder="1" applyAlignment="1">
      <alignment horizontal="center" vertical="center"/>
    </xf>
    <xf numFmtId="9" fontId="5" fillId="0" borderId="14" xfId="2" applyFont="1" applyBorder="1" applyAlignment="1">
      <alignment horizontal="center" vertical="center"/>
    </xf>
    <xf numFmtId="9" fontId="5" fillId="0" borderId="25" xfId="2" applyFont="1" applyBorder="1" applyAlignment="1">
      <alignment horizontal="center" vertical="center"/>
    </xf>
    <xf numFmtId="43" fontId="5" fillId="0" borderId="14" xfId="0" applyNumberFormat="1" applyFont="1" applyBorder="1" applyAlignment="1">
      <alignment horizontal="center" vertical="center"/>
    </xf>
    <xf numFmtId="0" fontId="8" fillId="0" borderId="42" xfId="0" applyFont="1" applyBorder="1" applyAlignment="1">
      <alignment horizontal="justify" vertical="center" wrapText="1"/>
    </xf>
    <xf numFmtId="0" fontId="8" fillId="0" borderId="14" xfId="0" applyFont="1" applyBorder="1" applyAlignment="1">
      <alignment horizontal="left" vertical="center" wrapText="1"/>
    </xf>
    <xf numFmtId="0" fontId="8" fillId="0" borderId="25" xfId="0" applyFont="1" applyBorder="1" applyAlignment="1">
      <alignment horizontal="left" vertical="center" wrapText="1"/>
    </xf>
    <xf numFmtId="0" fontId="8" fillId="0" borderId="14" xfId="0" applyFont="1" applyBorder="1" applyAlignment="1">
      <alignment vertical="center" wrapText="1"/>
    </xf>
    <xf numFmtId="0" fontId="8" fillId="0" borderId="25" xfId="0" applyFont="1" applyBorder="1" applyAlignment="1">
      <alignment vertical="center" wrapText="1"/>
    </xf>
    <xf numFmtId="0" fontId="8" fillId="0" borderId="9" xfId="0" applyFont="1" applyBorder="1" applyAlignment="1">
      <alignment horizontal="center" vertical="center" wrapText="1"/>
    </xf>
    <xf numFmtId="0" fontId="8" fillId="0" borderId="33" xfId="0" applyFont="1" applyBorder="1" applyAlignment="1">
      <alignment vertical="center" wrapText="1"/>
    </xf>
    <xf numFmtId="0" fontId="8" fillId="0" borderId="30" xfId="0" applyFont="1" applyBorder="1" applyAlignment="1">
      <alignment vertical="center" wrapText="1"/>
    </xf>
    <xf numFmtId="0" fontId="8" fillId="0" borderId="20" xfId="0" applyFont="1" applyBorder="1" applyAlignment="1">
      <alignment horizontal="center" vertical="center" wrapText="1"/>
    </xf>
    <xf numFmtId="14" fontId="8" fillId="0" borderId="25" xfId="0" applyNumberFormat="1" applyFont="1" applyBorder="1" applyAlignment="1">
      <alignment horizontal="center" vertical="center" wrapText="1"/>
    </xf>
    <xf numFmtId="0" fontId="8" fillId="0" borderId="33" xfId="0" applyFont="1" applyBorder="1" applyAlignment="1">
      <alignment horizontal="left" vertical="center" wrapText="1"/>
    </xf>
    <xf numFmtId="0" fontId="8" fillId="0" borderId="30" xfId="0" applyFont="1" applyBorder="1" applyAlignment="1">
      <alignment horizontal="left" vertical="center" wrapText="1"/>
    </xf>
    <xf numFmtId="0" fontId="8" fillId="0" borderId="32" xfId="0" applyFont="1" applyBorder="1" applyAlignment="1">
      <alignment vertical="center" wrapText="1"/>
    </xf>
    <xf numFmtId="0" fontId="8" fillId="0" borderId="27" xfId="0" applyFont="1" applyBorder="1" applyAlignment="1">
      <alignment horizontal="center" vertical="center" wrapText="1"/>
    </xf>
    <xf numFmtId="0" fontId="8" fillId="0" borderId="32" xfId="0" applyFont="1" applyBorder="1" applyAlignment="1">
      <alignment horizontal="left" vertical="center" wrapText="1"/>
    </xf>
    <xf numFmtId="1" fontId="8" fillId="0" borderId="34" xfId="0" applyNumberFormat="1" applyFont="1" applyBorder="1" applyAlignment="1">
      <alignment horizontal="center" vertical="center" wrapText="1"/>
    </xf>
    <xf numFmtId="0" fontId="8" fillId="0" borderId="70" xfId="0" applyFont="1" applyBorder="1" applyAlignment="1">
      <alignment horizontal="left" vertical="center" wrapText="1"/>
    </xf>
    <xf numFmtId="0" fontId="8" fillId="0" borderId="34" xfId="0" applyFont="1" applyBorder="1" applyAlignment="1">
      <alignment horizontal="left" vertical="center" wrapText="1"/>
    </xf>
    <xf numFmtId="1" fontId="8" fillId="0" borderId="70" xfId="0" applyNumberFormat="1" applyFont="1" applyBorder="1" applyAlignment="1">
      <alignment horizontal="center" vertical="center" wrapText="1"/>
    </xf>
    <xf numFmtId="0" fontId="8" fillId="0" borderId="70" xfId="0" applyFont="1" applyBorder="1" applyAlignment="1">
      <alignment vertical="center" wrapText="1"/>
    </xf>
    <xf numFmtId="0" fontId="8" fillId="0" borderId="34" xfId="0" applyFont="1" applyBorder="1" applyAlignment="1">
      <alignment vertical="center" wrapText="1"/>
    </xf>
    <xf numFmtId="0" fontId="8" fillId="0" borderId="70"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justify" vertical="center" wrapText="1"/>
    </xf>
    <xf numFmtId="0" fontId="5" fillId="0" borderId="77" xfId="0" applyFont="1" applyBorder="1" applyAlignment="1">
      <alignment horizontal="justify" vertical="center" wrapText="1"/>
    </xf>
    <xf numFmtId="0" fontId="5" fillId="0" borderId="63" xfId="0" applyFont="1" applyBorder="1" applyAlignment="1">
      <alignment horizontal="justify" vertical="center" wrapText="1"/>
    </xf>
    <xf numFmtId="0" fontId="8" fillId="0" borderId="76" xfId="0" applyFont="1" applyBorder="1" applyAlignment="1">
      <alignment horizontal="justify" vertical="center" wrapText="1"/>
    </xf>
    <xf numFmtId="9" fontId="5" fillId="0" borderId="14" xfId="2" applyFont="1" applyFill="1" applyBorder="1" applyAlignment="1">
      <alignment horizontal="center" vertical="center"/>
    </xf>
    <xf numFmtId="0" fontId="8" fillId="0" borderId="25" xfId="0" applyFont="1" applyBorder="1" applyAlignment="1">
      <alignment horizontal="center" vertical="center"/>
    </xf>
    <xf numFmtId="14" fontId="8" fillId="0" borderId="8" xfId="0" applyNumberFormat="1" applyFont="1" applyBorder="1" applyAlignment="1">
      <alignment horizontal="center" vertical="center" wrapText="1"/>
    </xf>
    <xf numFmtId="0" fontId="8" fillId="0" borderId="31" xfId="4" applyFont="1" applyBorder="1" applyAlignment="1">
      <alignment horizontal="center" vertical="center" wrapText="1"/>
    </xf>
    <xf numFmtId="0" fontId="8" fillId="0" borderId="17" xfId="4" applyFont="1" applyBorder="1" applyAlignment="1">
      <alignment horizontal="justify" vertical="center" wrapText="1"/>
    </xf>
    <xf numFmtId="0" fontId="8" fillId="0" borderId="61" xfId="4" applyFont="1" applyBorder="1" applyAlignment="1">
      <alignment horizontal="justify" vertical="center" wrapText="1"/>
    </xf>
    <xf numFmtId="1" fontId="8" fillId="0" borderId="33" xfId="4" applyNumberFormat="1" applyFont="1" applyBorder="1" applyAlignment="1">
      <alignment horizontal="center" vertical="center" wrapText="1"/>
    </xf>
    <xf numFmtId="1" fontId="8" fillId="0" borderId="30" xfId="4" applyNumberFormat="1" applyFont="1" applyBorder="1" applyAlignment="1">
      <alignment horizontal="center" vertical="center" wrapText="1"/>
    </xf>
    <xf numFmtId="1" fontId="8" fillId="0" borderId="44" xfId="4" applyNumberFormat="1" applyFont="1" applyBorder="1" applyAlignment="1">
      <alignment horizontal="center" vertical="center" wrapText="1"/>
    </xf>
    <xf numFmtId="0" fontId="8" fillId="0" borderId="33" xfId="4" applyFont="1" applyBorder="1" applyAlignment="1">
      <alignment vertical="center" wrapText="1"/>
    </xf>
    <xf numFmtId="0" fontId="8" fillId="0" borderId="30" xfId="4" applyFont="1" applyBorder="1" applyAlignment="1">
      <alignment vertical="center" wrapText="1"/>
    </xf>
    <xf numFmtId="0" fontId="8" fillId="0" borderId="44" xfId="4" applyFont="1" applyBorder="1" applyAlignment="1">
      <alignment vertical="center" wrapText="1"/>
    </xf>
    <xf numFmtId="0" fontId="8" fillId="0" borderId="63" xfId="4" applyFont="1" applyBorder="1" applyAlignment="1">
      <alignment horizontal="left" vertical="center" wrapText="1"/>
    </xf>
    <xf numFmtId="0" fontId="8" fillId="0" borderId="56" xfId="4" applyFont="1" applyBorder="1" applyAlignment="1">
      <alignment horizontal="left" vertical="center" wrapText="1"/>
    </xf>
    <xf numFmtId="1" fontId="8" fillId="0" borderId="32" xfId="4" applyNumberFormat="1" applyFont="1" applyBorder="1" applyAlignment="1">
      <alignment horizontal="center" vertical="center" wrapText="1"/>
    </xf>
    <xf numFmtId="0" fontId="8" fillId="0" borderId="63" xfId="4" applyFont="1" applyBorder="1" applyAlignment="1">
      <alignment horizontal="justify" vertical="center" wrapText="1"/>
    </xf>
    <xf numFmtId="0" fontId="8" fillId="0" borderId="56" xfId="4" applyFont="1" applyBorder="1" applyAlignment="1">
      <alignment horizontal="justify" vertical="center" wrapText="1"/>
    </xf>
    <xf numFmtId="0" fontId="8" fillId="0" borderId="40" xfId="4" applyFont="1" applyBorder="1" applyAlignment="1">
      <alignment horizontal="left" vertical="center" wrapText="1"/>
    </xf>
    <xf numFmtId="0" fontId="8" fillId="0" borderId="40" xfId="4" applyFont="1" applyBorder="1" applyAlignment="1">
      <alignment horizontal="justify" vertical="center" wrapText="1"/>
    </xf>
    <xf numFmtId="0" fontId="8" fillId="0" borderId="63" xfId="0" applyFont="1" applyBorder="1" applyAlignment="1">
      <alignment horizontal="left" vertical="center" wrapText="1"/>
    </xf>
    <xf numFmtId="0" fontId="8" fillId="0" borderId="56" xfId="0" applyFont="1" applyBorder="1" applyAlignment="1">
      <alignment horizontal="left" vertical="center" wrapText="1"/>
    </xf>
    <xf numFmtId="0" fontId="8" fillId="0" borderId="63" xfId="0" applyFont="1" applyBorder="1" applyAlignment="1">
      <alignment vertical="center" wrapText="1"/>
    </xf>
    <xf numFmtId="0" fontId="8" fillId="0" borderId="56" xfId="0" applyFont="1" applyBorder="1" applyAlignment="1">
      <alignment vertical="center" wrapText="1"/>
    </xf>
    <xf numFmtId="0" fontId="8" fillId="0" borderId="8" xfId="0" applyFont="1" applyBorder="1" applyAlignment="1">
      <alignment horizontal="center" vertical="center"/>
    </xf>
    <xf numFmtId="0" fontId="8" fillId="0" borderId="13" xfId="0" applyFont="1" applyBorder="1" applyAlignment="1">
      <alignment horizontal="center" vertical="center"/>
    </xf>
    <xf numFmtId="14" fontId="8" fillId="0" borderId="8" xfId="0" applyNumberFormat="1" applyFont="1" applyBorder="1" applyAlignment="1">
      <alignment horizontal="center" vertical="center"/>
    </xf>
    <xf numFmtId="14" fontId="8" fillId="0" borderId="13" xfId="0" applyNumberFormat="1" applyFont="1" applyBorder="1" applyAlignment="1">
      <alignment horizontal="center" vertical="center"/>
    </xf>
    <xf numFmtId="1" fontId="8" fillId="0" borderId="2" xfId="4" applyNumberFormat="1" applyFont="1" applyBorder="1" applyAlignment="1">
      <alignment horizontal="center" vertical="center" wrapText="1"/>
    </xf>
    <xf numFmtId="1" fontId="8" fillId="0" borderId="8" xfId="0" applyNumberFormat="1" applyFont="1" applyBorder="1" applyAlignment="1">
      <alignment horizontal="center" vertical="center"/>
    </xf>
    <xf numFmtId="1" fontId="8" fillId="0" borderId="13" xfId="0" applyNumberFormat="1" applyFont="1" applyBorder="1" applyAlignment="1">
      <alignment horizontal="center" vertical="center"/>
    </xf>
    <xf numFmtId="1" fontId="8" fillId="0" borderId="25" xfId="4" applyNumberFormat="1" applyFont="1" applyBorder="1" applyAlignment="1">
      <alignment horizontal="center"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3" xfId="0" applyFont="1" applyBorder="1" applyAlignment="1">
      <alignment horizontal="center" vertical="center"/>
    </xf>
    <xf numFmtId="0" fontId="8" fillId="0" borderId="63" xfId="4" applyFont="1" applyBorder="1" applyAlignment="1">
      <alignment vertical="center" wrapText="1"/>
    </xf>
    <xf numFmtId="0" fontId="8" fillId="0" borderId="40" xfId="4" applyFont="1" applyBorder="1" applyAlignment="1">
      <alignment vertical="center" wrapText="1"/>
    </xf>
    <xf numFmtId="0" fontId="8" fillId="0" borderId="56" xfId="4" applyFont="1" applyBorder="1" applyAlignment="1">
      <alignment vertical="center" wrapText="1"/>
    </xf>
    <xf numFmtId="43" fontId="5" fillId="0" borderId="2" xfId="0" applyNumberFormat="1" applyFont="1" applyBorder="1" applyAlignment="1">
      <alignment horizontal="center" vertical="center" wrapText="1"/>
    </xf>
    <xf numFmtId="43" fontId="5" fillId="0" borderId="65" xfId="0" applyNumberFormat="1" applyFont="1" applyBorder="1" applyAlignment="1">
      <alignment horizontal="center" vertical="center" wrapText="1"/>
    </xf>
    <xf numFmtId="1" fontId="5" fillId="0" borderId="35" xfId="0" applyNumberFormat="1" applyFont="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justify" vertical="center" wrapText="1"/>
    </xf>
    <xf numFmtId="0" fontId="5" fillId="0" borderId="52" xfId="0" applyFont="1" applyBorder="1" applyAlignment="1">
      <alignment horizontal="center" vertical="center" wrapText="1"/>
    </xf>
    <xf numFmtId="9" fontId="5" fillId="0" borderId="52" xfId="2" applyFont="1" applyFill="1" applyBorder="1" applyAlignment="1">
      <alignment horizontal="center" vertical="center" wrapText="1"/>
    </xf>
    <xf numFmtId="43" fontId="5" fillId="0" borderId="12" xfId="0" applyNumberFormat="1" applyFont="1" applyBorder="1" applyAlignment="1">
      <alignment horizontal="center" vertical="center" wrapText="1"/>
    </xf>
    <xf numFmtId="3" fontId="5" fillId="0" borderId="2" xfId="0" applyNumberFormat="1" applyFont="1" applyBorder="1" applyAlignment="1">
      <alignment horizontal="justify" vertical="center" wrapText="1"/>
    </xf>
    <xf numFmtId="1" fontId="8" fillId="0" borderId="12" xfId="4" applyNumberFormat="1" applyFont="1" applyBorder="1" applyAlignment="1">
      <alignment horizontal="center" vertical="center" wrapText="1"/>
    </xf>
    <xf numFmtId="0" fontId="5" fillId="0" borderId="9" xfId="0" applyFont="1" applyBorder="1" applyAlignment="1">
      <alignment horizontal="center" vertical="center" wrapText="1"/>
    </xf>
    <xf numFmtId="43" fontId="5" fillId="0" borderId="18" xfId="0" applyNumberFormat="1" applyFont="1" applyBorder="1" applyAlignment="1">
      <alignment horizontal="center" vertical="center" wrapText="1"/>
    </xf>
    <xf numFmtId="43" fontId="5" fillId="0" borderId="1" xfId="0" applyNumberFormat="1" applyFont="1" applyBorder="1" applyAlignment="1">
      <alignment horizontal="center" vertical="center" wrapText="1"/>
    </xf>
    <xf numFmtId="0" fontId="8" fillId="0" borderId="44" xfId="0" applyFont="1" applyBorder="1" applyAlignment="1">
      <alignment horizontal="center" vertical="center" wrapText="1"/>
    </xf>
    <xf numFmtId="1" fontId="5" fillId="0" borderId="12" xfId="0" applyNumberFormat="1" applyFont="1" applyBorder="1" applyAlignment="1">
      <alignment horizontal="center" vertical="center"/>
    </xf>
    <xf numFmtId="1" fontId="5" fillId="0" borderId="14" xfId="0" applyNumberFormat="1" applyFont="1" applyBorder="1" applyAlignment="1">
      <alignment horizontal="center" vertical="center"/>
    </xf>
    <xf numFmtId="0" fontId="5" fillId="0" borderId="68"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74" xfId="0" applyFont="1" applyBorder="1" applyAlignment="1">
      <alignment horizontal="center" vertical="center" wrapText="1"/>
    </xf>
    <xf numFmtId="1" fontId="5" fillId="0" borderId="13" xfId="0" applyNumberFormat="1" applyFont="1" applyBorder="1" applyAlignment="1">
      <alignment horizontal="center" vertical="center" wrapText="1"/>
    </xf>
    <xf numFmtId="43" fontId="5" fillId="0" borderId="25" xfId="0" applyNumberFormat="1" applyFont="1" applyBorder="1" applyAlignment="1">
      <alignment horizontal="center" vertical="center" wrapText="1"/>
    </xf>
    <xf numFmtId="14" fontId="2" fillId="5" borderId="12" xfId="0" applyNumberFormat="1" applyFont="1" applyFill="1" applyBorder="1" applyAlignment="1">
      <alignment horizontal="center" vertical="center" wrapText="1"/>
    </xf>
    <xf numFmtId="14" fontId="2" fillId="5" borderId="14" xfId="0" applyNumberFormat="1" applyFont="1" applyFill="1" applyBorder="1" applyAlignment="1">
      <alignment horizontal="center" vertical="center" wrapText="1"/>
    </xf>
    <xf numFmtId="1" fontId="2" fillId="0" borderId="8"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3" fontId="3" fillId="4" borderId="35" xfId="0" applyNumberFormat="1" applyFont="1" applyFill="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0" fontId="2" fillId="0" borderId="60"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68" xfId="0" applyFont="1" applyBorder="1" applyAlignment="1">
      <alignment horizontal="center" vertical="center"/>
    </xf>
    <xf numFmtId="0" fontId="2" fillId="0" borderId="73" xfId="0" applyFont="1" applyBorder="1" applyAlignment="1">
      <alignment horizontal="center" vertical="center"/>
    </xf>
    <xf numFmtId="0" fontId="2" fillId="16" borderId="33" xfId="0" applyFont="1" applyFill="1" applyBorder="1" applyAlignment="1">
      <alignment horizontal="center" vertical="center"/>
    </xf>
    <xf numFmtId="0" fontId="5" fillId="0" borderId="35" xfId="0" applyFont="1" applyBorder="1" applyAlignment="1">
      <alignment horizontal="center" vertical="center" wrapText="1"/>
    </xf>
    <xf numFmtId="169" fontId="8" fillId="0" borderId="12" xfId="0" applyNumberFormat="1" applyFont="1" applyBorder="1" applyAlignment="1">
      <alignment horizontal="center" vertical="center"/>
    </xf>
    <xf numFmtId="169" fontId="8" fillId="0" borderId="14" xfId="0" applyNumberFormat="1" applyFont="1" applyBorder="1" applyAlignment="1">
      <alignment horizontal="center" vertical="center"/>
    </xf>
    <xf numFmtId="169" fontId="8" fillId="0" borderId="25" xfId="0" applyNumberFormat="1" applyFont="1" applyBorder="1" applyAlignment="1">
      <alignment horizontal="center" vertical="center"/>
    </xf>
    <xf numFmtId="0" fontId="8" fillId="0" borderId="6" xfId="0" applyFont="1" applyBorder="1" applyAlignment="1">
      <alignment horizontal="center" vertical="center"/>
    </xf>
    <xf numFmtId="0" fontId="8" fillId="2" borderId="1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2" xfId="2" applyFont="1" applyFill="1" applyBorder="1" applyAlignment="1">
      <alignment horizontal="center" vertical="center"/>
    </xf>
    <xf numFmtId="9" fontId="8" fillId="2" borderId="14" xfId="2" applyFont="1" applyFill="1" applyBorder="1" applyAlignment="1">
      <alignment horizontal="center" vertical="center"/>
    </xf>
    <xf numFmtId="9" fontId="8" fillId="2" borderId="25" xfId="2" applyFont="1" applyFill="1" applyBorder="1" applyAlignment="1">
      <alignment horizontal="center" vertical="center"/>
    </xf>
    <xf numFmtId="170" fontId="8" fillId="2" borderId="12" xfId="0" applyNumberFormat="1" applyFont="1" applyFill="1" applyBorder="1" applyAlignment="1">
      <alignment horizontal="center" vertical="center"/>
    </xf>
    <xf numFmtId="170" fontId="8" fillId="2" borderId="14" xfId="0" applyNumberFormat="1" applyFont="1" applyFill="1" applyBorder="1" applyAlignment="1">
      <alignment horizontal="center" vertical="center"/>
    </xf>
    <xf numFmtId="170" fontId="8" fillId="2" borderId="25"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8" xfId="0" applyFont="1" applyBorder="1" applyAlignment="1">
      <alignment horizontal="center" vertical="center"/>
    </xf>
    <xf numFmtId="169" fontId="8" fillId="0" borderId="12" xfId="0" applyNumberFormat="1" applyFont="1" applyBorder="1" applyAlignment="1">
      <alignment horizontal="center" vertical="center" wrapText="1"/>
    </xf>
    <xf numFmtId="169" fontId="8" fillId="0" borderId="14" xfId="0" applyNumberFormat="1" applyFont="1" applyBorder="1" applyAlignment="1">
      <alignment horizontal="center" vertical="center" wrapText="1"/>
    </xf>
    <xf numFmtId="182" fontId="8" fillId="0" borderId="29" xfId="2" applyNumberFormat="1" applyFont="1" applyBorder="1" applyAlignment="1">
      <alignment horizontal="center" vertical="center" wrapText="1"/>
    </xf>
    <xf numFmtId="182" fontId="8" fillId="0" borderId="32" xfId="2" applyNumberFormat="1" applyFont="1" applyBorder="1" applyAlignment="1">
      <alignment horizontal="center" vertical="center" wrapText="1"/>
    </xf>
    <xf numFmtId="170" fontId="8" fillId="2" borderId="12" xfId="0" applyNumberFormat="1" applyFont="1" applyFill="1" applyBorder="1" applyAlignment="1">
      <alignment horizontal="center" vertical="center" wrapText="1"/>
    </xf>
    <xf numFmtId="170" fontId="8" fillId="2" borderId="14" xfId="0" applyNumberFormat="1" applyFont="1" applyFill="1" applyBorder="1" applyAlignment="1">
      <alignment horizontal="center" vertical="center" wrapText="1"/>
    </xf>
    <xf numFmtId="0" fontId="3" fillId="11" borderId="66" xfId="0" applyFont="1" applyFill="1" applyBorder="1" applyAlignment="1">
      <alignment horizontal="left" vertical="center"/>
    </xf>
    <xf numFmtId="0" fontId="3" fillId="11" borderId="67" xfId="0" applyFont="1" applyFill="1" applyBorder="1" applyAlignment="1">
      <alignment horizontal="left" vertical="center"/>
    </xf>
    <xf numFmtId="0" fontId="8" fillId="0" borderId="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36" xfId="0" applyFont="1" applyBorder="1" applyAlignment="1">
      <alignment horizontal="center" vertical="center" wrapText="1"/>
    </xf>
    <xf numFmtId="14" fontId="8" fillId="0" borderId="2" xfId="0" applyNumberFormat="1" applyFont="1" applyBorder="1" applyAlignment="1">
      <alignment horizontal="center" vertical="center" wrapText="1"/>
    </xf>
    <xf numFmtId="9" fontId="8" fillId="0" borderId="12" xfId="2" applyFont="1" applyFill="1" applyBorder="1" applyAlignment="1">
      <alignment horizontal="center" vertical="center" wrapText="1"/>
    </xf>
    <xf numFmtId="9" fontId="8" fillId="0" borderId="14" xfId="2" applyFont="1" applyFill="1" applyBorder="1" applyAlignment="1">
      <alignment horizontal="center" vertical="center" wrapText="1"/>
    </xf>
    <xf numFmtId="9" fontId="8" fillId="0" borderId="25" xfId="2" applyFont="1" applyFill="1" applyBorder="1" applyAlignment="1">
      <alignment horizontal="center" vertical="center" wrapText="1"/>
    </xf>
    <xf numFmtId="0" fontId="3" fillId="11" borderId="7" xfId="0" applyFont="1" applyFill="1" applyBorder="1" applyAlignment="1">
      <alignment horizontal="left" vertical="center"/>
    </xf>
    <xf numFmtId="0" fontId="3" fillId="11" borderId="10" xfId="0" applyFont="1" applyFill="1" applyBorder="1" applyAlignment="1">
      <alignment horizontal="left" vertical="center"/>
    </xf>
    <xf numFmtId="1" fontId="8" fillId="0" borderId="31" xfId="0" applyNumberFormat="1" applyFont="1" applyBorder="1" applyAlignment="1">
      <alignment horizontal="center" vertical="center" wrapText="1"/>
    </xf>
    <xf numFmtId="0" fontId="8" fillId="0" borderId="10" xfId="0" applyFont="1" applyBorder="1" applyAlignment="1">
      <alignment horizontal="justify" vertical="center" wrapText="1"/>
    </xf>
    <xf numFmtId="170" fontId="8" fillId="0" borderId="2" xfId="0" applyNumberFormat="1" applyFont="1" applyBorder="1" applyAlignment="1">
      <alignment horizontal="center" vertical="center" wrapText="1"/>
    </xf>
    <xf numFmtId="170" fontId="8" fillId="0" borderId="35" xfId="0" applyNumberFormat="1" applyFont="1" applyBorder="1" applyAlignment="1">
      <alignment horizontal="center" vertical="center" wrapText="1"/>
    </xf>
    <xf numFmtId="170" fontId="8" fillId="0" borderId="12" xfId="0" applyNumberFormat="1" applyFont="1" applyBorder="1" applyAlignment="1">
      <alignment horizontal="center" vertical="center" wrapText="1"/>
    </xf>
    <xf numFmtId="9" fontId="8" fillId="0" borderId="34" xfId="2"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1" fontId="8" fillId="0" borderId="12" xfId="0" applyNumberFormat="1" applyFont="1" applyFill="1" applyBorder="1" applyAlignment="1">
      <alignment horizontal="center" vertical="center" wrapText="1"/>
    </xf>
    <xf numFmtId="1" fontId="8" fillId="0" borderId="14"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8" fillId="0" borderId="6" xfId="0" applyNumberFormat="1" applyFont="1" applyFill="1" applyBorder="1" applyAlignment="1">
      <alignment horizontal="center" vertical="center" wrapText="1"/>
    </xf>
    <xf numFmtId="170" fontId="8" fillId="0" borderId="12" xfId="0" applyNumberFormat="1" applyFont="1" applyFill="1" applyBorder="1" applyAlignment="1">
      <alignment horizontal="center" vertical="center" wrapText="1"/>
    </xf>
    <xf numFmtId="170" fontId="8" fillId="0" borderId="14" xfId="0" applyNumberFormat="1" applyFont="1" applyFill="1" applyBorder="1" applyAlignment="1">
      <alignment horizontal="center" vertical="center" wrapText="1"/>
    </xf>
    <xf numFmtId="170" fontId="8" fillId="0" borderId="25"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69" fontId="8" fillId="0" borderId="12" xfId="0" applyNumberFormat="1" applyFont="1" applyFill="1" applyBorder="1" applyAlignment="1">
      <alignment horizontal="center" vertical="center" wrapText="1"/>
    </xf>
    <xf numFmtId="169" fontId="8" fillId="0" borderId="14" xfId="0" applyNumberFormat="1" applyFont="1" applyFill="1" applyBorder="1" applyAlignment="1">
      <alignment horizontal="center" vertical="center" wrapText="1"/>
    </xf>
    <xf numFmtId="169" fontId="8" fillId="0" borderId="25" xfId="0" applyNumberFormat="1" applyFont="1" applyFill="1" applyBorder="1" applyAlignment="1">
      <alignment horizontal="center" vertical="center" wrapText="1"/>
    </xf>
    <xf numFmtId="3" fontId="8" fillId="0" borderId="25" xfId="0" applyNumberFormat="1" applyFont="1" applyFill="1" applyBorder="1" applyAlignment="1">
      <alignment horizontal="center" vertical="center" wrapText="1"/>
    </xf>
    <xf numFmtId="3" fontId="8" fillId="0" borderId="12" xfId="0" applyNumberFormat="1" applyFont="1" applyFill="1" applyBorder="1" applyAlignment="1">
      <alignment horizontal="justify" vertical="center" wrapText="1"/>
    </xf>
    <xf numFmtId="3" fontId="8" fillId="0" borderId="14" xfId="0" applyNumberFormat="1" applyFont="1" applyFill="1" applyBorder="1" applyAlignment="1">
      <alignment horizontal="justify" vertical="center" wrapText="1"/>
    </xf>
    <xf numFmtId="3" fontId="8" fillId="0" borderId="25" xfId="0" applyNumberFormat="1" applyFont="1" applyFill="1" applyBorder="1" applyAlignment="1">
      <alignment horizontal="justify" vertical="center" wrapText="1"/>
    </xf>
    <xf numFmtId="170" fontId="8" fillId="0" borderId="12" xfId="0" applyNumberFormat="1" applyFont="1" applyFill="1" applyBorder="1" applyAlignment="1">
      <alignment horizontal="justify" vertical="center" wrapText="1"/>
    </xf>
    <xf numFmtId="170" fontId="8" fillId="0" borderId="14" xfId="0" applyNumberFormat="1" applyFont="1" applyFill="1" applyBorder="1" applyAlignment="1">
      <alignment horizontal="justify" vertical="center" wrapText="1"/>
    </xf>
    <xf numFmtId="0" fontId="3" fillId="7" borderId="62" xfId="0" applyFont="1" applyFill="1" applyBorder="1" applyAlignment="1">
      <alignment horizontal="left" vertical="center"/>
    </xf>
    <xf numFmtId="0" fontId="3" fillId="7" borderId="22" xfId="0" applyFont="1" applyFill="1" applyBorder="1" applyAlignment="1">
      <alignment horizontal="left" vertical="center"/>
    </xf>
    <xf numFmtId="1" fontId="3" fillId="2" borderId="8"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1" fontId="3" fillId="4" borderId="18"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1" fontId="3" fillId="4" borderId="10" xfId="0" applyNumberFormat="1" applyFont="1" applyFill="1" applyBorder="1" applyAlignment="1">
      <alignment horizontal="center" vertical="center" wrapText="1"/>
    </xf>
    <xf numFmtId="1" fontId="3" fillId="4" borderId="35" xfId="0" applyNumberFormat="1" applyFont="1" applyFill="1" applyBorder="1" applyAlignment="1">
      <alignment horizontal="center" vertical="center" wrapText="1"/>
    </xf>
    <xf numFmtId="1" fontId="3" fillId="4" borderId="9" xfId="0" applyNumberFormat="1" applyFont="1" applyFill="1" applyBorder="1" applyAlignment="1">
      <alignment horizontal="center" vertical="center" wrapText="1"/>
    </xf>
    <xf numFmtId="0" fontId="3" fillId="16" borderId="33" xfId="0" applyFont="1" applyFill="1" applyBorder="1" applyAlignment="1">
      <alignment horizontal="center" vertical="center"/>
    </xf>
    <xf numFmtId="169" fontId="3" fillId="5" borderId="8" xfId="0" applyNumberFormat="1" applyFont="1" applyFill="1" applyBorder="1" applyAlignment="1">
      <alignment horizontal="center" vertical="center" wrapText="1"/>
    </xf>
    <xf numFmtId="3" fontId="3" fillId="5" borderId="12" xfId="0" applyNumberFormat="1" applyFont="1" applyFill="1" applyBorder="1" applyAlignment="1">
      <alignment horizontal="center" vertical="center" wrapText="1"/>
    </xf>
    <xf numFmtId="3" fontId="3" fillId="5" borderId="14" xfId="0" applyNumberFormat="1" applyFont="1" applyFill="1" applyBorder="1" applyAlignment="1">
      <alignment horizontal="center" vertical="center" wrapText="1"/>
    </xf>
    <xf numFmtId="0" fontId="2" fillId="16" borderId="35" xfId="0" applyFont="1" applyFill="1" applyBorder="1" applyAlignment="1">
      <alignment horizontal="center" vertical="center"/>
    </xf>
    <xf numFmtId="0" fontId="18" fillId="7" borderId="9" xfId="0" applyFont="1" applyFill="1" applyBorder="1" applyAlignment="1">
      <alignment horizontal="left" vertical="center"/>
    </xf>
    <xf numFmtId="0" fontId="18" fillId="7" borderId="10" xfId="0" applyFont="1" applyFill="1" applyBorder="1" applyAlignment="1">
      <alignment horizontal="left" vertical="center"/>
    </xf>
    <xf numFmtId="0" fontId="3" fillId="10" borderId="36" xfId="0" applyFont="1" applyFill="1" applyBorder="1" applyAlignment="1">
      <alignment horizontal="left" vertical="center"/>
    </xf>
    <xf numFmtId="0" fontId="3" fillId="10" borderId="21" xfId="0" applyFont="1" applyFill="1" applyBorder="1" applyAlignment="1">
      <alignment horizontal="left" vertical="center"/>
    </xf>
    <xf numFmtId="0" fontId="9" fillId="0" borderId="37"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37" xfId="0" applyFont="1" applyBorder="1" applyAlignment="1">
      <alignment horizontal="justify" vertical="center" wrapText="1"/>
    </xf>
    <xf numFmtId="0" fontId="9" fillId="0" borderId="52" xfId="0" applyFont="1" applyBorder="1" applyAlignment="1">
      <alignment horizontal="justify" vertical="center" wrapText="1"/>
    </xf>
    <xf numFmtId="3" fontId="3" fillId="4" borderId="9"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3" fillId="4" borderId="35" xfId="0" applyNumberFormat="1" applyFont="1" applyFill="1" applyBorder="1" applyAlignment="1">
      <alignment horizontal="center" vertical="center"/>
    </xf>
    <xf numFmtId="3" fontId="3" fillId="4" borderId="12" xfId="0" applyNumberFormat="1" applyFont="1" applyFill="1" applyBorder="1" applyAlignment="1">
      <alignment horizontal="center" vertical="center" textRotation="90" wrapText="1"/>
    </xf>
    <xf numFmtId="3" fontId="3" fillId="4" borderId="25" xfId="0" applyNumberFormat="1" applyFont="1" applyFill="1" applyBorder="1" applyAlignment="1">
      <alignment horizontal="center" vertical="center" textRotation="90" wrapText="1"/>
    </xf>
    <xf numFmtId="169" fontId="2" fillId="5" borderId="25" xfId="0" applyNumberFormat="1" applyFont="1" applyFill="1" applyBorder="1" applyAlignment="1">
      <alignment horizontal="center" vertical="center" wrapText="1"/>
    </xf>
    <xf numFmtId="0" fontId="8" fillId="0" borderId="37" xfId="11" applyNumberFormat="1" applyFont="1" applyFill="1" applyBorder="1" applyAlignment="1">
      <alignment horizontal="justify" vertical="center" wrapText="1"/>
    </xf>
    <xf numFmtId="0" fontId="8" fillId="0" borderId="52" xfId="11" applyNumberFormat="1" applyFont="1" applyFill="1" applyBorder="1" applyAlignment="1">
      <alignment horizontal="justify" vertical="center" wrapText="1"/>
    </xf>
    <xf numFmtId="14" fontId="9" fillId="0" borderId="37" xfId="0" applyNumberFormat="1" applyFont="1" applyBorder="1" applyAlignment="1">
      <alignment horizontal="center" vertical="center" wrapText="1"/>
    </xf>
    <xf numFmtId="14" fontId="9" fillId="0" borderId="52" xfId="0" applyNumberFormat="1" applyFont="1" applyBorder="1" applyAlignment="1">
      <alignment horizontal="center" vertical="center" wrapText="1"/>
    </xf>
    <xf numFmtId="0" fontId="9" fillId="0" borderId="63" xfId="0" applyFont="1" applyBorder="1" applyAlignment="1">
      <alignment horizontal="justify" vertical="center" wrapText="1"/>
    </xf>
    <xf numFmtId="0" fontId="9" fillId="0" borderId="56" xfId="0" applyFont="1" applyBorder="1" applyAlignment="1">
      <alignment horizontal="justify" vertical="center" wrapText="1"/>
    </xf>
    <xf numFmtId="9" fontId="9" fillId="0" borderId="37" xfId="0" applyNumberFormat="1" applyFont="1" applyBorder="1" applyAlignment="1">
      <alignment horizontal="center" vertical="center" wrapText="1"/>
    </xf>
    <xf numFmtId="9" fontId="9" fillId="0" borderId="52" xfId="0" applyNumberFormat="1" applyFont="1" applyBorder="1" applyAlignment="1">
      <alignment horizontal="center" vertical="center" wrapText="1"/>
    </xf>
    <xf numFmtId="167" fontId="9" fillId="0" borderId="37" xfId="19" applyFont="1" applyBorder="1" applyAlignment="1">
      <alignment horizontal="center" vertical="center" wrapText="1"/>
    </xf>
    <xf numFmtId="167" fontId="9" fillId="0" borderId="52" xfId="19" applyFont="1" applyBorder="1" applyAlignment="1">
      <alignment horizontal="center" vertical="center" wrapText="1"/>
    </xf>
    <xf numFmtId="0" fontId="3" fillId="7" borderId="21" xfId="0" applyFont="1" applyFill="1" applyBorder="1" applyAlignment="1">
      <alignment horizontal="left" vertical="center"/>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56" xfId="0" applyFont="1" applyBorder="1" applyAlignment="1">
      <alignment horizontal="center" vertical="center" wrapText="1"/>
    </xf>
    <xf numFmtId="0" fontId="8" fillId="0" borderId="37" xfId="0" applyFont="1" applyFill="1" applyBorder="1" applyAlignment="1">
      <alignment horizontal="justify" vertical="center" wrapText="1"/>
    </xf>
    <xf numFmtId="0" fontId="9" fillId="0" borderId="14" xfId="0" applyFont="1" applyBorder="1" applyAlignment="1">
      <alignment horizontal="center" vertical="center" wrapText="1"/>
    </xf>
    <xf numFmtId="167" fontId="9" fillId="0" borderId="14" xfId="19" applyFont="1" applyBorder="1" applyAlignment="1">
      <alignment horizontal="center" vertical="center" wrapText="1"/>
    </xf>
    <xf numFmtId="3" fontId="9" fillId="0" borderId="37"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9" fillId="0" borderId="52" xfId="0" applyNumberFormat="1" applyFont="1" applyBorder="1" applyAlignment="1">
      <alignment horizontal="center" vertical="center" wrapText="1"/>
    </xf>
    <xf numFmtId="0" fontId="8" fillId="0" borderId="37" xfId="0" applyFont="1" applyFill="1" applyBorder="1" applyAlignment="1">
      <alignment horizontal="center" vertical="center" wrapText="1"/>
    </xf>
    <xf numFmtId="0" fontId="8" fillId="0" borderId="52" xfId="0" applyFont="1" applyFill="1" applyBorder="1" applyAlignment="1">
      <alignment horizontal="center" vertical="center" wrapText="1"/>
    </xf>
    <xf numFmtId="14" fontId="9" fillId="0" borderId="14" xfId="0" applyNumberFormat="1" applyFont="1" applyBorder="1" applyAlignment="1">
      <alignment horizontal="center" vertical="center" wrapText="1"/>
    </xf>
    <xf numFmtId="10" fontId="9" fillId="0" borderId="37" xfId="0" applyNumberFormat="1" applyFont="1" applyBorder="1" applyAlignment="1">
      <alignment horizontal="center" vertical="center" wrapText="1"/>
    </xf>
    <xf numFmtId="10" fontId="9" fillId="0" borderId="14" xfId="0" applyNumberFormat="1" applyFont="1" applyBorder="1" applyAlignment="1">
      <alignment horizontal="center" vertical="center" wrapText="1"/>
    </xf>
    <xf numFmtId="10" fontId="9" fillId="0" borderId="52" xfId="0" applyNumberFormat="1" applyFont="1" applyBorder="1" applyAlignment="1">
      <alignment horizontal="center" vertical="center" wrapText="1"/>
    </xf>
    <xf numFmtId="0" fontId="9" fillId="0" borderId="30" xfId="0" applyFont="1" applyBorder="1" applyAlignment="1">
      <alignment horizontal="center" vertical="center" wrapText="1"/>
    </xf>
    <xf numFmtId="0" fontId="9" fillId="0" borderId="40" xfId="0" applyFont="1" applyBorder="1" applyAlignment="1">
      <alignment horizontal="justify" vertical="center" wrapText="1"/>
    </xf>
    <xf numFmtId="10" fontId="9" fillId="0" borderId="25" xfId="0" applyNumberFormat="1" applyFont="1" applyBorder="1" applyAlignment="1">
      <alignment horizontal="center" vertical="center" wrapText="1"/>
    </xf>
    <xf numFmtId="0" fontId="9" fillId="12" borderId="25" xfId="0" applyFont="1" applyFill="1" applyBorder="1" applyAlignment="1">
      <alignment horizontal="center" vertical="center" wrapText="1"/>
    </xf>
    <xf numFmtId="0" fontId="9" fillId="12" borderId="52" xfId="0" applyFont="1" applyFill="1" applyBorder="1" applyAlignment="1">
      <alignment horizontal="center" vertical="center" wrapText="1"/>
    </xf>
    <xf numFmtId="4" fontId="8" fillId="0" borderId="38" xfId="0" applyNumberFormat="1" applyFont="1" applyBorder="1" applyAlignment="1">
      <alignment horizontal="center" vertical="center" wrapText="1"/>
    </xf>
    <xf numFmtId="4" fontId="8" fillId="0" borderId="23" xfId="0" applyNumberFormat="1" applyFont="1" applyBorder="1" applyAlignment="1">
      <alignment horizontal="center" vertical="center" wrapText="1"/>
    </xf>
    <xf numFmtId="4" fontId="8" fillId="0" borderId="41" xfId="0" applyNumberFormat="1" applyFont="1" applyBorder="1" applyAlignment="1">
      <alignment horizontal="center" vertical="center" wrapText="1"/>
    </xf>
    <xf numFmtId="0" fontId="9" fillId="12" borderId="40" xfId="0" applyFont="1" applyFill="1" applyBorder="1" applyAlignment="1">
      <alignment horizontal="justify" vertical="center" wrapText="1"/>
    </xf>
    <xf numFmtId="0" fontId="9" fillId="12" borderId="56" xfId="0" applyFont="1" applyFill="1" applyBorder="1" applyAlignment="1">
      <alignment horizontal="justify" vertical="center" wrapText="1"/>
    </xf>
    <xf numFmtId="0" fontId="17" fillId="7" borderId="45" xfId="0" applyFont="1" applyFill="1" applyBorder="1" applyAlignment="1">
      <alignment horizontal="center" vertical="center"/>
    </xf>
    <xf numFmtId="0" fontId="17" fillId="7" borderId="46" xfId="0" applyFont="1" applyFill="1" applyBorder="1" applyAlignment="1">
      <alignment horizontal="center" vertical="center"/>
    </xf>
    <xf numFmtId="0" fontId="17" fillId="12" borderId="8" xfId="0" applyFont="1" applyFill="1" applyBorder="1" applyAlignment="1">
      <alignment horizontal="center" vertical="center" wrapText="1"/>
    </xf>
    <xf numFmtId="0" fontId="17" fillId="12" borderId="0" xfId="0" applyFont="1" applyFill="1" applyBorder="1" applyAlignment="1">
      <alignment horizontal="center" vertical="center" wrapText="1"/>
    </xf>
    <xf numFmtId="0" fontId="17" fillId="12" borderId="49"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2" fillId="16" borderId="2" xfId="0" applyFont="1" applyFill="1" applyBorder="1" applyAlignment="1">
      <alignment horizontal="center" vertical="center" wrapText="1"/>
    </xf>
    <xf numFmtId="0" fontId="3" fillId="4" borderId="12" xfId="0" applyNumberFormat="1" applyFont="1" applyFill="1" applyBorder="1" applyAlignment="1">
      <alignment horizontal="center" vertical="center" textRotation="90" wrapText="1"/>
    </xf>
    <xf numFmtId="0" fontId="3" fillId="4" borderId="25" xfId="0" applyNumberFormat="1" applyFont="1" applyFill="1" applyBorder="1" applyAlignment="1">
      <alignment horizontal="center" vertical="center" textRotation="90" wrapText="1"/>
    </xf>
    <xf numFmtId="0" fontId="4" fillId="0" borderId="2" xfId="0" applyFont="1" applyFill="1" applyBorder="1" applyAlignment="1">
      <alignment horizontal="center" vertical="center"/>
    </xf>
    <xf numFmtId="168" fontId="6" fillId="0" borderId="2" xfId="0" applyNumberFormat="1" applyFont="1" applyFill="1" applyBorder="1" applyAlignment="1">
      <alignment horizontal="left" vertical="center"/>
    </xf>
    <xf numFmtId="14" fontId="6" fillId="0" borderId="2" xfId="0" applyNumberFormat="1" applyFont="1" applyFill="1" applyBorder="1" applyAlignment="1">
      <alignment horizontal="left" vertical="center" wrapText="1"/>
    </xf>
    <xf numFmtId="3" fontId="7" fillId="0" borderId="2" xfId="0" applyNumberFormat="1" applyFont="1" applyFill="1" applyBorder="1" applyAlignment="1">
      <alignment horizontal="center" vertical="center" wrapText="1"/>
    </xf>
    <xf numFmtId="1" fontId="2" fillId="4" borderId="25" xfId="0" applyNumberFormat="1" applyFont="1" applyFill="1" applyBorder="1" applyAlignment="1">
      <alignment horizontal="center" vertical="center" wrapText="1"/>
    </xf>
    <xf numFmtId="0" fontId="2" fillId="16" borderId="25" xfId="0" applyFont="1" applyFill="1" applyBorder="1" applyAlignment="1">
      <alignment horizontal="center" vertical="center"/>
    </xf>
    <xf numFmtId="1" fontId="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5" xfId="0" applyFont="1" applyFill="1" applyBorder="1" applyAlignment="1">
      <alignment horizontal="center" vertical="center" wrapText="1"/>
    </xf>
    <xf numFmtId="171" fontId="2" fillId="5" borderId="0" xfId="0" applyNumberFormat="1" applyFont="1" applyFill="1" applyBorder="1" applyAlignment="1">
      <alignment horizontal="center" vertical="center" wrapText="1"/>
    </xf>
    <xf numFmtId="170" fontId="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textRotation="90" wrapText="1"/>
    </xf>
    <xf numFmtId="49" fontId="2" fillId="5" borderId="0" xfId="0" applyNumberFormat="1" applyFont="1" applyFill="1" applyBorder="1" applyAlignment="1">
      <alignment horizontal="center" vertical="center" textRotation="90" wrapText="1"/>
    </xf>
    <xf numFmtId="169" fontId="2" fillId="5" borderId="0" xfId="0" applyNumberFormat="1" applyFont="1" applyFill="1" applyBorder="1" applyAlignment="1">
      <alignment horizontal="center" vertical="center" wrapText="1"/>
    </xf>
    <xf numFmtId="3" fontId="2" fillId="5" borderId="0" xfId="0" applyNumberFormat="1"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24" xfId="0" applyFont="1" applyFill="1" applyBorder="1" applyAlignment="1">
      <alignment horizontal="left" vertical="center" wrapText="1"/>
    </xf>
    <xf numFmtId="0" fontId="3" fillId="7" borderId="7" xfId="0" applyFont="1" applyFill="1" applyBorder="1" applyAlignment="1">
      <alignment horizontal="left" vertical="center" wrapText="1"/>
    </xf>
    <xf numFmtId="0" fontId="18" fillId="7" borderId="7"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3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3" fillId="10" borderId="27" xfId="0" applyFont="1" applyFill="1" applyBorder="1" applyAlignment="1">
      <alignment horizontal="left" vertical="center"/>
    </xf>
    <xf numFmtId="0" fontId="3" fillId="10" borderId="16" xfId="0" applyFont="1" applyFill="1" applyBorder="1" applyAlignment="1">
      <alignment horizontal="left" vertical="center"/>
    </xf>
    <xf numFmtId="0" fontId="18" fillId="10" borderId="0"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18" fillId="10" borderId="43"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1" fontId="9" fillId="12" borderId="34" xfId="0" applyNumberFormat="1" applyFont="1" applyFill="1" applyBorder="1" applyAlignment="1">
      <alignment horizontal="center" vertical="center" wrapText="1"/>
    </xf>
    <xf numFmtId="0" fontId="9" fillId="12" borderId="34" xfId="0" applyFont="1" applyFill="1" applyBorder="1" applyAlignment="1">
      <alignment horizontal="justify" vertical="center" wrapText="1"/>
    </xf>
    <xf numFmtId="10" fontId="9" fillId="12" borderId="34" xfId="0" applyNumberFormat="1" applyFont="1" applyFill="1" applyBorder="1" applyAlignment="1">
      <alignment horizontal="center" vertical="center" wrapText="1"/>
    </xf>
    <xf numFmtId="167" fontId="9" fillId="12" borderId="34" xfId="19" applyFont="1" applyFill="1" applyBorder="1" applyAlignment="1">
      <alignment horizontal="center" vertical="center" wrapText="1"/>
    </xf>
    <xf numFmtId="0" fontId="9" fillId="12" borderId="33" xfId="0" applyFont="1" applyFill="1" applyBorder="1" applyAlignment="1">
      <alignment horizontal="justify" vertical="center" wrapText="1"/>
    </xf>
    <xf numFmtId="167" fontId="9" fillId="0" borderId="34" xfId="19" applyFont="1" applyFill="1" applyBorder="1" applyAlignment="1">
      <alignment horizontal="center" vertical="center" wrapText="1"/>
    </xf>
    <xf numFmtId="0" fontId="9" fillId="12" borderId="1" xfId="0" applyFont="1" applyFill="1" applyBorder="1" applyAlignment="1">
      <alignment horizontal="center" vertical="center" wrapText="1"/>
    </xf>
    <xf numFmtId="0" fontId="8" fillId="12" borderId="30" xfId="0" applyFont="1" applyFill="1" applyBorder="1" applyAlignment="1">
      <alignment horizontal="justify" vertical="center" wrapText="1"/>
    </xf>
    <xf numFmtId="0" fontId="9" fillId="12" borderId="32"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9" fillId="0" borderId="34" xfId="0" applyFont="1" applyFill="1" applyBorder="1" applyAlignment="1">
      <alignment horizontal="justify" vertical="center" wrapText="1"/>
    </xf>
    <xf numFmtId="167" fontId="8" fillId="0" borderId="34" xfId="19" applyFont="1" applyFill="1" applyBorder="1" applyAlignment="1">
      <alignment horizontal="center" vertical="center" wrapText="1"/>
    </xf>
    <xf numFmtId="0" fontId="9" fillId="12" borderId="34" xfId="0" applyFont="1" applyFill="1" applyBorder="1" applyAlignment="1">
      <alignment horizontal="justify" vertical="center" wrapText="1"/>
    </xf>
    <xf numFmtId="0" fontId="3" fillId="11" borderId="36" xfId="0" applyFont="1" applyFill="1" applyBorder="1" applyAlignment="1">
      <alignment vertical="center"/>
    </xf>
    <xf numFmtId="0" fontId="3" fillId="11" borderId="21" xfId="0" applyFont="1" applyFill="1" applyBorder="1" applyAlignment="1">
      <alignment vertical="center"/>
    </xf>
    <xf numFmtId="0" fontId="18" fillId="11" borderId="0" xfId="0" applyFont="1" applyFill="1" applyBorder="1" applyAlignment="1">
      <alignment horizontal="center" vertical="center" wrapText="1"/>
    </xf>
    <xf numFmtId="167" fontId="18" fillId="11" borderId="0" xfId="19" applyFont="1" applyFill="1" applyBorder="1" applyAlignment="1">
      <alignment horizontal="center" vertical="center" wrapText="1"/>
    </xf>
    <xf numFmtId="0" fontId="18" fillId="11" borderId="0" xfId="0" applyFont="1" applyFill="1" applyBorder="1" applyAlignment="1">
      <alignment horizontal="justify" vertical="center" wrapText="1"/>
    </xf>
    <xf numFmtId="0" fontId="18" fillId="11" borderId="21" xfId="0" applyFont="1" applyFill="1" applyBorder="1" applyAlignment="1">
      <alignment horizontal="center" vertical="center" wrapText="1"/>
    </xf>
    <xf numFmtId="0" fontId="18" fillId="11" borderId="31" xfId="0" applyFont="1" applyFill="1" applyBorder="1" applyAlignment="1">
      <alignment horizontal="center" vertical="center" wrapText="1"/>
    </xf>
    <xf numFmtId="0" fontId="9" fillId="12" borderId="33" xfId="0" applyFont="1" applyFill="1" applyBorder="1" applyAlignment="1">
      <alignment horizontal="center" vertical="center" wrapText="1"/>
    </xf>
    <xf numFmtId="9" fontId="9" fillId="12" borderId="33" xfId="0" applyNumberFormat="1" applyFont="1" applyFill="1" applyBorder="1" applyAlignment="1">
      <alignment horizontal="center" vertical="center" wrapText="1"/>
    </xf>
    <xf numFmtId="167" fontId="9" fillId="0" borderId="33" xfId="19" applyFont="1" applyFill="1" applyBorder="1" applyAlignment="1">
      <alignment horizontal="center" vertical="center" wrapText="1"/>
    </xf>
    <xf numFmtId="14" fontId="8" fillId="12" borderId="14" xfId="0" applyNumberFormat="1" applyFont="1" applyFill="1" applyBorder="1" applyAlignment="1">
      <alignment horizontal="center" vertical="center" wrapText="1"/>
    </xf>
    <xf numFmtId="0" fontId="9" fillId="12" borderId="30" xfId="0" applyFont="1" applyFill="1" applyBorder="1" applyAlignment="1">
      <alignment horizontal="center" vertical="center" wrapText="1"/>
    </xf>
    <xf numFmtId="0" fontId="9" fillId="12" borderId="30" xfId="0" applyFont="1" applyFill="1" applyBorder="1" applyAlignment="1">
      <alignment horizontal="justify" vertical="center" wrapText="1"/>
    </xf>
    <xf numFmtId="9" fontId="9" fillId="12" borderId="30" xfId="0" applyNumberFormat="1" applyFont="1" applyFill="1" applyBorder="1" applyAlignment="1">
      <alignment horizontal="center" vertical="center" wrapText="1"/>
    </xf>
    <xf numFmtId="167" fontId="9" fillId="0" borderId="30" xfId="19" applyFont="1" applyFill="1" applyBorder="1" applyAlignment="1">
      <alignment horizontal="center" vertical="center" wrapText="1"/>
    </xf>
    <xf numFmtId="167" fontId="8" fillId="0" borderId="33" xfId="19" applyFont="1" applyFill="1" applyBorder="1" applyAlignment="1">
      <alignment horizontal="center" vertical="center" wrapText="1"/>
    </xf>
    <xf numFmtId="0" fontId="9" fillId="12" borderId="36" xfId="0" applyFont="1" applyFill="1" applyBorder="1" applyAlignment="1">
      <alignment horizontal="justify" vertical="center" wrapText="1"/>
    </xf>
    <xf numFmtId="167" fontId="8" fillId="0" borderId="2" xfId="19" applyFont="1" applyFill="1" applyBorder="1" applyAlignment="1">
      <alignment horizontal="center" vertical="center" wrapText="1"/>
    </xf>
    <xf numFmtId="167" fontId="8" fillId="0" borderId="27" xfId="19" applyFont="1" applyFill="1" applyBorder="1" applyAlignment="1">
      <alignment horizontal="center" vertical="center" wrapText="1"/>
    </xf>
    <xf numFmtId="1" fontId="9" fillId="12" borderId="33" xfId="0" applyNumberFormat="1" applyFont="1" applyFill="1" applyBorder="1" applyAlignment="1">
      <alignment horizontal="center" vertical="center" wrapText="1"/>
    </xf>
    <xf numFmtId="0" fontId="9" fillId="12" borderId="33" xfId="0" applyFont="1" applyFill="1" applyBorder="1" applyAlignment="1">
      <alignment horizontal="justify" vertical="center" wrapText="1"/>
    </xf>
    <xf numFmtId="0" fontId="9" fillId="13" borderId="2" xfId="0" applyFont="1" applyFill="1" applyBorder="1" applyAlignment="1">
      <alignment horizontal="justify" vertical="center" wrapText="1"/>
    </xf>
    <xf numFmtId="0" fontId="9" fillId="12" borderId="20" xfId="0" applyFont="1" applyFill="1" applyBorder="1" applyAlignment="1">
      <alignment horizontal="justify" vertical="center" wrapText="1"/>
    </xf>
    <xf numFmtId="0" fontId="9" fillId="12" borderId="15" xfId="0" applyFont="1" applyFill="1" applyBorder="1" applyAlignment="1">
      <alignment horizontal="justify" vertical="center" wrapText="1"/>
    </xf>
    <xf numFmtId="0" fontId="8" fillId="2" borderId="33" xfId="0" applyNumberFormat="1" applyFont="1" applyFill="1" applyBorder="1" applyAlignment="1">
      <alignment horizontal="center" vertical="center" wrapText="1"/>
    </xf>
    <xf numFmtId="0" fontId="8" fillId="2" borderId="33" xfId="3" applyNumberFormat="1" applyFont="1" applyFill="1" applyBorder="1" applyAlignment="1">
      <alignment horizontal="center" vertical="center" wrapText="1"/>
    </xf>
    <xf numFmtId="0" fontId="8" fillId="2" borderId="33" xfId="0" applyNumberFormat="1" applyFont="1" applyFill="1" applyBorder="1" applyAlignment="1">
      <alignment horizontal="justify" vertical="center" wrapText="1"/>
    </xf>
    <xf numFmtId="0" fontId="8" fillId="0" borderId="33" xfId="4" applyFont="1" applyFill="1" applyBorder="1" applyAlignment="1">
      <alignment horizontal="center" vertical="center" wrapText="1"/>
    </xf>
    <xf numFmtId="0" fontId="8" fillId="2" borderId="33" xfId="0" applyNumberFormat="1" applyFont="1" applyFill="1" applyBorder="1" applyAlignment="1">
      <alignment horizontal="center" vertical="center"/>
    </xf>
    <xf numFmtId="167" fontId="9" fillId="12" borderId="33" xfId="19" applyFont="1" applyFill="1" applyBorder="1" applyAlignment="1">
      <alignment horizontal="center" vertical="center" wrapText="1"/>
    </xf>
    <xf numFmtId="0" fontId="9" fillId="13" borderId="2" xfId="0" applyFont="1" applyFill="1" applyBorder="1" applyAlignment="1">
      <alignment horizontal="justify" vertical="center" wrapText="1"/>
    </xf>
    <xf numFmtId="14" fontId="9" fillId="0" borderId="2"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30" xfId="3" applyNumberFormat="1" applyFont="1" applyFill="1" applyBorder="1" applyAlignment="1">
      <alignment horizontal="center" vertical="center" wrapText="1"/>
    </xf>
    <xf numFmtId="0" fontId="8" fillId="2" borderId="30" xfId="0" applyNumberFormat="1" applyFont="1" applyFill="1" applyBorder="1" applyAlignment="1">
      <alignment horizontal="justify" vertical="center" wrapText="1"/>
    </xf>
    <xf numFmtId="0" fontId="8" fillId="0" borderId="30" xfId="4" applyFont="1" applyFill="1" applyBorder="1" applyAlignment="1">
      <alignment horizontal="center" vertical="center" wrapText="1"/>
    </xf>
    <xf numFmtId="0" fontId="8" fillId="2" borderId="30" xfId="0" applyNumberFormat="1" applyFont="1" applyFill="1" applyBorder="1" applyAlignment="1">
      <alignment horizontal="center" vertical="center"/>
    </xf>
    <xf numFmtId="0" fontId="8" fillId="0" borderId="30" xfId="4" applyFont="1" applyBorder="1" applyAlignment="1">
      <alignment horizontal="center" vertical="center" wrapText="1"/>
    </xf>
    <xf numFmtId="1" fontId="9" fillId="12" borderId="30" xfId="0" applyNumberFormat="1" applyFont="1" applyFill="1" applyBorder="1" applyAlignment="1">
      <alignment horizontal="center" vertical="center" wrapText="1"/>
    </xf>
    <xf numFmtId="167" fontId="9" fillId="12" borderId="30" xfId="19" applyFont="1" applyFill="1" applyBorder="1" applyAlignment="1">
      <alignment horizontal="center" vertical="center" wrapText="1"/>
    </xf>
    <xf numFmtId="0" fontId="8" fillId="0" borderId="44" xfId="3" applyNumberFormat="1" applyFont="1" applyFill="1" applyBorder="1" applyAlignment="1">
      <alignment horizontal="center" vertical="center" wrapText="1"/>
    </xf>
    <xf numFmtId="0" fontId="8" fillId="2" borderId="44" xfId="0" applyNumberFormat="1" applyFont="1" applyFill="1" applyBorder="1" applyAlignment="1">
      <alignment horizontal="center" vertical="center" wrapText="1"/>
    </xf>
    <xf numFmtId="0" fontId="8" fillId="2" borderId="44" xfId="3" applyNumberFormat="1" applyFont="1" applyFill="1" applyBorder="1" applyAlignment="1">
      <alignment horizontal="center" vertical="center" wrapText="1"/>
    </xf>
    <xf numFmtId="0" fontId="8" fillId="2" borderId="44" xfId="0" applyNumberFormat="1" applyFont="1" applyFill="1" applyBorder="1" applyAlignment="1">
      <alignment horizontal="justify" vertical="center" wrapText="1"/>
    </xf>
    <xf numFmtId="0" fontId="8" fillId="0" borderId="44" xfId="4" applyFont="1" applyFill="1" applyBorder="1" applyAlignment="1">
      <alignment horizontal="center" vertical="center" wrapText="1"/>
    </xf>
    <xf numFmtId="0" fontId="8" fillId="2" borderId="44" xfId="0" applyNumberFormat="1" applyFont="1" applyFill="1" applyBorder="1" applyAlignment="1">
      <alignment horizontal="center" vertical="center"/>
    </xf>
    <xf numFmtId="0" fontId="8" fillId="0" borderId="44" xfId="4" applyFont="1" applyBorder="1" applyAlignment="1">
      <alignment horizontal="center" vertical="center" wrapText="1"/>
    </xf>
    <xf numFmtId="0" fontId="9" fillId="12" borderId="44" xfId="0" applyFont="1" applyFill="1" applyBorder="1" applyAlignment="1">
      <alignment horizontal="center" vertical="center" wrapText="1"/>
    </xf>
    <xf numFmtId="1" fontId="9" fillId="12" borderId="44" xfId="0" applyNumberFormat="1" applyFont="1" applyFill="1" applyBorder="1" applyAlignment="1">
      <alignment horizontal="center" vertical="center" wrapText="1"/>
    </xf>
    <xf numFmtId="0" fontId="9" fillId="12" borderId="44" xfId="0" applyFont="1" applyFill="1" applyBorder="1" applyAlignment="1">
      <alignment horizontal="justify" vertical="center" wrapText="1"/>
    </xf>
    <xf numFmtId="9" fontId="9" fillId="12" borderId="44" xfId="0" applyNumberFormat="1" applyFont="1" applyFill="1" applyBorder="1" applyAlignment="1">
      <alignment horizontal="center" vertical="center" wrapText="1"/>
    </xf>
    <xf numFmtId="167" fontId="9" fillId="12" borderId="44" xfId="19" applyFont="1" applyFill="1" applyBorder="1" applyAlignment="1">
      <alignment horizontal="center" vertical="center" wrapText="1"/>
    </xf>
    <xf numFmtId="0" fontId="9" fillId="13" borderId="44" xfId="0" applyFont="1" applyFill="1" applyBorder="1" applyAlignment="1">
      <alignment vertical="center" wrapText="1"/>
    </xf>
    <xf numFmtId="167" fontId="8" fillId="0" borderId="69" xfId="19" applyFont="1" applyFill="1" applyBorder="1" applyAlignment="1">
      <alignment vertical="center" wrapText="1"/>
    </xf>
    <xf numFmtId="0" fontId="18" fillId="20" borderId="9" xfId="0" applyFont="1" applyFill="1" applyBorder="1" applyAlignment="1">
      <alignment horizontal="center" vertical="center" wrapText="1"/>
    </xf>
    <xf numFmtId="0" fontId="18" fillId="20" borderId="10" xfId="0" applyFont="1" applyFill="1" applyBorder="1" applyAlignment="1">
      <alignment horizontal="center" vertical="center" wrapText="1"/>
    </xf>
    <xf numFmtId="0" fontId="18" fillId="20" borderId="10" xfId="0" applyFont="1" applyFill="1" applyBorder="1" applyAlignment="1">
      <alignment horizontal="justify" vertical="center" wrapText="1"/>
    </xf>
    <xf numFmtId="167" fontId="18" fillId="20" borderId="10" xfId="19" applyFont="1" applyFill="1" applyBorder="1" applyAlignment="1">
      <alignment horizontal="center" vertical="center" wrapText="1"/>
    </xf>
    <xf numFmtId="167" fontId="18" fillId="20" borderId="2" xfId="19" applyFont="1" applyFill="1" applyBorder="1" applyAlignment="1">
      <alignment horizontal="center" vertical="center" wrapText="1"/>
    </xf>
    <xf numFmtId="0" fontId="18" fillId="20" borderId="35" xfId="0" applyFont="1" applyFill="1" applyBorder="1" applyAlignment="1">
      <alignment horizontal="center" vertical="center" wrapText="1"/>
    </xf>
    <xf numFmtId="9" fontId="5" fillId="0" borderId="0" xfId="0" applyNumberFormat="1" applyFont="1" applyAlignment="1">
      <alignment horizontal="center" vertical="center"/>
    </xf>
    <xf numFmtId="178" fontId="5" fillId="0" borderId="0" xfId="0" applyNumberFormat="1" applyFont="1" applyAlignment="1">
      <alignment horizontal="center" vertical="center"/>
    </xf>
  </cellXfs>
  <cellStyles count="27">
    <cellStyle name="Excel Built-in Normal" xfId="7"/>
    <cellStyle name="Incorrecto" xfId="22" builtinId="27"/>
    <cellStyle name="KPT04" xfId="11"/>
    <cellStyle name="KPT04 2" xfId="13"/>
    <cellStyle name="Millares" xfId="14" builtinId="3"/>
    <cellStyle name="Millares [0]" xfId="20" builtinId="6"/>
    <cellStyle name="Millares [0] 2" xfId="8"/>
    <cellStyle name="Millares 2" xfId="9"/>
    <cellStyle name="Millares 2 2" xfId="10"/>
    <cellStyle name="Millares 2 2 2" xfId="12"/>
    <cellStyle name="Millares 2 2 2 2" xfId="3"/>
    <cellStyle name="Millares 3" xfId="19"/>
    <cellStyle name="Moneda" xfId="1" builtinId="4"/>
    <cellStyle name="Moneda [0]" xfId="5" builtinId="7"/>
    <cellStyle name="Moneda [0] 2" xfId="23"/>
    <cellStyle name="Moneda 2" xfId="6"/>
    <cellStyle name="Normal" xfId="0" builtinId="0"/>
    <cellStyle name="Normal 2" xfId="4"/>
    <cellStyle name="Normal 2 2" xfId="24"/>
    <cellStyle name="Normal 2 2 2" xfId="26"/>
    <cellStyle name="Normal 2 3" xfId="15"/>
    <cellStyle name="Normal 3" xfId="25"/>
    <cellStyle name="Normal 7" xfId="21"/>
    <cellStyle name="Normal 85" xfId="16"/>
    <cellStyle name="Porcentaje" xfId="2" builtinId="5"/>
    <cellStyle name="Porcentaje 2 2" xfId="17"/>
    <cellStyle name="Porcentaje 2 2 2" xfId="18"/>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74839</xdr:colOff>
      <xdr:row>0</xdr:row>
      <xdr:rowOff>1</xdr:rowOff>
    </xdr:from>
    <xdr:to>
      <xdr:col>1</xdr:col>
      <xdr:colOff>299130</xdr:colOff>
      <xdr:row>5</xdr:row>
      <xdr:rowOff>4197</xdr:rowOff>
    </xdr:to>
    <xdr:pic>
      <xdr:nvPicPr>
        <xdr:cNvPr id="2" name="Imagen 1" descr="C:\Users\AUXPLANEACION03\Desktop\Gobernacion_del_quindi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00432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383721</xdr:colOff>
      <xdr:row>0</xdr:row>
      <xdr:rowOff>0</xdr:rowOff>
    </xdr:from>
    <xdr:to>
      <xdr:col>1</xdr:col>
      <xdr:colOff>503463</xdr:colOff>
      <xdr:row>3</xdr:row>
      <xdr:rowOff>136072</xdr:rowOff>
    </xdr:to>
    <xdr:pic>
      <xdr:nvPicPr>
        <xdr:cNvPr id="2" name="Imagen 1" descr="C:\Users\AUXPLANEACION03\Desktop\Gobernacion_del_quindio.jpg">
          <a:extLst>
            <a:ext uri="{FF2B5EF4-FFF2-40B4-BE49-F238E27FC236}">
              <a16:creationId xmlns:a16="http://schemas.microsoft.com/office/drawing/2014/main" id="{DB3F359E-117B-40C4-B8CD-E2081F8FE6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721" y="0"/>
          <a:ext cx="891267" cy="105047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350384</xdr:colOff>
      <xdr:row>0</xdr:row>
      <xdr:rowOff>66335</xdr:rowOff>
    </xdr:from>
    <xdr:to>
      <xdr:col>1</xdr:col>
      <xdr:colOff>476250</xdr:colOff>
      <xdr:row>3</xdr:row>
      <xdr:rowOff>163285</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84" y="66335"/>
          <a:ext cx="1030741" cy="10113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180975</xdr:rowOff>
    </xdr:from>
    <xdr:to>
      <xdr:col>1</xdr:col>
      <xdr:colOff>576943</xdr:colOff>
      <xdr:row>3</xdr:row>
      <xdr:rowOff>95250</xdr:rowOff>
    </xdr:to>
    <xdr:pic>
      <xdr:nvPicPr>
        <xdr:cNvPr id="2" name="Imagen 1">
          <a:extLst>
            <a:ext uri="{FF2B5EF4-FFF2-40B4-BE49-F238E27FC236}">
              <a16:creationId xmlns:a16="http://schemas.microsoft.com/office/drawing/2014/main" id="{B40C0C3B-4F8C-4DAF-9271-630A831FC3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80975"/>
          <a:ext cx="1215118" cy="11144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285750</xdr:colOff>
      <xdr:row>0</xdr:row>
      <xdr:rowOff>193221</xdr:rowOff>
    </xdr:from>
    <xdr:to>
      <xdr:col>1</xdr:col>
      <xdr:colOff>299358</xdr:colOff>
      <xdr:row>3</xdr:row>
      <xdr:rowOff>163286</xdr:rowOff>
    </xdr:to>
    <xdr:pic>
      <xdr:nvPicPr>
        <xdr:cNvPr id="2" name="Imagen 1">
          <a:extLst>
            <a:ext uri="{FF2B5EF4-FFF2-40B4-BE49-F238E27FC236}">
              <a16:creationId xmlns:a16="http://schemas.microsoft.com/office/drawing/2014/main" id="{64AA3AC9-8E10-4D8B-9509-C3A49ED027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3221"/>
          <a:ext cx="994683" cy="102734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3</xdr:row>
      <xdr:rowOff>152400</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524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47625</xdr:colOff>
      <xdr:row>0</xdr:row>
      <xdr:rowOff>130969</xdr:rowOff>
    </xdr:from>
    <xdr:ext cx="947737" cy="757237"/>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30969"/>
          <a:ext cx="947737" cy="757237"/>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9CE12528-3633-4D97-8C9B-0E1768D39A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547007</xdr:colOff>
      <xdr:row>5</xdr:row>
      <xdr:rowOff>97518</xdr:rowOff>
    </xdr:to>
    <xdr:pic>
      <xdr:nvPicPr>
        <xdr:cNvPr id="2" name="Imagen 1" descr="C:\Users\AUXPLANEACION03\Desktop\Gobernacion_del_quindio.jpg">
          <a:extLst>
            <a:ext uri="{FF2B5EF4-FFF2-40B4-BE49-F238E27FC236}">
              <a16:creationId xmlns:a16="http://schemas.microsoft.com/office/drawing/2014/main" id="{93F3D384-FDF4-4BDE-84D5-6450DCEB98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8418" cy="1173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89921</xdr:colOff>
      <xdr:row>5</xdr:row>
      <xdr:rowOff>20865</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8121" cy="1020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122464</xdr:colOff>
      <xdr:row>6</xdr:row>
      <xdr:rowOff>126887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154906" cy="14984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10885</xdr:colOff>
      <xdr:row>0</xdr:row>
      <xdr:rowOff>244932</xdr:rowOff>
    </xdr:from>
    <xdr:to>
      <xdr:col>2</xdr:col>
      <xdr:colOff>171450</xdr:colOff>
      <xdr:row>3</xdr:row>
      <xdr:rowOff>259898</xdr:rowOff>
    </xdr:to>
    <xdr:pic>
      <xdr:nvPicPr>
        <xdr:cNvPr id="2" name="Imagen 1">
          <a:extLst>
            <a:ext uri="{FF2B5EF4-FFF2-40B4-BE49-F238E27FC236}">
              <a16:creationId xmlns:a16="http://schemas.microsoft.com/office/drawing/2014/main" id="{B8FCAEDC-9CC9-4F4D-B37A-478B3883E7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85" y="244932"/>
          <a:ext cx="855890" cy="107224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10885</xdr:colOff>
      <xdr:row>0</xdr:row>
      <xdr:rowOff>244932</xdr:rowOff>
    </xdr:from>
    <xdr:to>
      <xdr:col>2</xdr:col>
      <xdr:colOff>95250</xdr:colOff>
      <xdr:row>3</xdr:row>
      <xdr:rowOff>231323</xdr:rowOff>
    </xdr:to>
    <xdr:pic>
      <xdr:nvPicPr>
        <xdr:cNvPr id="2" name="Imagen 1">
          <a:extLst>
            <a:ext uri="{FF2B5EF4-FFF2-40B4-BE49-F238E27FC236}">
              <a16:creationId xmlns:a16="http://schemas.microsoft.com/office/drawing/2014/main" id="{31E63002-0269-46E6-A741-FB589F5921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85" y="244932"/>
          <a:ext cx="855890" cy="104366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206374</xdr:colOff>
      <xdr:row>0</xdr:row>
      <xdr:rowOff>43090</xdr:rowOff>
    </xdr:from>
    <xdr:to>
      <xdr:col>1</xdr:col>
      <xdr:colOff>68035</xdr:colOff>
      <xdr:row>3</xdr:row>
      <xdr:rowOff>285750</xdr:rowOff>
    </xdr:to>
    <xdr:pic>
      <xdr:nvPicPr>
        <xdr:cNvPr id="2" name="Imagen 1" descr="C:\Users\AUXPLANEACION03\Desktop\Gobernacion_del_quindio.jpg">
          <a:extLst>
            <a:ext uri="{FF2B5EF4-FFF2-40B4-BE49-F238E27FC236}">
              <a16:creationId xmlns:a16="http://schemas.microsoft.com/office/drawing/2014/main" id="{0D2E2FAE-1319-49E8-862B-76837EC482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4" y="43090"/>
          <a:ext cx="1004661" cy="121421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243;n%202021/SGTO%20PDD%202021/SGTO%20JUNIO%202021%20TRABAJO/UNIDADES/INDEPORTES/SGTO%20INDEPORTES%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efreshError="1">
        <row r="9">
          <cell r="C9">
            <v>295972</v>
          </cell>
          <cell r="D9">
            <v>285580</v>
          </cell>
          <cell r="E9">
            <v>135545</v>
          </cell>
          <cell r="F9">
            <v>44254</v>
          </cell>
          <cell r="G9">
            <v>309146</v>
          </cell>
          <cell r="H9">
            <v>92607</v>
          </cell>
          <cell r="I9">
            <v>2145</v>
          </cell>
          <cell r="J9">
            <v>12718</v>
          </cell>
          <cell r="K9">
            <v>26</v>
          </cell>
          <cell r="L9">
            <v>37</v>
          </cell>
          <cell r="M9">
            <v>0</v>
          </cell>
          <cell r="N9">
            <v>0</v>
          </cell>
          <cell r="O9">
            <v>44350</v>
          </cell>
          <cell r="P9">
            <v>21944</v>
          </cell>
          <cell r="Q9">
            <v>75687</v>
          </cell>
          <cell r="R9">
            <v>581552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sheetName val="F-PLA-47 METAS INDEPORTES"/>
      <sheetName val="F-PLA-06 PLAN DE ACCION"/>
      <sheetName val="F-PLA-07 SGTO PLAN ACCION"/>
      <sheetName val="F-PLA-39 INVERSION TERRITORIAL"/>
      <sheetName val="GESTION RECURSOS"/>
    </sheetNames>
    <sheetDataSet>
      <sheetData sheetId="0"/>
      <sheetData sheetId="1">
        <row r="83">
          <cell r="S83">
            <v>13010854314.189999</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36"/>
  <sheetViews>
    <sheetView showGridLines="0" zoomScale="70" zoomScaleNormal="70" workbookViewId="0">
      <selection activeCell="T12" sqref="T12:T14"/>
    </sheetView>
  </sheetViews>
  <sheetFormatPr baseColWidth="10" defaultColWidth="11.42578125" defaultRowHeight="15" x14ac:dyDescent="0.25"/>
  <cols>
    <col min="1" max="1" width="10.5703125" style="130" customWidth="1"/>
    <col min="2" max="4" width="11.140625" style="4" customWidth="1"/>
    <col min="5" max="5" width="10.5703125" style="4" customWidth="1"/>
    <col min="6" max="6" width="11.7109375" style="4" customWidth="1"/>
    <col min="7" max="7" width="11.28515625" style="4" customWidth="1"/>
    <col min="8" max="8" width="22.28515625" style="131" customWidth="1"/>
    <col min="9" max="9" width="22.7109375" style="4" customWidth="1"/>
    <col min="10" max="10" width="27.28515625" style="131" customWidth="1"/>
    <col min="11" max="11" width="14.140625" style="4" customWidth="1"/>
    <col min="12" max="12" width="26.85546875" style="132" customWidth="1"/>
    <col min="13" max="13" width="18.140625" style="4" customWidth="1"/>
    <col min="14" max="14" width="24.28515625" style="132" customWidth="1"/>
    <col min="15" max="15" width="18.28515625" style="3" customWidth="1"/>
    <col min="16" max="16" width="21.28515625" style="3" customWidth="1"/>
    <col min="17" max="17" width="27.140625" style="132" customWidth="1"/>
    <col min="18" max="18" width="19.5703125" style="133" customWidth="1"/>
    <col min="19" max="19" width="27.42578125" style="134" customWidth="1"/>
    <col min="20" max="20" width="36.140625" style="135" customWidth="1"/>
    <col min="21" max="21" width="39" style="132" customWidth="1"/>
    <col min="22" max="22" width="46.28515625" style="132" customWidth="1"/>
    <col min="23" max="23" width="26.85546875" style="3" customWidth="1"/>
    <col min="24" max="24" width="49.7109375" style="3" customWidth="1"/>
    <col min="25" max="25" width="9.7109375" style="143" bestFit="1" customWidth="1"/>
    <col min="26" max="26" width="15" style="137" customWidth="1"/>
    <col min="27" max="27" width="9.7109375" style="3" bestFit="1" customWidth="1"/>
    <col min="28" max="28" width="9.85546875" style="4" customWidth="1"/>
    <col min="29" max="29" width="10.28515625" style="4" customWidth="1"/>
    <col min="30" max="30" width="8.42578125" style="4" bestFit="1" customWidth="1"/>
    <col min="31" max="31" width="10.28515625" style="4" customWidth="1"/>
    <col min="32" max="32" width="9.42578125" style="4" customWidth="1"/>
    <col min="33" max="33" width="9.140625" style="4" customWidth="1"/>
    <col min="34" max="34" width="8.85546875" style="4" customWidth="1"/>
    <col min="35" max="35" width="8.42578125" style="4" bestFit="1" customWidth="1"/>
    <col min="36" max="36" width="8.42578125" style="4" customWidth="1"/>
    <col min="37" max="38" width="8.42578125" style="4" bestFit="1" customWidth="1"/>
    <col min="39" max="39" width="9.140625" style="4" bestFit="1" customWidth="1"/>
    <col min="40" max="40" width="10.42578125" style="4" customWidth="1"/>
    <col min="41" max="41" width="11.85546875" style="4" customWidth="1"/>
    <col min="42" max="42" width="10.5703125" style="4" customWidth="1"/>
    <col min="43" max="43" width="12.5703125" style="4" customWidth="1"/>
    <col min="44" max="44" width="17.140625" style="4" customWidth="1"/>
    <col min="45" max="45" width="19.7109375" style="138" customWidth="1"/>
    <col min="46" max="46" width="25.140625" style="139" customWidth="1"/>
    <col min="47" max="16384" width="11.42578125" style="4"/>
  </cols>
  <sheetData>
    <row r="1" spans="1:65" ht="15.75" customHeight="1" x14ac:dyDescent="0.2">
      <c r="A1" s="2015" t="s">
        <v>0</v>
      </c>
      <c r="B1" s="2016"/>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016"/>
      <c r="AC1" s="2016"/>
      <c r="AD1" s="2016"/>
      <c r="AE1" s="2016"/>
      <c r="AF1" s="2016"/>
      <c r="AG1" s="2016"/>
      <c r="AH1" s="2016"/>
      <c r="AI1" s="2016"/>
      <c r="AJ1" s="2016"/>
      <c r="AK1" s="2016"/>
      <c r="AL1" s="2016"/>
      <c r="AM1" s="2016"/>
      <c r="AN1" s="2016"/>
      <c r="AO1" s="2016"/>
      <c r="AP1" s="2016"/>
      <c r="AQ1" s="2016"/>
      <c r="AR1" s="2017"/>
      <c r="AS1" s="1" t="s">
        <v>1</v>
      </c>
      <c r="AT1" s="2" t="s">
        <v>2</v>
      </c>
      <c r="AU1" s="3"/>
      <c r="AV1" s="3"/>
      <c r="AW1" s="3"/>
      <c r="AX1" s="3"/>
      <c r="AY1" s="3"/>
      <c r="AZ1" s="3"/>
      <c r="BA1" s="3"/>
      <c r="BB1" s="3"/>
      <c r="BC1" s="3"/>
      <c r="BD1" s="3"/>
      <c r="BE1" s="3"/>
      <c r="BF1" s="3"/>
      <c r="BG1" s="3"/>
      <c r="BH1" s="3"/>
      <c r="BI1" s="3"/>
      <c r="BJ1" s="3"/>
      <c r="BK1" s="3"/>
      <c r="BL1" s="3"/>
      <c r="BM1" s="3"/>
    </row>
    <row r="2" spans="1:65" ht="15.75" x14ac:dyDescent="0.2">
      <c r="A2" s="2016"/>
      <c r="B2" s="2016"/>
      <c r="C2" s="2016"/>
      <c r="D2" s="2016"/>
      <c r="E2" s="2016"/>
      <c r="F2" s="2016"/>
      <c r="G2" s="2016"/>
      <c r="H2" s="2016"/>
      <c r="I2" s="2016"/>
      <c r="J2" s="2016"/>
      <c r="K2" s="2016"/>
      <c r="L2" s="2016"/>
      <c r="M2" s="2016"/>
      <c r="N2" s="2016"/>
      <c r="O2" s="2016"/>
      <c r="P2" s="2016"/>
      <c r="Q2" s="2016"/>
      <c r="R2" s="2016"/>
      <c r="S2" s="2016"/>
      <c r="T2" s="2016"/>
      <c r="U2" s="2016"/>
      <c r="V2" s="2016"/>
      <c r="W2" s="2016"/>
      <c r="X2" s="2016"/>
      <c r="Y2" s="2016"/>
      <c r="Z2" s="2016"/>
      <c r="AA2" s="2016"/>
      <c r="AB2" s="2016"/>
      <c r="AC2" s="2016"/>
      <c r="AD2" s="2016"/>
      <c r="AE2" s="2016"/>
      <c r="AF2" s="2016"/>
      <c r="AG2" s="2016"/>
      <c r="AH2" s="2016"/>
      <c r="AI2" s="2016"/>
      <c r="AJ2" s="2016"/>
      <c r="AK2" s="2016"/>
      <c r="AL2" s="2016"/>
      <c r="AM2" s="2016"/>
      <c r="AN2" s="2016"/>
      <c r="AO2" s="2016"/>
      <c r="AP2" s="2016"/>
      <c r="AQ2" s="2016"/>
      <c r="AR2" s="2017"/>
      <c r="AS2" s="1" t="s">
        <v>3</v>
      </c>
      <c r="AT2" s="5">
        <v>9</v>
      </c>
      <c r="AU2" s="3"/>
      <c r="AV2" s="3"/>
      <c r="AW2" s="3"/>
      <c r="AX2" s="3"/>
      <c r="AY2" s="3"/>
      <c r="AZ2" s="3"/>
      <c r="BA2" s="3"/>
      <c r="BB2" s="3"/>
      <c r="BC2" s="3"/>
      <c r="BD2" s="3"/>
      <c r="BE2" s="3"/>
      <c r="BF2" s="3"/>
      <c r="BG2" s="3"/>
      <c r="BH2" s="3"/>
      <c r="BI2" s="3"/>
      <c r="BJ2" s="3"/>
      <c r="BK2" s="3"/>
      <c r="BL2" s="3"/>
      <c r="BM2" s="3"/>
    </row>
    <row r="3" spans="1:65" ht="15.75" x14ac:dyDescent="0.2">
      <c r="A3" s="2016"/>
      <c r="B3" s="2016"/>
      <c r="C3" s="2016"/>
      <c r="D3" s="2016"/>
      <c r="E3" s="2016"/>
      <c r="F3" s="2016"/>
      <c r="G3" s="2016"/>
      <c r="H3" s="2016"/>
      <c r="I3" s="2016"/>
      <c r="J3" s="2016"/>
      <c r="K3" s="2016"/>
      <c r="L3" s="2016"/>
      <c r="M3" s="2016"/>
      <c r="N3" s="2016"/>
      <c r="O3" s="2016"/>
      <c r="P3" s="2016"/>
      <c r="Q3" s="2016"/>
      <c r="R3" s="2016"/>
      <c r="S3" s="2016"/>
      <c r="T3" s="2016"/>
      <c r="U3" s="2016"/>
      <c r="V3" s="2016"/>
      <c r="W3" s="2016"/>
      <c r="X3" s="2016"/>
      <c r="Y3" s="2016"/>
      <c r="Z3" s="2016"/>
      <c r="AA3" s="2016"/>
      <c r="AB3" s="2016"/>
      <c r="AC3" s="2016"/>
      <c r="AD3" s="2016"/>
      <c r="AE3" s="2016"/>
      <c r="AF3" s="2016"/>
      <c r="AG3" s="2016"/>
      <c r="AH3" s="2016"/>
      <c r="AI3" s="2016"/>
      <c r="AJ3" s="2016"/>
      <c r="AK3" s="2016"/>
      <c r="AL3" s="2016"/>
      <c r="AM3" s="2016"/>
      <c r="AN3" s="2016"/>
      <c r="AO3" s="2016"/>
      <c r="AP3" s="2016"/>
      <c r="AQ3" s="2016"/>
      <c r="AR3" s="2017"/>
      <c r="AS3" s="1" t="s">
        <v>4</v>
      </c>
      <c r="AT3" s="6">
        <v>44266</v>
      </c>
      <c r="AU3" s="3"/>
      <c r="AV3" s="3"/>
      <c r="AW3" s="3"/>
      <c r="AX3" s="3"/>
      <c r="AY3" s="3"/>
      <c r="AZ3" s="3"/>
      <c r="BA3" s="3"/>
      <c r="BB3" s="3"/>
      <c r="BC3" s="3"/>
      <c r="BD3" s="3"/>
      <c r="BE3" s="3"/>
      <c r="BF3" s="3"/>
      <c r="BG3" s="3"/>
      <c r="BH3" s="3"/>
      <c r="BI3" s="3"/>
      <c r="BJ3" s="3"/>
      <c r="BK3" s="3"/>
      <c r="BL3" s="3"/>
      <c r="BM3" s="3"/>
    </row>
    <row r="4" spans="1:65" ht="15.75" x14ac:dyDescent="0.25">
      <c r="A4" s="2018"/>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8"/>
      <c r="AR4" s="2019"/>
      <c r="AS4" s="1" t="s">
        <v>5</v>
      </c>
      <c r="AT4" s="8" t="s">
        <v>6</v>
      </c>
      <c r="AU4" s="3"/>
      <c r="AV4" s="3"/>
      <c r="AW4" s="3"/>
      <c r="AX4" s="3"/>
      <c r="AY4" s="3"/>
      <c r="AZ4" s="3"/>
      <c r="BA4" s="3"/>
      <c r="BB4" s="3"/>
      <c r="BC4" s="3"/>
      <c r="BD4" s="3"/>
      <c r="BE4" s="3"/>
      <c r="BF4" s="3"/>
      <c r="BG4" s="3"/>
      <c r="BH4" s="3"/>
      <c r="BI4" s="3"/>
      <c r="BJ4" s="3"/>
      <c r="BK4" s="3"/>
      <c r="BL4" s="3"/>
      <c r="BM4" s="3"/>
    </row>
    <row r="5" spans="1:65" ht="15.75" x14ac:dyDescent="0.25">
      <c r="A5" s="2020" t="s">
        <v>7</v>
      </c>
      <c r="B5" s="2020"/>
      <c r="C5" s="2020"/>
      <c r="D5" s="2020"/>
      <c r="E5" s="2020"/>
      <c r="F5" s="2020"/>
      <c r="G5" s="2020"/>
      <c r="H5" s="2020"/>
      <c r="I5" s="2020"/>
      <c r="J5" s="2020"/>
      <c r="K5" s="2020"/>
      <c r="L5" s="2020"/>
      <c r="M5" s="2020"/>
      <c r="N5" s="2020"/>
      <c r="O5" s="2020"/>
      <c r="P5" s="2021"/>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2021"/>
      <c r="AU5" s="3"/>
      <c r="AV5" s="3"/>
      <c r="AW5" s="3"/>
      <c r="AX5" s="3"/>
      <c r="AY5" s="3"/>
      <c r="AZ5" s="3"/>
      <c r="BA5" s="3"/>
      <c r="BB5" s="3"/>
      <c r="BC5" s="3"/>
      <c r="BD5" s="3"/>
      <c r="BE5" s="3"/>
      <c r="BF5" s="3"/>
      <c r="BG5" s="3"/>
      <c r="BH5" s="3"/>
      <c r="BI5" s="3"/>
      <c r="BJ5" s="3"/>
      <c r="BK5" s="3"/>
      <c r="BL5" s="3"/>
      <c r="BM5" s="3"/>
    </row>
    <row r="6" spans="1:65" ht="15.75" x14ac:dyDescent="0.25">
      <c r="A6" s="2018"/>
      <c r="B6" s="2018"/>
      <c r="C6" s="2018"/>
      <c r="D6" s="2018"/>
      <c r="E6" s="2018"/>
      <c r="F6" s="2018"/>
      <c r="G6" s="2018"/>
      <c r="H6" s="2018"/>
      <c r="I6" s="2018"/>
      <c r="J6" s="2018"/>
      <c r="K6" s="2018"/>
      <c r="L6" s="2018"/>
      <c r="M6" s="2018"/>
      <c r="N6" s="2018"/>
      <c r="O6" s="2018"/>
      <c r="P6" s="11"/>
      <c r="Q6" s="12"/>
      <c r="R6" s="11"/>
      <c r="S6" s="11"/>
      <c r="T6" s="12"/>
      <c r="U6" s="12"/>
      <c r="V6" s="12"/>
      <c r="W6" s="11"/>
      <c r="X6" s="11"/>
      <c r="Y6" s="11"/>
      <c r="Z6" s="11"/>
      <c r="AA6" s="2022" t="s">
        <v>8</v>
      </c>
      <c r="AB6" s="2016"/>
      <c r="AC6" s="2016"/>
      <c r="AD6" s="2016"/>
      <c r="AE6" s="2016"/>
      <c r="AF6" s="2016"/>
      <c r="AG6" s="2016"/>
      <c r="AH6" s="2016"/>
      <c r="AI6" s="2016"/>
      <c r="AJ6" s="2016"/>
      <c r="AK6" s="2016"/>
      <c r="AL6" s="2016"/>
      <c r="AM6" s="2016"/>
      <c r="AN6" s="2016"/>
      <c r="AO6" s="2016"/>
      <c r="AP6" s="2017"/>
      <c r="AQ6" s="11"/>
      <c r="AR6" s="11"/>
      <c r="AS6" s="11"/>
      <c r="AT6" s="13"/>
      <c r="AU6" s="3"/>
      <c r="AV6" s="3"/>
      <c r="AW6" s="3"/>
      <c r="AX6" s="3"/>
      <c r="AY6" s="3"/>
      <c r="AZ6" s="3"/>
      <c r="BA6" s="3"/>
      <c r="BB6" s="3"/>
      <c r="BC6" s="3"/>
      <c r="BD6" s="3"/>
      <c r="BE6" s="3"/>
      <c r="BF6" s="3"/>
      <c r="BG6" s="3"/>
      <c r="BH6" s="3"/>
      <c r="BI6" s="3"/>
      <c r="BJ6" s="3"/>
      <c r="BK6" s="3"/>
      <c r="BL6" s="3"/>
      <c r="BM6" s="3"/>
    </row>
    <row r="7" spans="1:65" ht="27" customHeight="1" x14ac:dyDescent="0.25">
      <c r="A7" s="2023" t="s">
        <v>9</v>
      </c>
      <c r="B7" s="2023"/>
      <c r="C7" s="2023" t="s">
        <v>10</v>
      </c>
      <c r="D7" s="2023"/>
      <c r="E7" s="2023" t="s">
        <v>11</v>
      </c>
      <c r="F7" s="2023"/>
      <c r="G7" s="2023" t="s">
        <v>12</v>
      </c>
      <c r="H7" s="2023"/>
      <c r="I7" s="2023"/>
      <c r="J7" s="2023"/>
      <c r="K7" s="2023" t="s">
        <v>13</v>
      </c>
      <c r="L7" s="2023"/>
      <c r="M7" s="2023"/>
      <c r="N7" s="2023"/>
      <c r="O7" s="2024" t="s">
        <v>14</v>
      </c>
      <c r="P7" s="2025"/>
      <c r="Q7" s="2025"/>
      <c r="R7" s="2025"/>
      <c r="S7" s="2025"/>
      <c r="T7" s="2025"/>
      <c r="U7" s="2025"/>
      <c r="V7" s="2025"/>
      <c r="W7" s="2025"/>
      <c r="X7" s="2023" t="s">
        <v>15</v>
      </c>
      <c r="Y7" s="2023"/>
      <c r="Z7" s="2023"/>
      <c r="AA7" s="2045" t="s">
        <v>16</v>
      </c>
      <c r="AB7" s="2046"/>
      <c r="AC7" s="2047" t="s">
        <v>17</v>
      </c>
      <c r="AD7" s="2048"/>
      <c r="AE7" s="2048"/>
      <c r="AF7" s="2048"/>
      <c r="AG7" s="2049" t="s">
        <v>18</v>
      </c>
      <c r="AH7" s="2049"/>
      <c r="AI7" s="2049"/>
      <c r="AJ7" s="2049"/>
      <c r="AK7" s="2049"/>
      <c r="AL7" s="2049"/>
      <c r="AM7" s="2049"/>
      <c r="AN7" s="2050" t="s">
        <v>19</v>
      </c>
      <c r="AO7" s="2050"/>
      <c r="AP7" s="2050"/>
      <c r="AQ7" s="2051" t="s">
        <v>20</v>
      </c>
      <c r="AR7" s="2036" t="s">
        <v>21</v>
      </c>
      <c r="AS7" s="2036" t="s">
        <v>22</v>
      </c>
      <c r="AT7" s="2038" t="s">
        <v>23</v>
      </c>
      <c r="AU7" s="3"/>
      <c r="AV7" s="3"/>
      <c r="AW7" s="3"/>
      <c r="AX7" s="3"/>
      <c r="AY7" s="3"/>
      <c r="AZ7" s="3"/>
      <c r="BA7" s="3"/>
      <c r="BB7" s="3"/>
      <c r="BC7" s="3"/>
      <c r="BD7" s="3"/>
      <c r="BE7" s="3"/>
      <c r="BF7" s="3"/>
      <c r="BG7" s="3"/>
      <c r="BH7" s="3"/>
      <c r="BI7" s="3"/>
      <c r="BJ7" s="3"/>
      <c r="BK7" s="3"/>
      <c r="BL7" s="3"/>
      <c r="BM7" s="3"/>
    </row>
    <row r="8" spans="1:65" ht="108" customHeight="1" x14ac:dyDescent="0.25">
      <c r="A8" s="16" t="s">
        <v>24</v>
      </c>
      <c r="B8" s="16" t="s">
        <v>25</v>
      </c>
      <c r="C8" s="16" t="s">
        <v>24</v>
      </c>
      <c r="D8" s="16" t="s">
        <v>25</v>
      </c>
      <c r="E8" s="16" t="s">
        <v>24</v>
      </c>
      <c r="F8" s="16" t="s">
        <v>25</v>
      </c>
      <c r="G8" s="16" t="s">
        <v>26</v>
      </c>
      <c r="H8" s="16" t="s">
        <v>27</v>
      </c>
      <c r="I8" s="16" t="s">
        <v>28</v>
      </c>
      <c r="J8" s="16" t="s">
        <v>29</v>
      </c>
      <c r="K8" s="16" t="s">
        <v>26</v>
      </c>
      <c r="L8" s="16" t="s">
        <v>30</v>
      </c>
      <c r="M8" s="16" t="s">
        <v>31</v>
      </c>
      <c r="N8" s="16" t="s">
        <v>32</v>
      </c>
      <c r="O8" s="17" t="s">
        <v>33</v>
      </c>
      <c r="P8" s="16" t="s">
        <v>34</v>
      </c>
      <c r="Q8" s="16" t="s">
        <v>35</v>
      </c>
      <c r="R8" s="16" t="s">
        <v>36</v>
      </c>
      <c r="S8" s="16" t="s">
        <v>37</v>
      </c>
      <c r="T8" s="16" t="s">
        <v>38</v>
      </c>
      <c r="U8" s="16" t="s">
        <v>39</v>
      </c>
      <c r="V8" s="16" t="s">
        <v>40</v>
      </c>
      <c r="W8" s="18" t="s">
        <v>41</v>
      </c>
      <c r="X8" s="19" t="s">
        <v>42</v>
      </c>
      <c r="Y8" s="16" t="s">
        <v>43</v>
      </c>
      <c r="Z8" s="20" t="s">
        <v>25</v>
      </c>
      <c r="AA8" s="21" t="s">
        <v>44</v>
      </c>
      <c r="AB8" s="22" t="s">
        <v>45</v>
      </c>
      <c r="AC8" s="22" t="s">
        <v>46</v>
      </c>
      <c r="AD8" s="22" t="s">
        <v>47</v>
      </c>
      <c r="AE8" s="22" t="s">
        <v>48</v>
      </c>
      <c r="AF8" s="22" t="s">
        <v>49</v>
      </c>
      <c r="AG8" s="23" t="s">
        <v>50</v>
      </c>
      <c r="AH8" s="23" t="s">
        <v>51</v>
      </c>
      <c r="AI8" s="2040" t="s">
        <v>52</v>
      </c>
      <c r="AJ8" s="2040"/>
      <c r="AK8" s="23" t="s">
        <v>53</v>
      </c>
      <c r="AL8" s="23" t="s">
        <v>54</v>
      </c>
      <c r="AM8" s="23" t="s">
        <v>55</v>
      </c>
      <c r="AN8" s="23" t="s">
        <v>56</v>
      </c>
      <c r="AO8" s="23" t="s">
        <v>57</v>
      </c>
      <c r="AP8" s="23" t="s">
        <v>58</v>
      </c>
      <c r="AQ8" s="2051"/>
      <c r="AR8" s="2037"/>
      <c r="AS8" s="2037"/>
      <c r="AT8" s="2039"/>
      <c r="AU8" s="3"/>
      <c r="AV8" s="3"/>
      <c r="AW8" s="3"/>
      <c r="AX8" s="3"/>
      <c r="AY8" s="3"/>
      <c r="AZ8" s="3"/>
      <c r="BA8" s="3"/>
      <c r="BB8" s="3"/>
      <c r="BC8" s="3"/>
      <c r="BD8" s="3"/>
      <c r="BE8" s="3"/>
      <c r="BF8" s="3"/>
      <c r="BG8" s="3"/>
      <c r="BH8" s="3"/>
      <c r="BI8" s="3"/>
      <c r="BJ8" s="3"/>
      <c r="BK8" s="3"/>
      <c r="BL8" s="3"/>
      <c r="BM8" s="3"/>
    </row>
    <row r="9" spans="1:65" s="35" customFormat="1" ht="15" customHeight="1" x14ac:dyDescent="0.25">
      <c r="A9" s="25">
        <v>4</v>
      </c>
      <c r="B9" s="2041" t="s">
        <v>59</v>
      </c>
      <c r="C9" s="2042"/>
      <c r="D9" s="2042"/>
      <c r="E9" s="2042"/>
      <c r="F9" s="2042"/>
      <c r="G9" s="2042"/>
      <c r="H9" s="2042"/>
      <c r="I9" s="26"/>
      <c r="J9" s="27"/>
      <c r="K9" s="26"/>
      <c r="L9" s="27"/>
      <c r="M9" s="26"/>
      <c r="N9" s="27"/>
      <c r="O9" s="27"/>
      <c r="P9" s="26"/>
      <c r="Q9" s="27"/>
      <c r="R9" s="28"/>
      <c r="S9" s="29"/>
      <c r="T9" s="30"/>
      <c r="U9" s="27"/>
      <c r="V9" s="27"/>
      <c r="W9" s="27"/>
      <c r="X9" s="26"/>
      <c r="Y9" s="31"/>
      <c r="Z9" s="32"/>
      <c r="AA9" s="26"/>
      <c r="AB9" s="26"/>
      <c r="AC9" s="26"/>
      <c r="AD9" s="26"/>
      <c r="AE9" s="26"/>
      <c r="AF9" s="26"/>
      <c r="AG9" s="26"/>
      <c r="AH9" s="26"/>
      <c r="AI9" s="26"/>
      <c r="AJ9" s="26"/>
      <c r="AK9" s="26"/>
      <c r="AL9" s="26"/>
      <c r="AM9" s="26"/>
      <c r="AN9" s="26"/>
      <c r="AO9" s="26"/>
      <c r="AP9" s="26"/>
      <c r="AQ9" s="26"/>
      <c r="AR9" s="26"/>
      <c r="AS9" s="33"/>
      <c r="AT9" s="34"/>
      <c r="AU9" s="3"/>
      <c r="AV9" s="3"/>
      <c r="AW9" s="3"/>
      <c r="AX9" s="3"/>
      <c r="AY9" s="3"/>
      <c r="AZ9" s="3"/>
      <c r="BA9" s="3"/>
      <c r="BB9" s="3"/>
      <c r="BC9" s="3"/>
      <c r="BD9" s="3"/>
      <c r="BE9" s="3"/>
      <c r="BF9" s="3"/>
      <c r="BG9" s="3"/>
      <c r="BH9" s="3"/>
      <c r="BI9" s="3"/>
      <c r="BJ9" s="3"/>
      <c r="BK9" s="3"/>
    </row>
    <row r="10" spans="1:65" s="49" customFormat="1" ht="15.75" x14ac:dyDescent="0.25">
      <c r="A10" s="36"/>
      <c r="B10" s="37"/>
      <c r="C10" s="38">
        <v>45</v>
      </c>
      <c r="D10" s="2043" t="s">
        <v>60</v>
      </c>
      <c r="E10" s="2044"/>
      <c r="F10" s="2044"/>
      <c r="G10" s="2044"/>
      <c r="H10" s="2044"/>
      <c r="I10" s="2044"/>
      <c r="J10" s="39"/>
      <c r="K10" s="40"/>
      <c r="L10" s="39"/>
      <c r="M10" s="40"/>
      <c r="N10" s="39"/>
      <c r="O10" s="40"/>
      <c r="P10" s="40"/>
      <c r="Q10" s="39"/>
      <c r="R10" s="41"/>
      <c r="S10" s="42"/>
      <c r="T10" s="43"/>
      <c r="U10" s="39"/>
      <c r="V10" s="39"/>
      <c r="W10" s="40"/>
      <c r="X10" s="40"/>
      <c r="Y10" s="44"/>
      <c r="Z10" s="45"/>
      <c r="AA10" s="40"/>
      <c r="AB10" s="40"/>
      <c r="AC10" s="40"/>
      <c r="AD10" s="40"/>
      <c r="AE10" s="40"/>
      <c r="AF10" s="40"/>
      <c r="AG10" s="40"/>
      <c r="AH10" s="40"/>
      <c r="AI10" s="40"/>
      <c r="AJ10" s="40"/>
      <c r="AK10" s="40"/>
      <c r="AL10" s="40"/>
      <c r="AM10" s="40"/>
      <c r="AN10" s="40"/>
      <c r="AO10" s="40"/>
      <c r="AP10" s="40"/>
      <c r="AQ10" s="40"/>
      <c r="AR10" s="40"/>
      <c r="AS10" s="46"/>
      <c r="AT10" s="47"/>
      <c r="AU10" s="48"/>
      <c r="AV10" s="48"/>
      <c r="AW10" s="48"/>
      <c r="AX10" s="48"/>
      <c r="AY10" s="48"/>
      <c r="AZ10" s="48"/>
      <c r="BA10" s="48"/>
      <c r="BB10" s="48"/>
      <c r="BC10" s="48"/>
      <c r="BD10" s="48"/>
      <c r="BE10" s="48"/>
      <c r="BF10" s="48"/>
      <c r="BG10" s="48"/>
      <c r="BH10" s="48"/>
      <c r="BI10" s="48"/>
      <c r="BJ10" s="48"/>
      <c r="BK10" s="48"/>
    </row>
    <row r="11" spans="1:65" ht="15.75" x14ac:dyDescent="0.25">
      <c r="A11" s="50"/>
      <c r="B11" s="51"/>
      <c r="C11" s="52"/>
      <c r="D11" s="53"/>
      <c r="E11" s="54">
        <v>4599</v>
      </c>
      <c r="F11" s="55" t="s">
        <v>61</v>
      </c>
      <c r="G11" s="56"/>
      <c r="H11" s="57"/>
      <c r="I11" s="56"/>
      <c r="J11" s="57"/>
      <c r="K11" s="56"/>
      <c r="L11" s="57"/>
      <c r="M11" s="58"/>
      <c r="N11" s="59"/>
      <c r="O11" s="60"/>
      <c r="P11" s="60"/>
      <c r="Q11" s="61"/>
      <c r="R11" s="62"/>
      <c r="S11" s="63"/>
      <c r="T11" s="59"/>
      <c r="U11" s="59"/>
      <c r="V11" s="59"/>
      <c r="W11" s="63"/>
      <c r="X11" s="64"/>
      <c r="Y11" s="65"/>
      <c r="Z11" s="64"/>
      <c r="AA11" s="64"/>
      <c r="AB11" s="64"/>
      <c r="AC11" s="64"/>
      <c r="AD11" s="64"/>
      <c r="AE11" s="64"/>
      <c r="AF11" s="64"/>
      <c r="AG11" s="64"/>
      <c r="AH11" s="64"/>
      <c r="AI11" s="64"/>
      <c r="AJ11" s="64"/>
      <c r="AK11" s="64"/>
      <c r="AL11" s="64"/>
      <c r="AM11" s="64"/>
      <c r="AN11" s="64"/>
      <c r="AO11" s="64"/>
      <c r="AP11" s="64"/>
      <c r="AQ11" s="64"/>
      <c r="AR11" s="66"/>
      <c r="AS11" s="66"/>
      <c r="AT11" s="67"/>
      <c r="AU11" s="35"/>
      <c r="AV11" s="68"/>
      <c r="AW11" s="3"/>
      <c r="AX11" s="3"/>
      <c r="AY11" s="3"/>
      <c r="AZ11" s="3"/>
      <c r="BA11" s="3"/>
      <c r="BB11" s="3"/>
      <c r="BC11" s="3"/>
      <c r="BD11" s="3"/>
      <c r="BE11" s="3"/>
      <c r="BF11" s="3"/>
      <c r="BG11" s="3"/>
      <c r="BH11" s="3"/>
      <c r="BI11" s="3"/>
      <c r="BJ11" s="3"/>
      <c r="BK11" s="3"/>
    </row>
    <row r="12" spans="1:65" s="80" customFormat="1" ht="75" x14ac:dyDescent="0.25">
      <c r="A12" s="50"/>
      <c r="B12" s="51"/>
      <c r="C12" s="50"/>
      <c r="D12" s="51"/>
      <c r="E12" s="69"/>
      <c r="F12" s="70"/>
      <c r="G12" s="2026" t="s">
        <v>62</v>
      </c>
      <c r="H12" s="2029" t="s">
        <v>63</v>
      </c>
      <c r="I12" s="2032">
        <v>4599023</v>
      </c>
      <c r="J12" s="2033" t="s">
        <v>64</v>
      </c>
      <c r="K12" s="2034" t="s">
        <v>62</v>
      </c>
      <c r="L12" s="2035" t="s">
        <v>65</v>
      </c>
      <c r="M12" s="2034">
        <v>459902300</v>
      </c>
      <c r="N12" s="2033" t="s">
        <v>66</v>
      </c>
      <c r="O12" s="2076">
        <v>5</v>
      </c>
      <c r="P12" s="2079" t="s">
        <v>67</v>
      </c>
      <c r="Q12" s="2081" t="s">
        <v>68</v>
      </c>
      <c r="R12" s="2084">
        <f>SUM(W12:W14)/S12</f>
        <v>1</v>
      </c>
      <c r="S12" s="2064">
        <f>SUM(W12:W14)</f>
        <v>36000000</v>
      </c>
      <c r="T12" s="2035" t="s">
        <v>69</v>
      </c>
      <c r="U12" s="2035" t="s">
        <v>70</v>
      </c>
      <c r="V12" s="74" t="s">
        <v>71</v>
      </c>
      <c r="W12" s="75">
        <v>24945000</v>
      </c>
      <c r="X12" s="76" t="s">
        <v>72</v>
      </c>
      <c r="Y12" s="77">
        <v>20</v>
      </c>
      <c r="Z12" s="78" t="s">
        <v>73</v>
      </c>
      <c r="AA12" s="2053">
        <v>295972</v>
      </c>
      <c r="AB12" s="2053">
        <v>285580</v>
      </c>
      <c r="AC12" s="2053">
        <v>135545</v>
      </c>
      <c r="AD12" s="2053">
        <v>44254</v>
      </c>
      <c r="AE12" s="2053">
        <v>309146</v>
      </c>
      <c r="AF12" s="2061">
        <v>92607</v>
      </c>
      <c r="AG12" s="2053">
        <v>2145</v>
      </c>
      <c r="AH12" s="2053">
        <v>12718</v>
      </c>
      <c r="AI12" s="2053">
        <v>26</v>
      </c>
      <c r="AJ12" s="2053">
        <v>26</v>
      </c>
      <c r="AK12" s="2053">
        <v>37</v>
      </c>
      <c r="AL12" s="2053">
        <v>0</v>
      </c>
      <c r="AM12" s="2053">
        <v>0</v>
      </c>
      <c r="AN12" s="2053">
        <v>0</v>
      </c>
      <c r="AO12" s="2053">
        <v>21944</v>
      </c>
      <c r="AP12" s="2053">
        <v>75687</v>
      </c>
      <c r="AQ12" s="2053">
        <v>581552</v>
      </c>
      <c r="AR12" s="2075">
        <v>44211</v>
      </c>
      <c r="AS12" s="2052" t="s">
        <v>74</v>
      </c>
      <c r="AT12" s="2052" t="s">
        <v>75</v>
      </c>
      <c r="AU12" s="79"/>
      <c r="AV12" s="79"/>
    </row>
    <row r="13" spans="1:65" s="80" customFormat="1" ht="45" x14ac:dyDescent="0.25">
      <c r="A13" s="50"/>
      <c r="B13" s="51"/>
      <c r="C13" s="50"/>
      <c r="D13" s="51"/>
      <c r="E13" s="69"/>
      <c r="F13" s="69"/>
      <c r="G13" s="2027"/>
      <c r="H13" s="2030"/>
      <c r="I13" s="2032"/>
      <c r="J13" s="2033"/>
      <c r="K13" s="2034"/>
      <c r="L13" s="2035"/>
      <c r="M13" s="2034"/>
      <c r="N13" s="2033"/>
      <c r="O13" s="2077"/>
      <c r="P13" s="2079"/>
      <c r="Q13" s="2082"/>
      <c r="R13" s="2084"/>
      <c r="S13" s="2064"/>
      <c r="T13" s="2035"/>
      <c r="U13" s="2035"/>
      <c r="V13" s="74" t="s">
        <v>76</v>
      </c>
      <c r="W13" s="75">
        <v>5400000</v>
      </c>
      <c r="X13" s="76" t="s">
        <v>72</v>
      </c>
      <c r="Y13" s="77">
        <v>20</v>
      </c>
      <c r="Z13" s="78" t="s">
        <v>77</v>
      </c>
      <c r="AA13" s="2052"/>
      <c r="AB13" s="2052"/>
      <c r="AC13" s="2052"/>
      <c r="AD13" s="2052"/>
      <c r="AE13" s="2052"/>
      <c r="AF13" s="2062"/>
      <c r="AG13" s="2052"/>
      <c r="AH13" s="2052"/>
      <c r="AI13" s="2052"/>
      <c r="AJ13" s="2052"/>
      <c r="AK13" s="2052"/>
      <c r="AL13" s="2052"/>
      <c r="AM13" s="2052"/>
      <c r="AN13" s="2052"/>
      <c r="AO13" s="2052"/>
      <c r="AP13" s="2052"/>
      <c r="AQ13" s="2052"/>
      <c r="AR13" s="2052"/>
      <c r="AS13" s="2052"/>
      <c r="AT13" s="2052"/>
      <c r="AU13" s="79"/>
      <c r="AV13" s="79"/>
    </row>
    <row r="14" spans="1:65" s="80" customFormat="1" ht="30" x14ac:dyDescent="0.25">
      <c r="A14" s="50"/>
      <c r="B14" s="51"/>
      <c r="C14" s="50"/>
      <c r="D14" s="51"/>
      <c r="E14" s="69"/>
      <c r="F14" s="69"/>
      <c r="G14" s="2028"/>
      <c r="H14" s="2031"/>
      <c r="I14" s="2032"/>
      <c r="J14" s="2033"/>
      <c r="K14" s="2034"/>
      <c r="L14" s="2035"/>
      <c r="M14" s="2034"/>
      <c r="N14" s="2033"/>
      <c r="O14" s="2078"/>
      <c r="P14" s="2080"/>
      <c r="Q14" s="2083"/>
      <c r="R14" s="2084"/>
      <c r="S14" s="2064"/>
      <c r="T14" s="2035"/>
      <c r="U14" s="2035"/>
      <c r="V14" s="74" t="s">
        <v>78</v>
      </c>
      <c r="W14" s="75">
        <v>5655000</v>
      </c>
      <c r="X14" s="76" t="s">
        <v>72</v>
      </c>
      <c r="Y14" s="77">
        <v>20</v>
      </c>
      <c r="Z14" s="78" t="s">
        <v>77</v>
      </c>
      <c r="AA14" s="2052"/>
      <c r="AB14" s="2052"/>
      <c r="AC14" s="2052"/>
      <c r="AD14" s="2052"/>
      <c r="AE14" s="2052"/>
      <c r="AF14" s="2063"/>
      <c r="AG14" s="2052"/>
      <c r="AH14" s="2052"/>
      <c r="AI14" s="2052"/>
      <c r="AJ14" s="2052"/>
      <c r="AK14" s="2052"/>
      <c r="AL14" s="2052"/>
      <c r="AM14" s="2052"/>
      <c r="AN14" s="2052"/>
      <c r="AO14" s="2052"/>
      <c r="AP14" s="2052"/>
      <c r="AQ14" s="2052"/>
      <c r="AR14" s="2052"/>
      <c r="AS14" s="2052"/>
      <c r="AT14" s="2052"/>
      <c r="AU14" s="79"/>
      <c r="AV14" s="79"/>
    </row>
    <row r="15" spans="1:65" s="80" customFormat="1" ht="60" x14ac:dyDescent="0.25">
      <c r="A15" s="50"/>
      <c r="B15" s="51"/>
      <c r="C15" s="50"/>
      <c r="D15" s="51"/>
      <c r="E15" s="69"/>
      <c r="F15" s="69"/>
      <c r="G15" s="2054" t="s">
        <v>62</v>
      </c>
      <c r="H15" s="2055" t="s">
        <v>79</v>
      </c>
      <c r="I15" s="2057">
        <v>4599002</v>
      </c>
      <c r="J15" s="2033" t="s">
        <v>80</v>
      </c>
      <c r="K15" s="2032">
        <v>459900200</v>
      </c>
      <c r="L15" s="2055" t="s">
        <v>81</v>
      </c>
      <c r="M15" s="2065">
        <v>459900200</v>
      </c>
      <c r="N15" s="2067" t="s">
        <v>82</v>
      </c>
      <c r="O15" s="2069">
        <v>4</v>
      </c>
      <c r="P15" s="2071" t="s">
        <v>83</v>
      </c>
      <c r="Q15" s="2073" t="s">
        <v>84</v>
      </c>
      <c r="R15" s="2084" t="e">
        <f>SUM(W15:W17)/S15</f>
        <v>#DIV/0!</v>
      </c>
      <c r="S15" s="2086" t="b">
        <f>AE12=SUM(W15:W17)</f>
        <v>0</v>
      </c>
      <c r="T15" s="2055" t="s">
        <v>69</v>
      </c>
      <c r="U15" s="2055" t="s">
        <v>85</v>
      </c>
      <c r="V15" s="84" t="s">
        <v>86</v>
      </c>
      <c r="W15" s="85">
        <v>6000000</v>
      </c>
      <c r="X15" s="76" t="s">
        <v>87</v>
      </c>
      <c r="Y15" s="77">
        <v>20</v>
      </c>
      <c r="Z15" s="78" t="s">
        <v>77</v>
      </c>
      <c r="AA15" s="2085">
        <v>2476</v>
      </c>
      <c r="AB15" s="2085">
        <v>3918</v>
      </c>
      <c r="AC15" s="2085">
        <v>0</v>
      </c>
      <c r="AD15" s="2085">
        <v>0</v>
      </c>
      <c r="AE15" s="2085">
        <v>0</v>
      </c>
      <c r="AF15" s="2085">
        <v>0</v>
      </c>
      <c r="AG15" s="2085">
        <v>0</v>
      </c>
      <c r="AH15" s="2085">
        <v>0</v>
      </c>
      <c r="AI15" s="2085">
        <v>0</v>
      </c>
      <c r="AJ15" s="2085">
        <v>0</v>
      </c>
      <c r="AK15" s="2085">
        <v>0</v>
      </c>
      <c r="AL15" s="2085">
        <v>0</v>
      </c>
      <c r="AM15" s="2085">
        <v>0</v>
      </c>
      <c r="AN15" s="2085">
        <v>0</v>
      </c>
      <c r="AO15" s="2085">
        <v>0</v>
      </c>
      <c r="AP15" s="2085">
        <v>0</v>
      </c>
      <c r="AQ15" s="2085">
        <v>6394</v>
      </c>
      <c r="AR15" s="2087">
        <v>44211</v>
      </c>
      <c r="AS15" s="2052" t="s">
        <v>74</v>
      </c>
      <c r="AT15" s="2052" t="s">
        <v>88</v>
      </c>
      <c r="AU15" s="79"/>
      <c r="AV15" s="79"/>
    </row>
    <row r="16" spans="1:65" s="80" customFormat="1" ht="45" x14ac:dyDescent="0.25">
      <c r="A16" s="50"/>
      <c r="B16" s="51"/>
      <c r="C16" s="50"/>
      <c r="D16" s="51"/>
      <c r="E16" s="69"/>
      <c r="F16" s="69"/>
      <c r="G16" s="2054"/>
      <c r="H16" s="2055"/>
      <c r="I16" s="2057"/>
      <c r="J16" s="2033"/>
      <c r="K16" s="2032"/>
      <c r="L16" s="2055"/>
      <c r="M16" s="2066"/>
      <c r="N16" s="2068"/>
      <c r="O16" s="2070"/>
      <c r="P16" s="2072"/>
      <c r="Q16" s="2074"/>
      <c r="R16" s="2084"/>
      <c r="S16" s="2086"/>
      <c r="T16" s="2055"/>
      <c r="U16" s="2055"/>
      <c r="V16" s="84" t="s">
        <v>89</v>
      </c>
      <c r="W16" s="85">
        <v>32000000</v>
      </c>
      <c r="X16" s="76" t="s">
        <v>87</v>
      </c>
      <c r="Y16" s="77">
        <v>20</v>
      </c>
      <c r="Z16" s="78" t="s">
        <v>77</v>
      </c>
      <c r="AA16" s="2085"/>
      <c r="AB16" s="2085"/>
      <c r="AC16" s="2085"/>
      <c r="AD16" s="2085"/>
      <c r="AE16" s="2085"/>
      <c r="AF16" s="2085"/>
      <c r="AG16" s="2085"/>
      <c r="AH16" s="2085"/>
      <c r="AI16" s="2085"/>
      <c r="AJ16" s="2085"/>
      <c r="AK16" s="2085"/>
      <c r="AL16" s="2085"/>
      <c r="AM16" s="2085"/>
      <c r="AN16" s="2085"/>
      <c r="AO16" s="2085"/>
      <c r="AP16" s="2085"/>
      <c r="AQ16" s="2085"/>
      <c r="AR16" s="2088"/>
      <c r="AS16" s="2052"/>
      <c r="AT16" s="2052"/>
      <c r="AU16" s="79"/>
      <c r="AV16" s="79"/>
    </row>
    <row r="17" spans="1:48" s="80" customFormat="1" ht="45" x14ac:dyDescent="0.25">
      <c r="A17" s="50"/>
      <c r="B17" s="51"/>
      <c r="C17" s="50"/>
      <c r="D17" s="51"/>
      <c r="E17" s="69"/>
      <c r="F17" s="69"/>
      <c r="G17" s="2054"/>
      <c r="H17" s="2056"/>
      <c r="I17" s="2058"/>
      <c r="J17" s="2059"/>
      <c r="K17" s="2060"/>
      <c r="L17" s="2056"/>
      <c r="M17" s="2066"/>
      <c r="N17" s="2068"/>
      <c r="O17" s="2070"/>
      <c r="P17" s="2072"/>
      <c r="Q17" s="2074"/>
      <c r="R17" s="2084"/>
      <c r="S17" s="2086"/>
      <c r="T17" s="2055"/>
      <c r="U17" s="2055"/>
      <c r="V17" s="84" t="s">
        <v>90</v>
      </c>
      <c r="W17" s="85">
        <v>12000000</v>
      </c>
      <c r="X17" s="76" t="s">
        <v>87</v>
      </c>
      <c r="Y17" s="77">
        <v>20</v>
      </c>
      <c r="Z17" s="78" t="s">
        <v>77</v>
      </c>
      <c r="AA17" s="2085"/>
      <c r="AB17" s="2085"/>
      <c r="AC17" s="2085"/>
      <c r="AD17" s="2085"/>
      <c r="AE17" s="2085"/>
      <c r="AF17" s="2085"/>
      <c r="AG17" s="2085"/>
      <c r="AH17" s="2085"/>
      <c r="AI17" s="2085"/>
      <c r="AJ17" s="2085"/>
      <c r="AK17" s="2085"/>
      <c r="AL17" s="2085"/>
      <c r="AM17" s="2085"/>
      <c r="AN17" s="2085"/>
      <c r="AO17" s="2085"/>
      <c r="AP17" s="2085"/>
      <c r="AQ17" s="2085"/>
      <c r="AR17" s="2089"/>
      <c r="AS17" s="2052"/>
      <c r="AT17" s="2052"/>
      <c r="AU17" s="79"/>
      <c r="AV17" s="79"/>
    </row>
    <row r="18" spans="1:48" s="80" customFormat="1" ht="225" x14ac:dyDescent="0.25">
      <c r="A18" s="50"/>
      <c r="B18" s="51"/>
      <c r="C18" s="50"/>
      <c r="D18" s="51"/>
      <c r="E18" s="69"/>
      <c r="F18" s="69"/>
      <c r="G18" s="88" t="s">
        <v>62</v>
      </c>
      <c r="H18" s="89" t="s">
        <v>91</v>
      </c>
      <c r="I18" s="90">
        <v>4599023</v>
      </c>
      <c r="J18" s="89" t="s">
        <v>64</v>
      </c>
      <c r="K18" s="91">
        <v>459902301</v>
      </c>
      <c r="L18" s="89" t="s">
        <v>92</v>
      </c>
      <c r="M18" s="91">
        <v>459902301</v>
      </c>
      <c r="N18" s="89" t="s">
        <v>93</v>
      </c>
      <c r="O18" s="92">
        <v>1</v>
      </c>
      <c r="P18" s="93" t="s">
        <v>94</v>
      </c>
      <c r="Q18" s="94" t="s">
        <v>95</v>
      </c>
      <c r="R18" s="95">
        <f>W18/S18</f>
        <v>1</v>
      </c>
      <c r="S18" s="96">
        <f>SUM(W18)</f>
        <v>50000000</v>
      </c>
      <c r="T18" s="89" t="s">
        <v>96</v>
      </c>
      <c r="U18" s="74" t="s">
        <v>97</v>
      </c>
      <c r="V18" s="89" t="s">
        <v>98</v>
      </c>
      <c r="W18" s="97">
        <v>50000000</v>
      </c>
      <c r="X18" s="76" t="s">
        <v>99</v>
      </c>
      <c r="Y18" s="77">
        <v>20</v>
      </c>
      <c r="Z18" s="78" t="s">
        <v>77</v>
      </c>
      <c r="AA18" s="90">
        <v>295972</v>
      </c>
      <c r="AB18" s="90">
        <v>285580</v>
      </c>
      <c r="AC18" s="90">
        <v>135545</v>
      </c>
      <c r="AD18" s="90">
        <v>44254</v>
      </c>
      <c r="AE18" s="90">
        <v>309146</v>
      </c>
      <c r="AF18" s="90">
        <v>92607</v>
      </c>
      <c r="AG18" s="90">
        <v>2145</v>
      </c>
      <c r="AH18" s="90">
        <v>12718</v>
      </c>
      <c r="AI18" s="90">
        <v>26</v>
      </c>
      <c r="AJ18" s="90"/>
      <c r="AK18" s="90">
        <v>37</v>
      </c>
      <c r="AL18" s="90">
        <v>0</v>
      </c>
      <c r="AM18" s="90">
        <v>0</v>
      </c>
      <c r="AN18" s="90">
        <v>0</v>
      </c>
      <c r="AO18" s="90">
        <v>21944</v>
      </c>
      <c r="AP18" s="90">
        <v>75687</v>
      </c>
      <c r="AQ18" s="90">
        <v>581552</v>
      </c>
      <c r="AR18" s="98">
        <v>44211</v>
      </c>
      <c r="AS18" s="90" t="s">
        <v>74</v>
      </c>
      <c r="AT18" s="90" t="s">
        <v>75</v>
      </c>
      <c r="AU18" s="79"/>
      <c r="AV18" s="79"/>
    </row>
    <row r="19" spans="1:48" s="80" customFormat="1" ht="15.75" x14ac:dyDescent="0.25">
      <c r="A19" s="50"/>
      <c r="B19" s="51"/>
      <c r="C19" s="50"/>
      <c r="D19" s="51"/>
      <c r="E19" s="99">
        <v>4502</v>
      </c>
      <c r="F19" s="2090" t="s">
        <v>100</v>
      </c>
      <c r="G19" s="2091"/>
      <c r="H19" s="2091"/>
      <c r="I19" s="2091"/>
      <c r="J19" s="2091"/>
      <c r="K19" s="2091"/>
      <c r="L19" s="2091"/>
      <c r="M19" s="2091"/>
      <c r="N19" s="2091"/>
      <c r="O19" s="100"/>
      <c r="P19" s="101"/>
      <c r="Q19" s="102"/>
      <c r="R19" s="103"/>
      <c r="S19" s="104"/>
      <c r="T19" s="105"/>
      <c r="U19" s="105"/>
      <c r="V19" s="105"/>
      <c r="W19" s="106"/>
      <c r="X19" s="107"/>
      <c r="Y19" s="108"/>
      <c r="Z19" s="107"/>
      <c r="AA19" s="109"/>
      <c r="AB19" s="109"/>
      <c r="AC19" s="109"/>
      <c r="AD19" s="109"/>
      <c r="AE19" s="109"/>
      <c r="AF19" s="109"/>
      <c r="AG19" s="109"/>
      <c r="AH19" s="109"/>
      <c r="AI19" s="109"/>
      <c r="AJ19" s="109"/>
      <c r="AK19" s="109"/>
      <c r="AL19" s="109"/>
      <c r="AM19" s="109"/>
      <c r="AN19" s="109"/>
      <c r="AO19" s="109"/>
      <c r="AP19" s="109"/>
      <c r="AQ19" s="109"/>
      <c r="AR19" s="109"/>
      <c r="AS19" s="109"/>
      <c r="AT19" s="109"/>
      <c r="AU19" s="79"/>
      <c r="AV19" s="79"/>
    </row>
    <row r="20" spans="1:48" s="80" customFormat="1" ht="96" customHeight="1" x14ac:dyDescent="0.25">
      <c r="A20" s="50"/>
      <c r="B20" s="51"/>
      <c r="C20" s="50"/>
      <c r="D20" s="51"/>
      <c r="E20" s="69"/>
      <c r="F20" s="69"/>
      <c r="G20" s="2092" t="s">
        <v>62</v>
      </c>
      <c r="H20" s="2095" t="s">
        <v>101</v>
      </c>
      <c r="I20" s="2098">
        <v>4502033</v>
      </c>
      <c r="J20" s="2099" t="s">
        <v>102</v>
      </c>
      <c r="K20" s="2101" t="s">
        <v>62</v>
      </c>
      <c r="L20" s="2097" t="s">
        <v>103</v>
      </c>
      <c r="M20" s="2101">
        <v>450203300</v>
      </c>
      <c r="N20" s="2103" t="s">
        <v>104</v>
      </c>
      <c r="O20" s="2110">
        <v>1</v>
      </c>
      <c r="P20" s="2111" t="s">
        <v>105</v>
      </c>
      <c r="Q20" s="2112" t="s">
        <v>106</v>
      </c>
      <c r="R20" s="2114">
        <f>SUM(W20:W22)/S20</f>
        <v>1</v>
      </c>
      <c r="S20" s="2086">
        <f>SUM(W20:W22)</f>
        <v>40000000</v>
      </c>
      <c r="T20" s="2035" t="s">
        <v>107</v>
      </c>
      <c r="U20" s="2035" t="s">
        <v>108</v>
      </c>
      <c r="V20" s="2035" t="s">
        <v>109</v>
      </c>
      <c r="W20" s="75">
        <v>25000000</v>
      </c>
      <c r="X20" s="76" t="s">
        <v>110</v>
      </c>
      <c r="Y20" s="2108">
        <v>20</v>
      </c>
      <c r="Z20" s="2109" t="s">
        <v>77</v>
      </c>
      <c r="AA20" s="2085">
        <v>295972</v>
      </c>
      <c r="AB20" s="2085">
        <v>285580</v>
      </c>
      <c r="AC20" s="2085">
        <v>135545</v>
      </c>
      <c r="AD20" s="2085">
        <v>44254</v>
      </c>
      <c r="AE20" s="2085">
        <v>309146</v>
      </c>
      <c r="AF20" s="2085">
        <v>92607</v>
      </c>
      <c r="AG20" s="2085">
        <v>2145</v>
      </c>
      <c r="AH20" s="2085">
        <v>12718</v>
      </c>
      <c r="AI20" s="2085">
        <v>26</v>
      </c>
      <c r="AJ20" s="2085"/>
      <c r="AK20" s="2085">
        <v>37</v>
      </c>
      <c r="AL20" s="2085">
        <v>0</v>
      </c>
      <c r="AM20" s="2085">
        <v>0</v>
      </c>
      <c r="AN20" s="2085">
        <v>44350</v>
      </c>
      <c r="AO20" s="2085">
        <v>21944</v>
      </c>
      <c r="AP20" s="2085">
        <v>75687</v>
      </c>
      <c r="AQ20" s="2085">
        <v>581552</v>
      </c>
      <c r="AR20" s="2075">
        <v>44211</v>
      </c>
      <c r="AS20" s="2052" t="s">
        <v>74</v>
      </c>
      <c r="AT20" s="2052" t="s">
        <v>75</v>
      </c>
      <c r="AU20" s="79"/>
      <c r="AV20" s="79"/>
    </row>
    <row r="21" spans="1:48" s="80" customFormat="1" ht="75.75" customHeight="1" x14ac:dyDescent="0.25">
      <c r="A21" s="50"/>
      <c r="B21" s="51"/>
      <c r="C21" s="50"/>
      <c r="D21" s="51"/>
      <c r="E21" s="69"/>
      <c r="F21" s="69"/>
      <c r="G21" s="2093"/>
      <c r="H21" s="2096"/>
      <c r="I21" s="2070"/>
      <c r="J21" s="2100"/>
      <c r="K21" s="2102"/>
      <c r="L21" s="2068"/>
      <c r="M21" s="2102"/>
      <c r="N21" s="2104"/>
      <c r="O21" s="2110"/>
      <c r="P21" s="2111"/>
      <c r="Q21" s="2113"/>
      <c r="R21" s="2114"/>
      <c r="S21" s="2086"/>
      <c r="T21" s="2035"/>
      <c r="U21" s="2035"/>
      <c r="V21" s="2035"/>
      <c r="W21" s="75">
        <v>10000000</v>
      </c>
      <c r="X21" s="76" t="s">
        <v>111</v>
      </c>
      <c r="Y21" s="2108"/>
      <c r="Z21" s="2109"/>
      <c r="AA21" s="2085"/>
      <c r="AB21" s="2085"/>
      <c r="AC21" s="2085"/>
      <c r="AD21" s="2085"/>
      <c r="AE21" s="2085"/>
      <c r="AF21" s="2085"/>
      <c r="AG21" s="2085"/>
      <c r="AH21" s="2085"/>
      <c r="AI21" s="2085"/>
      <c r="AJ21" s="2085"/>
      <c r="AK21" s="2085"/>
      <c r="AL21" s="2085"/>
      <c r="AM21" s="2085"/>
      <c r="AN21" s="2085"/>
      <c r="AO21" s="2085"/>
      <c r="AP21" s="2085"/>
      <c r="AQ21" s="2085"/>
      <c r="AR21" s="2052"/>
      <c r="AS21" s="2052"/>
      <c r="AT21" s="2052"/>
      <c r="AU21" s="79"/>
      <c r="AV21" s="79"/>
    </row>
    <row r="22" spans="1:48" s="80" customFormat="1" ht="72" customHeight="1" x14ac:dyDescent="0.25">
      <c r="A22" s="116"/>
      <c r="B22" s="117"/>
      <c r="C22" s="116"/>
      <c r="D22" s="117"/>
      <c r="E22" s="69"/>
      <c r="F22" s="69"/>
      <c r="G22" s="2094"/>
      <c r="H22" s="2097"/>
      <c r="I22" s="2070"/>
      <c r="J22" s="2100"/>
      <c r="K22" s="2102"/>
      <c r="L22" s="2068"/>
      <c r="M22" s="2102"/>
      <c r="N22" s="2104"/>
      <c r="O22" s="2110"/>
      <c r="P22" s="2111"/>
      <c r="Q22" s="2113"/>
      <c r="R22" s="2114"/>
      <c r="S22" s="2086"/>
      <c r="T22" s="2035"/>
      <c r="U22" s="2035"/>
      <c r="V22" s="2035"/>
      <c r="W22" s="75">
        <v>5000000</v>
      </c>
      <c r="X22" s="76" t="s">
        <v>112</v>
      </c>
      <c r="Y22" s="2108"/>
      <c r="Z22" s="2109"/>
      <c r="AA22" s="2085"/>
      <c r="AB22" s="2085"/>
      <c r="AC22" s="2085"/>
      <c r="AD22" s="2085"/>
      <c r="AE22" s="2085"/>
      <c r="AF22" s="2085"/>
      <c r="AG22" s="2085"/>
      <c r="AH22" s="2085"/>
      <c r="AI22" s="2085"/>
      <c r="AJ22" s="2085"/>
      <c r="AK22" s="2085"/>
      <c r="AL22" s="2085"/>
      <c r="AM22" s="2085"/>
      <c r="AN22" s="2085"/>
      <c r="AO22" s="2085"/>
      <c r="AP22" s="2085"/>
      <c r="AQ22" s="2085"/>
      <c r="AR22" s="2052"/>
      <c r="AS22" s="2052"/>
      <c r="AT22" s="2052"/>
      <c r="AU22" s="79"/>
      <c r="AV22" s="79"/>
    </row>
    <row r="23" spans="1:48" s="80" customFormat="1" ht="30" customHeight="1" x14ac:dyDescent="0.25">
      <c r="A23" s="118"/>
      <c r="B23" s="118"/>
      <c r="C23" s="118"/>
      <c r="D23" s="118"/>
      <c r="E23" s="119"/>
      <c r="F23" s="119"/>
      <c r="G23" s="120"/>
      <c r="H23" s="121"/>
      <c r="I23" s="120"/>
      <c r="J23" s="121"/>
      <c r="K23" s="120"/>
      <c r="L23" s="121"/>
      <c r="M23" s="120"/>
      <c r="N23" s="121"/>
      <c r="O23" s="122"/>
      <c r="P23" s="122"/>
      <c r="Q23" s="123"/>
      <c r="R23" s="124"/>
      <c r="S23" s="125">
        <f>SUM(S12:S22)</f>
        <v>126000000</v>
      </c>
      <c r="T23" s="126"/>
      <c r="U23" s="126"/>
      <c r="V23" s="121" t="s">
        <v>113</v>
      </c>
      <c r="W23" s="127">
        <f>SUM(W9:W22)</f>
        <v>176000000</v>
      </c>
      <c r="X23" s="122"/>
      <c r="Y23" s="128"/>
      <c r="Z23" s="122"/>
      <c r="AA23" s="122"/>
      <c r="AB23" s="122"/>
      <c r="AC23" s="122"/>
      <c r="AD23" s="122"/>
      <c r="AE23" s="122"/>
      <c r="AF23" s="122"/>
      <c r="AG23" s="122"/>
      <c r="AH23" s="122"/>
      <c r="AI23" s="122"/>
      <c r="AJ23" s="122"/>
      <c r="AK23" s="122"/>
      <c r="AL23" s="122"/>
      <c r="AM23" s="122"/>
      <c r="AN23" s="122"/>
      <c r="AO23" s="122"/>
      <c r="AP23" s="122"/>
      <c r="AQ23" s="122"/>
      <c r="AR23" s="129"/>
      <c r="AS23" s="129"/>
      <c r="AT23" s="122"/>
      <c r="AU23" s="79"/>
      <c r="AV23" s="79"/>
    </row>
    <row r="24" spans="1:48" x14ac:dyDescent="0.25">
      <c r="W24" s="136"/>
      <c r="X24" s="4"/>
      <c r="Y24" s="4"/>
    </row>
    <row r="25" spans="1:48" x14ac:dyDescent="0.25">
      <c r="W25" s="136"/>
      <c r="X25" s="4"/>
      <c r="Y25" s="4"/>
    </row>
    <row r="26" spans="1:48" x14ac:dyDescent="0.25">
      <c r="E26" s="35"/>
      <c r="F26" s="35"/>
      <c r="G26" s="35"/>
      <c r="H26" s="140"/>
      <c r="I26" s="35"/>
      <c r="J26" s="140"/>
      <c r="K26" s="35"/>
      <c r="L26" s="141"/>
      <c r="M26" s="35"/>
      <c r="N26" s="141"/>
      <c r="W26" s="142"/>
    </row>
    <row r="27" spans="1:48" ht="15.75" x14ac:dyDescent="0.25">
      <c r="E27" s="35"/>
      <c r="F27" s="35"/>
      <c r="G27" s="35"/>
      <c r="H27" s="140"/>
      <c r="I27" s="35"/>
      <c r="J27" s="140"/>
      <c r="K27" s="35"/>
      <c r="L27" s="140"/>
      <c r="M27" s="35"/>
      <c r="N27" s="141"/>
      <c r="P27" s="2105"/>
      <c r="Q27" s="2105"/>
      <c r="R27" s="2105"/>
      <c r="S27" s="2105"/>
      <c r="T27" s="2105"/>
      <c r="W27" s="142"/>
    </row>
    <row r="28" spans="1:48" ht="15.75" x14ac:dyDescent="0.25">
      <c r="E28" s="2106"/>
      <c r="F28" s="2106"/>
      <c r="G28" s="2106"/>
      <c r="H28" s="2106"/>
      <c r="I28" s="2106"/>
      <c r="J28" s="2106"/>
      <c r="K28" s="2106"/>
      <c r="L28" s="2107"/>
      <c r="M28" s="2106"/>
      <c r="N28" s="2107"/>
      <c r="P28" s="2105"/>
      <c r="Q28" s="2105"/>
      <c r="R28" s="2105"/>
      <c r="S28" s="2105"/>
      <c r="T28" s="2105"/>
      <c r="W28" s="142"/>
    </row>
    <row r="29" spans="1:48" ht="15.75" x14ac:dyDescent="0.25">
      <c r="E29" s="2106"/>
      <c r="F29" s="2106"/>
      <c r="G29" s="2106"/>
      <c r="H29" s="2106"/>
      <c r="I29" s="2106"/>
      <c r="J29" s="2106"/>
      <c r="K29" s="2106"/>
      <c r="L29" s="2107"/>
      <c r="M29" s="2106"/>
      <c r="N29" s="2107"/>
      <c r="W29" s="142"/>
    </row>
    <row r="30" spans="1:48" x14ac:dyDescent="0.25">
      <c r="E30" s="68"/>
      <c r="F30" s="68"/>
      <c r="G30" s="68"/>
      <c r="H30" s="145"/>
      <c r="I30" s="146"/>
      <c r="J30" s="145"/>
      <c r="K30" s="147"/>
      <c r="L30" s="141"/>
      <c r="M30" s="147"/>
      <c r="N30" s="141"/>
      <c r="W30" s="142"/>
    </row>
    <row r="31" spans="1:48" x14ac:dyDescent="0.25">
      <c r="E31" s="35"/>
      <c r="F31" s="35"/>
      <c r="G31" s="35"/>
      <c r="H31" s="140"/>
      <c r="I31" s="35"/>
      <c r="J31" s="140"/>
      <c r="K31" s="35"/>
      <c r="L31" s="141"/>
      <c r="M31" s="35"/>
      <c r="N31" s="141"/>
      <c r="W31" s="142"/>
    </row>
    <row r="32" spans="1:48" x14ac:dyDescent="0.25">
      <c r="E32" s="35"/>
      <c r="F32" s="35"/>
      <c r="G32" s="35"/>
      <c r="H32" s="140"/>
      <c r="I32" s="35"/>
      <c r="J32" s="140"/>
      <c r="K32" s="35"/>
      <c r="L32" s="141"/>
      <c r="M32" s="35"/>
      <c r="N32" s="141"/>
      <c r="W32" s="142"/>
    </row>
    <row r="33" spans="5:14" x14ac:dyDescent="0.25">
      <c r="E33" s="35"/>
      <c r="F33" s="35"/>
      <c r="G33" s="35"/>
      <c r="H33" s="140"/>
      <c r="I33" s="35"/>
      <c r="J33" s="140"/>
      <c r="K33" s="35"/>
      <c r="L33" s="141"/>
      <c r="M33" s="35"/>
      <c r="N33" s="141"/>
    </row>
    <row r="34" spans="5:14" x14ac:dyDescent="0.25">
      <c r="E34" s="35"/>
      <c r="F34" s="35"/>
      <c r="G34" s="35"/>
      <c r="H34" s="140"/>
      <c r="I34" s="35"/>
      <c r="J34" s="140"/>
      <c r="K34" s="35"/>
      <c r="L34" s="141"/>
      <c r="M34" s="35"/>
      <c r="N34" s="141"/>
    </row>
    <row r="35" spans="5:14" x14ac:dyDescent="0.25">
      <c r="E35" s="35"/>
      <c r="F35" s="35"/>
      <c r="G35" s="35"/>
      <c r="H35" s="140"/>
      <c r="I35" s="35"/>
      <c r="J35" s="140"/>
      <c r="K35" s="35"/>
      <c r="L35" s="141"/>
      <c r="M35" s="35"/>
      <c r="N35" s="141"/>
    </row>
    <row r="36" spans="5:14" x14ac:dyDescent="0.25">
      <c r="E36" s="35"/>
      <c r="F36" s="35"/>
      <c r="G36" s="35"/>
      <c r="H36" s="140"/>
      <c r="I36" s="35"/>
      <c r="J36" s="140"/>
      <c r="K36" s="35"/>
      <c r="L36" s="141"/>
      <c r="M36" s="35"/>
      <c r="N36" s="141"/>
    </row>
  </sheetData>
  <sheetProtection algorithmName="SHA-512" hashValue="qxd/6Xr/t11bFN+U7dXElkYCwgTys2Uaoh4Dq33rJ04RDiswXrgYmm1BVTeWuuRXJAx/geVCAs4vKkDY/Ka7fg==" saltValue="YeaSAbB9KKERc3bwWBM04w==" spinCount="100000" sheet="1" objects="1" scenarios="1"/>
  <mergeCells count="135">
    <mergeCell ref="P27:T27"/>
    <mergeCell ref="E28:N28"/>
    <mergeCell ref="P28:T28"/>
    <mergeCell ref="E29:N29"/>
    <mergeCell ref="AO20:AO22"/>
    <mergeCell ref="AP20:AP22"/>
    <mergeCell ref="AQ20:AQ22"/>
    <mergeCell ref="AR20:AR22"/>
    <mergeCell ref="AS20:AS22"/>
    <mergeCell ref="U20:U22"/>
    <mergeCell ref="V20:V22"/>
    <mergeCell ref="Y20:Y22"/>
    <mergeCell ref="Z20:Z22"/>
    <mergeCell ref="AA20:AA22"/>
    <mergeCell ref="AB20:AB22"/>
    <mergeCell ref="O20:O22"/>
    <mergeCell ref="P20:P22"/>
    <mergeCell ref="Q20:Q22"/>
    <mergeCell ref="R20:R22"/>
    <mergeCell ref="S20:S22"/>
    <mergeCell ref="T20:T22"/>
    <mergeCell ref="AT20:AT22"/>
    <mergeCell ref="AI20:AI22"/>
    <mergeCell ref="AJ20:AJ22"/>
    <mergeCell ref="AK20:AK22"/>
    <mergeCell ref="AL20:AL22"/>
    <mergeCell ref="AM20:AM22"/>
    <mergeCell ref="AN20:AN22"/>
    <mergeCell ref="AC20:AC22"/>
    <mergeCell ref="AD20:AD22"/>
    <mergeCell ref="AE20:AE22"/>
    <mergeCell ref="AF20:AF22"/>
    <mergeCell ref="AG20:AG22"/>
    <mergeCell ref="AH20:AH22"/>
    <mergeCell ref="F19:N19"/>
    <mergeCell ref="G20:G22"/>
    <mergeCell ref="H20:H22"/>
    <mergeCell ref="I20:I22"/>
    <mergeCell ref="J20:J22"/>
    <mergeCell ref="K20:K22"/>
    <mergeCell ref="L20:L22"/>
    <mergeCell ref="M20:M22"/>
    <mergeCell ref="N20:N22"/>
    <mergeCell ref="AO15:AO17"/>
    <mergeCell ref="AP15:AP17"/>
    <mergeCell ref="AQ15:AQ17"/>
    <mergeCell ref="AR15:AR17"/>
    <mergeCell ref="AS15:AS17"/>
    <mergeCell ref="AT15:AT17"/>
    <mergeCell ref="AI15:AI17"/>
    <mergeCell ref="AJ15:AJ17"/>
    <mergeCell ref="AK15:AK17"/>
    <mergeCell ref="AL15:AL17"/>
    <mergeCell ref="AM15:AM17"/>
    <mergeCell ref="AN15:AN17"/>
    <mergeCell ref="P15:P17"/>
    <mergeCell ref="Q15:Q17"/>
    <mergeCell ref="AP12:AP14"/>
    <mergeCell ref="AQ12:AQ14"/>
    <mergeCell ref="AR12:AR14"/>
    <mergeCell ref="AC12:AC14"/>
    <mergeCell ref="M12:M14"/>
    <mergeCell ref="N12:N14"/>
    <mergeCell ref="O12:O14"/>
    <mergeCell ref="P12:P14"/>
    <mergeCell ref="Q12:Q14"/>
    <mergeCell ref="R12:R14"/>
    <mergeCell ref="AC15:AC17"/>
    <mergeCell ref="AD15:AD17"/>
    <mergeCell ref="AE15:AE17"/>
    <mergeCell ref="AF15:AF17"/>
    <mergeCell ref="AG15:AG17"/>
    <mergeCell ref="AH15:AH17"/>
    <mergeCell ref="R15:R17"/>
    <mergeCell ref="S15:S17"/>
    <mergeCell ref="T15:T17"/>
    <mergeCell ref="U15:U17"/>
    <mergeCell ref="AA15:AA17"/>
    <mergeCell ref="AB15:AB17"/>
    <mergeCell ref="G15:G17"/>
    <mergeCell ref="H15:H17"/>
    <mergeCell ref="I15:I17"/>
    <mergeCell ref="J15:J17"/>
    <mergeCell ref="K15:K17"/>
    <mergeCell ref="AJ12:AJ14"/>
    <mergeCell ref="AK12:AK14"/>
    <mergeCell ref="AL12:AL14"/>
    <mergeCell ref="AM12:AM14"/>
    <mergeCell ref="AD12:AD14"/>
    <mergeCell ref="AE12:AE14"/>
    <mergeCell ref="AF12:AF14"/>
    <mergeCell ref="AG12:AG14"/>
    <mergeCell ref="AH12:AH14"/>
    <mergeCell ref="AI12:AI14"/>
    <mergeCell ref="S12:S14"/>
    <mergeCell ref="T12:T14"/>
    <mergeCell ref="U12:U14"/>
    <mergeCell ref="AA12:AA14"/>
    <mergeCell ref="AB12:AB14"/>
    <mergeCell ref="L15:L17"/>
    <mergeCell ref="M15:M17"/>
    <mergeCell ref="N15:N17"/>
    <mergeCell ref="O15:O17"/>
    <mergeCell ref="G12:G14"/>
    <mergeCell ref="H12:H14"/>
    <mergeCell ref="I12:I14"/>
    <mergeCell ref="J12:J14"/>
    <mergeCell ref="K12:K14"/>
    <mergeCell ref="L12:L14"/>
    <mergeCell ref="AR7:AR8"/>
    <mergeCell ref="AS7:AS8"/>
    <mergeCell ref="AT7:AT8"/>
    <mergeCell ref="AI8:AJ8"/>
    <mergeCell ref="B9:H9"/>
    <mergeCell ref="D10:I10"/>
    <mergeCell ref="X7:Z7"/>
    <mergeCell ref="AA7:AB7"/>
    <mergeCell ref="AC7:AF7"/>
    <mergeCell ref="AG7:AM7"/>
    <mergeCell ref="AN7:AP7"/>
    <mergeCell ref="AQ7:AQ8"/>
    <mergeCell ref="AS12:AS14"/>
    <mergeCell ref="AT12:AT14"/>
    <mergeCell ref="AN12:AN14"/>
    <mergeCell ref="AO12:AO14"/>
    <mergeCell ref="A1:AR4"/>
    <mergeCell ref="A5:O6"/>
    <mergeCell ref="P5:AT5"/>
    <mergeCell ref="AA6:AP6"/>
    <mergeCell ref="A7:B7"/>
    <mergeCell ref="C7:D7"/>
    <mergeCell ref="E7:F7"/>
    <mergeCell ref="G7:J7"/>
    <mergeCell ref="K7:N7"/>
    <mergeCell ref="O7:W7"/>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238"/>
  <sheetViews>
    <sheetView showGridLines="0" zoomScale="70" zoomScaleNormal="70" workbookViewId="0">
      <selection activeCell="A5" sqref="A5:O6"/>
    </sheetView>
  </sheetViews>
  <sheetFormatPr baseColWidth="10" defaultColWidth="138.85546875" defaultRowHeight="15" x14ac:dyDescent="0.25"/>
  <cols>
    <col min="1" max="1" width="11.5703125" style="130" customWidth="1"/>
    <col min="2" max="2" width="12.28515625" style="1546" customWidth="1"/>
    <col min="3" max="3" width="10.42578125" style="1546" customWidth="1"/>
    <col min="4" max="4" width="12.28515625" style="1546" customWidth="1"/>
    <col min="5" max="5" width="9.85546875" style="1546" bestFit="1" customWidth="1"/>
    <col min="6" max="6" width="10.28515625" style="1546" customWidth="1"/>
    <col min="7" max="7" width="14.42578125" style="1546" customWidth="1"/>
    <col min="8" max="8" width="36.42578125" style="282" customWidth="1"/>
    <col min="9" max="9" width="23.42578125" style="1546" customWidth="1"/>
    <col min="10" max="10" width="30" style="282" customWidth="1"/>
    <col min="11" max="11" width="20.7109375" style="3" customWidth="1"/>
    <col min="12" max="12" width="33" style="282" customWidth="1"/>
    <col min="13" max="13" width="21.140625" style="3" customWidth="1"/>
    <col min="14" max="14" width="31.140625" style="282" customWidth="1"/>
    <col min="15" max="15" width="21.5703125" style="3" customWidth="1"/>
    <col min="16" max="16" width="21.28515625" style="3" customWidth="1"/>
    <col min="17" max="17" width="37.140625" style="282" customWidth="1"/>
    <col min="18" max="18" width="18.7109375" style="134" customWidth="1"/>
    <col min="19" max="19" width="33.5703125" style="143" customWidth="1"/>
    <col min="20" max="20" width="37.5703125" style="282" customWidth="1"/>
    <col min="21" max="21" width="42.42578125" style="282" customWidth="1"/>
    <col min="22" max="22" width="55.42578125" style="282" customWidth="1"/>
    <col min="23" max="23" width="33.85546875" style="1704" customWidth="1"/>
    <col min="24" max="24" width="52.7109375" style="1705" customWidth="1"/>
    <col min="25" max="25" width="17.140625" style="137" customWidth="1"/>
    <col min="26" max="26" width="27.85546875" style="282" customWidth="1"/>
    <col min="27" max="42" width="12" style="1546" customWidth="1"/>
    <col min="43" max="43" width="20.7109375" style="139" customWidth="1"/>
    <col min="44" max="44" width="21.85546875" style="139" customWidth="1"/>
    <col min="45" max="45" width="27.28515625" style="1546" customWidth="1"/>
    <col min="46" max="16384" width="138.85546875" style="1546"/>
  </cols>
  <sheetData>
    <row r="1" spans="1:65" ht="30.75" customHeight="1" x14ac:dyDescent="0.25">
      <c r="A1" s="2953" t="s">
        <v>2469</v>
      </c>
      <c r="B1" s="2020"/>
      <c r="C1" s="2020"/>
      <c r="D1" s="2020"/>
      <c r="E1" s="2020"/>
      <c r="F1" s="2020"/>
      <c r="G1" s="2020"/>
      <c r="H1" s="2020"/>
      <c r="I1" s="2020"/>
      <c r="J1" s="2020"/>
      <c r="K1" s="2020"/>
      <c r="L1" s="2020"/>
      <c r="M1" s="2020"/>
      <c r="N1" s="2020"/>
      <c r="O1" s="2020"/>
      <c r="P1" s="2020"/>
      <c r="Q1" s="2020"/>
      <c r="R1" s="2020"/>
      <c r="S1" s="2020"/>
      <c r="T1" s="2020"/>
      <c r="U1" s="2020"/>
      <c r="V1" s="2020"/>
      <c r="W1" s="2020"/>
      <c r="X1" s="2020"/>
      <c r="Y1" s="2020"/>
      <c r="Z1" s="2020"/>
      <c r="AA1" s="2020"/>
      <c r="AB1" s="2020"/>
      <c r="AC1" s="2020"/>
      <c r="AD1" s="2020"/>
      <c r="AE1" s="2020"/>
      <c r="AF1" s="2020"/>
      <c r="AG1" s="2020"/>
      <c r="AH1" s="2020"/>
      <c r="AI1" s="2020"/>
      <c r="AJ1" s="2020"/>
      <c r="AK1" s="2020"/>
      <c r="AL1" s="2020"/>
      <c r="AM1" s="2020"/>
      <c r="AN1" s="2020"/>
      <c r="AO1" s="2020"/>
      <c r="AP1" s="2020"/>
      <c r="AQ1" s="2445"/>
      <c r="AR1" s="1480" t="s">
        <v>2470</v>
      </c>
      <c r="AS1" s="1463" t="s">
        <v>983</v>
      </c>
      <c r="AT1" s="3"/>
      <c r="AU1" s="3"/>
      <c r="AV1" s="3"/>
      <c r="AW1" s="3"/>
      <c r="AX1" s="3"/>
      <c r="AY1" s="3"/>
      <c r="AZ1" s="3"/>
      <c r="BA1" s="3"/>
      <c r="BB1" s="3"/>
      <c r="BC1" s="3"/>
      <c r="BD1" s="3"/>
      <c r="BE1" s="3"/>
      <c r="BF1" s="3"/>
      <c r="BG1" s="3"/>
      <c r="BH1" s="3"/>
      <c r="BI1" s="3"/>
      <c r="BJ1" s="3"/>
      <c r="BK1" s="3"/>
      <c r="BL1" s="3"/>
      <c r="BM1" s="3"/>
    </row>
    <row r="2" spans="1:65" ht="18" customHeight="1" x14ac:dyDescent="0.25">
      <c r="A2" s="2022"/>
      <c r="B2" s="3038"/>
      <c r="C2" s="3038"/>
      <c r="D2" s="3038"/>
      <c r="E2" s="3038"/>
      <c r="F2" s="3038"/>
      <c r="G2" s="3038"/>
      <c r="H2" s="3038"/>
      <c r="I2" s="3038"/>
      <c r="J2" s="3038"/>
      <c r="K2" s="3038"/>
      <c r="L2" s="3038"/>
      <c r="M2" s="3038"/>
      <c r="N2" s="3038"/>
      <c r="O2" s="3038"/>
      <c r="P2" s="3038"/>
      <c r="Q2" s="3038"/>
      <c r="R2" s="3038"/>
      <c r="S2" s="3038"/>
      <c r="T2" s="3038"/>
      <c r="U2" s="3038"/>
      <c r="V2" s="3038"/>
      <c r="W2" s="3038"/>
      <c r="X2" s="3038"/>
      <c r="Y2" s="3038"/>
      <c r="Z2" s="3038"/>
      <c r="AA2" s="3038"/>
      <c r="AB2" s="3038"/>
      <c r="AC2" s="3038"/>
      <c r="AD2" s="3038"/>
      <c r="AE2" s="3038"/>
      <c r="AF2" s="3038"/>
      <c r="AG2" s="3038"/>
      <c r="AH2" s="3038"/>
      <c r="AI2" s="3038"/>
      <c r="AJ2" s="3038"/>
      <c r="AK2" s="3038"/>
      <c r="AL2" s="3038"/>
      <c r="AM2" s="3038"/>
      <c r="AN2" s="3038"/>
      <c r="AO2" s="3038"/>
      <c r="AP2" s="3038"/>
      <c r="AQ2" s="2017"/>
      <c r="AR2" s="1480" t="s">
        <v>2471</v>
      </c>
      <c r="AS2" s="762" t="s">
        <v>984</v>
      </c>
      <c r="AT2" s="3"/>
      <c r="AU2" s="3"/>
      <c r="AV2" s="3"/>
      <c r="AW2" s="3"/>
      <c r="AX2" s="3"/>
      <c r="AY2" s="3"/>
      <c r="AZ2" s="3"/>
      <c r="BA2" s="3"/>
      <c r="BB2" s="3"/>
      <c r="BC2" s="3"/>
      <c r="BD2" s="3"/>
      <c r="BE2" s="3"/>
      <c r="BF2" s="3"/>
      <c r="BG2" s="3"/>
      <c r="BH2" s="3"/>
      <c r="BI2" s="3"/>
      <c r="BJ2" s="3"/>
      <c r="BK2" s="3"/>
      <c r="BL2" s="3"/>
      <c r="BM2" s="3"/>
    </row>
    <row r="3" spans="1:65" ht="23.25" customHeight="1" x14ac:dyDescent="0.25">
      <c r="A3" s="2022"/>
      <c r="B3" s="3038"/>
      <c r="C3" s="3038"/>
      <c r="D3" s="3038"/>
      <c r="E3" s="3038"/>
      <c r="F3" s="3038"/>
      <c r="G3" s="3038"/>
      <c r="H3" s="3038"/>
      <c r="I3" s="3038"/>
      <c r="J3" s="3038"/>
      <c r="K3" s="3038"/>
      <c r="L3" s="3038"/>
      <c r="M3" s="3038"/>
      <c r="N3" s="3038"/>
      <c r="O3" s="3038"/>
      <c r="P3" s="3038"/>
      <c r="Q3" s="3038"/>
      <c r="R3" s="3038"/>
      <c r="S3" s="3038"/>
      <c r="T3" s="3038"/>
      <c r="U3" s="3038"/>
      <c r="V3" s="3038"/>
      <c r="W3" s="3038"/>
      <c r="X3" s="3038"/>
      <c r="Y3" s="3038"/>
      <c r="Z3" s="3038"/>
      <c r="AA3" s="3038"/>
      <c r="AB3" s="3038"/>
      <c r="AC3" s="3038"/>
      <c r="AD3" s="3038"/>
      <c r="AE3" s="3038"/>
      <c r="AF3" s="3038"/>
      <c r="AG3" s="3038"/>
      <c r="AH3" s="3038"/>
      <c r="AI3" s="3038"/>
      <c r="AJ3" s="3038"/>
      <c r="AK3" s="3038"/>
      <c r="AL3" s="3038"/>
      <c r="AM3" s="3038"/>
      <c r="AN3" s="3038"/>
      <c r="AO3" s="3038"/>
      <c r="AP3" s="3038"/>
      <c r="AQ3" s="2017"/>
      <c r="AR3" s="1480" t="s">
        <v>2472</v>
      </c>
      <c r="AS3" s="763">
        <v>44266</v>
      </c>
      <c r="AT3" s="3"/>
      <c r="AU3" s="3"/>
      <c r="AV3" s="3"/>
      <c r="AW3" s="3"/>
      <c r="AX3" s="3"/>
      <c r="AY3" s="3"/>
      <c r="AZ3" s="3"/>
      <c r="BA3" s="3"/>
      <c r="BB3" s="3"/>
      <c r="BC3" s="3"/>
      <c r="BD3" s="3"/>
      <c r="BE3" s="3"/>
      <c r="BF3" s="3"/>
      <c r="BG3" s="3"/>
      <c r="BH3" s="3"/>
      <c r="BI3" s="3"/>
      <c r="BJ3" s="3"/>
      <c r="BK3" s="3"/>
      <c r="BL3" s="3"/>
      <c r="BM3" s="3"/>
    </row>
    <row r="4" spans="1:65" ht="17.25" customHeight="1" x14ac:dyDescent="0.25">
      <c r="A4" s="2209"/>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1480" t="s">
        <v>2473</v>
      </c>
      <c r="AS4" s="687" t="s">
        <v>114</v>
      </c>
      <c r="AT4" s="3"/>
      <c r="AU4" s="3"/>
      <c r="AV4" s="3"/>
      <c r="AW4" s="3"/>
      <c r="AX4" s="3"/>
      <c r="AY4" s="3"/>
      <c r="AZ4" s="3"/>
      <c r="BA4" s="3"/>
      <c r="BB4" s="3"/>
      <c r="BC4" s="3"/>
      <c r="BD4" s="3"/>
      <c r="BE4" s="3"/>
      <c r="BF4" s="3"/>
      <c r="BG4" s="3"/>
      <c r="BH4" s="3"/>
      <c r="BI4" s="3"/>
      <c r="BJ4" s="3"/>
      <c r="BK4" s="3"/>
      <c r="BL4" s="3"/>
      <c r="BM4" s="3"/>
    </row>
    <row r="5" spans="1:65" ht="15.75" x14ac:dyDescent="0.25">
      <c r="A5" s="3038" t="s">
        <v>2474</v>
      </c>
      <c r="B5" s="3038"/>
      <c r="C5" s="3038"/>
      <c r="D5" s="3038"/>
      <c r="E5" s="3038"/>
      <c r="F5" s="3038"/>
      <c r="G5" s="3038"/>
      <c r="H5" s="3038"/>
      <c r="I5" s="3038"/>
      <c r="J5" s="3038"/>
      <c r="K5" s="3038"/>
      <c r="L5" s="3038"/>
      <c r="M5" s="3038"/>
      <c r="N5" s="3038"/>
      <c r="O5" s="3038"/>
      <c r="P5" s="2957"/>
      <c r="Q5" s="2957"/>
      <c r="R5" s="2957"/>
      <c r="S5" s="2957"/>
      <c r="T5" s="2957"/>
      <c r="U5" s="2957"/>
      <c r="V5" s="2957"/>
      <c r="W5" s="2957"/>
      <c r="X5" s="2957"/>
      <c r="Y5" s="2957"/>
      <c r="Z5" s="2957"/>
      <c r="AA5" s="2957"/>
      <c r="AB5" s="2957"/>
      <c r="AC5" s="2957"/>
      <c r="AD5" s="2957"/>
      <c r="AE5" s="2957"/>
      <c r="AF5" s="2957"/>
      <c r="AG5" s="2957"/>
      <c r="AH5" s="2957"/>
      <c r="AI5" s="2957"/>
      <c r="AJ5" s="2957"/>
      <c r="AK5" s="2957"/>
      <c r="AL5" s="2957"/>
      <c r="AM5" s="2957"/>
      <c r="AN5" s="2957"/>
      <c r="AO5" s="2957"/>
      <c r="AP5" s="2957"/>
      <c r="AQ5" s="2957"/>
      <c r="AR5" s="2021"/>
      <c r="AS5" s="2021"/>
      <c r="AT5" s="3"/>
      <c r="AU5" s="3"/>
      <c r="AV5" s="3"/>
      <c r="AW5" s="3"/>
      <c r="AX5" s="3"/>
      <c r="AY5" s="3"/>
      <c r="AZ5" s="3"/>
      <c r="BA5" s="3"/>
      <c r="BB5" s="3"/>
      <c r="BC5" s="3"/>
      <c r="BD5" s="3"/>
      <c r="BE5" s="3"/>
      <c r="BF5" s="3"/>
      <c r="BG5" s="3"/>
      <c r="BH5" s="3"/>
      <c r="BI5" s="3"/>
      <c r="BJ5" s="3"/>
      <c r="BK5" s="3"/>
      <c r="BL5" s="3"/>
      <c r="BM5" s="3"/>
    </row>
    <row r="6" spans="1:65" ht="26.25" customHeight="1" x14ac:dyDescent="0.25">
      <c r="A6" s="2018"/>
      <c r="B6" s="2018"/>
      <c r="C6" s="2018"/>
      <c r="D6" s="2018"/>
      <c r="E6" s="2018"/>
      <c r="F6" s="2018"/>
      <c r="G6" s="2018"/>
      <c r="H6" s="2018"/>
      <c r="I6" s="2018"/>
      <c r="J6" s="2018"/>
      <c r="K6" s="2018"/>
      <c r="L6" s="2018"/>
      <c r="M6" s="2018"/>
      <c r="N6" s="2018"/>
      <c r="O6" s="3038"/>
      <c r="P6" s="1484"/>
      <c r="Q6" s="1627"/>
      <c r="R6" s="1484"/>
      <c r="S6" s="1484"/>
      <c r="T6" s="1627"/>
      <c r="U6" s="1627"/>
      <c r="V6" s="1627"/>
      <c r="W6" s="1628"/>
      <c r="X6" s="1464"/>
      <c r="Y6" s="1461"/>
      <c r="Z6" s="165"/>
      <c r="AA6" s="2209" t="s">
        <v>8</v>
      </c>
      <c r="AB6" s="2018"/>
      <c r="AC6" s="2018"/>
      <c r="AD6" s="2018"/>
      <c r="AE6" s="2018"/>
      <c r="AF6" s="2018"/>
      <c r="AG6" s="2018"/>
      <c r="AH6" s="2018"/>
      <c r="AI6" s="2018"/>
      <c r="AJ6" s="2018"/>
      <c r="AK6" s="2018"/>
      <c r="AL6" s="2018"/>
      <c r="AM6" s="2018"/>
      <c r="AN6" s="2018"/>
      <c r="AO6" s="2019"/>
      <c r="AP6" s="1461"/>
      <c r="AQ6" s="1461"/>
      <c r="AR6" s="1461"/>
      <c r="AS6" s="1462"/>
      <c r="AT6" s="3"/>
      <c r="AU6" s="3"/>
      <c r="AV6" s="3"/>
      <c r="AW6" s="3"/>
      <c r="AX6" s="3"/>
      <c r="AY6" s="3"/>
      <c r="AZ6" s="3"/>
      <c r="BA6" s="3"/>
      <c r="BB6" s="3"/>
      <c r="BC6" s="3"/>
      <c r="BD6" s="3"/>
      <c r="BE6" s="3"/>
      <c r="BF6" s="3"/>
      <c r="BG6" s="3"/>
      <c r="BH6" s="3"/>
      <c r="BI6" s="3"/>
      <c r="BJ6" s="3"/>
      <c r="BK6" s="3"/>
      <c r="BL6" s="3"/>
      <c r="BM6" s="3"/>
    </row>
    <row r="7" spans="1:65" ht="45" customHeight="1" x14ac:dyDescent="0.25">
      <c r="A7" s="2025" t="s">
        <v>9</v>
      </c>
      <c r="B7" s="2210"/>
      <c r="C7" s="2024" t="s">
        <v>10</v>
      </c>
      <c r="D7" s="2025"/>
      <c r="E7" s="2023" t="s">
        <v>11</v>
      </c>
      <c r="F7" s="2023"/>
      <c r="G7" s="2024" t="s">
        <v>12</v>
      </c>
      <c r="H7" s="2025"/>
      <c r="I7" s="2025"/>
      <c r="J7" s="2025"/>
      <c r="K7" s="2024" t="s">
        <v>13</v>
      </c>
      <c r="L7" s="2025"/>
      <c r="M7" s="2025"/>
      <c r="N7" s="2025"/>
      <c r="O7" s="3043" t="s">
        <v>14</v>
      </c>
      <c r="P7" s="3043"/>
      <c r="Q7" s="3043"/>
      <c r="R7" s="3043"/>
      <c r="S7" s="3043"/>
      <c r="T7" s="3043"/>
      <c r="U7" s="3043"/>
      <c r="V7" s="3043"/>
      <c r="W7" s="3043"/>
      <c r="X7" s="2960" t="s">
        <v>15</v>
      </c>
      <c r="Y7" s="2960"/>
      <c r="Z7" s="2961"/>
      <c r="AA7" s="2277" t="s">
        <v>16</v>
      </c>
      <c r="AB7" s="2277"/>
      <c r="AC7" s="2050" t="s">
        <v>17</v>
      </c>
      <c r="AD7" s="2050"/>
      <c r="AE7" s="2050"/>
      <c r="AF7" s="2050"/>
      <c r="AG7" s="2216" t="s">
        <v>18</v>
      </c>
      <c r="AH7" s="2217"/>
      <c r="AI7" s="2217"/>
      <c r="AJ7" s="2217"/>
      <c r="AK7" s="2217"/>
      <c r="AL7" s="2934"/>
      <c r="AM7" s="2050" t="s">
        <v>19</v>
      </c>
      <c r="AN7" s="2050"/>
      <c r="AO7" s="2050"/>
      <c r="AP7" s="2935" t="s">
        <v>20</v>
      </c>
      <c r="AQ7" s="2036" t="s">
        <v>21</v>
      </c>
      <c r="AR7" s="2036" t="s">
        <v>22</v>
      </c>
      <c r="AS7" s="2038" t="s">
        <v>23</v>
      </c>
      <c r="AT7" s="3"/>
      <c r="AU7" s="3"/>
      <c r="AV7" s="3"/>
      <c r="AW7" s="3"/>
      <c r="AX7" s="3"/>
      <c r="AY7" s="3"/>
      <c r="AZ7" s="3"/>
      <c r="BA7" s="3"/>
      <c r="BB7" s="3"/>
      <c r="BC7" s="3"/>
      <c r="BD7" s="3"/>
      <c r="BE7" s="3"/>
      <c r="BF7" s="3"/>
      <c r="BG7" s="3"/>
      <c r="BH7" s="3"/>
      <c r="BI7" s="3"/>
      <c r="BJ7" s="3"/>
      <c r="BK7" s="3"/>
      <c r="BL7" s="3"/>
      <c r="BM7" s="3"/>
    </row>
    <row r="8" spans="1:65" ht="122.25" customHeight="1" x14ac:dyDescent="0.25">
      <c r="A8" s="170" t="s">
        <v>24</v>
      </c>
      <c r="B8" s="20" t="s">
        <v>25</v>
      </c>
      <c r="C8" s="170" t="s">
        <v>24</v>
      </c>
      <c r="D8" s="20" t="s">
        <v>25</v>
      </c>
      <c r="E8" s="764" t="s">
        <v>24</v>
      </c>
      <c r="F8" s="20" t="s">
        <v>25</v>
      </c>
      <c r="G8" s="171" t="s">
        <v>26</v>
      </c>
      <c r="H8" s="171" t="s">
        <v>27</v>
      </c>
      <c r="I8" s="171" t="s">
        <v>28</v>
      </c>
      <c r="J8" s="171" t="s">
        <v>117</v>
      </c>
      <c r="K8" s="171" t="s">
        <v>26</v>
      </c>
      <c r="L8" s="171" t="s">
        <v>30</v>
      </c>
      <c r="M8" s="20" t="s">
        <v>31</v>
      </c>
      <c r="N8" s="1066" t="s">
        <v>32</v>
      </c>
      <c r="O8" s="1511" t="s">
        <v>116</v>
      </c>
      <c r="P8" s="1511" t="s">
        <v>34</v>
      </c>
      <c r="Q8" s="1511" t="s">
        <v>35</v>
      </c>
      <c r="R8" s="1513" t="s">
        <v>36</v>
      </c>
      <c r="S8" s="1514" t="s">
        <v>37</v>
      </c>
      <c r="T8" s="1511" t="s">
        <v>38</v>
      </c>
      <c r="U8" s="1511" t="s">
        <v>39</v>
      </c>
      <c r="V8" s="1511" t="s">
        <v>40</v>
      </c>
      <c r="W8" s="1629" t="s">
        <v>988</v>
      </c>
      <c r="X8" s="764" t="s">
        <v>42</v>
      </c>
      <c r="Y8" s="1497" t="s">
        <v>43</v>
      </c>
      <c r="Z8" s="171" t="s">
        <v>25</v>
      </c>
      <c r="AA8" s="772" t="s">
        <v>44</v>
      </c>
      <c r="AB8" s="773" t="s">
        <v>45</v>
      </c>
      <c r="AC8" s="774" t="s">
        <v>46</v>
      </c>
      <c r="AD8" s="774" t="s">
        <v>47</v>
      </c>
      <c r="AE8" s="774" t="s">
        <v>48</v>
      </c>
      <c r="AF8" s="774" t="s">
        <v>49</v>
      </c>
      <c r="AG8" s="774" t="s">
        <v>50</v>
      </c>
      <c r="AH8" s="774" t="s">
        <v>51</v>
      </c>
      <c r="AI8" s="774" t="s">
        <v>52</v>
      </c>
      <c r="AJ8" s="774" t="s">
        <v>120</v>
      </c>
      <c r="AK8" s="774" t="s">
        <v>54</v>
      </c>
      <c r="AL8" s="774" t="s">
        <v>55</v>
      </c>
      <c r="AM8" s="774" t="s">
        <v>56</v>
      </c>
      <c r="AN8" s="774" t="s">
        <v>57</v>
      </c>
      <c r="AO8" s="774" t="s">
        <v>2475</v>
      </c>
      <c r="AP8" s="2936"/>
      <c r="AQ8" s="2215"/>
      <c r="AR8" s="2215"/>
      <c r="AS8" s="2039"/>
      <c r="AT8" s="3"/>
      <c r="AU8" s="3"/>
      <c r="AV8" s="3"/>
      <c r="AW8" s="3"/>
      <c r="AX8" s="3"/>
      <c r="AY8" s="3"/>
      <c r="AZ8" s="3"/>
      <c r="BA8" s="3"/>
      <c r="BB8" s="3"/>
      <c r="BC8" s="3"/>
      <c r="BD8" s="3"/>
      <c r="BE8" s="3"/>
      <c r="BF8" s="3"/>
      <c r="BG8" s="3"/>
      <c r="BH8" s="3"/>
      <c r="BI8" s="3"/>
      <c r="BJ8" s="3"/>
      <c r="BK8" s="3"/>
      <c r="BL8" s="3"/>
      <c r="BM8" s="3"/>
    </row>
    <row r="9" spans="1:65" ht="24.75" customHeight="1" x14ac:dyDescent="0.25">
      <c r="A9" s="1630">
        <v>1</v>
      </c>
      <c r="B9" s="3205" t="s">
        <v>1464</v>
      </c>
      <c r="C9" s="3206"/>
      <c r="D9" s="3206"/>
      <c r="E9" s="3206"/>
      <c r="F9" s="3206"/>
      <c r="G9" s="3206"/>
      <c r="H9" s="1631"/>
      <c r="I9" s="775"/>
      <c r="J9" s="1631"/>
      <c r="K9" s="775"/>
      <c r="L9" s="1631"/>
      <c r="M9" s="775"/>
      <c r="N9" s="1631"/>
      <c r="O9" s="1632"/>
      <c r="P9" s="1632"/>
      <c r="Q9" s="1633"/>
      <c r="R9" s="1634"/>
      <c r="S9" s="1635"/>
      <c r="T9" s="1633"/>
      <c r="U9" s="1633"/>
      <c r="V9" s="1633"/>
      <c r="W9" s="1636"/>
      <c r="X9" s="1637"/>
      <c r="Y9" s="778"/>
      <c r="Z9" s="1631"/>
      <c r="AA9" s="3207"/>
      <c r="AB9" s="3208"/>
      <c r="AC9" s="3208"/>
      <c r="AD9" s="3208"/>
      <c r="AE9" s="3208"/>
      <c r="AF9" s="3208"/>
      <c r="AG9" s="3208"/>
      <c r="AH9" s="3208"/>
      <c r="AI9" s="3208"/>
      <c r="AJ9" s="3208"/>
      <c r="AK9" s="3208"/>
      <c r="AL9" s="3208"/>
      <c r="AM9" s="3208"/>
      <c r="AN9" s="3208"/>
      <c r="AO9" s="3208"/>
      <c r="AP9" s="3208"/>
      <c r="AQ9" s="779"/>
      <c r="AR9" s="779"/>
      <c r="AS9" s="780"/>
      <c r="AT9" s="3"/>
      <c r="AU9" s="3"/>
      <c r="AV9" s="3"/>
      <c r="AW9" s="3"/>
      <c r="AX9" s="3"/>
      <c r="AY9" s="3"/>
      <c r="AZ9" s="3"/>
      <c r="BA9" s="3"/>
      <c r="BB9" s="3"/>
      <c r="BC9" s="3"/>
      <c r="BD9" s="3"/>
      <c r="BE9" s="3"/>
      <c r="BF9" s="3"/>
      <c r="BG9" s="3"/>
      <c r="BH9" s="3"/>
      <c r="BI9" s="3"/>
      <c r="BJ9" s="3"/>
      <c r="BK9" s="3"/>
      <c r="BL9" s="3"/>
      <c r="BM9" s="3"/>
    </row>
    <row r="10" spans="1:65" ht="24.75" customHeight="1" x14ac:dyDescent="0.25">
      <c r="A10" s="52"/>
      <c r="B10" s="70"/>
      <c r="C10" s="38">
        <v>22</v>
      </c>
      <c r="D10" s="1254" t="s">
        <v>407</v>
      </c>
      <c r="E10" s="40"/>
      <c r="F10" s="40"/>
      <c r="G10" s="40"/>
      <c r="H10" s="1338"/>
      <c r="I10" s="40"/>
      <c r="J10" s="1338"/>
      <c r="K10" s="40"/>
      <c r="L10" s="1338"/>
      <c r="M10" s="40"/>
      <c r="N10" s="1338"/>
      <c r="O10" s="40"/>
      <c r="P10" s="40"/>
      <c r="Q10" s="1338"/>
      <c r="R10" s="42"/>
      <c r="S10" s="44"/>
      <c r="T10" s="1338"/>
      <c r="U10" s="1338"/>
      <c r="V10" s="1338"/>
      <c r="W10" s="1638"/>
      <c r="X10" s="41"/>
      <c r="Y10" s="45"/>
      <c r="Z10" s="1338"/>
      <c r="AA10" s="1639"/>
      <c r="AB10" s="1104"/>
      <c r="AC10" s="1104"/>
      <c r="AD10" s="1104"/>
      <c r="AE10" s="1104"/>
      <c r="AF10" s="1104"/>
      <c r="AG10" s="1104"/>
      <c r="AH10" s="1104"/>
      <c r="AI10" s="1104"/>
      <c r="AJ10" s="1104"/>
      <c r="AK10" s="1104"/>
      <c r="AL10" s="1104"/>
      <c r="AM10" s="1104"/>
      <c r="AN10" s="1104"/>
      <c r="AO10" s="1104"/>
      <c r="AP10" s="1104"/>
      <c r="AQ10" s="46"/>
      <c r="AR10" s="46"/>
      <c r="AS10" s="384"/>
    </row>
    <row r="11" spans="1:65" s="3" customFormat="1" ht="24.75" customHeight="1" x14ac:dyDescent="0.25">
      <c r="A11" s="2428"/>
      <c r="B11" s="2429"/>
      <c r="C11" s="1473"/>
      <c r="D11" s="1474"/>
      <c r="E11" s="818">
        <v>2201</v>
      </c>
      <c r="F11" s="3209" t="s">
        <v>2476</v>
      </c>
      <c r="G11" s="3210"/>
      <c r="H11" s="3210"/>
      <c r="I11" s="3210"/>
      <c r="J11" s="3210"/>
      <c r="K11" s="3210"/>
      <c r="L11" s="3210"/>
      <c r="M11" s="3210"/>
      <c r="N11" s="3210"/>
      <c r="O11" s="3210"/>
      <c r="P11" s="3210"/>
      <c r="Q11" s="3210"/>
      <c r="R11" s="3210"/>
      <c r="S11" s="812"/>
      <c r="T11" s="61"/>
      <c r="U11" s="61"/>
      <c r="V11" s="61"/>
      <c r="W11" s="1640"/>
      <c r="X11" s="1641"/>
      <c r="Y11" s="812"/>
      <c r="Z11" s="61"/>
      <c r="AA11" s="1375"/>
      <c r="AB11" s="1375"/>
      <c r="AC11" s="1375"/>
      <c r="AD11" s="1375"/>
      <c r="AE11" s="1375"/>
      <c r="AF11" s="1375"/>
      <c r="AG11" s="1375"/>
      <c r="AH11" s="1375"/>
      <c r="AI11" s="1375"/>
      <c r="AJ11" s="1375"/>
      <c r="AK11" s="1375"/>
      <c r="AL11" s="1375"/>
      <c r="AM11" s="1375"/>
      <c r="AN11" s="1375"/>
      <c r="AO11" s="1375"/>
      <c r="AP11" s="1375"/>
      <c r="AQ11" s="812"/>
      <c r="AR11" s="812"/>
      <c r="AS11" s="67"/>
    </row>
    <row r="12" spans="1:65" s="3" customFormat="1" ht="46.5" customHeight="1" x14ac:dyDescent="0.25">
      <c r="A12" s="2428"/>
      <c r="B12" s="2429"/>
      <c r="C12" s="1475"/>
      <c r="D12" s="1476"/>
      <c r="E12" s="1488"/>
      <c r="F12" s="1488"/>
      <c r="G12" s="3211" t="s">
        <v>2477</v>
      </c>
      <c r="H12" s="2223" t="s">
        <v>2478</v>
      </c>
      <c r="I12" s="3211" t="s">
        <v>2477</v>
      </c>
      <c r="J12" s="2223" t="s">
        <v>2478</v>
      </c>
      <c r="K12" s="3213">
        <v>220103000</v>
      </c>
      <c r="L12" s="2584" t="s">
        <v>2479</v>
      </c>
      <c r="M12" s="3213">
        <v>220103000</v>
      </c>
      <c r="N12" s="2584" t="s">
        <v>2479</v>
      </c>
      <c r="O12" s="3214">
        <v>2500</v>
      </c>
      <c r="P12" s="2111" t="s">
        <v>2480</v>
      </c>
      <c r="Q12" s="2142" t="s">
        <v>2481</v>
      </c>
      <c r="R12" s="3231">
        <f>SUM(W12:W15)/S12</f>
        <v>8.6244333570719423E-2</v>
      </c>
      <c r="S12" s="3233">
        <f>SUM(W12:W40)</f>
        <v>15580197253.17</v>
      </c>
      <c r="T12" s="2712" t="s">
        <v>2482</v>
      </c>
      <c r="U12" s="2145" t="s">
        <v>2483</v>
      </c>
      <c r="V12" s="2965" t="s">
        <v>2484</v>
      </c>
      <c r="W12" s="1642">
        <f>111029461-21747174</f>
        <v>89282287</v>
      </c>
      <c r="X12" s="1347" t="s">
        <v>2485</v>
      </c>
      <c r="Y12" s="2331">
        <v>25</v>
      </c>
      <c r="Z12" s="2965" t="s">
        <v>2486</v>
      </c>
      <c r="AA12" s="3216">
        <v>19649</v>
      </c>
      <c r="AB12" s="3216">
        <v>20118</v>
      </c>
      <c r="AC12" s="3216">
        <v>28907</v>
      </c>
      <c r="AD12" s="3216">
        <v>9525</v>
      </c>
      <c r="AE12" s="3216">
        <v>1222</v>
      </c>
      <c r="AF12" s="3216">
        <v>113</v>
      </c>
      <c r="AG12" s="3216">
        <v>297</v>
      </c>
      <c r="AH12" s="3216">
        <v>345</v>
      </c>
      <c r="AI12" s="3216">
        <v>0</v>
      </c>
      <c r="AJ12" s="3216">
        <v>0</v>
      </c>
      <c r="AK12" s="3216">
        <v>0</v>
      </c>
      <c r="AL12" s="3216">
        <v>0</v>
      </c>
      <c r="AM12" s="3216">
        <v>3301</v>
      </c>
      <c r="AN12" s="3216">
        <v>113</v>
      </c>
      <c r="AO12" s="3216">
        <v>2507</v>
      </c>
      <c r="AP12" s="3216">
        <f>SUM(AA12:AB40)</f>
        <v>39767</v>
      </c>
      <c r="AQ12" s="2972">
        <v>44198</v>
      </c>
      <c r="AR12" s="2972">
        <v>44560</v>
      </c>
      <c r="AS12" s="2371" t="s">
        <v>2487</v>
      </c>
    </row>
    <row r="13" spans="1:65" s="3" customFormat="1" ht="39.75" customHeight="1" x14ac:dyDescent="0.25">
      <c r="A13" s="2428"/>
      <c r="B13" s="2429"/>
      <c r="C13" s="1475"/>
      <c r="D13" s="1476"/>
      <c r="E13" s="1488"/>
      <c r="F13" s="1488"/>
      <c r="G13" s="3211"/>
      <c r="H13" s="2223"/>
      <c r="I13" s="3211"/>
      <c r="J13" s="2223"/>
      <c r="K13" s="2849"/>
      <c r="L13" s="2573"/>
      <c r="M13" s="2849"/>
      <c r="N13" s="2573"/>
      <c r="O13" s="3215"/>
      <c r="P13" s="2111"/>
      <c r="Q13" s="2142"/>
      <c r="R13" s="3231"/>
      <c r="S13" s="3234"/>
      <c r="T13" s="2712"/>
      <c r="U13" s="2145"/>
      <c r="V13" s="2965"/>
      <c r="W13" s="1643">
        <f>689467807-135045028</f>
        <v>554422779</v>
      </c>
      <c r="X13" s="1347" t="s">
        <v>2488</v>
      </c>
      <c r="Y13" s="2331"/>
      <c r="Z13" s="2965"/>
      <c r="AA13" s="3216"/>
      <c r="AB13" s="3216"/>
      <c r="AC13" s="3216"/>
      <c r="AD13" s="3216"/>
      <c r="AE13" s="3216"/>
      <c r="AF13" s="3216"/>
      <c r="AG13" s="3216"/>
      <c r="AH13" s="3216"/>
      <c r="AI13" s="3216"/>
      <c r="AJ13" s="3216"/>
      <c r="AK13" s="3216"/>
      <c r="AL13" s="3216"/>
      <c r="AM13" s="3216"/>
      <c r="AN13" s="3216"/>
      <c r="AO13" s="3216"/>
      <c r="AP13" s="3216"/>
      <c r="AQ13" s="2973"/>
      <c r="AR13" s="2973"/>
      <c r="AS13" s="2372"/>
    </row>
    <row r="14" spans="1:65" s="3" customFormat="1" ht="44.25" customHeight="1" x14ac:dyDescent="0.25">
      <c r="A14" s="2428"/>
      <c r="B14" s="2429"/>
      <c r="C14" s="1475"/>
      <c r="D14" s="1476"/>
      <c r="E14" s="1488"/>
      <c r="F14" s="1488"/>
      <c r="G14" s="3211"/>
      <c r="H14" s="2223"/>
      <c r="I14" s="3211"/>
      <c r="J14" s="2223"/>
      <c r="K14" s="2849"/>
      <c r="L14" s="2573"/>
      <c r="M14" s="2849"/>
      <c r="N14" s="2573"/>
      <c r="O14" s="3215"/>
      <c r="P14" s="2111"/>
      <c r="Q14" s="2142"/>
      <c r="R14" s="3231"/>
      <c r="S14" s="3234"/>
      <c r="T14" s="2712"/>
      <c r="U14" s="2145"/>
      <c r="V14" s="2965"/>
      <c r="W14" s="1643">
        <f>626740793-122758782</f>
        <v>503982011</v>
      </c>
      <c r="X14" s="1347" t="s">
        <v>2489</v>
      </c>
      <c r="Y14" s="2331"/>
      <c r="Z14" s="2965"/>
      <c r="AA14" s="3216"/>
      <c r="AB14" s="3216"/>
      <c r="AC14" s="3216"/>
      <c r="AD14" s="3216"/>
      <c r="AE14" s="3216"/>
      <c r="AF14" s="3216"/>
      <c r="AG14" s="3216"/>
      <c r="AH14" s="3216"/>
      <c r="AI14" s="3216"/>
      <c r="AJ14" s="3216"/>
      <c r="AK14" s="3216"/>
      <c r="AL14" s="3216"/>
      <c r="AM14" s="3216"/>
      <c r="AN14" s="3216"/>
      <c r="AO14" s="3216"/>
      <c r="AP14" s="3216"/>
      <c r="AQ14" s="2973"/>
      <c r="AR14" s="2973"/>
      <c r="AS14" s="2372"/>
    </row>
    <row r="15" spans="1:65" s="3" customFormat="1" ht="44.25" customHeight="1" x14ac:dyDescent="0.25">
      <c r="A15" s="2428"/>
      <c r="B15" s="2429"/>
      <c r="C15" s="1475"/>
      <c r="D15" s="1476"/>
      <c r="E15" s="1488"/>
      <c r="F15" s="1488"/>
      <c r="G15" s="3212"/>
      <c r="H15" s="3028"/>
      <c r="I15" s="3212"/>
      <c r="J15" s="3028"/>
      <c r="K15" s="2849"/>
      <c r="L15" s="2573"/>
      <c r="M15" s="2849"/>
      <c r="N15" s="2573"/>
      <c r="O15" s="3215"/>
      <c r="P15" s="2111"/>
      <c r="Q15" s="2142"/>
      <c r="R15" s="3232"/>
      <c r="S15" s="3234"/>
      <c r="T15" s="2712"/>
      <c r="U15" s="2146"/>
      <c r="V15" s="2966"/>
      <c r="W15" s="1643">
        <f>243761939-47745287</f>
        <v>196016652</v>
      </c>
      <c r="X15" s="1347" t="s">
        <v>2490</v>
      </c>
      <c r="Y15" s="3217"/>
      <c r="Z15" s="2966"/>
      <c r="AA15" s="3216"/>
      <c r="AB15" s="3216"/>
      <c r="AC15" s="3216"/>
      <c r="AD15" s="3216"/>
      <c r="AE15" s="3216"/>
      <c r="AF15" s="3216"/>
      <c r="AG15" s="3216"/>
      <c r="AH15" s="3216"/>
      <c r="AI15" s="3216"/>
      <c r="AJ15" s="3216"/>
      <c r="AK15" s="3216"/>
      <c r="AL15" s="3216"/>
      <c r="AM15" s="3216"/>
      <c r="AN15" s="3216"/>
      <c r="AO15" s="3216"/>
      <c r="AP15" s="3216"/>
      <c r="AQ15" s="2973"/>
      <c r="AR15" s="2973"/>
      <c r="AS15" s="2372"/>
    </row>
    <row r="16" spans="1:65" s="3" customFormat="1" ht="44.25" customHeight="1" x14ac:dyDescent="0.25">
      <c r="A16" s="2428"/>
      <c r="B16" s="2429"/>
      <c r="C16" s="1475"/>
      <c r="D16" s="1476"/>
      <c r="E16" s="1488"/>
      <c r="F16" s="1488"/>
      <c r="G16" s="3222">
        <v>2201033</v>
      </c>
      <c r="H16" s="3027" t="s">
        <v>2491</v>
      </c>
      <c r="I16" s="3222">
        <v>2201033</v>
      </c>
      <c r="J16" s="3027" t="s">
        <v>2491</v>
      </c>
      <c r="K16" s="2849">
        <v>220103300</v>
      </c>
      <c r="L16" s="2658" t="s">
        <v>2492</v>
      </c>
      <c r="M16" s="2849">
        <v>220103300</v>
      </c>
      <c r="N16" s="2658" t="s">
        <v>2492</v>
      </c>
      <c r="O16" s="3215">
        <v>9000</v>
      </c>
      <c r="P16" s="2111"/>
      <c r="Q16" s="2142"/>
      <c r="R16" s="3228">
        <f>SUM(W16:W19)/S12</f>
        <v>1.1553127157191581E-3</v>
      </c>
      <c r="S16" s="3234"/>
      <c r="T16" s="2712"/>
      <c r="U16" s="2144" t="s">
        <v>2493</v>
      </c>
      <c r="V16" s="2056" t="s">
        <v>2494</v>
      </c>
      <c r="W16" s="1642">
        <v>1196008.55</v>
      </c>
      <c r="X16" s="1347" t="s">
        <v>2495</v>
      </c>
      <c r="Y16" s="3219">
        <v>20</v>
      </c>
      <c r="Z16" s="2056" t="s">
        <v>2496</v>
      </c>
      <c r="AA16" s="3216"/>
      <c r="AB16" s="3216"/>
      <c r="AC16" s="3216"/>
      <c r="AD16" s="3216"/>
      <c r="AE16" s="3216"/>
      <c r="AF16" s="3216"/>
      <c r="AG16" s="3216"/>
      <c r="AH16" s="3216"/>
      <c r="AI16" s="3216"/>
      <c r="AJ16" s="3216"/>
      <c r="AK16" s="3216"/>
      <c r="AL16" s="3216"/>
      <c r="AM16" s="3216"/>
      <c r="AN16" s="3216"/>
      <c r="AO16" s="3216"/>
      <c r="AP16" s="3216"/>
      <c r="AQ16" s="2973"/>
      <c r="AR16" s="2973"/>
      <c r="AS16" s="2372"/>
    </row>
    <row r="17" spans="1:45" s="3" customFormat="1" ht="15.75" x14ac:dyDescent="0.25">
      <c r="A17" s="2428"/>
      <c r="B17" s="2429"/>
      <c r="C17" s="1475"/>
      <c r="D17" s="1476"/>
      <c r="E17" s="1488"/>
      <c r="F17" s="1488"/>
      <c r="G17" s="3211"/>
      <c r="H17" s="2223"/>
      <c r="I17" s="3211"/>
      <c r="J17" s="2223"/>
      <c r="K17" s="2849"/>
      <c r="L17" s="2658"/>
      <c r="M17" s="2849"/>
      <c r="N17" s="2658"/>
      <c r="O17" s="3215"/>
      <c r="P17" s="2111"/>
      <c r="Q17" s="2142"/>
      <c r="R17" s="3229"/>
      <c r="S17" s="3234"/>
      <c r="T17" s="2712"/>
      <c r="U17" s="2145"/>
      <c r="V17" s="2965"/>
      <c r="W17" s="1643">
        <v>7426942.2699999996</v>
      </c>
      <c r="X17" s="1347" t="s">
        <v>2497</v>
      </c>
      <c r="Y17" s="2331"/>
      <c r="Z17" s="2965"/>
      <c r="AA17" s="3216"/>
      <c r="AB17" s="3216"/>
      <c r="AC17" s="3216"/>
      <c r="AD17" s="3216"/>
      <c r="AE17" s="3216"/>
      <c r="AF17" s="3216"/>
      <c r="AG17" s="3216"/>
      <c r="AH17" s="3216"/>
      <c r="AI17" s="3216"/>
      <c r="AJ17" s="3216"/>
      <c r="AK17" s="3216"/>
      <c r="AL17" s="3216"/>
      <c r="AM17" s="3216"/>
      <c r="AN17" s="3216"/>
      <c r="AO17" s="3216"/>
      <c r="AP17" s="3216"/>
      <c r="AQ17" s="2973"/>
      <c r="AR17" s="2973"/>
      <c r="AS17" s="2372"/>
    </row>
    <row r="18" spans="1:45" s="3" customFormat="1" ht="15.75" x14ac:dyDescent="0.25">
      <c r="A18" s="2428"/>
      <c r="B18" s="2429"/>
      <c r="C18" s="1475"/>
      <c r="D18" s="1476"/>
      <c r="E18" s="1488"/>
      <c r="F18" s="1488"/>
      <c r="G18" s="3211"/>
      <c r="H18" s="2223"/>
      <c r="I18" s="3211"/>
      <c r="J18" s="2223"/>
      <c r="K18" s="2849"/>
      <c r="L18" s="2658"/>
      <c r="M18" s="2849"/>
      <c r="N18" s="2658"/>
      <c r="O18" s="3215"/>
      <c r="P18" s="2111"/>
      <c r="Q18" s="2142"/>
      <c r="R18" s="3229"/>
      <c r="S18" s="3234"/>
      <c r="T18" s="2712"/>
      <c r="U18" s="2145"/>
      <c r="V18" s="2965"/>
      <c r="W18" s="1643">
        <v>6751247.3300000001</v>
      </c>
      <c r="X18" s="1347" t="s">
        <v>2498</v>
      </c>
      <c r="Y18" s="2331"/>
      <c r="Z18" s="2965"/>
      <c r="AA18" s="3216"/>
      <c r="AB18" s="3216"/>
      <c r="AC18" s="3216"/>
      <c r="AD18" s="3216"/>
      <c r="AE18" s="3216"/>
      <c r="AF18" s="3216"/>
      <c r="AG18" s="3216"/>
      <c r="AH18" s="3216"/>
      <c r="AI18" s="3216"/>
      <c r="AJ18" s="3216"/>
      <c r="AK18" s="3216"/>
      <c r="AL18" s="3216"/>
      <c r="AM18" s="3216"/>
      <c r="AN18" s="3216"/>
      <c r="AO18" s="3216"/>
      <c r="AP18" s="3216"/>
      <c r="AQ18" s="2973"/>
      <c r="AR18" s="2973"/>
      <c r="AS18" s="2372"/>
    </row>
    <row r="19" spans="1:45" s="3" customFormat="1" ht="15.75" x14ac:dyDescent="0.25">
      <c r="A19" s="2428"/>
      <c r="B19" s="2429"/>
      <c r="C19" s="1475"/>
      <c r="D19" s="1476"/>
      <c r="E19" s="1488"/>
      <c r="F19" s="1488"/>
      <c r="G19" s="3212"/>
      <c r="H19" s="3028"/>
      <c r="I19" s="3212"/>
      <c r="J19" s="3028"/>
      <c r="K19" s="2849"/>
      <c r="L19" s="2658"/>
      <c r="M19" s="2849"/>
      <c r="N19" s="2658"/>
      <c r="O19" s="3215"/>
      <c r="P19" s="2111"/>
      <c r="Q19" s="2142"/>
      <c r="R19" s="3230"/>
      <c r="S19" s="3234"/>
      <c r="T19" s="2712"/>
      <c r="U19" s="2146"/>
      <c r="V19" s="2966"/>
      <c r="W19" s="1643">
        <v>2625801.85</v>
      </c>
      <c r="X19" s="1347" t="s">
        <v>2499</v>
      </c>
      <c r="Y19" s="3217"/>
      <c r="Z19" s="2966"/>
      <c r="AA19" s="3216"/>
      <c r="AB19" s="3216"/>
      <c r="AC19" s="3216"/>
      <c r="AD19" s="3216"/>
      <c r="AE19" s="3216"/>
      <c r="AF19" s="3216"/>
      <c r="AG19" s="3216"/>
      <c r="AH19" s="3216"/>
      <c r="AI19" s="3216"/>
      <c r="AJ19" s="3216"/>
      <c r="AK19" s="3216"/>
      <c r="AL19" s="3216"/>
      <c r="AM19" s="3216"/>
      <c r="AN19" s="3216"/>
      <c r="AO19" s="3216"/>
      <c r="AP19" s="3216"/>
      <c r="AQ19" s="2973"/>
      <c r="AR19" s="2973"/>
      <c r="AS19" s="2372"/>
    </row>
    <row r="20" spans="1:45" s="3" customFormat="1" ht="15.75" customHeight="1" x14ac:dyDescent="0.25">
      <c r="A20" s="2428"/>
      <c r="B20" s="2429"/>
      <c r="C20" s="1475"/>
      <c r="D20" s="1476"/>
      <c r="E20" s="1488"/>
      <c r="F20" s="1488"/>
      <c r="G20" s="3222">
        <v>2201032</v>
      </c>
      <c r="H20" s="2141" t="s">
        <v>2500</v>
      </c>
      <c r="I20" s="3222">
        <v>2201032</v>
      </c>
      <c r="J20" s="2141" t="s">
        <v>2500</v>
      </c>
      <c r="K20" s="3226">
        <v>220103200</v>
      </c>
      <c r="L20" s="2142" t="s">
        <v>2501</v>
      </c>
      <c r="M20" s="3226">
        <v>220103200</v>
      </c>
      <c r="N20" s="2142" t="s">
        <v>2501</v>
      </c>
      <c r="O20" s="3224">
        <v>200</v>
      </c>
      <c r="P20" s="2111"/>
      <c r="Q20" s="2142"/>
      <c r="R20" s="3228">
        <f>SUM(W20:W23)/S12</f>
        <v>6.4184039826359492E-4</v>
      </c>
      <c r="S20" s="3234"/>
      <c r="T20" s="2712"/>
      <c r="U20" s="2144" t="s">
        <v>2502</v>
      </c>
      <c r="V20" s="2056" t="s">
        <v>2503</v>
      </c>
      <c r="W20" s="1643">
        <v>664449.19999999995</v>
      </c>
      <c r="X20" s="1347" t="s">
        <v>2504</v>
      </c>
      <c r="Y20" s="3219">
        <v>20</v>
      </c>
      <c r="Z20" s="2056" t="s">
        <v>2496</v>
      </c>
      <c r="AA20" s="3216"/>
      <c r="AB20" s="3216"/>
      <c r="AC20" s="3216"/>
      <c r="AD20" s="3216"/>
      <c r="AE20" s="3216"/>
      <c r="AF20" s="3216"/>
      <c r="AG20" s="3216"/>
      <c r="AH20" s="3216"/>
      <c r="AI20" s="3216"/>
      <c r="AJ20" s="3216"/>
      <c r="AK20" s="3216"/>
      <c r="AL20" s="3216"/>
      <c r="AM20" s="3216"/>
      <c r="AN20" s="3216"/>
      <c r="AO20" s="3216"/>
      <c r="AP20" s="3216"/>
      <c r="AQ20" s="2973"/>
      <c r="AR20" s="2973"/>
      <c r="AS20" s="2372"/>
    </row>
    <row r="21" spans="1:45" s="3" customFormat="1" ht="15.75" x14ac:dyDescent="0.25">
      <c r="A21" s="2428"/>
      <c r="B21" s="2429"/>
      <c r="C21" s="1475"/>
      <c r="D21" s="1476"/>
      <c r="E21" s="1488"/>
      <c r="F21" s="1488"/>
      <c r="G21" s="3211"/>
      <c r="H21" s="2142"/>
      <c r="I21" s="3211"/>
      <c r="J21" s="2142"/>
      <c r="K21" s="3226"/>
      <c r="L21" s="2142"/>
      <c r="M21" s="3226"/>
      <c r="N21" s="2142"/>
      <c r="O21" s="3224"/>
      <c r="P21" s="2111"/>
      <c r="Q21" s="2142"/>
      <c r="R21" s="3229"/>
      <c r="S21" s="3234"/>
      <c r="T21" s="2712"/>
      <c r="U21" s="2145"/>
      <c r="V21" s="2965"/>
      <c r="W21" s="1643">
        <v>4126079.04</v>
      </c>
      <c r="X21" s="1347" t="s">
        <v>2505</v>
      </c>
      <c r="Y21" s="2331"/>
      <c r="Z21" s="2965"/>
      <c r="AA21" s="3216"/>
      <c r="AB21" s="3216"/>
      <c r="AC21" s="3216"/>
      <c r="AD21" s="3216"/>
      <c r="AE21" s="3216"/>
      <c r="AF21" s="3216"/>
      <c r="AG21" s="3216"/>
      <c r="AH21" s="3216"/>
      <c r="AI21" s="3216"/>
      <c r="AJ21" s="3216"/>
      <c r="AK21" s="3216"/>
      <c r="AL21" s="3216"/>
      <c r="AM21" s="3216"/>
      <c r="AN21" s="3216"/>
      <c r="AO21" s="3216"/>
      <c r="AP21" s="3216"/>
      <c r="AQ21" s="2973"/>
      <c r="AR21" s="2973"/>
      <c r="AS21" s="2372"/>
    </row>
    <row r="22" spans="1:45" s="3" customFormat="1" ht="15.75" x14ac:dyDescent="0.25">
      <c r="A22" s="2428"/>
      <c r="B22" s="2429"/>
      <c r="C22" s="1475"/>
      <c r="D22" s="1476"/>
      <c r="E22" s="1488"/>
      <c r="F22" s="1488"/>
      <c r="G22" s="3211"/>
      <c r="H22" s="2142"/>
      <c r="I22" s="3211"/>
      <c r="J22" s="2142"/>
      <c r="K22" s="3226"/>
      <c r="L22" s="2142"/>
      <c r="M22" s="3226"/>
      <c r="N22" s="2142"/>
      <c r="O22" s="3224"/>
      <c r="P22" s="2111"/>
      <c r="Q22" s="2142"/>
      <c r="R22" s="3229"/>
      <c r="S22" s="3234"/>
      <c r="T22" s="2712"/>
      <c r="U22" s="2145"/>
      <c r="V22" s="2965"/>
      <c r="W22" s="1643">
        <v>3750692.96</v>
      </c>
      <c r="X22" s="1347" t="s">
        <v>2506</v>
      </c>
      <c r="Y22" s="2331"/>
      <c r="Z22" s="2965"/>
      <c r="AA22" s="3216"/>
      <c r="AB22" s="3216"/>
      <c r="AC22" s="3216"/>
      <c r="AD22" s="3216"/>
      <c r="AE22" s="3216"/>
      <c r="AF22" s="3216"/>
      <c r="AG22" s="3216"/>
      <c r="AH22" s="3216"/>
      <c r="AI22" s="3216"/>
      <c r="AJ22" s="3216"/>
      <c r="AK22" s="3216"/>
      <c r="AL22" s="3216"/>
      <c r="AM22" s="3216"/>
      <c r="AN22" s="3216"/>
      <c r="AO22" s="3216"/>
      <c r="AP22" s="3216"/>
      <c r="AQ22" s="2973"/>
      <c r="AR22" s="2973"/>
      <c r="AS22" s="2372"/>
    </row>
    <row r="23" spans="1:45" s="3" customFormat="1" ht="18.75" customHeight="1" x14ac:dyDescent="0.25">
      <c r="A23" s="2428"/>
      <c r="B23" s="2429"/>
      <c r="C23" s="1475"/>
      <c r="D23" s="1476"/>
      <c r="E23" s="1488"/>
      <c r="F23" s="1488"/>
      <c r="G23" s="3212"/>
      <c r="H23" s="2143"/>
      <c r="I23" s="3212"/>
      <c r="J23" s="2143"/>
      <c r="K23" s="3227"/>
      <c r="L23" s="2143"/>
      <c r="M23" s="3227"/>
      <c r="N23" s="2143"/>
      <c r="O23" s="3225"/>
      <c r="P23" s="2111"/>
      <c r="Q23" s="2142"/>
      <c r="R23" s="3230"/>
      <c r="S23" s="3234"/>
      <c r="T23" s="2712"/>
      <c r="U23" s="2145"/>
      <c r="V23" s="2966"/>
      <c r="W23" s="1643">
        <v>1458778.81</v>
      </c>
      <c r="X23" s="1347" t="s">
        <v>2507</v>
      </c>
      <c r="Y23" s="3217"/>
      <c r="Z23" s="2966"/>
      <c r="AA23" s="3216"/>
      <c r="AB23" s="3216"/>
      <c r="AC23" s="3216"/>
      <c r="AD23" s="3216"/>
      <c r="AE23" s="3216"/>
      <c r="AF23" s="3216"/>
      <c r="AG23" s="3216"/>
      <c r="AH23" s="3216"/>
      <c r="AI23" s="3216"/>
      <c r="AJ23" s="3216"/>
      <c r="AK23" s="3216"/>
      <c r="AL23" s="3216"/>
      <c r="AM23" s="3216"/>
      <c r="AN23" s="3216"/>
      <c r="AO23" s="3216"/>
      <c r="AP23" s="3216"/>
      <c r="AQ23" s="2973"/>
      <c r="AR23" s="2973"/>
      <c r="AS23" s="2372"/>
    </row>
    <row r="24" spans="1:45" s="3" customFormat="1" ht="35.25" customHeight="1" x14ac:dyDescent="0.25">
      <c r="A24" s="2428"/>
      <c r="B24" s="2429"/>
      <c r="C24" s="1475"/>
      <c r="D24" s="1476"/>
      <c r="E24" s="1488"/>
      <c r="F24" s="1488"/>
      <c r="G24" s="3222">
        <v>2201055</v>
      </c>
      <c r="H24" s="2629" t="s">
        <v>2508</v>
      </c>
      <c r="I24" s="3222">
        <v>2201055</v>
      </c>
      <c r="J24" s="2629" t="s">
        <v>2508</v>
      </c>
      <c r="K24" s="3222">
        <v>220105500</v>
      </c>
      <c r="L24" s="2629" t="s">
        <v>2509</v>
      </c>
      <c r="M24" s="3222">
        <v>220105500</v>
      </c>
      <c r="N24" s="2629" t="s">
        <v>2509</v>
      </c>
      <c r="O24" s="3223">
        <v>1</v>
      </c>
      <c r="P24" s="2111"/>
      <c r="Q24" s="2142"/>
      <c r="R24" s="3228">
        <f>SUM(W24:W26)/S12</f>
        <v>3.098755953823174E-3</v>
      </c>
      <c r="S24" s="3234"/>
      <c r="T24" s="2712"/>
      <c r="U24" s="2145"/>
      <c r="V24" s="2056" t="s">
        <v>2510</v>
      </c>
      <c r="W24" s="1643">
        <f>30938242-9600035</f>
        <v>21338207</v>
      </c>
      <c r="X24" s="1347" t="s">
        <v>2511</v>
      </c>
      <c r="Y24" s="3219">
        <v>25</v>
      </c>
      <c r="Z24" s="2056" t="s">
        <v>2486</v>
      </c>
      <c r="AA24" s="3216"/>
      <c r="AB24" s="3216"/>
      <c r="AC24" s="3216"/>
      <c r="AD24" s="3216"/>
      <c r="AE24" s="3216"/>
      <c r="AF24" s="3216"/>
      <c r="AG24" s="3216"/>
      <c r="AH24" s="3216"/>
      <c r="AI24" s="3216"/>
      <c r="AJ24" s="3216"/>
      <c r="AK24" s="3216"/>
      <c r="AL24" s="3216"/>
      <c r="AM24" s="3216"/>
      <c r="AN24" s="3216"/>
      <c r="AO24" s="3216"/>
      <c r="AP24" s="3216"/>
      <c r="AQ24" s="2973"/>
      <c r="AR24" s="2973"/>
      <c r="AS24" s="2372"/>
    </row>
    <row r="25" spans="1:45" s="3" customFormat="1" ht="33.75" customHeight="1" x14ac:dyDescent="0.25">
      <c r="A25" s="2428"/>
      <c r="B25" s="2429"/>
      <c r="C25" s="1475"/>
      <c r="D25" s="1476"/>
      <c r="E25" s="1488"/>
      <c r="F25" s="1488"/>
      <c r="G25" s="3211"/>
      <c r="H25" s="2628"/>
      <c r="I25" s="3211"/>
      <c r="J25" s="2628"/>
      <c r="K25" s="3211"/>
      <c r="L25" s="2628"/>
      <c r="M25" s="3211"/>
      <c r="N25" s="2628"/>
      <c r="O25" s="3224"/>
      <c r="P25" s="2111"/>
      <c r="Q25" s="2142"/>
      <c r="R25" s="3229"/>
      <c r="S25" s="3234"/>
      <c r="T25" s="2712"/>
      <c r="U25" s="2145"/>
      <c r="V25" s="2965"/>
      <c r="W25" s="1643">
        <f>28123516-8726635</f>
        <v>19396881</v>
      </c>
      <c r="X25" s="1347" t="s">
        <v>2512</v>
      </c>
      <c r="Y25" s="2331"/>
      <c r="Z25" s="2965"/>
      <c r="AA25" s="3216"/>
      <c r="AB25" s="3216"/>
      <c r="AC25" s="3216"/>
      <c r="AD25" s="3216"/>
      <c r="AE25" s="3216"/>
      <c r="AF25" s="3216"/>
      <c r="AG25" s="3216"/>
      <c r="AH25" s="3216"/>
      <c r="AI25" s="3216"/>
      <c r="AJ25" s="3216"/>
      <c r="AK25" s="3216"/>
      <c r="AL25" s="3216"/>
      <c r="AM25" s="3216"/>
      <c r="AN25" s="3216"/>
      <c r="AO25" s="3216"/>
      <c r="AP25" s="3216"/>
      <c r="AQ25" s="2973"/>
      <c r="AR25" s="2973"/>
      <c r="AS25" s="2372"/>
    </row>
    <row r="26" spans="1:45" s="3" customFormat="1" ht="114" customHeight="1" x14ac:dyDescent="0.25">
      <c r="A26" s="2428"/>
      <c r="B26" s="2429"/>
      <c r="C26" s="1475"/>
      <c r="D26" s="1476"/>
      <c r="E26" s="1488"/>
      <c r="F26" s="1488"/>
      <c r="G26" s="3212"/>
      <c r="H26" s="2627"/>
      <c r="I26" s="3212"/>
      <c r="J26" s="2627"/>
      <c r="K26" s="3212"/>
      <c r="L26" s="2627"/>
      <c r="M26" s="3212"/>
      <c r="N26" s="2627"/>
      <c r="O26" s="3225"/>
      <c r="P26" s="2111"/>
      <c r="Q26" s="2142"/>
      <c r="R26" s="3230"/>
      <c r="S26" s="3234"/>
      <c r="T26" s="2712"/>
      <c r="U26" s="2145"/>
      <c r="V26" s="2966"/>
      <c r="W26" s="1643">
        <f>10938242-3394101</f>
        <v>7544141</v>
      </c>
      <c r="X26" s="1347" t="s">
        <v>2513</v>
      </c>
      <c r="Y26" s="3217"/>
      <c r="Z26" s="2966"/>
      <c r="AA26" s="3216"/>
      <c r="AB26" s="3216"/>
      <c r="AC26" s="3216"/>
      <c r="AD26" s="3216"/>
      <c r="AE26" s="3216"/>
      <c r="AF26" s="3216"/>
      <c r="AG26" s="3216"/>
      <c r="AH26" s="3216"/>
      <c r="AI26" s="3216"/>
      <c r="AJ26" s="3216"/>
      <c r="AK26" s="3216"/>
      <c r="AL26" s="3216"/>
      <c r="AM26" s="3216"/>
      <c r="AN26" s="3216"/>
      <c r="AO26" s="3216"/>
      <c r="AP26" s="3216"/>
      <c r="AQ26" s="2973"/>
      <c r="AR26" s="2973"/>
      <c r="AS26" s="2372"/>
    </row>
    <row r="27" spans="1:45" s="3" customFormat="1" ht="25.5" customHeight="1" x14ac:dyDescent="0.25">
      <c r="A27" s="2428"/>
      <c r="B27" s="2429"/>
      <c r="C27" s="1475"/>
      <c r="D27" s="1476"/>
      <c r="E27" s="1488"/>
      <c r="F27" s="1488"/>
      <c r="G27" s="3222">
        <v>2201067</v>
      </c>
      <c r="H27" s="2141" t="s">
        <v>2514</v>
      </c>
      <c r="I27" s="3222">
        <v>2201067</v>
      </c>
      <c r="J27" s="2141" t="s">
        <v>2514</v>
      </c>
      <c r="K27" s="3235">
        <v>220106700</v>
      </c>
      <c r="L27" s="2141" t="s">
        <v>2515</v>
      </c>
      <c r="M27" s="3235">
        <v>220106700</v>
      </c>
      <c r="N27" s="2141" t="s">
        <v>2515</v>
      </c>
      <c r="O27" s="3223">
        <v>54</v>
      </c>
      <c r="P27" s="2111"/>
      <c r="Q27" s="2142"/>
      <c r="R27" s="3228">
        <f>SUM(W27:W30)/S12</f>
        <v>6.4184039826359492E-4</v>
      </c>
      <c r="S27" s="3234"/>
      <c r="T27" s="2712"/>
      <c r="U27" s="2145"/>
      <c r="V27" s="2056" t="s">
        <v>2516</v>
      </c>
      <c r="W27" s="1643">
        <v>664449.19999999995</v>
      </c>
      <c r="X27" s="1347" t="s">
        <v>2517</v>
      </c>
      <c r="Y27" s="3219">
        <v>20</v>
      </c>
      <c r="Z27" s="2056" t="s">
        <v>2496</v>
      </c>
      <c r="AA27" s="3216"/>
      <c r="AB27" s="3216"/>
      <c r="AC27" s="3216"/>
      <c r="AD27" s="3216"/>
      <c r="AE27" s="3216"/>
      <c r="AF27" s="3216"/>
      <c r="AG27" s="3216"/>
      <c r="AH27" s="3216"/>
      <c r="AI27" s="3216"/>
      <c r="AJ27" s="3216"/>
      <c r="AK27" s="3216"/>
      <c r="AL27" s="3216"/>
      <c r="AM27" s="3216"/>
      <c r="AN27" s="3216"/>
      <c r="AO27" s="3216"/>
      <c r="AP27" s="3216"/>
      <c r="AQ27" s="2973"/>
      <c r="AR27" s="2973"/>
      <c r="AS27" s="2372"/>
    </row>
    <row r="28" spans="1:45" s="3" customFormat="1" ht="24" customHeight="1" x14ac:dyDescent="0.25">
      <c r="A28" s="2428"/>
      <c r="B28" s="2429"/>
      <c r="C28" s="1475"/>
      <c r="D28" s="1476"/>
      <c r="E28" s="1488"/>
      <c r="F28" s="1488"/>
      <c r="G28" s="3211"/>
      <c r="H28" s="2142"/>
      <c r="I28" s="3211"/>
      <c r="J28" s="2142"/>
      <c r="K28" s="3226"/>
      <c r="L28" s="2142"/>
      <c r="M28" s="3226"/>
      <c r="N28" s="2142"/>
      <c r="O28" s="3224"/>
      <c r="P28" s="2111"/>
      <c r="Q28" s="2142"/>
      <c r="R28" s="3229"/>
      <c r="S28" s="3234"/>
      <c r="T28" s="2712"/>
      <c r="U28" s="2145"/>
      <c r="V28" s="2965"/>
      <c r="W28" s="1643">
        <v>4126079.04</v>
      </c>
      <c r="X28" s="1347" t="s">
        <v>2518</v>
      </c>
      <c r="Y28" s="2331"/>
      <c r="Z28" s="2965"/>
      <c r="AA28" s="3216"/>
      <c r="AB28" s="3216"/>
      <c r="AC28" s="3216"/>
      <c r="AD28" s="3216"/>
      <c r="AE28" s="3216"/>
      <c r="AF28" s="3216"/>
      <c r="AG28" s="3216"/>
      <c r="AH28" s="3216"/>
      <c r="AI28" s="3216"/>
      <c r="AJ28" s="3216"/>
      <c r="AK28" s="3216"/>
      <c r="AL28" s="3216"/>
      <c r="AM28" s="3216"/>
      <c r="AN28" s="3216"/>
      <c r="AO28" s="3216"/>
      <c r="AP28" s="3216"/>
      <c r="AQ28" s="2973"/>
      <c r="AR28" s="2973"/>
      <c r="AS28" s="2372"/>
    </row>
    <row r="29" spans="1:45" s="3" customFormat="1" ht="27.75" customHeight="1" x14ac:dyDescent="0.25">
      <c r="A29" s="2428"/>
      <c r="B29" s="2429"/>
      <c r="C29" s="1475"/>
      <c r="D29" s="1476"/>
      <c r="E29" s="1488"/>
      <c r="F29" s="1488"/>
      <c r="G29" s="3211"/>
      <c r="H29" s="2142"/>
      <c r="I29" s="3211"/>
      <c r="J29" s="2142"/>
      <c r="K29" s="3226"/>
      <c r="L29" s="2142"/>
      <c r="M29" s="3226"/>
      <c r="N29" s="2142"/>
      <c r="O29" s="3224"/>
      <c r="P29" s="2111"/>
      <c r="Q29" s="2142"/>
      <c r="R29" s="3229"/>
      <c r="S29" s="3234"/>
      <c r="T29" s="2712"/>
      <c r="U29" s="2145"/>
      <c r="V29" s="2965"/>
      <c r="W29" s="1643">
        <v>3750692.96</v>
      </c>
      <c r="X29" s="1347" t="s">
        <v>2519</v>
      </c>
      <c r="Y29" s="2331"/>
      <c r="Z29" s="2965"/>
      <c r="AA29" s="3216"/>
      <c r="AB29" s="3216"/>
      <c r="AC29" s="3216"/>
      <c r="AD29" s="3216"/>
      <c r="AE29" s="3216"/>
      <c r="AF29" s="3216"/>
      <c r="AG29" s="3216"/>
      <c r="AH29" s="3216"/>
      <c r="AI29" s="3216"/>
      <c r="AJ29" s="3216"/>
      <c r="AK29" s="3216"/>
      <c r="AL29" s="3216"/>
      <c r="AM29" s="3216"/>
      <c r="AN29" s="3216"/>
      <c r="AO29" s="3216"/>
      <c r="AP29" s="3216"/>
      <c r="AQ29" s="2973"/>
      <c r="AR29" s="2973"/>
      <c r="AS29" s="2372"/>
    </row>
    <row r="30" spans="1:45" s="3" customFormat="1" ht="27.75" customHeight="1" x14ac:dyDescent="0.25">
      <c r="A30" s="2428"/>
      <c r="B30" s="2429"/>
      <c r="C30" s="1475"/>
      <c r="D30" s="1476"/>
      <c r="E30" s="1488"/>
      <c r="F30" s="1488"/>
      <c r="G30" s="3212"/>
      <c r="H30" s="2143"/>
      <c r="I30" s="3212"/>
      <c r="J30" s="2143"/>
      <c r="K30" s="3227"/>
      <c r="L30" s="2143"/>
      <c r="M30" s="3227"/>
      <c r="N30" s="2143"/>
      <c r="O30" s="3225"/>
      <c r="P30" s="2111"/>
      <c r="Q30" s="2142"/>
      <c r="R30" s="3230"/>
      <c r="S30" s="3234"/>
      <c r="T30" s="2712"/>
      <c r="U30" s="2145"/>
      <c r="V30" s="2966"/>
      <c r="W30" s="1643">
        <v>1458778.81</v>
      </c>
      <c r="X30" s="1347" t="s">
        <v>2520</v>
      </c>
      <c r="Y30" s="3217"/>
      <c r="Z30" s="2966"/>
      <c r="AA30" s="3216"/>
      <c r="AB30" s="3216"/>
      <c r="AC30" s="3216"/>
      <c r="AD30" s="3216"/>
      <c r="AE30" s="3216"/>
      <c r="AF30" s="3216"/>
      <c r="AG30" s="3216"/>
      <c r="AH30" s="3216"/>
      <c r="AI30" s="3216"/>
      <c r="AJ30" s="3216"/>
      <c r="AK30" s="3216"/>
      <c r="AL30" s="3216"/>
      <c r="AM30" s="3216"/>
      <c r="AN30" s="3216"/>
      <c r="AO30" s="3216"/>
      <c r="AP30" s="3216"/>
      <c r="AQ30" s="2973"/>
      <c r="AR30" s="2973"/>
      <c r="AS30" s="2372"/>
    </row>
    <row r="31" spans="1:45" s="3" customFormat="1" ht="64.5" customHeight="1" x14ac:dyDescent="0.25">
      <c r="A31" s="2428"/>
      <c r="B31" s="2429"/>
      <c r="C31" s="1475"/>
      <c r="D31" s="1476"/>
      <c r="E31" s="1488"/>
      <c r="F31" s="1488"/>
      <c r="G31" s="3222">
        <v>2201028</v>
      </c>
      <c r="H31" s="2141" t="s">
        <v>2521</v>
      </c>
      <c r="I31" s="3222">
        <v>2201028</v>
      </c>
      <c r="J31" s="2141" t="s">
        <v>2521</v>
      </c>
      <c r="K31" s="2853">
        <v>220102801</v>
      </c>
      <c r="L31" s="2141" t="s">
        <v>2522</v>
      </c>
      <c r="M31" s="2853">
        <v>220102801</v>
      </c>
      <c r="N31" s="2141" t="s">
        <v>2522</v>
      </c>
      <c r="O31" s="3223">
        <v>36000</v>
      </c>
      <c r="P31" s="2111"/>
      <c r="Q31" s="2142"/>
      <c r="R31" s="3228">
        <f>SUM(W31:W35)/S12</f>
        <v>0.87548405668450158</v>
      </c>
      <c r="S31" s="3234"/>
      <c r="T31" s="2712"/>
      <c r="U31" s="2305" t="s">
        <v>2523</v>
      </c>
      <c r="V31" s="2056" t="s">
        <v>2524</v>
      </c>
      <c r="W31" s="1643">
        <f>12990000000-2811152214</f>
        <v>10178847786</v>
      </c>
      <c r="X31" s="1347" t="s">
        <v>2525</v>
      </c>
      <c r="Y31" s="1539">
        <v>81</v>
      </c>
      <c r="Z31" s="1458" t="s">
        <v>2526</v>
      </c>
      <c r="AA31" s="3216"/>
      <c r="AB31" s="3216"/>
      <c r="AC31" s="3216"/>
      <c r="AD31" s="3216"/>
      <c r="AE31" s="3216"/>
      <c r="AF31" s="3216"/>
      <c r="AG31" s="3216"/>
      <c r="AH31" s="3216"/>
      <c r="AI31" s="3216"/>
      <c r="AJ31" s="3216"/>
      <c r="AK31" s="3216"/>
      <c r="AL31" s="3216"/>
      <c r="AM31" s="3216"/>
      <c r="AN31" s="3216"/>
      <c r="AO31" s="3216"/>
      <c r="AP31" s="3216"/>
      <c r="AQ31" s="2973"/>
      <c r="AR31" s="2973"/>
      <c r="AS31" s="2372"/>
    </row>
    <row r="32" spans="1:45" s="3" customFormat="1" ht="64.5" customHeight="1" x14ac:dyDescent="0.25">
      <c r="A32" s="2428"/>
      <c r="B32" s="2429"/>
      <c r="C32" s="1475"/>
      <c r="D32" s="1476"/>
      <c r="E32" s="1488"/>
      <c r="F32" s="1488"/>
      <c r="G32" s="3211"/>
      <c r="H32" s="2142"/>
      <c r="I32" s="3211"/>
      <c r="J32" s="2142"/>
      <c r="K32" s="2854"/>
      <c r="L32" s="2142"/>
      <c r="M32" s="2854"/>
      <c r="N32" s="2142"/>
      <c r="O32" s="3224"/>
      <c r="P32" s="2111"/>
      <c r="Q32" s="2142"/>
      <c r="R32" s="3229"/>
      <c r="S32" s="3234"/>
      <c r="T32" s="2712"/>
      <c r="U32" s="2305"/>
      <c r="V32" s="2965"/>
      <c r="W32" s="1644">
        <v>250000000</v>
      </c>
      <c r="X32" s="1500" t="s">
        <v>2527</v>
      </c>
      <c r="Y32" s="1540">
        <v>20</v>
      </c>
      <c r="Z32" s="1460" t="s">
        <v>2496</v>
      </c>
      <c r="AA32" s="3216"/>
      <c r="AB32" s="3216"/>
      <c r="AC32" s="3216"/>
      <c r="AD32" s="3216"/>
      <c r="AE32" s="3216"/>
      <c r="AF32" s="3216"/>
      <c r="AG32" s="3216"/>
      <c r="AH32" s="3216"/>
      <c r="AI32" s="3216"/>
      <c r="AJ32" s="3216"/>
      <c r="AK32" s="3216"/>
      <c r="AL32" s="3216"/>
      <c r="AM32" s="3216"/>
      <c r="AN32" s="3216"/>
      <c r="AO32" s="3216"/>
      <c r="AP32" s="3216"/>
      <c r="AQ32" s="2973"/>
      <c r="AR32" s="2973"/>
      <c r="AS32" s="2372"/>
    </row>
    <row r="33" spans="1:45" s="3" customFormat="1" ht="64.5" customHeight="1" x14ac:dyDescent="0.25">
      <c r="A33" s="2428"/>
      <c r="B33" s="2429"/>
      <c r="C33" s="1475"/>
      <c r="D33" s="1476"/>
      <c r="E33" s="1488"/>
      <c r="F33" s="1488"/>
      <c r="G33" s="3211"/>
      <c r="H33" s="2142"/>
      <c r="I33" s="3211"/>
      <c r="J33" s="2142"/>
      <c r="K33" s="2854"/>
      <c r="L33" s="2142"/>
      <c r="M33" s="2854"/>
      <c r="N33" s="2142"/>
      <c r="O33" s="3224"/>
      <c r="P33" s="2111"/>
      <c r="Q33" s="2142"/>
      <c r="R33" s="3229"/>
      <c r="S33" s="3234"/>
      <c r="T33" s="2712"/>
      <c r="U33" s="2305"/>
      <c r="V33" s="3220"/>
      <c r="W33" s="1645">
        <v>62.1</v>
      </c>
      <c r="X33" s="1646" t="s">
        <v>2528</v>
      </c>
      <c r="Y33" s="1362">
        <v>186</v>
      </c>
      <c r="Z33" s="1456" t="s">
        <v>2529</v>
      </c>
      <c r="AA33" s="3218"/>
      <c r="AB33" s="3216"/>
      <c r="AC33" s="3216"/>
      <c r="AD33" s="3216"/>
      <c r="AE33" s="3216"/>
      <c r="AF33" s="3216"/>
      <c r="AG33" s="3216"/>
      <c r="AH33" s="3216"/>
      <c r="AI33" s="3216"/>
      <c r="AJ33" s="3216"/>
      <c r="AK33" s="3216"/>
      <c r="AL33" s="3216"/>
      <c r="AM33" s="3216"/>
      <c r="AN33" s="3216"/>
      <c r="AO33" s="3216"/>
      <c r="AP33" s="3216"/>
      <c r="AQ33" s="2973"/>
      <c r="AR33" s="2973"/>
      <c r="AS33" s="2372"/>
    </row>
    <row r="34" spans="1:45" s="3" customFormat="1" ht="64.5" customHeight="1" x14ac:dyDescent="0.25">
      <c r="A34" s="2428"/>
      <c r="B34" s="2429"/>
      <c r="C34" s="1475"/>
      <c r="D34" s="1476"/>
      <c r="E34" s="1488"/>
      <c r="F34" s="1488"/>
      <c r="G34" s="3211"/>
      <c r="H34" s="2142"/>
      <c r="I34" s="3211"/>
      <c r="J34" s="2142"/>
      <c r="K34" s="2854"/>
      <c r="L34" s="2142"/>
      <c r="M34" s="2854"/>
      <c r="N34" s="2142"/>
      <c r="O34" s="3224"/>
      <c r="P34" s="2111"/>
      <c r="Q34" s="2142"/>
      <c r="R34" s="3229"/>
      <c r="S34" s="3234"/>
      <c r="T34" s="2712"/>
      <c r="U34" s="2305"/>
      <c r="V34" s="3220"/>
      <c r="W34" s="1647">
        <v>1411366447.05</v>
      </c>
      <c r="X34" s="1347" t="s">
        <v>2530</v>
      </c>
      <c r="Y34" s="1648">
        <v>137</v>
      </c>
      <c r="Z34" s="1455" t="s">
        <v>2531</v>
      </c>
      <c r="AA34" s="3218"/>
      <c r="AB34" s="3216"/>
      <c r="AC34" s="3216"/>
      <c r="AD34" s="3216"/>
      <c r="AE34" s="3216"/>
      <c r="AF34" s="3216"/>
      <c r="AG34" s="3216"/>
      <c r="AH34" s="3216"/>
      <c r="AI34" s="3216"/>
      <c r="AJ34" s="3216"/>
      <c r="AK34" s="3216"/>
      <c r="AL34" s="3216"/>
      <c r="AM34" s="3216"/>
      <c r="AN34" s="3216"/>
      <c r="AO34" s="3216"/>
      <c r="AP34" s="3216"/>
      <c r="AQ34" s="2973"/>
      <c r="AR34" s="2973"/>
      <c r="AS34" s="2372"/>
    </row>
    <row r="35" spans="1:45" s="3" customFormat="1" ht="51" customHeight="1" x14ac:dyDescent="0.25">
      <c r="A35" s="2428"/>
      <c r="B35" s="2429"/>
      <c r="C35" s="1475"/>
      <c r="D35" s="1476"/>
      <c r="E35" s="1488"/>
      <c r="F35" s="1488"/>
      <c r="G35" s="3212"/>
      <c r="H35" s="2143"/>
      <c r="I35" s="3212"/>
      <c r="J35" s="2143"/>
      <c r="K35" s="2855"/>
      <c r="L35" s="2143"/>
      <c r="M35" s="2855"/>
      <c r="N35" s="2143"/>
      <c r="O35" s="3225"/>
      <c r="P35" s="2111"/>
      <c r="Q35" s="2142"/>
      <c r="R35" s="3230"/>
      <c r="S35" s="3234"/>
      <c r="T35" s="2712"/>
      <c r="U35" s="2305"/>
      <c r="V35" s="3221"/>
      <c r="W35" s="1647">
        <v>1800000000</v>
      </c>
      <c r="X35" s="1347" t="s">
        <v>2532</v>
      </c>
      <c r="Y35" s="1648">
        <v>88</v>
      </c>
      <c r="Z35" s="1456" t="s">
        <v>1840</v>
      </c>
      <c r="AA35" s="3218"/>
      <c r="AB35" s="3216"/>
      <c r="AC35" s="3216"/>
      <c r="AD35" s="3216"/>
      <c r="AE35" s="3216"/>
      <c r="AF35" s="3216"/>
      <c r="AG35" s="3216"/>
      <c r="AH35" s="3216"/>
      <c r="AI35" s="3216"/>
      <c r="AJ35" s="3216"/>
      <c r="AK35" s="3216"/>
      <c r="AL35" s="3216"/>
      <c r="AM35" s="3216"/>
      <c r="AN35" s="3216"/>
      <c r="AO35" s="3216"/>
      <c r="AP35" s="3216"/>
      <c r="AQ35" s="2973"/>
      <c r="AR35" s="2973"/>
      <c r="AS35" s="2372"/>
    </row>
    <row r="36" spans="1:45" s="3" customFormat="1" ht="155.25" customHeight="1" x14ac:dyDescent="0.25">
      <c r="A36" s="2428"/>
      <c r="B36" s="2429"/>
      <c r="C36" s="1475"/>
      <c r="D36" s="1476"/>
      <c r="E36" s="1488"/>
      <c r="F36" s="1488"/>
      <c r="G36" s="1649" t="s">
        <v>2533</v>
      </c>
      <c r="H36" s="1466" t="s">
        <v>2534</v>
      </c>
      <c r="I36" s="1649" t="s">
        <v>2533</v>
      </c>
      <c r="J36" s="1466" t="s">
        <v>2534</v>
      </c>
      <c r="K36" s="1650">
        <v>220102900</v>
      </c>
      <c r="L36" s="1466" t="s">
        <v>2535</v>
      </c>
      <c r="M36" s="1650">
        <v>220102900</v>
      </c>
      <c r="N36" s="1466" t="s">
        <v>2535</v>
      </c>
      <c r="O36" s="1651">
        <v>1000</v>
      </c>
      <c r="P36" s="2111"/>
      <c r="Q36" s="2142"/>
      <c r="R36" s="1652">
        <f>SUM(W36)/S12</f>
        <v>1.7971531133409126E-2</v>
      </c>
      <c r="S36" s="3234"/>
      <c r="T36" s="2712"/>
      <c r="U36" s="2305"/>
      <c r="V36" s="1465" t="s">
        <v>2536</v>
      </c>
      <c r="W36" s="1645">
        <f>380000000-100000000</f>
        <v>280000000</v>
      </c>
      <c r="X36" s="1566" t="s">
        <v>2537</v>
      </c>
      <c r="Y36" s="1348">
        <v>20</v>
      </c>
      <c r="Z36" s="1492" t="s">
        <v>2496</v>
      </c>
      <c r="AA36" s="3216"/>
      <c r="AB36" s="3216"/>
      <c r="AC36" s="3216"/>
      <c r="AD36" s="3216"/>
      <c r="AE36" s="3216"/>
      <c r="AF36" s="3216"/>
      <c r="AG36" s="3216"/>
      <c r="AH36" s="3216"/>
      <c r="AI36" s="3216"/>
      <c r="AJ36" s="3216"/>
      <c r="AK36" s="3216"/>
      <c r="AL36" s="3216"/>
      <c r="AM36" s="3216"/>
      <c r="AN36" s="3216"/>
      <c r="AO36" s="3216"/>
      <c r="AP36" s="3216"/>
      <c r="AQ36" s="2973"/>
      <c r="AR36" s="2973"/>
      <c r="AS36" s="2372"/>
    </row>
    <row r="37" spans="1:45" s="3" customFormat="1" ht="117.75" customHeight="1" x14ac:dyDescent="0.25">
      <c r="A37" s="2428"/>
      <c r="B37" s="2429"/>
      <c r="C37" s="1475"/>
      <c r="D37" s="1476"/>
      <c r="E37" s="1488"/>
      <c r="F37" s="1488"/>
      <c r="G37" s="1649" t="s">
        <v>62</v>
      </c>
      <c r="H37" s="1466" t="s">
        <v>2538</v>
      </c>
      <c r="I37" s="1649">
        <v>2201062</v>
      </c>
      <c r="J37" s="1466" t="s">
        <v>410</v>
      </c>
      <c r="K37" s="1459" t="s">
        <v>62</v>
      </c>
      <c r="L37" s="1466" t="s">
        <v>411</v>
      </c>
      <c r="M37" s="1459">
        <v>220106200</v>
      </c>
      <c r="N37" s="1466" t="s">
        <v>2539</v>
      </c>
      <c r="O37" s="1651">
        <v>15</v>
      </c>
      <c r="P37" s="2111"/>
      <c r="Q37" s="2142"/>
      <c r="R37" s="1652">
        <f>W37/S12</f>
        <v>8.3439251690828088E-3</v>
      </c>
      <c r="S37" s="3234"/>
      <c r="T37" s="2712"/>
      <c r="U37" s="2305" t="s">
        <v>2540</v>
      </c>
      <c r="V37" s="1458" t="s">
        <v>2541</v>
      </c>
      <c r="W37" s="1642">
        <f>30000000+100000000</f>
        <v>130000000</v>
      </c>
      <c r="X37" s="1347" t="s">
        <v>2542</v>
      </c>
      <c r="Y37" s="1539">
        <v>20</v>
      </c>
      <c r="Z37" s="1458" t="s">
        <v>2496</v>
      </c>
      <c r="AA37" s="3216"/>
      <c r="AB37" s="3216"/>
      <c r="AC37" s="3216"/>
      <c r="AD37" s="3216"/>
      <c r="AE37" s="3216"/>
      <c r="AF37" s="3216"/>
      <c r="AG37" s="3216"/>
      <c r="AH37" s="3216"/>
      <c r="AI37" s="3216"/>
      <c r="AJ37" s="3216"/>
      <c r="AK37" s="3216"/>
      <c r="AL37" s="3216"/>
      <c r="AM37" s="3216"/>
      <c r="AN37" s="3216"/>
      <c r="AO37" s="3216"/>
      <c r="AP37" s="3216"/>
      <c r="AQ37" s="2973"/>
      <c r="AR37" s="2973"/>
      <c r="AS37" s="2372"/>
    </row>
    <row r="38" spans="1:45" s="3" customFormat="1" ht="57" customHeight="1" x14ac:dyDescent="0.25">
      <c r="A38" s="2428"/>
      <c r="B38" s="2429"/>
      <c r="C38" s="1475"/>
      <c r="D38" s="1476"/>
      <c r="E38" s="1488"/>
      <c r="F38" s="1488"/>
      <c r="G38" s="1649">
        <v>2201063</v>
      </c>
      <c r="H38" s="1466" t="s">
        <v>2543</v>
      </c>
      <c r="I38" s="1649">
        <v>2201063</v>
      </c>
      <c r="J38" s="1466" t="s">
        <v>2543</v>
      </c>
      <c r="K38" s="1653">
        <v>220106300</v>
      </c>
      <c r="L38" s="1466" t="s">
        <v>2544</v>
      </c>
      <c r="M38" s="1653">
        <v>220106300</v>
      </c>
      <c r="N38" s="1466" t="s">
        <v>2544</v>
      </c>
      <c r="O38" s="1651">
        <v>2</v>
      </c>
      <c r="P38" s="2111"/>
      <c r="Q38" s="2142"/>
      <c r="R38" s="1652">
        <f>W38/S12</f>
        <v>1.9255211928652634E-3</v>
      </c>
      <c r="S38" s="3234"/>
      <c r="T38" s="2712"/>
      <c r="U38" s="2305"/>
      <c r="V38" s="1458" t="s">
        <v>2545</v>
      </c>
      <c r="W38" s="1643">
        <v>30000000</v>
      </c>
      <c r="X38" s="1347" t="s">
        <v>2546</v>
      </c>
      <c r="Y38" s="1539">
        <v>20</v>
      </c>
      <c r="Z38" s="1458" t="s">
        <v>2496</v>
      </c>
      <c r="AA38" s="3216"/>
      <c r="AB38" s="3216"/>
      <c r="AC38" s="3216"/>
      <c r="AD38" s="3216"/>
      <c r="AE38" s="3216"/>
      <c r="AF38" s="3216"/>
      <c r="AG38" s="3216"/>
      <c r="AH38" s="3216"/>
      <c r="AI38" s="3216"/>
      <c r="AJ38" s="3216"/>
      <c r="AK38" s="3216"/>
      <c r="AL38" s="3216"/>
      <c r="AM38" s="3216"/>
      <c r="AN38" s="3216"/>
      <c r="AO38" s="3216"/>
      <c r="AP38" s="3216"/>
      <c r="AQ38" s="2973"/>
      <c r="AR38" s="2973"/>
      <c r="AS38" s="2372"/>
    </row>
    <row r="39" spans="1:45" s="3" customFormat="1" ht="40.5" customHeight="1" x14ac:dyDescent="0.25">
      <c r="A39" s="2428"/>
      <c r="B39" s="2429"/>
      <c r="C39" s="1475"/>
      <c r="D39" s="1476"/>
      <c r="E39" s="1488"/>
      <c r="F39" s="1488"/>
      <c r="G39" s="3236">
        <v>2201069</v>
      </c>
      <c r="H39" s="3237" t="s">
        <v>2547</v>
      </c>
      <c r="I39" s="3236">
        <v>2201069</v>
      </c>
      <c r="J39" s="3237" t="s">
        <v>2547</v>
      </c>
      <c r="K39" s="3236">
        <v>220106900</v>
      </c>
      <c r="L39" s="3237" t="s">
        <v>2548</v>
      </c>
      <c r="M39" s="3236">
        <v>220106900</v>
      </c>
      <c r="N39" s="3237" t="s">
        <v>2548</v>
      </c>
      <c r="O39" s="3239">
        <v>3</v>
      </c>
      <c r="P39" s="2111"/>
      <c r="Q39" s="2142"/>
      <c r="R39" s="3240">
        <f>SUM(W39:W40)/S12</f>
        <v>4.4928827833522816E-3</v>
      </c>
      <c r="S39" s="3234"/>
      <c r="T39" s="2712"/>
      <c r="U39" s="2305"/>
      <c r="V39" s="2056" t="s">
        <v>2549</v>
      </c>
      <c r="W39" s="1643">
        <v>50000000</v>
      </c>
      <c r="X39" s="1347" t="s">
        <v>2550</v>
      </c>
      <c r="Y39" s="1539">
        <v>21</v>
      </c>
      <c r="Z39" s="1458" t="s">
        <v>2551</v>
      </c>
      <c r="AA39" s="3216"/>
      <c r="AB39" s="3216"/>
      <c r="AC39" s="3216"/>
      <c r="AD39" s="3216"/>
      <c r="AE39" s="3216"/>
      <c r="AF39" s="3216"/>
      <c r="AG39" s="3216"/>
      <c r="AH39" s="3216"/>
      <c r="AI39" s="3216"/>
      <c r="AJ39" s="3216"/>
      <c r="AK39" s="3216"/>
      <c r="AL39" s="3216"/>
      <c r="AM39" s="3216"/>
      <c r="AN39" s="3216"/>
      <c r="AO39" s="3216"/>
      <c r="AP39" s="3216"/>
      <c r="AQ39" s="2973"/>
      <c r="AR39" s="2973"/>
      <c r="AS39" s="2372"/>
    </row>
    <row r="40" spans="1:45" s="3" customFormat="1" ht="43.5" customHeight="1" x14ac:dyDescent="0.25">
      <c r="A40" s="2428"/>
      <c r="B40" s="2429"/>
      <c r="C40" s="1475"/>
      <c r="D40" s="1476"/>
      <c r="E40" s="1488"/>
      <c r="F40" s="1488"/>
      <c r="G40" s="3236"/>
      <c r="H40" s="3237"/>
      <c r="I40" s="3236"/>
      <c r="J40" s="3237"/>
      <c r="K40" s="3236"/>
      <c r="L40" s="3237"/>
      <c r="M40" s="3236"/>
      <c r="N40" s="3237"/>
      <c r="O40" s="3239"/>
      <c r="P40" s="2111"/>
      <c r="Q40" s="2143"/>
      <c r="R40" s="3240"/>
      <c r="S40" s="3234"/>
      <c r="T40" s="3026"/>
      <c r="U40" s="2305"/>
      <c r="V40" s="2966"/>
      <c r="W40" s="1643">
        <v>20000000</v>
      </c>
      <c r="X40" s="1347" t="s">
        <v>2552</v>
      </c>
      <c r="Y40" s="1539">
        <v>20</v>
      </c>
      <c r="Z40" s="1458" t="s">
        <v>2496</v>
      </c>
      <c r="AA40" s="3216"/>
      <c r="AB40" s="3216"/>
      <c r="AC40" s="3216"/>
      <c r="AD40" s="3216"/>
      <c r="AE40" s="3216"/>
      <c r="AF40" s="3216"/>
      <c r="AG40" s="3216"/>
      <c r="AH40" s="3216"/>
      <c r="AI40" s="3216"/>
      <c r="AJ40" s="3216"/>
      <c r="AK40" s="3216"/>
      <c r="AL40" s="3216"/>
      <c r="AM40" s="3216"/>
      <c r="AN40" s="3216"/>
      <c r="AO40" s="3216"/>
      <c r="AP40" s="3216"/>
      <c r="AQ40" s="2974"/>
      <c r="AR40" s="2974"/>
      <c r="AS40" s="2373"/>
    </row>
    <row r="41" spans="1:45" ht="207" customHeight="1" x14ac:dyDescent="0.25">
      <c r="A41" s="1495"/>
      <c r="B41" s="1452"/>
      <c r="C41" s="1470"/>
      <c r="D41" s="1452"/>
      <c r="G41" s="1654">
        <v>2201018</v>
      </c>
      <c r="H41" s="1485" t="s">
        <v>2553</v>
      </c>
      <c r="I41" s="1654">
        <v>2201018</v>
      </c>
      <c r="J41" s="1485" t="s">
        <v>2553</v>
      </c>
      <c r="K41" s="1655">
        <v>220101802</v>
      </c>
      <c r="L41" s="1485" t="s">
        <v>2554</v>
      </c>
      <c r="M41" s="1655">
        <v>220101802</v>
      </c>
      <c r="N41" s="1485" t="s">
        <v>2554</v>
      </c>
      <c r="O41" s="1656">
        <v>1</v>
      </c>
      <c r="P41" s="2148" t="s">
        <v>2555</v>
      </c>
      <c r="Q41" s="2119" t="s">
        <v>2556</v>
      </c>
      <c r="R41" s="1657">
        <f>W41/S41</f>
        <v>0.375</v>
      </c>
      <c r="S41" s="3241">
        <f>SUM(W41:W42)</f>
        <v>16000000</v>
      </c>
      <c r="T41" s="2119" t="s">
        <v>2557</v>
      </c>
      <c r="U41" s="1481" t="s">
        <v>2558</v>
      </c>
      <c r="V41" s="1458" t="s">
        <v>2559</v>
      </c>
      <c r="W41" s="1643">
        <v>6000000</v>
      </c>
      <c r="X41" s="1347" t="s">
        <v>2560</v>
      </c>
      <c r="Y41" s="1539">
        <v>20</v>
      </c>
      <c r="Z41" s="1458" t="s">
        <v>2496</v>
      </c>
      <c r="AA41" s="3238">
        <v>1263</v>
      </c>
      <c r="AB41" s="3238">
        <v>1364</v>
      </c>
      <c r="AC41" s="3238">
        <v>2622</v>
      </c>
      <c r="AD41" s="3238">
        <v>4</v>
      </c>
      <c r="AE41" s="3238">
        <v>1</v>
      </c>
      <c r="AF41" s="3238">
        <v>0</v>
      </c>
      <c r="AG41" s="3238">
        <v>14</v>
      </c>
      <c r="AH41" s="3238">
        <v>3</v>
      </c>
      <c r="AI41" s="3238">
        <v>0</v>
      </c>
      <c r="AJ41" s="3238">
        <v>0</v>
      </c>
      <c r="AK41" s="3238">
        <v>0</v>
      </c>
      <c r="AL41" s="3238">
        <v>0</v>
      </c>
      <c r="AM41" s="3238">
        <v>158</v>
      </c>
      <c r="AN41" s="3238">
        <v>31</v>
      </c>
      <c r="AO41" s="3238">
        <v>42</v>
      </c>
      <c r="AP41" s="3238">
        <f>SUM(AA41:AB42)</f>
        <v>2627</v>
      </c>
      <c r="AQ41" s="2982">
        <v>44198</v>
      </c>
      <c r="AR41" s="2982">
        <v>44560</v>
      </c>
      <c r="AS41" s="2371" t="s">
        <v>2487</v>
      </c>
    </row>
    <row r="42" spans="1:45" ht="151.5" customHeight="1" x14ac:dyDescent="0.25">
      <c r="A42" s="1495"/>
      <c r="B42" s="1452"/>
      <c r="C42" s="1470"/>
      <c r="D42" s="1452"/>
      <c r="G42" s="1658">
        <v>2201037</v>
      </c>
      <c r="H42" s="1486" t="s">
        <v>2561</v>
      </c>
      <c r="I42" s="1658">
        <v>2201037</v>
      </c>
      <c r="J42" s="1486" t="s">
        <v>2561</v>
      </c>
      <c r="K42" s="1483">
        <v>220103700</v>
      </c>
      <c r="L42" s="1592" t="s">
        <v>2562</v>
      </c>
      <c r="M42" s="1483">
        <v>220103700</v>
      </c>
      <c r="N42" s="1592" t="s">
        <v>2562</v>
      </c>
      <c r="O42" s="1659">
        <v>54</v>
      </c>
      <c r="P42" s="2111"/>
      <c r="Q42" s="2119"/>
      <c r="R42" s="1660">
        <f>W42/S41</f>
        <v>0.625</v>
      </c>
      <c r="S42" s="3242"/>
      <c r="T42" s="2119"/>
      <c r="U42" s="1481" t="s">
        <v>2563</v>
      </c>
      <c r="V42" s="1458" t="s">
        <v>2564</v>
      </c>
      <c r="W42" s="1643">
        <v>10000000</v>
      </c>
      <c r="X42" s="1347" t="s">
        <v>2565</v>
      </c>
      <c r="Y42" s="1540">
        <v>20</v>
      </c>
      <c r="Z42" s="1460" t="s">
        <v>2496</v>
      </c>
      <c r="AA42" s="3216"/>
      <c r="AB42" s="3216"/>
      <c r="AC42" s="3216"/>
      <c r="AD42" s="3216"/>
      <c r="AE42" s="3216"/>
      <c r="AF42" s="3216"/>
      <c r="AG42" s="3216"/>
      <c r="AH42" s="3216"/>
      <c r="AI42" s="3216"/>
      <c r="AJ42" s="3216"/>
      <c r="AK42" s="3216"/>
      <c r="AL42" s="3216"/>
      <c r="AM42" s="3216"/>
      <c r="AN42" s="3216"/>
      <c r="AO42" s="3216"/>
      <c r="AP42" s="3216"/>
      <c r="AQ42" s="2974"/>
      <c r="AR42" s="2974"/>
      <c r="AS42" s="2373"/>
    </row>
    <row r="43" spans="1:45" ht="21" customHeight="1" x14ac:dyDescent="0.25">
      <c r="A43" s="1495"/>
      <c r="B43" s="1452"/>
      <c r="C43" s="1470"/>
      <c r="D43" s="1452"/>
      <c r="G43" s="3243">
        <v>2201007</v>
      </c>
      <c r="H43" s="3159" t="s">
        <v>2566</v>
      </c>
      <c r="I43" s="3243">
        <v>2201073</v>
      </c>
      <c r="J43" s="3159" t="s">
        <v>2566</v>
      </c>
      <c r="K43" s="3243">
        <v>2201007</v>
      </c>
      <c r="L43" s="3159" t="s">
        <v>2567</v>
      </c>
      <c r="M43" s="3243">
        <v>220107300</v>
      </c>
      <c r="N43" s="3159" t="s">
        <v>2567</v>
      </c>
      <c r="O43" s="3245">
        <v>7774</v>
      </c>
      <c r="P43" s="2148" t="s">
        <v>2568</v>
      </c>
      <c r="Q43" s="2119" t="s">
        <v>2569</v>
      </c>
      <c r="R43" s="3257">
        <f>SUM(W43:W47)/S43</f>
        <v>0.20961339683854868</v>
      </c>
      <c r="S43" s="3259">
        <f>SUM(W43:W75)</f>
        <v>161433653.48000002</v>
      </c>
      <c r="T43" s="2119" t="s">
        <v>2570</v>
      </c>
      <c r="U43" s="2144" t="s">
        <v>2571</v>
      </c>
      <c r="V43" s="3248" t="s">
        <v>2572</v>
      </c>
      <c r="W43" s="1643">
        <v>1328898.3899999999</v>
      </c>
      <c r="X43" s="1361" t="s">
        <v>2573</v>
      </c>
      <c r="Y43" s="3251">
        <v>20</v>
      </c>
      <c r="Z43" s="2096" t="s">
        <v>2496</v>
      </c>
      <c r="AA43" s="3252">
        <v>19649</v>
      </c>
      <c r="AB43" s="3238">
        <v>20118</v>
      </c>
      <c r="AC43" s="3238">
        <v>28907</v>
      </c>
      <c r="AD43" s="3238">
        <v>9525</v>
      </c>
      <c r="AE43" s="3238">
        <v>1222</v>
      </c>
      <c r="AF43" s="3238">
        <v>113</v>
      </c>
      <c r="AG43" s="3238">
        <v>297</v>
      </c>
      <c r="AH43" s="3238">
        <v>345</v>
      </c>
      <c r="AI43" s="3238">
        <v>0</v>
      </c>
      <c r="AJ43" s="3238">
        <v>0</v>
      </c>
      <c r="AK43" s="3238">
        <v>0</v>
      </c>
      <c r="AL43" s="3238">
        <v>0</v>
      </c>
      <c r="AM43" s="3238">
        <v>3301</v>
      </c>
      <c r="AN43" s="3238">
        <v>2507</v>
      </c>
      <c r="AO43" s="3238">
        <v>113</v>
      </c>
      <c r="AP43" s="3238">
        <f>SUM(AA43:AB75)</f>
        <v>39767</v>
      </c>
      <c r="AQ43" s="2982">
        <v>44198</v>
      </c>
      <c r="AR43" s="2982">
        <v>44560</v>
      </c>
      <c r="AS43" s="2371" t="s">
        <v>2487</v>
      </c>
    </row>
    <row r="44" spans="1:45" ht="21" customHeight="1" x14ac:dyDescent="0.25">
      <c r="A44" s="1495"/>
      <c r="B44" s="1452"/>
      <c r="C44" s="1470"/>
      <c r="D44" s="1452"/>
      <c r="G44" s="3244"/>
      <c r="H44" s="2709"/>
      <c r="I44" s="3244"/>
      <c r="J44" s="2709"/>
      <c r="K44" s="3244"/>
      <c r="L44" s="2709"/>
      <c r="M44" s="3244"/>
      <c r="N44" s="2709"/>
      <c r="O44" s="3246"/>
      <c r="P44" s="2111"/>
      <c r="Q44" s="2119"/>
      <c r="R44" s="3258"/>
      <c r="S44" s="3259"/>
      <c r="T44" s="2119"/>
      <c r="U44" s="2145"/>
      <c r="V44" s="3249"/>
      <c r="W44" s="1643">
        <v>8252158.0700000003</v>
      </c>
      <c r="X44" s="1361" t="s">
        <v>2574</v>
      </c>
      <c r="Y44" s="3251"/>
      <c r="Z44" s="2096"/>
      <c r="AA44" s="3218"/>
      <c r="AB44" s="3216"/>
      <c r="AC44" s="3216"/>
      <c r="AD44" s="3216"/>
      <c r="AE44" s="3216"/>
      <c r="AF44" s="3216"/>
      <c r="AG44" s="3216"/>
      <c r="AH44" s="3216"/>
      <c r="AI44" s="3216"/>
      <c r="AJ44" s="3216"/>
      <c r="AK44" s="3216"/>
      <c r="AL44" s="3216"/>
      <c r="AM44" s="3216"/>
      <c r="AN44" s="3216"/>
      <c r="AO44" s="3216"/>
      <c r="AP44" s="3216"/>
      <c r="AQ44" s="2973"/>
      <c r="AR44" s="2973"/>
      <c r="AS44" s="2372"/>
    </row>
    <row r="45" spans="1:45" ht="21" customHeight="1" x14ac:dyDescent="0.25">
      <c r="A45" s="1495"/>
      <c r="B45" s="1452"/>
      <c r="C45" s="1470"/>
      <c r="D45" s="1452"/>
      <c r="G45" s="3244"/>
      <c r="H45" s="2709"/>
      <c r="I45" s="3244"/>
      <c r="J45" s="2709"/>
      <c r="K45" s="3244"/>
      <c r="L45" s="2709"/>
      <c r="M45" s="3244"/>
      <c r="N45" s="2709"/>
      <c r="O45" s="3246"/>
      <c r="P45" s="2111"/>
      <c r="Q45" s="2119"/>
      <c r="R45" s="3258"/>
      <c r="S45" s="3259"/>
      <c r="T45" s="2119"/>
      <c r="U45" s="2145"/>
      <c r="V45" s="3249"/>
      <c r="W45" s="1643">
        <v>7501385.9199999999</v>
      </c>
      <c r="X45" s="1361" t="s">
        <v>2575</v>
      </c>
      <c r="Y45" s="3251"/>
      <c r="Z45" s="2096"/>
      <c r="AA45" s="3218"/>
      <c r="AB45" s="3216"/>
      <c r="AC45" s="3216"/>
      <c r="AD45" s="3216"/>
      <c r="AE45" s="3216"/>
      <c r="AF45" s="3216"/>
      <c r="AG45" s="3216"/>
      <c r="AH45" s="3216"/>
      <c r="AI45" s="3216"/>
      <c r="AJ45" s="3216"/>
      <c r="AK45" s="3216"/>
      <c r="AL45" s="3216"/>
      <c r="AM45" s="3216"/>
      <c r="AN45" s="3216"/>
      <c r="AO45" s="3216"/>
      <c r="AP45" s="3216"/>
      <c r="AQ45" s="2973"/>
      <c r="AR45" s="2973"/>
      <c r="AS45" s="2372"/>
    </row>
    <row r="46" spans="1:45" ht="21" customHeight="1" x14ac:dyDescent="0.25">
      <c r="A46" s="1495"/>
      <c r="B46" s="1452"/>
      <c r="C46" s="1470"/>
      <c r="D46" s="1452"/>
      <c r="G46" s="3244"/>
      <c r="H46" s="2709"/>
      <c r="I46" s="3244"/>
      <c r="J46" s="2709"/>
      <c r="K46" s="3244"/>
      <c r="L46" s="2709"/>
      <c r="M46" s="3244"/>
      <c r="N46" s="2709"/>
      <c r="O46" s="3246"/>
      <c r="P46" s="2111"/>
      <c r="Q46" s="2119"/>
      <c r="R46" s="3258"/>
      <c r="S46" s="3259"/>
      <c r="T46" s="2119"/>
      <c r="U46" s="2145"/>
      <c r="V46" s="3249"/>
      <c r="W46" s="1643">
        <v>2917557.61</v>
      </c>
      <c r="X46" s="1361" t="s">
        <v>2576</v>
      </c>
      <c r="Y46" s="3251"/>
      <c r="Z46" s="2096"/>
      <c r="AA46" s="3218"/>
      <c r="AB46" s="3216"/>
      <c r="AC46" s="3216"/>
      <c r="AD46" s="3216"/>
      <c r="AE46" s="3216"/>
      <c r="AF46" s="3216"/>
      <c r="AG46" s="3216"/>
      <c r="AH46" s="3216"/>
      <c r="AI46" s="3216"/>
      <c r="AJ46" s="3216"/>
      <c r="AK46" s="3216"/>
      <c r="AL46" s="3216"/>
      <c r="AM46" s="3216"/>
      <c r="AN46" s="3216"/>
      <c r="AO46" s="3216"/>
      <c r="AP46" s="3216"/>
      <c r="AQ46" s="2973"/>
      <c r="AR46" s="2973"/>
      <c r="AS46" s="2372"/>
    </row>
    <row r="47" spans="1:45" ht="66.75" customHeight="1" x14ac:dyDescent="0.25">
      <c r="A47" s="1495"/>
      <c r="B47" s="1452"/>
      <c r="C47" s="1470"/>
      <c r="D47" s="1452"/>
      <c r="G47" s="3244"/>
      <c r="H47" s="2709"/>
      <c r="I47" s="3244"/>
      <c r="J47" s="2709"/>
      <c r="K47" s="3244"/>
      <c r="L47" s="2709"/>
      <c r="M47" s="3244"/>
      <c r="N47" s="2709"/>
      <c r="O47" s="3246"/>
      <c r="P47" s="2111"/>
      <c r="Q47" s="2119"/>
      <c r="R47" s="3258"/>
      <c r="S47" s="3259"/>
      <c r="T47" s="2119"/>
      <c r="U47" s="2145"/>
      <c r="V47" s="3250"/>
      <c r="W47" s="1643">
        <v>13838656.48</v>
      </c>
      <c r="X47" s="1361" t="s">
        <v>2577</v>
      </c>
      <c r="Y47" s="1362">
        <v>189</v>
      </c>
      <c r="Z47" s="1456" t="s">
        <v>2578</v>
      </c>
      <c r="AA47" s="3218"/>
      <c r="AB47" s="3216"/>
      <c r="AC47" s="3216"/>
      <c r="AD47" s="3216"/>
      <c r="AE47" s="3216"/>
      <c r="AF47" s="3216"/>
      <c r="AG47" s="3216"/>
      <c r="AH47" s="3216"/>
      <c r="AI47" s="3216"/>
      <c r="AJ47" s="3216"/>
      <c r="AK47" s="3216"/>
      <c r="AL47" s="3216"/>
      <c r="AM47" s="3216"/>
      <c r="AN47" s="3216"/>
      <c r="AO47" s="3216"/>
      <c r="AP47" s="3216"/>
      <c r="AQ47" s="2973"/>
      <c r="AR47" s="2973"/>
      <c r="AS47" s="2372"/>
    </row>
    <row r="48" spans="1:45" ht="37.5" customHeight="1" x14ac:dyDescent="0.25">
      <c r="A48" s="1495"/>
      <c r="B48" s="1452"/>
      <c r="C48" s="1470"/>
      <c r="D48" s="1452"/>
      <c r="G48" s="3236">
        <v>2201068</v>
      </c>
      <c r="H48" s="2119" t="s">
        <v>2579</v>
      </c>
      <c r="I48" s="3236">
        <v>2201068</v>
      </c>
      <c r="J48" s="2119" t="s">
        <v>2579</v>
      </c>
      <c r="K48" s="3247">
        <v>220106800</v>
      </c>
      <c r="L48" s="2174" t="s">
        <v>2580</v>
      </c>
      <c r="M48" s="3247">
        <v>220106800</v>
      </c>
      <c r="N48" s="2174" t="s">
        <v>2580</v>
      </c>
      <c r="O48" s="3193">
        <v>70</v>
      </c>
      <c r="P48" s="2111"/>
      <c r="Q48" s="2119"/>
      <c r="R48" s="3253">
        <f>SUM(W48:W51)/S43</f>
        <v>0.11150091453657163</v>
      </c>
      <c r="S48" s="3259"/>
      <c r="T48" s="2119"/>
      <c r="U48" s="2145"/>
      <c r="V48" s="3248" t="s">
        <v>2581</v>
      </c>
      <c r="W48" s="1643">
        <v>1196008.55</v>
      </c>
      <c r="X48" s="1347" t="s">
        <v>2582</v>
      </c>
      <c r="Y48" s="2331">
        <v>20</v>
      </c>
      <c r="Z48" s="2965" t="s">
        <v>2496</v>
      </c>
      <c r="AA48" s="3216"/>
      <c r="AB48" s="3216"/>
      <c r="AC48" s="3216"/>
      <c r="AD48" s="3216"/>
      <c r="AE48" s="3216"/>
      <c r="AF48" s="3216"/>
      <c r="AG48" s="3216"/>
      <c r="AH48" s="3216"/>
      <c r="AI48" s="3216"/>
      <c r="AJ48" s="3216"/>
      <c r="AK48" s="3216"/>
      <c r="AL48" s="3216"/>
      <c r="AM48" s="3216"/>
      <c r="AN48" s="3216"/>
      <c r="AO48" s="3216"/>
      <c r="AP48" s="3216"/>
      <c r="AQ48" s="2973"/>
      <c r="AR48" s="2973"/>
      <c r="AS48" s="2372"/>
    </row>
    <row r="49" spans="1:45" ht="25.5" customHeight="1" x14ac:dyDescent="0.25">
      <c r="A49" s="1495"/>
      <c r="B49" s="1452"/>
      <c r="C49" s="1470"/>
      <c r="D49" s="1452"/>
      <c r="G49" s="3236"/>
      <c r="H49" s="2119"/>
      <c r="I49" s="3236"/>
      <c r="J49" s="2119"/>
      <c r="K49" s="3247"/>
      <c r="L49" s="2174"/>
      <c r="M49" s="3247"/>
      <c r="N49" s="2174"/>
      <c r="O49" s="3193"/>
      <c r="P49" s="2111"/>
      <c r="Q49" s="2119"/>
      <c r="R49" s="3253"/>
      <c r="S49" s="3259"/>
      <c r="T49" s="2119"/>
      <c r="U49" s="2145"/>
      <c r="V49" s="3249"/>
      <c r="W49" s="1643">
        <v>7426942.2699999996</v>
      </c>
      <c r="X49" s="1347" t="s">
        <v>2583</v>
      </c>
      <c r="Y49" s="2331"/>
      <c r="Z49" s="2965"/>
      <c r="AA49" s="3216"/>
      <c r="AB49" s="3216"/>
      <c r="AC49" s="3216"/>
      <c r="AD49" s="3216"/>
      <c r="AE49" s="3216"/>
      <c r="AF49" s="3216"/>
      <c r="AG49" s="3216"/>
      <c r="AH49" s="3216"/>
      <c r="AI49" s="3216"/>
      <c r="AJ49" s="3216"/>
      <c r="AK49" s="3216"/>
      <c r="AL49" s="3216"/>
      <c r="AM49" s="3216"/>
      <c r="AN49" s="3216"/>
      <c r="AO49" s="3216"/>
      <c r="AP49" s="3216"/>
      <c r="AQ49" s="2973"/>
      <c r="AR49" s="2973"/>
      <c r="AS49" s="2372"/>
    </row>
    <row r="50" spans="1:45" ht="25.5" customHeight="1" x14ac:dyDescent="0.25">
      <c r="A50" s="1495"/>
      <c r="B50" s="1452"/>
      <c r="C50" s="1470"/>
      <c r="D50" s="1452"/>
      <c r="G50" s="3236"/>
      <c r="H50" s="2119"/>
      <c r="I50" s="3236"/>
      <c r="J50" s="2119"/>
      <c r="K50" s="3247"/>
      <c r="L50" s="2174"/>
      <c r="M50" s="3247"/>
      <c r="N50" s="2174"/>
      <c r="O50" s="3193"/>
      <c r="P50" s="2111"/>
      <c r="Q50" s="2119"/>
      <c r="R50" s="3253"/>
      <c r="S50" s="3259"/>
      <c r="T50" s="2119"/>
      <c r="U50" s="2145"/>
      <c r="V50" s="3249"/>
      <c r="W50" s="1643">
        <v>6751247.3300000001</v>
      </c>
      <c r="X50" s="1347" t="s">
        <v>2584</v>
      </c>
      <c r="Y50" s="2331"/>
      <c r="Z50" s="2965"/>
      <c r="AA50" s="3216"/>
      <c r="AB50" s="3216"/>
      <c r="AC50" s="3216"/>
      <c r="AD50" s="3216"/>
      <c r="AE50" s="3216"/>
      <c r="AF50" s="3216"/>
      <c r="AG50" s="3216"/>
      <c r="AH50" s="3216"/>
      <c r="AI50" s="3216"/>
      <c r="AJ50" s="3216"/>
      <c r="AK50" s="3216"/>
      <c r="AL50" s="3216"/>
      <c r="AM50" s="3216"/>
      <c r="AN50" s="3216"/>
      <c r="AO50" s="3216"/>
      <c r="AP50" s="3216"/>
      <c r="AQ50" s="2973"/>
      <c r="AR50" s="2973"/>
      <c r="AS50" s="2372"/>
    </row>
    <row r="51" spans="1:45" ht="30.75" customHeight="1" x14ac:dyDescent="0.25">
      <c r="A51" s="1495"/>
      <c r="B51" s="1452"/>
      <c r="C51" s="1470"/>
      <c r="D51" s="1452"/>
      <c r="G51" s="3236"/>
      <c r="H51" s="2119"/>
      <c r="I51" s="3236"/>
      <c r="J51" s="2119"/>
      <c r="K51" s="3247"/>
      <c r="L51" s="2174"/>
      <c r="M51" s="3247"/>
      <c r="N51" s="2174"/>
      <c r="O51" s="3193"/>
      <c r="P51" s="2111"/>
      <c r="Q51" s="2119"/>
      <c r="R51" s="3253"/>
      <c r="S51" s="3259"/>
      <c r="T51" s="2119"/>
      <c r="U51" s="2145"/>
      <c r="V51" s="3250"/>
      <c r="W51" s="1643">
        <v>2625801.85</v>
      </c>
      <c r="X51" s="1347" t="s">
        <v>2585</v>
      </c>
      <c r="Y51" s="3217"/>
      <c r="Z51" s="2966"/>
      <c r="AA51" s="3216"/>
      <c r="AB51" s="3216"/>
      <c r="AC51" s="3216"/>
      <c r="AD51" s="3216"/>
      <c r="AE51" s="3216"/>
      <c r="AF51" s="3216"/>
      <c r="AG51" s="3216"/>
      <c r="AH51" s="3216"/>
      <c r="AI51" s="3216"/>
      <c r="AJ51" s="3216"/>
      <c r="AK51" s="3216"/>
      <c r="AL51" s="3216"/>
      <c r="AM51" s="3216"/>
      <c r="AN51" s="3216"/>
      <c r="AO51" s="3216"/>
      <c r="AP51" s="3216"/>
      <c r="AQ51" s="2973"/>
      <c r="AR51" s="2973"/>
      <c r="AS51" s="2372"/>
    </row>
    <row r="52" spans="1:45" ht="38.25" customHeight="1" x14ac:dyDescent="0.25">
      <c r="A52" s="1495"/>
      <c r="B52" s="1452"/>
      <c r="C52" s="1470"/>
      <c r="D52" s="1452"/>
      <c r="G52" s="3222" t="s">
        <v>2586</v>
      </c>
      <c r="H52" s="2141" t="s">
        <v>2587</v>
      </c>
      <c r="I52" s="3222" t="s">
        <v>2586</v>
      </c>
      <c r="J52" s="2141" t="s">
        <v>2587</v>
      </c>
      <c r="K52" s="2853">
        <v>220102600</v>
      </c>
      <c r="L52" s="2141" t="s">
        <v>2588</v>
      </c>
      <c r="M52" s="2853">
        <v>220102600</v>
      </c>
      <c r="N52" s="2141" t="s">
        <v>2588</v>
      </c>
      <c r="O52" s="3223">
        <v>17</v>
      </c>
      <c r="P52" s="2111"/>
      <c r="Q52" s="2119"/>
      <c r="R52" s="3277">
        <f>SUM(W52:W59)/S43</f>
        <v>0.12138111588007652</v>
      </c>
      <c r="S52" s="3259"/>
      <c r="T52" s="2119"/>
      <c r="U52" s="2145"/>
      <c r="V52" s="3248" t="s">
        <v>2589</v>
      </c>
      <c r="W52" s="1643">
        <f>10000000-8405003</f>
        <v>1594997</v>
      </c>
      <c r="X52" s="1347" t="s">
        <v>2590</v>
      </c>
      <c r="Y52" s="3219">
        <v>25</v>
      </c>
      <c r="Z52" s="2056" t="s">
        <v>2486</v>
      </c>
      <c r="AA52" s="3216"/>
      <c r="AB52" s="3216"/>
      <c r="AC52" s="3216"/>
      <c r="AD52" s="3216"/>
      <c r="AE52" s="3216"/>
      <c r="AF52" s="3216"/>
      <c r="AG52" s="3216"/>
      <c r="AH52" s="3216"/>
      <c r="AI52" s="3216"/>
      <c r="AJ52" s="3216"/>
      <c r="AK52" s="3216"/>
      <c r="AL52" s="3216"/>
      <c r="AM52" s="3216"/>
      <c r="AN52" s="3216"/>
      <c r="AO52" s="3216"/>
      <c r="AP52" s="3216"/>
      <c r="AQ52" s="2973"/>
      <c r="AR52" s="2973"/>
      <c r="AS52" s="2372"/>
    </row>
    <row r="53" spans="1:45" x14ac:dyDescent="0.25">
      <c r="A53" s="1495"/>
      <c r="B53" s="1452"/>
      <c r="C53" s="1470"/>
      <c r="D53" s="1452"/>
      <c r="G53" s="3211"/>
      <c r="H53" s="2142"/>
      <c r="I53" s="3211"/>
      <c r="J53" s="2142"/>
      <c r="K53" s="2854"/>
      <c r="L53" s="2142"/>
      <c r="M53" s="2854"/>
      <c r="N53" s="2142"/>
      <c r="O53" s="3224"/>
      <c r="P53" s="2111"/>
      <c r="Q53" s="2119"/>
      <c r="R53" s="3278"/>
      <c r="S53" s="3259"/>
      <c r="T53" s="2119"/>
      <c r="U53" s="2145"/>
      <c r="V53" s="3249"/>
      <c r="W53" s="1643">
        <f>5000000-5000000</f>
        <v>0</v>
      </c>
      <c r="X53" s="1347" t="s">
        <v>2591</v>
      </c>
      <c r="Y53" s="2331"/>
      <c r="Z53" s="2965"/>
      <c r="AA53" s="3216"/>
      <c r="AB53" s="3216"/>
      <c r="AC53" s="3216"/>
      <c r="AD53" s="3216"/>
      <c r="AE53" s="3216"/>
      <c r="AF53" s="3216"/>
      <c r="AG53" s="3216"/>
      <c r="AH53" s="3216"/>
      <c r="AI53" s="3216"/>
      <c r="AJ53" s="3216"/>
      <c r="AK53" s="3216"/>
      <c r="AL53" s="3216"/>
      <c r="AM53" s="3216"/>
      <c r="AN53" s="3216"/>
      <c r="AO53" s="3216"/>
      <c r="AP53" s="3216"/>
      <c r="AQ53" s="2973"/>
      <c r="AR53" s="2973"/>
      <c r="AS53" s="2372"/>
    </row>
    <row r="54" spans="1:45" x14ac:dyDescent="0.25">
      <c r="A54" s="1495"/>
      <c r="B54" s="1452"/>
      <c r="C54" s="1470"/>
      <c r="D54" s="1452"/>
      <c r="G54" s="3211"/>
      <c r="H54" s="2142"/>
      <c r="I54" s="3211"/>
      <c r="J54" s="2142"/>
      <c r="K54" s="2854"/>
      <c r="L54" s="2142"/>
      <c r="M54" s="2854"/>
      <c r="N54" s="2142"/>
      <c r="O54" s="3224"/>
      <c r="P54" s="2111"/>
      <c r="Q54" s="2119"/>
      <c r="R54" s="3278"/>
      <c r="S54" s="3259"/>
      <c r="T54" s="2119"/>
      <c r="U54" s="2145"/>
      <c r="V54" s="3249"/>
      <c r="W54" s="1643">
        <f>5000000-5000000</f>
        <v>0</v>
      </c>
      <c r="X54" s="1347" t="s">
        <v>2592</v>
      </c>
      <c r="Y54" s="2331"/>
      <c r="Z54" s="2965"/>
      <c r="AA54" s="3216"/>
      <c r="AB54" s="3216"/>
      <c r="AC54" s="3216"/>
      <c r="AD54" s="3216"/>
      <c r="AE54" s="3216"/>
      <c r="AF54" s="3216"/>
      <c r="AG54" s="3216"/>
      <c r="AH54" s="3216"/>
      <c r="AI54" s="3216"/>
      <c r="AJ54" s="3216"/>
      <c r="AK54" s="3216"/>
      <c r="AL54" s="3216"/>
      <c r="AM54" s="3216"/>
      <c r="AN54" s="3216"/>
      <c r="AO54" s="3216"/>
      <c r="AP54" s="3216"/>
      <c r="AQ54" s="2973"/>
      <c r="AR54" s="2973"/>
      <c r="AS54" s="2372"/>
    </row>
    <row r="55" spans="1:45" x14ac:dyDescent="0.25">
      <c r="A55" s="1495"/>
      <c r="B55" s="1452"/>
      <c r="C55" s="1470"/>
      <c r="D55" s="1452"/>
      <c r="G55" s="3211"/>
      <c r="H55" s="2142"/>
      <c r="I55" s="3211"/>
      <c r="J55" s="2142"/>
      <c r="K55" s="2854"/>
      <c r="L55" s="2142"/>
      <c r="M55" s="2854"/>
      <c r="N55" s="2142"/>
      <c r="O55" s="3224"/>
      <c r="P55" s="2111"/>
      <c r="Q55" s="2119"/>
      <c r="R55" s="3278"/>
      <c r="S55" s="3259"/>
      <c r="T55" s="2119"/>
      <c r="U55" s="2145"/>
      <c r="V55" s="3249"/>
      <c r="W55" s="1643">
        <f>5000000-5000000</f>
        <v>0</v>
      </c>
      <c r="X55" s="1347" t="s">
        <v>2593</v>
      </c>
      <c r="Y55" s="3217"/>
      <c r="Z55" s="2966"/>
      <c r="AA55" s="3216"/>
      <c r="AB55" s="3216"/>
      <c r="AC55" s="3216"/>
      <c r="AD55" s="3216"/>
      <c r="AE55" s="3216"/>
      <c r="AF55" s="3216"/>
      <c r="AG55" s="3216"/>
      <c r="AH55" s="3216"/>
      <c r="AI55" s="3216"/>
      <c r="AJ55" s="3216"/>
      <c r="AK55" s="3216"/>
      <c r="AL55" s="3216"/>
      <c r="AM55" s="3216"/>
      <c r="AN55" s="3216"/>
      <c r="AO55" s="3216"/>
      <c r="AP55" s="3216"/>
      <c r="AQ55" s="2973"/>
      <c r="AR55" s="2973"/>
      <c r="AS55" s="2372"/>
    </row>
    <row r="56" spans="1:45" x14ac:dyDescent="0.25">
      <c r="A56" s="1495"/>
      <c r="B56" s="1452"/>
      <c r="C56" s="1470"/>
      <c r="D56" s="1452"/>
      <c r="G56" s="3211"/>
      <c r="H56" s="2142"/>
      <c r="I56" s="3211"/>
      <c r="J56" s="2142"/>
      <c r="K56" s="2854"/>
      <c r="L56" s="2142"/>
      <c r="M56" s="2854"/>
      <c r="N56" s="2142"/>
      <c r="O56" s="3224"/>
      <c r="P56" s="2111"/>
      <c r="Q56" s="2119"/>
      <c r="R56" s="3278"/>
      <c r="S56" s="3259"/>
      <c r="T56" s="2119"/>
      <c r="U56" s="2145"/>
      <c r="V56" s="3249"/>
      <c r="W56" s="1643">
        <v>9000000</v>
      </c>
      <c r="X56" s="1347" t="s">
        <v>2594</v>
      </c>
      <c r="Y56" s="3122">
        <v>20</v>
      </c>
      <c r="Z56" s="2056" t="s">
        <v>2496</v>
      </c>
      <c r="AA56" s="3216"/>
      <c r="AB56" s="3216"/>
      <c r="AC56" s="3216"/>
      <c r="AD56" s="3216"/>
      <c r="AE56" s="3216"/>
      <c r="AF56" s="3216"/>
      <c r="AG56" s="3216"/>
      <c r="AH56" s="3216"/>
      <c r="AI56" s="3216"/>
      <c r="AJ56" s="3216"/>
      <c r="AK56" s="3216"/>
      <c r="AL56" s="3216"/>
      <c r="AM56" s="3216"/>
      <c r="AN56" s="3216"/>
      <c r="AO56" s="3216"/>
      <c r="AP56" s="3216"/>
      <c r="AQ56" s="2973"/>
      <c r="AR56" s="2973"/>
      <c r="AS56" s="2372"/>
    </row>
    <row r="57" spans="1:45" x14ac:dyDescent="0.25">
      <c r="A57" s="1495"/>
      <c r="B57" s="1452"/>
      <c r="C57" s="1470"/>
      <c r="D57" s="1452"/>
      <c r="G57" s="3211"/>
      <c r="H57" s="2142"/>
      <c r="I57" s="3211"/>
      <c r="J57" s="2142"/>
      <c r="K57" s="2854"/>
      <c r="L57" s="2142"/>
      <c r="M57" s="2854"/>
      <c r="N57" s="2142"/>
      <c r="O57" s="3224"/>
      <c r="P57" s="2111"/>
      <c r="Q57" s="2119"/>
      <c r="R57" s="3278"/>
      <c r="S57" s="3259"/>
      <c r="T57" s="2119"/>
      <c r="U57" s="2145"/>
      <c r="V57" s="3249"/>
      <c r="W57" s="1643">
        <v>2000000</v>
      </c>
      <c r="X57" s="1347" t="s">
        <v>2595</v>
      </c>
      <c r="Y57" s="3124"/>
      <c r="Z57" s="2965"/>
      <c r="AA57" s="3216"/>
      <c r="AB57" s="3216"/>
      <c r="AC57" s="3216"/>
      <c r="AD57" s="3216"/>
      <c r="AE57" s="3216"/>
      <c r="AF57" s="3216"/>
      <c r="AG57" s="3216"/>
      <c r="AH57" s="3216"/>
      <c r="AI57" s="3216"/>
      <c r="AJ57" s="3216"/>
      <c r="AK57" s="3216"/>
      <c r="AL57" s="3216"/>
      <c r="AM57" s="3216"/>
      <c r="AN57" s="3216"/>
      <c r="AO57" s="3216"/>
      <c r="AP57" s="3216"/>
      <c r="AQ57" s="2973"/>
      <c r="AR57" s="2973"/>
      <c r="AS57" s="2372"/>
    </row>
    <row r="58" spans="1:45" x14ac:dyDescent="0.25">
      <c r="A58" s="1495"/>
      <c r="B58" s="1452"/>
      <c r="C58" s="1470"/>
      <c r="D58" s="1452"/>
      <c r="G58" s="3211"/>
      <c r="H58" s="2142"/>
      <c r="I58" s="3211"/>
      <c r="J58" s="2142"/>
      <c r="K58" s="2854"/>
      <c r="L58" s="2142"/>
      <c r="M58" s="2854"/>
      <c r="N58" s="2142"/>
      <c r="O58" s="3224"/>
      <c r="P58" s="2111"/>
      <c r="Q58" s="2119"/>
      <c r="R58" s="3278"/>
      <c r="S58" s="3259"/>
      <c r="T58" s="2119"/>
      <c r="U58" s="2145"/>
      <c r="V58" s="3249"/>
      <c r="W58" s="1643">
        <v>5000000</v>
      </c>
      <c r="X58" s="1347" t="s">
        <v>2596</v>
      </c>
      <c r="Y58" s="3124"/>
      <c r="Z58" s="2965"/>
      <c r="AA58" s="3216"/>
      <c r="AB58" s="3216"/>
      <c r="AC58" s="3216"/>
      <c r="AD58" s="3216"/>
      <c r="AE58" s="3216"/>
      <c r="AF58" s="3216"/>
      <c r="AG58" s="3216"/>
      <c r="AH58" s="3216"/>
      <c r="AI58" s="3216"/>
      <c r="AJ58" s="3216"/>
      <c r="AK58" s="3216"/>
      <c r="AL58" s="3216"/>
      <c r="AM58" s="3216"/>
      <c r="AN58" s="3216"/>
      <c r="AO58" s="3216"/>
      <c r="AP58" s="3216"/>
      <c r="AQ58" s="2973"/>
      <c r="AR58" s="2973"/>
      <c r="AS58" s="2372"/>
    </row>
    <row r="59" spans="1:45" x14ac:dyDescent="0.25">
      <c r="A59" s="1495"/>
      <c r="B59" s="1452"/>
      <c r="C59" s="1470"/>
      <c r="D59" s="1452"/>
      <c r="G59" s="3212"/>
      <c r="H59" s="2143"/>
      <c r="I59" s="3212"/>
      <c r="J59" s="2143"/>
      <c r="K59" s="2855"/>
      <c r="L59" s="2143"/>
      <c r="M59" s="2855"/>
      <c r="N59" s="2143"/>
      <c r="O59" s="3225"/>
      <c r="P59" s="2111"/>
      <c r="Q59" s="2119"/>
      <c r="R59" s="3279"/>
      <c r="S59" s="3259"/>
      <c r="T59" s="2119"/>
      <c r="U59" s="2145"/>
      <c r="V59" s="3250"/>
      <c r="W59" s="1643">
        <v>2000000</v>
      </c>
      <c r="X59" s="1347" t="s">
        <v>2597</v>
      </c>
      <c r="Y59" s="3126"/>
      <c r="Z59" s="2966"/>
      <c r="AA59" s="3216"/>
      <c r="AB59" s="3216"/>
      <c r="AC59" s="3216"/>
      <c r="AD59" s="3216"/>
      <c r="AE59" s="3216"/>
      <c r="AF59" s="3216"/>
      <c r="AG59" s="3216"/>
      <c r="AH59" s="3216"/>
      <c r="AI59" s="3216"/>
      <c r="AJ59" s="3216"/>
      <c r="AK59" s="3216"/>
      <c r="AL59" s="3216"/>
      <c r="AM59" s="3216"/>
      <c r="AN59" s="3216"/>
      <c r="AO59" s="3216"/>
      <c r="AP59" s="3216"/>
      <c r="AQ59" s="2973"/>
      <c r="AR59" s="2973"/>
      <c r="AS59" s="2372"/>
    </row>
    <row r="60" spans="1:45" ht="35.25" customHeight="1" x14ac:dyDescent="0.25">
      <c r="A60" s="1495"/>
      <c r="B60" s="1452"/>
      <c r="C60" s="1470"/>
      <c r="D60" s="1452"/>
      <c r="G60" s="3271">
        <v>2201009</v>
      </c>
      <c r="H60" s="3273" t="s">
        <v>2598</v>
      </c>
      <c r="I60" s="3271">
        <v>2201074</v>
      </c>
      <c r="J60" s="3273" t="s">
        <v>2598</v>
      </c>
      <c r="K60" s="3274">
        <v>220100900</v>
      </c>
      <c r="L60" s="3273" t="s">
        <v>2599</v>
      </c>
      <c r="M60" s="3274">
        <v>220107400</v>
      </c>
      <c r="N60" s="3273" t="s">
        <v>2600</v>
      </c>
      <c r="O60" s="3280">
        <v>606</v>
      </c>
      <c r="P60" s="2111"/>
      <c r="Q60" s="2119"/>
      <c r="R60" s="3282">
        <f>SUM(W60:W63)/S43</f>
        <v>0.12388990497869019</v>
      </c>
      <c r="S60" s="3259"/>
      <c r="T60" s="2119"/>
      <c r="U60" s="2145"/>
      <c r="V60" s="3265" t="s">
        <v>2601</v>
      </c>
      <c r="W60" s="1643">
        <v>1328898.3899999999</v>
      </c>
      <c r="X60" s="1347" t="s">
        <v>2602</v>
      </c>
      <c r="Y60" s="3268">
        <v>20</v>
      </c>
      <c r="Z60" s="3254" t="s">
        <v>2496</v>
      </c>
      <c r="AA60" s="3216"/>
      <c r="AB60" s="3216"/>
      <c r="AC60" s="3216"/>
      <c r="AD60" s="3216"/>
      <c r="AE60" s="3216"/>
      <c r="AF60" s="3216"/>
      <c r="AG60" s="3216"/>
      <c r="AH60" s="3216"/>
      <c r="AI60" s="3216"/>
      <c r="AJ60" s="3216"/>
      <c r="AK60" s="3216"/>
      <c r="AL60" s="3216"/>
      <c r="AM60" s="3216"/>
      <c r="AN60" s="3216"/>
      <c r="AO60" s="3216"/>
      <c r="AP60" s="3216"/>
      <c r="AQ60" s="2973"/>
      <c r="AR60" s="2973"/>
      <c r="AS60" s="2372"/>
    </row>
    <row r="61" spans="1:45" ht="47.25" customHeight="1" x14ac:dyDescent="0.25">
      <c r="A61" s="1495"/>
      <c r="B61" s="1452"/>
      <c r="C61" s="1470"/>
      <c r="D61" s="1452"/>
      <c r="G61" s="3244"/>
      <c r="H61" s="2709"/>
      <c r="I61" s="3244"/>
      <c r="J61" s="2709"/>
      <c r="K61" s="3275"/>
      <c r="L61" s="2709"/>
      <c r="M61" s="3275"/>
      <c r="N61" s="2709"/>
      <c r="O61" s="3246"/>
      <c r="P61" s="2111"/>
      <c r="Q61" s="2119"/>
      <c r="R61" s="3258"/>
      <c r="S61" s="3259"/>
      <c r="T61" s="2119"/>
      <c r="U61" s="2145"/>
      <c r="V61" s="3266"/>
      <c r="W61" s="1643">
        <v>8252158.0700000003</v>
      </c>
      <c r="X61" s="1347" t="s">
        <v>2603</v>
      </c>
      <c r="Y61" s="3269"/>
      <c r="Z61" s="3255"/>
      <c r="AA61" s="3216"/>
      <c r="AB61" s="3216"/>
      <c r="AC61" s="3216"/>
      <c r="AD61" s="3216"/>
      <c r="AE61" s="3216"/>
      <c r="AF61" s="3216"/>
      <c r="AG61" s="3216"/>
      <c r="AH61" s="3216"/>
      <c r="AI61" s="3216"/>
      <c r="AJ61" s="3216"/>
      <c r="AK61" s="3216"/>
      <c r="AL61" s="3216"/>
      <c r="AM61" s="3216"/>
      <c r="AN61" s="3216"/>
      <c r="AO61" s="3216"/>
      <c r="AP61" s="3216"/>
      <c r="AQ61" s="2973"/>
      <c r="AR61" s="2973"/>
      <c r="AS61" s="2372"/>
    </row>
    <row r="62" spans="1:45" ht="47.25" customHeight="1" x14ac:dyDescent="0.25">
      <c r="A62" s="1495"/>
      <c r="B62" s="1452"/>
      <c r="C62" s="1470"/>
      <c r="D62" s="1452"/>
      <c r="G62" s="3244"/>
      <c r="H62" s="2709"/>
      <c r="I62" s="3244"/>
      <c r="J62" s="2709"/>
      <c r="K62" s="3275"/>
      <c r="L62" s="2709"/>
      <c r="M62" s="3275"/>
      <c r="N62" s="2709"/>
      <c r="O62" s="3246"/>
      <c r="P62" s="2111"/>
      <c r="Q62" s="2119"/>
      <c r="R62" s="3258"/>
      <c r="S62" s="3259"/>
      <c r="T62" s="2119"/>
      <c r="U62" s="2145"/>
      <c r="V62" s="3266"/>
      <c r="W62" s="1643">
        <v>7501385.9199999999</v>
      </c>
      <c r="X62" s="1347" t="s">
        <v>2604</v>
      </c>
      <c r="Y62" s="3269"/>
      <c r="Z62" s="3255"/>
      <c r="AA62" s="3216"/>
      <c r="AB62" s="3216"/>
      <c r="AC62" s="3216"/>
      <c r="AD62" s="3216"/>
      <c r="AE62" s="3216"/>
      <c r="AF62" s="3216"/>
      <c r="AG62" s="3216"/>
      <c r="AH62" s="3216"/>
      <c r="AI62" s="3216"/>
      <c r="AJ62" s="3216"/>
      <c r="AK62" s="3216"/>
      <c r="AL62" s="3216"/>
      <c r="AM62" s="3216"/>
      <c r="AN62" s="3216"/>
      <c r="AO62" s="3216"/>
      <c r="AP62" s="3216"/>
      <c r="AQ62" s="2973"/>
      <c r="AR62" s="2973"/>
      <c r="AS62" s="2372"/>
    </row>
    <row r="63" spans="1:45" ht="84" customHeight="1" x14ac:dyDescent="0.25">
      <c r="A63" s="1495"/>
      <c r="B63" s="1452"/>
      <c r="C63" s="1470"/>
      <c r="D63" s="1452"/>
      <c r="G63" s="3272"/>
      <c r="H63" s="2710"/>
      <c r="I63" s="3272"/>
      <c r="J63" s="2710"/>
      <c r="K63" s="3276"/>
      <c r="L63" s="2710"/>
      <c r="M63" s="3276"/>
      <c r="N63" s="2710"/>
      <c r="O63" s="3281"/>
      <c r="P63" s="2111"/>
      <c r="Q63" s="2119"/>
      <c r="R63" s="3283"/>
      <c r="S63" s="3259"/>
      <c r="T63" s="2119"/>
      <c r="U63" s="2145"/>
      <c r="V63" s="3267"/>
      <c r="W63" s="1643">
        <v>2917557.61</v>
      </c>
      <c r="X63" s="1347" t="s">
        <v>2605</v>
      </c>
      <c r="Y63" s="3270"/>
      <c r="Z63" s="3256"/>
      <c r="AA63" s="3216"/>
      <c r="AB63" s="3216"/>
      <c r="AC63" s="3216"/>
      <c r="AD63" s="3216"/>
      <c r="AE63" s="3216"/>
      <c r="AF63" s="3216"/>
      <c r="AG63" s="3216"/>
      <c r="AH63" s="3216"/>
      <c r="AI63" s="3216"/>
      <c r="AJ63" s="3216"/>
      <c r="AK63" s="3216"/>
      <c r="AL63" s="3216"/>
      <c r="AM63" s="3216"/>
      <c r="AN63" s="3216"/>
      <c r="AO63" s="3216"/>
      <c r="AP63" s="3216"/>
      <c r="AQ63" s="2973"/>
      <c r="AR63" s="2973"/>
      <c r="AS63" s="2372"/>
    </row>
    <row r="64" spans="1:45" ht="117" customHeight="1" x14ac:dyDescent="0.25">
      <c r="A64" s="1495"/>
      <c r="B64" s="1452"/>
      <c r="C64" s="1470"/>
      <c r="D64" s="1452"/>
      <c r="G64" s="1454">
        <v>2201010</v>
      </c>
      <c r="H64" s="1486" t="s">
        <v>2606</v>
      </c>
      <c r="I64" s="1654">
        <v>2201074</v>
      </c>
      <c r="J64" s="1486" t="s">
        <v>2607</v>
      </c>
      <c r="K64" s="1454">
        <v>220101000</v>
      </c>
      <c r="L64" s="1486" t="s">
        <v>2600</v>
      </c>
      <c r="M64" s="1490">
        <v>220107400</v>
      </c>
      <c r="N64" s="1486" t="s">
        <v>2600</v>
      </c>
      <c r="O64" s="1659">
        <v>94</v>
      </c>
      <c r="P64" s="2111"/>
      <c r="Q64" s="2119"/>
      <c r="R64" s="1660">
        <f>W64/S43</f>
        <v>0.12388990504063513</v>
      </c>
      <c r="S64" s="3259"/>
      <c r="T64" s="2119"/>
      <c r="U64" s="2146"/>
      <c r="V64" s="1661" t="s">
        <v>2608</v>
      </c>
      <c r="W64" s="1643">
        <v>20000000</v>
      </c>
      <c r="X64" s="1347" t="s">
        <v>2609</v>
      </c>
      <c r="Y64" s="1548">
        <v>20</v>
      </c>
      <c r="Z64" s="1458" t="s">
        <v>2496</v>
      </c>
      <c r="AA64" s="3216"/>
      <c r="AB64" s="3216"/>
      <c r="AC64" s="3216"/>
      <c r="AD64" s="3216"/>
      <c r="AE64" s="3216"/>
      <c r="AF64" s="3216"/>
      <c r="AG64" s="3216"/>
      <c r="AH64" s="3216"/>
      <c r="AI64" s="3216"/>
      <c r="AJ64" s="3216"/>
      <c r="AK64" s="3216"/>
      <c r="AL64" s="3216"/>
      <c r="AM64" s="3216"/>
      <c r="AN64" s="3216"/>
      <c r="AO64" s="3216"/>
      <c r="AP64" s="3216"/>
      <c r="AQ64" s="2973"/>
      <c r="AR64" s="2973"/>
      <c r="AS64" s="2372"/>
    </row>
    <row r="65" spans="1:45" ht="86.25" customHeight="1" x14ac:dyDescent="0.25">
      <c r="A65" s="1495"/>
      <c r="B65" s="1452"/>
      <c r="C65" s="1470"/>
      <c r="D65" s="1452"/>
      <c r="G65" s="1658">
        <v>2201035</v>
      </c>
      <c r="H65" s="1486" t="s">
        <v>2610</v>
      </c>
      <c r="I65" s="1658">
        <v>2201035</v>
      </c>
      <c r="J65" s="1486" t="s">
        <v>2610</v>
      </c>
      <c r="K65" s="1490">
        <v>220103500</v>
      </c>
      <c r="L65" s="1486" t="s">
        <v>2611</v>
      </c>
      <c r="M65" s="1490">
        <v>220103500</v>
      </c>
      <c r="N65" s="1486" t="s">
        <v>2611</v>
      </c>
      <c r="O65" s="1659">
        <v>8</v>
      </c>
      <c r="P65" s="2111"/>
      <c r="Q65" s="2119"/>
      <c r="R65" s="1660">
        <f>W65/S43</f>
        <v>6.1944952520317564E-2</v>
      </c>
      <c r="S65" s="3259"/>
      <c r="T65" s="2119"/>
      <c r="U65" s="2144" t="s">
        <v>2612</v>
      </c>
      <c r="V65" s="1558" t="s">
        <v>2613</v>
      </c>
      <c r="W65" s="1643">
        <v>10000000</v>
      </c>
      <c r="X65" s="1347" t="s">
        <v>2614</v>
      </c>
      <c r="Y65" s="1548">
        <v>20</v>
      </c>
      <c r="Z65" s="1458" t="s">
        <v>2496</v>
      </c>
      <c r="AA65" s="3216"/>
      <c r="AB65" s="3216"/>
      <c r="AC65" s="3216"/>
      <c r="AD65" s="3216"/>
      <c r="AE65" s="3216"/>
      <c r="AF65" s="3216"/>
      <c r="AG65" s="3216"/>
      <c r="AH65" s="3216"/>
      <c r="AI65" s="3216"/>
      <c r="AJ65" s="3216"/>
      <c r="AK65" s="3216"/>
      <c r="AL65" s="3216"/>
      <c r="AM65" s="3216"/>
      <c r="AN65" s="3216"/>
      <c r="AO65" s="3216"/>
      <c r="AP65" s="3216"/>
      <c r="AQ65" s="2973"/>
      <c r="AR65" s="2973"/>
      <c r="AS65" s="2372"/>
    </row>
    <row r="66" spans="1:45" ht="26.25" customHeight="1" x14ac:dyDescent="0.25">
      <c r="A66" s="1495"/>
      <c r="B66" s="1452"/>
      <c r="C66" s="1470"/>
      <c r="D66" s="1452"/>
      <c r="G66" s="3271">
        <v>2201046</v>
      </c>
      <c r="H66" s="3273" t="s">
        <v>2615</v>
      </c>
      <c r="I66" s="3271">
        <v>2201046</v>
      </c>
      <c r="J66" s="3273" t="s">
        <v>2615</v>
      </c>
      <c r="K66" s="3274">
        <v>220104602</v>
      </c>
      <c r="L66" s="3273" t="s">
        <v>2616</v>
      </c>
      <c r="M66" s="3274">
        <v>220104602</v>
      </c>
      <c r="N66" s="3273" t="s">
        <v>2616</v>
      </c>
      <c r="O66" s="3280">
        <v>13</v>
      </c>
      <c r="P66" s="2111"/>
      <c r="Q66" s="2119"/>
      <c r="R66" s="3282">
        <f>SUM(W66:W69)/S43</f>
        <v>6.194495258226252E-2</v>
      </c>
      <c r="S66" s="3259"/>
      <c r="T66" s="2119"/>
      <c r="U66" s="2145"/>
      <c r="V66" s="3265" t="s">
        <v>2617</v>
      </c>
      <c r="W66" s="1643">
        <v>664449.19999999995</v>
      </c>
      <c r="X66" s="1347" t="s">
        <v>2618</v>
      </c>
      <c r="Y66" s="3122">
        <v>20</v>
      </c>
      <c r="Z66" s="2056" t="s">
        <v>2496</v>
      </c>
      <c r="AA66" s="3216"/>
      <c r="AB66" s="3216"/>
      <c r="AC66" s="3216"/>
      <c r="AD66" s="3216"/>
      <c r="AE66" s="3216"/>
      <c r="AF66" s="3216"/>
      <c r="AG66" s="3216"/>
      <c r="AH66" s="3216"/>
      <c r="AI66" s="3216"/>
      <c r="AJ66" s="3216"/>
      <c r="AK66" s="3216"/>
      <c r="AL66" s="3216"/>
      <c r="AM66" s="3216"/>
      <c r="AN66" s="3216"/>
      <c r="AO66" s="3216"/>
      <c r="AP66" s="3216"/>
      <c r="AQ66" s="2973"/>
      <c r="AR66" s="2973"/>
      <c r="AS66" s="2372"/>
    </row>
    <row r="67" spans="1:45" ht="39.75" customHeight="1" x14ac:dyDescent="0.25">
      <c r="A67" s="1495"/>
      <c r="B67" s="1452"/>
      <c r="C67" s="1470"/>
      <c r="D67" s="1452"/>
      <c r="G67" s="3244"/>
      <c r="H67" s="2709"/>
      <c r="I67" s="3244"/>
      <c r="J67" s="2709"/>
      <c r="K67" s="3275"/>
      <c r="L67" s="2709"/>
      <c r="M67" s="3275"/>
      <c r="N67" s="2709"/>
      <c r="O67" s="3246"/>
      <c r="P67" s="2111"/>
      <c r="Q67" s="2119"/>
      <c r="R67" s="3258"/>
      <c r="S67" s="3259"/>
      <c r="T67" s="2119"/>
      <c r="U67" s="2145"/>
      <c r="V67" s="3266"/>
      <c r="W67" s="1643">
        <v>4126079.04</v>
      </c>
      <c r="X67" s="1347" t="s">
        <v>2619</v>
      </c>
      <c r="Y67" s="3124"/>
      <c r="Z67" s="2965"/>
      <c r="AA67" s="3216"/>
      <c r="AB67" s="3216"/>
      <c r="AC67" s="3216"/>
      <c r="AD67" s="3216"/>
      <c r="AE67" s="3216"/>
      <c r="AF67" s="3216"/>
      <c r="AG67" s="3216"/>
      <c r="AH67" s="3216"/>
      <c r="AI67" s="3216"/>
      <c r="AJ67" s="3216"/>
      <c r="AK67" s="3216"/>
      <c r="AL67" s="3216"/>
      <c r="AM67" s="3216"/>
      <c r="AN67" s="3216"/>
      <c r="AO67" s="3216"/>
      <c r="AP67" s="3216"/>
      <c r="AQ67" s="2973"/>
      <c r="AR67" s="2973"/>
      <c r="AS67" s="2372"/>
    </row>
    <row r="68" spans="1:45" ht="23.25" customHeight="1" x14ac:dyDescent="0.25">
      <c r="A68" s="1495"/>
      <c r="B68" s="1452"/>
      <c r="C68" s="1470"/>
      <c r="D68" s="1452"/>
      <c r="G68" s="3244"/>
      <c r="H68" s="2709"/>
      <c r="I68" s="3244"/>
      <c r="J68" s="2709"/>
      <c r="K68" s="3275"/>
      <c r="L68" s="2709"/>
      <c r="M68" s="3275"/>
      <c r="N68" s="2709"/>
      <c r="O68" s="3246"/>
      <c r="P68" s="2111"/>
      <c r="Q68" s="2119"/>
      <c r="R68" s="3258"/>
      <c r="S68" s="3259"/>
      <c r="T68" s="2119"/>
      <c r="U68" s="2145"/>
      <c r="V68" s="3266"/>
      <c r="W68" s="1643">
        <v>3750692.96</v>
      </c>
      <c r="X68" s="1347" t="s">
        <v>2620</v>
      </c>
      <c r="Y68" s="3124"/>
      <c r="Z68" s="2965"/>
      <c r="AA68" s="3216"/>
      <c r="AB68" s="3216"/>
      <c r="AC68" s="3216"/>
      <c r="AD68" s="3216"/>
      <c r="AE68" s="3216"/>
      <c r="AF68" s="3216"/>
      <c r="AG68" s="3216"/>
      <c r="AH68" s="3216"/>
      <c r="AI68" s="3216"/>
      <c r="AJ68" s="3216"/>
      <c r="AK68" s="3216"/>
      <c r="AL68" s="3216"/>
      <c r="AM68" s="3216"/>
      <c r="AN68" s="3216"/>
      <c r="AO68" s="3216"/>
      <c r="AP68" s="3216"/>
      <c r="AQ68" s="2973"/>
      <c r="AR68" s="2973"/>
      <c r="AS68" s="2372"/>
    </row>
    <row r="69" spans="1:45" ht="25.5" customHeight="1" x14ac:dyDescent="0.25">
      <c r="A69" s="1495"/>
      <c r="B69" s="1452"/>
      <c r="C69" s="1470"/>
      <c r="D69" s="1452"/>
      <c r="G69" s="3272"/>
      <c r="H69" s="2710"/>
      <c r="I69" s="3272"/>
      <c r="J69" s="2710"/>
      <c r="K69" s="3276"/>
      <c r="L69" s="2710"/>
      <c r="M69" s="3276"/>
      <c r="N69" s="2710"/>
      <c r="O69" s="3281"/>
      <c r="P69" s="2111"/>
      <c r="Q69" s="2119"/>
      <c r="R69" s="3283"/>
      <c r="S69" s="3259"/>
      <c r="T69" s="2119"/>
      <c r="U69" s="2146"/>
      <c r="V69" s="3266"/>
      <c r="W69" s="1643">
        <v>1458778.81</v>
      </c>
      <c r="X69" s="1347" t="s">
        <v>2621</v>
      </c>
      <c r="Y69" s="3126"/>
      <c r="Z69" s="2966"/>
      <c r="AA69" s="3216"/>
      <c r="AB69" s="3216"/>
      <c r="AC69" s="3216"/>
      <c r="AD69" s="3216"/>
      <c r="AE69" s="3216"/>
      <c r="AF69" s="3216"/>
      <c r="AG69" s="3216"/>
      <c r="AH69" s="3216"/>
      <c r="AI69" s="3216"/>
      <c r="AJ69" s="3216"/>
      <c r="AK69" s="3216"/>
      <c r="AL69" s="3216"/>
      <c r="AM69" s="3216"/>
      <c r="AN69" s="3216"/>
      <c r="AO69" s="3216"/>
      <c r="AP69" s="3216"/>
      <c r="AQ69" s="2973"/>
      <c r="AR69" s="2973"/>
      <c r="AS69" s="2372"/>
    </row>
    <row r="70" spans="1:45" ht="33.75" customHeight="1" x14ac:dyDescent="0.25">
      <c r="A70" s="1495"/>
      <c r="B70" s="1452"/>
      <c r="C70" s="1470"/>
      <c r="D70" s="1452"/>
      <c r="G70" s="3271">
        <v>2201054</v>
      </c>
      <c r="H70" s="3273" t="s">
        <v>2622</v>
      </c>
      <c r="I70" s="3271">
        <v>2201054</v>
      </c>
      <c r="J70" s="3273" t="s">
        <v>2622</v>
      </c>
      <c r="K70" s="3274">
        <v>220105400</v>
      </c>
      <c r="L70" s="3273" t="s">
        <v>2623</v>
      </c>
      <c r="M70" s="3274">
        <v>220105400</v>
      </c>
      <c r="N70" s="3273" t="s">
        <v>2623</v>
      </c>
      <c r="O70" s="3280">
        <v>11</v>
      </c>
      <c r="P70" s="2111"/>
      <c r="Q70" s="2119"/>
      <c r="R70" s="3261">
        <f>SUM(W70:W73)/S43</f>
        <v>6.194495258226252E-2</v>
      </c>
      <c r="S70" s="3259"/>
      <c r="T70" s="2119"/>
      <c r="U70" s="3264" t="s">
        <v>2571</v>
      </c>
      <c r="V70" s="2658" t="s">
        <v>2624</v>
      </c>
      <c r="W70" s="1662">
        <v>664449.19999999995</v>
      </c>
      <c r="X70" s="1347" t="s">
        <v>2625</v>
      </c>
      <c r="Y70" s="3122">
        <v>20</v>
      </c>
      <c r="Z70" s="2056" t="s">
        <v>2496</v>
      </c>
      <c r="AA70" s="3216"/>
      <c r="AB70" s="3216"/>
      <c r="AC70" s="3216"/>
      <c r="AD70" s="3216"/>
      <c r="AE70" s="3216"/>
      <c r="AF70" s="3216"/>
      <c r="AG70" s="3216"/>
      <c r="AH70" s="3216"/>
      <c r="AI70" s="3216"/>
      <c r="AJ70" s="3216"/>
      <c r="AK70" s="3216"/>
      <c r="AL70" s="3216"/>
      <c r="AM70" s="3216"/>
      <c r="AN70" s="3216"/>
      <c r="AO70" s="3216"/>
      <c r="AP70" s="3216"/>
      <c r="AQ70" s="2973"/>
      <c r="AR70" s="2973"/>
      <c r="AS70" s="2372"/>
    </row>
    <row r="71" spans="1:45" ht="27" customHeight="1" x14ac:dyDescent="0.25">
      <c r="A71" s="1495"/>
      <c r="B71" s="1452"/>
      <c r="C71" s="1470"/>
      <c r="D71" s="1452"/>
      <c r="G71" s="3244"/>
      <c r="H71" s="2709"/>
      <c r="I71" s="3244"/>
      <c r="J71" s="2709"/>
      <c r="K71" s="3275"/>
      <c r="L71" s="2709"/>
      <c r="M71" s="3275"/>
      <c r="N71" s="2709"/>
      <c r="O71" s="3246"/>
      <c r="P71" s="2111"/>
      <c r="Q71" s="2119"/>
      <c r="R71" s="3262"/>
      <c r="S71" s="3259"/>
      <c r="T71" s="2119"/>
      <c r="U71" s="3264"/>
      <c r="V71" s="2658"/>
      <c r="W71" s="1662">
        <v>4126079.04</v>
      </c>
      <c r="X71" s="1347" t="s">
        <v>2626</v>
      </c>
      <c r="Y71" s="3124"/>
      <c r="Z71" s="2965"/>
      <c r="AA71" s="3216"/>
      <c r="AB71" s="3216"/>
      <c r="AC71" s="3216"/>
      <c r="AD71" s="3216"/>
      <c r="AE71" s="3216"/>
      <c r="AF71" s="3216"/>
      <c r="AG71" s="3216"/>
      <c r="AH71" s="3216"/>
      <c r="AI71" s="3216"/>
      <c r="AJ71" s="3216"/>
      <c r="AK71" s="3216"/>
      <c r="AL71" s="3216"/>
      <c r="AM71" s="3216"/>
      <c r="AN71" s="3216"/>
      <c r="AO71" s="3216"/>
      <c r="AP71" s="3216"/>
      <c r="AQ71" s="2973"/>
      <c r="AR71" s="2973"/>
      <c r="AS71" s="2372"/>
    </row>
    <row r="72" spans="1:45" ht="39" customHeight="1" x14ac:dyDescent="0.25">
      <c r="A72" s="1495"/>
      <c r="B72" s="1452"/>
      <c r="C72" s="1470"/>
      <c r="D72" s="1452"/>
      <c r="G72" s="3244"/>
      <c r="H72" s="2709"/>
      <c r="I72" s="3244"/>
      <c r="J72" s="2709"/>
      <c r="K72" s="3275"/>
      <c r="L72" s="2709"/>
      <c r="M72" s="3275"/>
      <c r="N72" s="2709"/>
      <c r="O72" s="3246"/>
      <c r="P72" s="2111"/>
      <c r="Q72" s="2119"/>
      <c r="R72" s="3262"/>
      <c r="S72" s="3259"/>
      <c r="T72" s="2119"/>
      <c r="U72" s="3264"/>
      <c r="V72" s="2658"/>
      <c r="W72" s="1662">
        <v>3750692.96</v>
      </c>
      <c r="X72" s="1347" t="s">
        <v>2627</v>
      </c>
      <c r="Y72" s="3124"/>
      <c r="Z72" s="2965"/>
      <c r="AA72" s="3216"/>
      <c r="AB72" s="3216"/>
      <c r="AC72" s="3216"/>
      <c r="AD72" s="3216"/>
      <c r="AE72" s="3216"/>
      <c r="AF72" s="3216"/>
      <c r="AG72" s="3216"/>
      <c r="AH72" s="3216"/>
      <c r="AI72" s="3216"/>
      <c r="AJ72" s="3216"/>
      <c r="AK72" s="3216"/>
      <c r="AL72" s="3216"/>
      <c r="AM72" s="3216"/>
      <c r="AN72" s="3216"/>
      <c r="AO72" s="3216"/>
      <c r="AP72" s="3216"/>
      <c r="AQ72" s="2973"/>
      <c r="AR72" s="2973"/>
      <c r="AS72" s="2372"/>
    </row>
    <row r="73" spans="1:45" ht="39.75" customHeight="1" x14ac:dyDescent="0.25">
      <c r="A73" s="1495"/>
      <c r="B73" s="1452"/>
      <c r="C73" s="1470"/>
      <c r="D73" s="1452"/>
      <c r="G73" s="3272"/>
      <c r="H73" s="2710"/>
      <c r="I73" s="3272"/>
      <c r="J73" s="2710"/>
      <c r="K73" s="3276"/>
      <c r="L73" s="2710"/>
      <c r="M73" s="3276"/>
      <c r="N73" s="2710"/>
      <c r="O73" s="3281"/>
      <c r="P73" s="2111"/>
      <c r="Q73" s="2119"/>
      <c r="R73" s="3263"/>
      <c r="S73" s="3259"/>
      <c r="T73" s="2119"/>
      <c r="U73" s="3264"/>
      <c r="V73" s="2658"/>
      <c r="W73" s="1662">
        <v>1458778.81</v>
      </c>
      <c r="X73" s="1347" t="s">
        <v>2628</v>
      </c>
      <c r="Y73" s="3126"/>
      <c r="Z73" s="2966"/>
      <c r="AA73" s="3216"/>
      <c r="AB73" s="3216"/>
      <c r="AC73" s="3216"/>
      <c r="AD73" s="3216"/>
      <c r="AE73" s="3216"/>
      <c r="AF73" s="3216"/>
      <c r="AG73" s="3216"/>
      <c r="AH73" s="3216"/>
      <c r="AI73" s="3216"/>
      <c r="AJ73" s="3216"/>
      <c r="AK73" s="3216"/>
      <c r="AL73" s="3216"/>
      <c r="AM73" s="3216"/>
      <c r="AN73" s="3216"/>
      <c r="AO73" s="3216"/>
      <c r="AP73" s="3216"/>
      <c r="AQ73" s="2973"/>
      <c r="AR73" s="2973"/>
      <c r="AS73" s="2372"/>
    </row>
    <row r="74" spans="1:45" ht="83.25" customHeight="1" x14ac:dyDescent="0.25">
      <c r="A74" s="1495"/>
      <c r="B74" s="1452"/>
      <c r="C74" s="1470"/>
      <c r="D74" s="1452"/>
      <c r="G74" s="1663">
        <v>2201061</v>
      </c>
      <c r="H74" s="1493" t="s">
        <v>2629</v>
      </c>
      <c r="I74" s="1663">
        <v>2201061</v>
      </c>
      <c r="J74" s="1493" t="s">
        <v>2629</v>
      </c>
      <c r="K74" s="1491">
        <v>220106102</v>
      </c>
      <c r="L74" s="1493" t="s">
        <v>2630</v>
      </c>
      <c r="M74" s="1491">
        <v>220106102</v>
      </c>
      <c r="N74" s="1493" t="s">
        <v>2630</v>
      </c>
      <c r="O74" s="1664">
        <v>12</v>
      </c>
      <c r="P74" s="2111"/>
      <c r="Q74" s="2119"/>
      <c r="R74" s="1665">
        <f>W74/S43</f>
        <v>6.1944952520317564E-2</v>
      </c>
      <c r="S74" s="3259"/>
      <c r="T74" s="2119"/>
      <c r="U74" s="1481" t="s">
        <v>2612</v>
      </c>
      <c r="V74" s="1556" t="s">
        <v>2631</v>
      </c>
      <c r="W74" s="1643">
        <v>10000000</v>
      </c>
      <c r="X74" s="1347" t="s">
        <v>2632</v>
      </c>
      <c r="Y74" s="1548">
        <v>20</v>
      </c>
      <c r="Z74" s="1458" t="s">
        <v>2496</v>
      </c>
      <c r="AA74" s="3216"/>
      <c r="AB74" s="3216"/>
      <c r="AC74" s="3216"/>
      <c r="AD74" s="3216"/>
      <c r="AE74" s="3216"/>
      <c r="AF74" s="3216"/>
      <c r="AG74" s="3216"/>
      <c r="AH74" s="3216"/>
      <c r="AI74" s="3216"/>
      <c r="AJ74" s="3216"/>
      <c r="AK74" s="3216"/>
      <c r="AL74" s="3216"/>
      <c r="AM74" s="3216"/>
      <c r="AN74" s="3216"/>
      <c r="AO74" s="3216"/>
      <c r="AP74" s="3216"/>
      <c r="AQ74" s="2973"/>
      <c r="AR74" s="2973"/>
      <c r="AS74" s="2372"/>
    </row>
    <row r="75" spans="1:45" ht="95.25" customHeight="1" x14ac:dyDescent="0.25">
      <c r="A75" s="1495"/>
      <c r="B75" s="1452"/>
      <c r="C75" s="1470"/>
      <c r="D75" s="1452"/>
      <c r="G75" s="1649">
        <v>2201066</v>
      </c>
      <c r="H75" s="1466" t="s">
        <v>2633</v>
      </c>
      <c r="I75" s="1649">
        <v>2201066</v>
      </c>
      <c r="J75" s="1466" t="s">
        <v>2633</v>
      </c>
      <c r="K75" s="1653">
        <v>220106600</v>
      </c>
      <c r="L75" s="1466" t="s">
        <v>2634</v>
      </c>
      <c r="M75" s="1653">
        <v>220106600</v>
      </c>
      <c r="N75" s="1466" t="s">
        <v>2634</v>
      </c>
      <c r="O75" s="1651">
        <v>10000</v>
      </c>
      <c r="P75" s="2111"/>
      <c r="Q75" s="2141"/>
      <c r="R75" s="1666">
        <f>W75/S43</f>
        <v>6.1944952520317564E-2</v>
      </c>
      <c r="S75" s="3260"/>
      <c r="T75" s="2141"/>
      <c r="U75" s="1481" t="s">
        <v>2571</v>
      </c>
      <c r="V75" s="1489" t="s">
        <v>2635</v>
      </c>
      <c r="W75" s="1643">
        <v>10000000</v>
      </c>
      <c r="X75" s="1347" t="s">
        <v>2636</v>
      </c>
      <c r="Y75" s="1494">
        <v>20</v>
      </c>
      <c r="Z75" s="1460" t="s">
        <v>2496</v>
      </c>
      <c r="AA75" s="3216"/>
      <c r="AB75" s="3216"/>
      <c r="AC75" s="3216"/>
      <c r="AD75" s="3216"/>
      <c r="AE75" s="3216"/>
      <c r="AF75" s="3216"/>
      <c r="AG75" s="3216"/>
      <c r="AH75" s="3216"/>
      <c r="AI75" s="3216"/>
      <c r="AJ75" s="3216"/>
      <c r="AK75" s="3216"/>
      <c r="AL75" s="3216"/>
      <c r="AM75" s="3216"/>
      <c r="AN75" s="3216"/>
      <c r="AO75" s="3216"/>
      <c r="AP75" s="3216"/>
      <c r="AQ75" s="2974"/>
      <c r="AR75" s="2974"/>
      <c r="AS75" s="2373"/>
    </row>
    <row r="76" spans="1:45" ht="21.75" customHeight="1" x14ac:dyDescent="0.25">
      <c r="A76" s="1495"/>
      <c r="B76" s="1452"/>
      <c r="C76" s="1470"/>
      <c r="D76" s="1452"/>
      <c r="G76" s="3271">
        <v>2201050</v>
      </c>
      <c r="H76" s="3273" t="s">
        <v>2637</v>
      </c>
      <c r="I76" s="3271">
        <v>2201050</v>
      </c>
      <c r="J76" s="3273" t="s">
        <v>2637</v>
      </c>
      <c r="K76" s="3274">
        <v>220105000</v>
      </c>
      <c r="L76" s="3273" t="s">
        <v>2638</v>
      </c>
      <c r="M76" s="3274">
        <v>220105000</v>
      </c>
      <c r="N76" s="3273" t="s">
        <v>2638</v>
      </c>
      <c r="O76" s="3280">
        <v>8000</v>
      </c>
      <c r="P76" s="2148" t="s">
        <v>2639</v>
      </c>
      <c r="Q76" s="2121" t="s">
        <v>2640</v>
      </c>
      <c r="R76" s="3284">
        <f>SUM(W76:W79)/S76</f>
        <v>1.6341321671867436E-2</v>
      </c>
      <c r="S76" s="3285">
        <f>SUM(W76:W87)</f>
        <v>611945607.01999998</v>
      </c>
      <c r="T76" s="2141" t="s">
        <v>2641</v>
      </c>
      <c r="U76" s="2180" t="s">
        <v>2642</v>
      </c>
      <c r="V76" s="2658" t="s">
        <v>2643</v>
      </c>
      <c r="W76" s="1667">
        <v>664449.19999999995</v>
      </c>
      <c r="X76" s="1347" t="s">
        <v>2644</v>
      </c>
      <c r="Y76" s="3289">
        <v>20</v>
      </c>
      <c r="Z76" s="2096" t="s">
        <v>2496</v>
      </c>
      <c r="AA76" s="3252">
        <v>19649</v>
      </c>
      <c r="AB76" s="3238">
        <v>20118</v>
      </c>
      <c r="AC76" s="3238">
        <v>28907</v>
      </c>
      <c r="AD76" s="3238">
        <v>9525</v>
      </c>
      <c r="AE76" s="3238">
        <v>1222</v>
      </c>
      <c r="AF76" s="3238">
        <v>113</v>
      </c>
      <c r="AG76" s="3238">
        <v>297</v>
      </c>
      <c r="AH76" s="3238">
        <v>345</v>
      </c>
      <c r="AI76" s="3238">
        <v>0</v>
      </c>
      <c r="AJ76" s="3238">
        <v>0</v>
      </c>
      <c r="AK76" s="3238">
        <v>0</v>
      </c>
      <c r="AL76" s="3238">
        <v>0</v>
      </c>
      <c r="AM76" s="3238">
        <v>3301</v>
      </c>
      <c r="AN76" s="3238">
        <v>2507</v>
      </c>
      <c r="AO76" s="3238">
        <v>113</v>
      </c>
      <c r="AP76" s="3238">
        <f>SUM(AA76:AB84)</f>
        <v>39767</v>
      </c>
      <c r="AQ76" s="2982">
        <v>44198</v>
      </c>
      <c r="AR76" s="2982">
        <v>44560</v>
      </c>
      <c r="AS76" s="2371" t="s">
        <v>2487</v>
      </c>
    </row>
    <row r="77" spans="1:45" ht="29.25" customHeight="1" x14ac:dyDescent="0.25">
      <c r="A77" s="1495"/>
      <c r="B77" s="1452"/>
      <c r="C77" s="1470"/>
      <c r="D77" s="1452"/>
      <c r="G77" s="3244"/>
      <c r="H77" s="2709"/>
      <c r="I77" s="3244"/>
      <c r="J77" s="2709"/>
      <c r="K77" s="3275"/>
      <c r="L77" s="2709"/>
      <c r="M77" s="3275"/>
      <c r="N77" s="2709"/>
      <c r="O77" s="3246"/>
      <c r="P77" s="2111"/>
      <c r="Q77" s="2121"/>
      <c r="R77" s="3284"/>
      <c r="S77" s="3286"/>
      <c r="T77" s="2142"/>
      <c r="U77" s="2180"/>
      <c r="V77" s="2658"/>
      <c r="W77" s="1667">
        <v>4126079.04</v>
      </c>
      <c r="X77" s="1347" t="s">
        <v>2645</v>
      </c>
      <c r="Y77" s="3289"/>
      <c r="Z77" s="2096"/>
      <c r="AA77" s="3218"/>
      <c r="AB77" s="3216"/>
      <c r="AC77" s="3216"/>
      <c r="AD77" s="3216"/>
      <c r="AE77" s="3216"/>
      <c r="AF77" s="3216"/>
      <c r="AG77" s="3216"/>
      <c r="AH77" s="3216"/>
      <c r="AI77" s="3216"/>
      <c r="AJ77" s="3216"/>
      <c r="AK77" s="3216"/>
      <c r="AL77" s="3216"/>
      <c r="AM77" s="3216"/>
      <c r="AN77" s="3216"/>
      <c r="AO77" s="3216"/>
      <c r="AP77" s="3216"/>
      <c r="AQ77" s="2973"/>
      <c r="AR77" s="2973"/>
      <c r="AS77" s="2372"/>
    </row>
    <row r="78" spans="1:45" ht="27" customHeight="1" x14ac:dyDescent="0.25">
      <c r="A78" s="1495"/>
      <c r="B78" s="1452"/>
      <c r="C78" s="1470"/>
      <c r="D78" s="1452"/>
      <c r="G78" s="3244"/>
      <c r="H78" s="2709"/>
      <c r="I78" s="3244"/>
      <c r="J78" s="2709"/>
      <c r="K78" s="3275"/>
      <c r="L78" s="2709"/>
      <c r="M78" s="3275"/>
      <c r="N78" s="2709"/>
      <c r="O78" s="3246"/>
      <c r="P78" s="2111"/>
      <c r="Q78" s="2121"/>
      <c r="R78" s="3284"/>
      <c r="S78" s="3286"/>
      <c r="T78" s="2142"/>
      <c r="U78" s="2180"/>
      <c r="V78" s="2658"/>
      <c r="W78" s="1667">
        <v>3750692.96</v>
      </c>
      <c r="X78" s="1347" t="s">
        <v>2646</v>
      </c>
      <c r="Y78" s="3289"/>
      <c r="Z78" s="2096"/>
      <c r="AA78" s="3218"/>
      <c r="AB78" s="3216"/>
      <c r="AC78" s="3216"/>
      <c r="AD78" s="3216"/>
      <c r="AE78" s="3216"/>
      <c r="AF78" s="3216"/>
      <c r="AG78" s="3216"/>
      <c r="AH78" s="3216"/>
      <c r="AI78" s="3216"/>
      <c r="AJ78" s="3216"/>
      <c r="AK78" s="3216"/>
      <c r="AL78" s="3216"/>
      <c r="AM78" s="3216"/>
      <c r="AN78" s="3216"/>
      <c r="AO78" s="3216"/>
      <c r="AP78" s="3216"/>
      <c r="AQ78" s="2973"/>
      <c r="AR78" s="2973"/>
      <c r="AS78" s="2372"/>
    </row>
    <row r="79" spans="1:45" ht="30.75" customHeight="1" x14ac:dyDescent="0.25">
      <c r="A79" s="1495"/>
      <c r="B79" s="1452"/>
      <c r="C79" s="1470"/>
      <c r="D79" s="1452"/>
      <c r="G79" s="3272"/>
      <c r="H79" s="2710"/>
      <c r="I79" s="3272"/>
      <c r="J79" s="2710"/>
      <c r="K79" s="3276"/>
      <c r="L79" s="2710"/>
      <c r="M79" s="3276"/>
      <c r="N79" s="2710"/>
      <c r="O79" s="3281"/>
      <c r="P79" s="2111"/>
      <c r="Q79" s="2121"/>
      <c r="R79" s="3284"/>
      <c r="S79" s="3286"/>
      <c r="T79" s="2142"/>
      <c r="U79" s="2180"/>
      <c r="V79" s="2658"/>
      <c r="W79" s="1667">
        <v>1458778.81</v>
      </c>
      <c r="X79" s="1347" t="s">
        <v>2647</v>
      </c>
      <c r="Y79" s="3289"/>
      <c r="Z79" s="2096"/>
      <c r="AA79" s="3218"/>
      <c r="AB79" s="3216"/>
      <c r="AC79" s="3216"/>
      <c r="AD79" s="3216"/>
      <c r="AE79" s="3216"/>
      <c r="AF79" s="3216"/>
      <c r="AG79" s="3216"/>
      <c r="AH79" s="3216"/>
      <c r="AI79" s="3216"/>
      <c r="AJ79" s="3216"/>
      <c r="AK79" s="3216"/>
      <c r="AL79" s="3216"/>
      <c r="AM79" s="3216"/>
      <c r="AN79" s="3216"/>
      <c r="AO79" s="3216"/>
      <c r="AP79" s="3216"/>
      <c r="AQ79" s="2973"/>
      <c r="AR79" s="2973"/>
      <c r="AS79" s="2372"/>
    </row>
    <row r="80" spans="1:45" ht="35.25" customHeight="1" x14ac:dyDescent="0.25">
      <c r="A80" s="1495"/>
      <c r="B80" s="1452"/>
      <c r="C80" s="1470"/>
      <c r="D80" s="1452"/>
      <c r="G80" s="3271">
        <v>2201050</v>
      </c>
      <c r="H80" s="3273" t="s">
        <v>2637</v>
      </c>
      <c r="I80" s="3271">
        <v>2201050</v>
      </c>
      <c r="J80" s="3273" t="s">
        <v>2637</v>
      </c>
      <c r="K80" s="3274">
        <v>220105001</v>
      </c>
      <c r="L80" s="3273" t="s">
        <v>2648</v>
      </c>
      <c r="M80" s="3274">
        <v>220105001</v>
      </c>
      <c r="N80" s="3273" t="s">
        <v>2648</v>
      </c>
      <c r="O80" s="3280">
        <v>150</v>
      </c>
      <c r="P80" s="2111"/>
      <c r="Q80" s="2121"/>
      <c r="R80" s="3290">
        <f>SUM(W80:W83)/S76</f>
        <v>0.96731735665626517</v>
      </c>
      <c r="S80" s="3286"/>
      <c r="T80" s="2142"/>
      <c r="U80" s="2180"/>
      <c r="V80" s="2658" t="s">
        <v>2649</v>
      </c>
      <c r="W80" s="1667">
        <f>49767245-10435466</f>
        <v>39331779</v>
      </c>
      <c r="X80" s="1347" t="s">
        <v>2650</v>
      </c>
      <c r="Y80" s="3289">
        <v>25</v>
      </c>
      <c r="Z80" s="2096" t="s">
        <v>2486</v>
      </c>
      <c r="AA80" s="3218"/>
      <c r="AB80" s="3216"/>
      <c r="AC80" s="3216"/>
      <c r="AD80" s="3216"/>
      <c r="AE80" s="3216"/>
      <c r="AF80" s="3216"/>
      <c r="AG80" s="3216"/>
      <c r="AH80" s="3216"/>
      <c r="AI80" s="3216"/>
      <c r="AJ80" s="3216"/>
      <c r="AK80" s="3216"/>
      <c r="AL80" s="3216"/>
      <c r="AM80" s="3216"/>
      <c r="AN80" s="3216"/>
      <c r="AO80" s="3216"/>
      <c r="AP80" s="3216"/>
      <c r="AQ80" s="2973"/>
      <c r="AR80" s="2973"/>
      <c r="AS80" s="2372"/>
    </row>
    <row r="81" spans="1:45" ht="26.25" customHeight="1" x14ac:dyDescent="0.25">
      <c r="A81" s="1495"/>
      <c r="B81" s="1452"/>
      <c r="C81" s="1470"/>
      <c r="D81" s="1452"/>
      <c r="G81" s="3244"/>
      <c r="H81" s="2709"/>
      <c r="I81" s="3244"/>
      <c r="J81" s="2709"/>
      <c r="K81" s="3275"/>
      <c r="L81" s="2709"/>
      <c r="M81" s="3275"/>
      <c r="N81" s="2709"/>
      <c r="O81" s="3246"/>
      <c r="P81" s="2111"/>
      <c r="Q81" s="2121"/>
      <c r="R81" s="3290"/>
      <c r="S81" s="3286"/>
      <c r="T81" s="2142"/>
      <c r="U81" s="2180"/>
      <c r="V81" s="2658"/>
      <c r="W81" s="1667">
        <f>309043320-64801884</f>
        <v>244241436</v>
      </c>
      <c r="X81" s="1347" t="s">
        <v>2651</v>
      </c>
      <c r="Y81" s="3289"/>
      <c r="Z81" s="2096"/>
      <c r="AA81" s="3218"/>
      <c r="AB81" s="3216"/>
      <c r="AC81" s="3216"/>
      <c r="AD81" s="3216"/>
      <c r="AE81" s="3216"/>
      <c r="AF81" s="3216"/>
      <c r="AG81" s="3216"/>
      <c r="AH81" s="3216"/>
      <c r="AI81" s="3216"/>
      <c r="AJ81" s="3216"/>
      <c r="AK81" s="3216"/>
      <c r="AL81" s="3216"/>
      <c r="AM81" s="3216"/>
      <c r="AN81" s="3216"/>
      <c r="AO81" s="3216"/>
      <c r="AP81" s="3216"/>
      <c r="AQ81" s="2973"/>
      <c r="AR81" s="2973"/>
      <c r="AS81" s="2372"/>
    </row>
    <row r="82" spans="1:45" ht="30.75" customHeight="1" x14ac:dyDescent="0.25">
      <c r="A82" s="1495"/>
      <c r="B82" s="1452"/>
      <c r="C82" s="1470"/>
      <c r="D82" s="1452"/>
      <c r="G82" s="3244"/>
      <c r="H82" s="2709"/>
      <c r="I82" s="3244"/>
      <c r="J82" s="2709"/>
      <c r="K82" s="3275"/>
      <c r="L82" s="2709"/>
      <c r="M82" s="3275"/>
      <c r="N82" s="2709"/>
      <c r="O82" s="3246"/>
      <c r="P82" s="2111"/>
      <c r="Q82" s="2121"/>
      <c r="R82" s="3290"/>
      <c r="S82" s="3286"/>
      <c r="T82" s="2142"/>
      <c r="U82" s="2180"/>
      <c r="V82" s="2658"/>
      <c r="W82" s="1667">
        <f>280926903-58906281</f>
        <v>222020622</v>
      </c>
      <c r="X82" s="1347" t="s">
        <v>2652</v>
      </c>
      <c r="Y82" s="3289"/>
      <c r="Z82" s="2096"/>
      <c r="AA82" s="3218"/>
      <c r="AB82" s="3216"/>
      <c r="AC82" s="3216"/>
      <c r="AD82" s="3216"/>
      <c r="AE82" s="3216"/>
      <c r="AF82" s="3216"/>
      <c r="AG82" s="3216"/>
      <c r="AH82" s="3216"/>
      <c r="AI82" s="3216"/>
      <c r="AJ82" s="3216"/>
      <c r="AK82" s="3216"/>
      <c r="AL82" s="3216"/>
      <c r="AM82" s="3216"/>
      <c r="AN82" s="3216"/>
      <c r="AO82" s="3216"/>
      <c r="AP82" s="3216"/>
      <c r="AQ82" s="2973"/>
      <c r="AR82" s="2973"/>
      <c r="AS82" s="2372"/>
    </row>
    <row r="83" spans="1:45" ht="27.75" customHeight="1" x14ac:dyDescent="0.25">
      <c r="A83" s="1495"/>
      <c r="B83" s="1452"/>
      <c r="C83" s="1470"/>
      <c r="D83" s="1452"/>
      <c r="G83" s="3272"/>
      <c r="H83" s="2710"/>
      <c r="I83" s="3272"/>
      <c r="J83" s="2710"/>
      <c r="K83" s="3276"/>
      <c r="L83" s="2710"/>
      <c r="M83" s="3276"/>
      <c r="N83" s="2710"/>
      <c r="O83" s="3281"/>
      <c r="P83" s="2111"/>
      <c r="Q83" s="2121"/>
      <c r="R83" s="3290"/>
      <c r="S83" s="3286"/>
      <c r="T83" s="2142"/>
      <c r="U83" s="2180"/>
      <c r="V83" s="2658"/>
      <c r="W83" s="1667">
        <f>109262532-22910762</f>
        <v>86351770</v>
      </c>
      <c r="X83" s="1347" t="s">
        <v>2653</v>
      </c>
      <c r="Y83" s="3289"/>
      <c r="Z83" s="2096"/>
      <c r="AA83" s="3218"/>
      <c r="AB83" s="3216"/>
      <c r="AC83" s="3216"/>
      <c r="AD83" s="3216"/>
      <c r="AE83" s="3216"/>
      <c r="AF83" s="3216"/>
      <c r="AG83" s="3216"/>
      <c r="AH83" s="3216"/>
      <c r="AI83" s="3216"/>
      <c r="AJ83" s="3216"/>
      <c r="AK83" s="3216"/>
      <c r="AL83" s="3216"/>
      <c r="AM83" s="3216"/>
      <c r="AN83" s="3216"/>
      <c r="AO83" s="3216"/>
      <c r="AP83" s="3216"/>
      <c r="AQ83" s="2973"/>
      <c r="AR83" s="2973"/>
      <c r="AS83" s="2372"/>
    </row>
    <row r="84" spans="1:45" ht="28.5" customHeight="1" x14ac:dyDescent="0.25">
      <c r="A84" s="1495"/>
      <c r="B84" s="1452"/>
      <c r="C84" s="1470"/>
      <c r="D84" s="1452"/>
      <c r="G84" s="3271" t="s">
        <v>62</v>
      </c>
      <c r="H84" s="3273" t="s">
        <v>2654</v>
      </c>
      <c r="I84" s="3271">
        <v>2201001</v>
      </c>
      <c r="J84" s="3273" t="s">
        <v>745</v>
      </c>
      <c r="K84" s="3274" t="s">
        <v>62</v>
      </c>
      <c r="L84" s="3273" t="s">
        <v>2655</v>
      </c>
      <c r="M84" s="3274">
        <v>220100100</v>
      </c>
      <c r="N84" s="3273" t="s">
        <v>2656</v>
      </c>
      <c r="O84" s="3280">
        <v>2</v>
      </c>
      <c r="P84" s="2111"/>
      <c r="Q84" s="2121"/>
      <c r="R84" s="3284">
        <f>SUM(W84:W87)/S76</f>
        <v>1.6341321671867436E-2</v>
      </c>
      <c r="S84" s="3286"/>
      <c r="T84" s="2142"/>
      <c r="U84" s="2180" t="s">
        <v>2657</v>
      </c>
      <c r="V84" s="2710" t="s">
        <v>2658</v>
      </c>
      <c r="W84" s="1667">
        <v>664449.19999999995</v>
      </c>
      <c r="X84" s="1347" t="s">
        <v>2659</v>
      </c>
      <c r="Y84" s="3124">
        <v>20</v>
      </c>
      <c r="Z84" s="2965" t="s">
        <v>2496</v>
      </c>
      <c r="AA84" s="3216"/>
      <c r="AB84" s="3216"/>
      <c r="AC84" s="3216"/>
      <c r="AD84" s="3216"/>
      <c r="AE84" s="3216"/>
      <c r="AF84" s="3216"/>
      <c r="AG84" s="3216"/>
      <c r="AH84" s="3216"/>
      <c r="AI84" s="3216"/>
      <c r="AJ84" s="3216"/>
      <c r="AK84" s="3216"/>
      <c r="AL84" s="3216"/>
      <c r="AM84" s="3216"/>
      <c r="AN84" s="3216"/>
      <c r="AO84" s="3216"/>
      <c r="AP84" s="3216"/>
      <c r="AQ84" s="2973"/>
      <c r="AR84" s="2973"/>
      <c r="AS84" s="2372"/>
    </row>
    <row r="85" spans="1:45" ht="25.5" customHeight="1" x14ac:dyDescent="0.25">
      <c r="A85" s="1495"/>
      <c r="B85" s="1452"/>
      <c r="C85" s="1470"/>
      <c r="D85" s="1452"/>
      <c r="G85" s="3244"/>
      <c r="H85" s="2709"/>
      <c r="I85" s="3244"/>
      <c r="J85" s="2709"/>
      <c r="K85" s="3275"/>
      <c r="L85" s="2709"/>
      <c r="M85" s="3275"/>
      <c r="N85" s="2709"/>
      <c r="O85" s="3246"/>
      <c r="P85" s="2111"/>
      <c r="Q85" s="2121"/>
      <c r="R85" s="3284"/>
      <c r="S85" s="3286"/>
      <c r="T85" s="2142"/>
      <c r="U85" s="2180"/>
      <c r="V85" s="2658"/>
      <c r="W85" s="1667">
        <v>4126079.04</v>
      </c>
      <c r="X85" s="1347" t="s">
        <v>2660</v>
      </c>
      <c r="Y85" s="3124"/>
      <c r="Z85" s="2965"/>
      <c r="AA85" s="3216"/>
      <c r="AB85" s="3216"/>
      <c r="AC85" s="3216"/>
      <c r="AD85" s="3216"/>
      <c r="AE85" s="3216"/>
      <c r="AF85" s="3216"/>
      <c r="AG85" s="3216"/>
      <c r="AH85" s="3216"/>
      <c r="AI85" s="3216"/>
      <c r="AJ85" s="3216"/>
      <c r="AK85" s="3216"/>
      <c r="AL85" s="3216"/>
      <c r="AM85" s="3216"/>
      <c r="AN85" s="3216"/>
      <c r="AO85" s="3216"/>
      <c r="AP85" s="3216"/>
      <c r="AQ85" s="2973"/>
      <c r="AR85" s="2973"/>
      <c r="AS85" s="2372"/>
    </row>
    <row r="86" spans="1:45" ht="27" customHeight="1" x14ac:dyDescent="0.25">
      <c r="A86" s="1495"/>
      <c r="B86" s="1452"/>
      <c r="C86" s="1470"/>
      <c r="D86" s="1452"/>
      <c r="G86" s="3244"/>
      <c r="H86" s="2709"/>
      <c r="I86" s="3244"/>
      <c r="J86" s="2709"/>
      <c r="K86" s="3275"/>
      <c r="L86" s="2709"/>
      <c r="M86" s="3275"/>
      <c r="N86" s="2709"/>
      <c r="O86" s="3246"/>
      <c r="P86" s="2111"/>
      <c r="Q86" s="2121"/>
      <c r="R86" s="3284"/>
      <c r="S86" s="3286"/>
      <c r="T86" s="2142"/>
      <c r="U86" s="2180"/>
      <c r="V86" s="2658"/>
      <c r="W86" s="1667">
        <v>3750692.96</v>
      </c>
      <c r="X86" s="1347" t="s">
        <v>2661</v>
      </c>
      <c r="Y86" s="3124"/>
      <c r="Z86" s="2965"/>
      <c r="AA86" s="3216"/>
      <c r="AB86" s="3216"/>
      <c r="AC86" s="3216"/>
      <c r="AD86" s="3216"/>
      <c r="AE86" s="3216"/>
      <c r="AF86" s="3216"/>
      <c r="AG86" s="3216"/>
      <c r="AH86" s="3216"/>
      <c r="AI86" s="3216"/>
      <c r="AJ86" s="3216"/>
      <c r="AK86" s="3216"/>
      <c r="AL86" s="3216"/>
      <c r="AM86" s="3216"/>
      <c r="AN86" s="3216"/>
      <c r="AO86" s="3216"/>
      <c r="AP86" s="3216"/>
      <c r="AQ86" s="2973"/>
      <c r="AR86" s="2973"/>
      <c r="AS86" s="2372"/>
    </row>
    <row r="87" spans="1:45" ht="34.5" customHeight="1" x14ac:dyDescent="0.25">
      <c r="A87" s="1495"/>
      <c r="B87" s="1452"/>
      <c r="C87" s="1470"/>
      <c r="D87" s="1452"/>
      <c r="G87" s="3272"/>
      <c r="H87" s="2710"/>
      <c r="I87" s="3272"/>
      <c r="J87" s="2710"/>
      <c r="K87" s="3276"/>
      <c r="L87" s="2710"/>
      <c r="M87" s="3276"/>
      <c r="N87" s="2710"/>
      <c r="O87" s="3281"/>
      <c r="P87" s="2165"/>
      <c r="Q87" s="2121"/>
      <c r="R87" s="3284"/>
      <c r="S87" s="3287"/>
      <c r="T87" s="2143"/>
      <c r="U87" s="2180"/>
      <c r="V87" s="2658"/>
      <c r="W87" s="1667">
        <v>1458778.81</v>
      </c>
      <c r="X87" s="1347" t="s">
        <v>2662</v>
      </c>
      <c r="Y87" s="3126"/>
      <c r="Z87" s="2966"/>
      <c r="AA87" s="3288"/>
      <c r="AB87" s="3288"/>
      <c r="AC87" s="3288"/>
      <c r="AD87" s="3288"/>
      <c r="AE87" s="3288"/>
      <c r="AF87" s="3288"/>
      <c r="AG87" s="3288"/>
      <c r="AH87" s="3288"/>
      <c r="AI87" s="3288"/>
      <c r="AJ87" s="3288"/>
      <c r="AK87" s="3288"/>
      <c r="AL87" s="3288"/>
      <c r="AM87" s="3288"/>
      <c r="AN87" s="3288"/>
      <c r="AO87" s="3288"/>
      <c r="AP87" s="3288"/>
      <c r="AQ87" s="2974"/>
      <c r="AR87" s="2974"/>
      <c r="AS87" s="2373"/>
    </row>
    <row r="88" spans="1:45" ht="35.25" customHeight="1" x14ac:dyDescent="0.25">
      <c r="A88" s="1495"/>
      <c r="B88" s="1452"/>
      <c r="C88" s="1470"/>
      <c r="D88" s="1452"/>
      <c r="G88" s="3271">
        <v>2201001</v>
      </c>
      <c r="H88" s="3273" t="s">
        <v>745</v>
      </c>
      <c r="I88" s="3271">
        <v>2201001</v>
      </c>
      <c r="J88" s="3273" t="s">
        <v>745</v>
      </c>
      <c r="K88" s="3274">
        <v>220100100</v>
      </c>
      <c r="L88" s="3273" t="s">
        <v>2656</v>
      </c>
      <c r="M88" s="3274">
        <v>220100100</v>
      </c>
      <c r="N88" s="3273" t="s">
        <v>2656</v>
      </c>
      <c r="O88" s="3280">
        <v>5</v>
      </c>
      <c r="P88" s="2148" t="s">
        <v>2663</v>
      </c>
      <c r="Q88" s="3291" t="s">
        <v>2664</v>
      </c>
      <c r="R88" s="3294">
        <f>SUM(W88:W91)/S88</f>
        <v>0.5</v>
      </c>
      <c r="S88" s="3297">
        <f>SUM(W88:W95)</f>
        <v>18000000</v>
      </c>
      <c r="T88" s="2141" t="s">
        <v>2665</v>
      </c>
      <c r="U88" s="2305" t="s">
        <v>2666</v>
      </c>
      <c r="V88" s="3266" t="s">
        <v>2658</v>
      </c>
      <c r="W88" s="1668">
        <v>598004.28</v>
      </c>
      <c r="X88" s="1347" t="s">
        <v>2667</v>
      </c>
      <c r="Y88" s="3122">
        <v>20</v>
      </c>
      <c r="Z88" s="2056" t="s">
        <v>2496</v>
      </c>
      <c r="AA88" s="3238">
        <v>19649</v>
      </c>
      <c r="AB88" s="3238">
        <v>20118</v>
      </c>
      <c r="AC88" s="3238">
        <v>28907</v>
      </c>
      <c r="AD88" s="3238">
        <v>9525</v>
      </c>
      <c r="AE88" s="3238">
        <v>1222</v>
      </c>
      <c r="AF88" s="3238">
        <v>113</v>
      </c>
      <c r="AG88" s="3238">
        <v>297</v>
      </c>
      <c r="AH88" s="3238">
        <v>345</v>
      </c>
      <c r="AI88" s="3238">
        <v>0</v>
      </c>
      <c r="AJ88" s="3238">
        <v>0</v>
      </c>
      <c r="AK88" s="3238">
        <v>0</v>
      </c>
      <c r="AL88" s="3238">
        <v>0</v>
      </c>
      <c r="AM88" s="3238">
        <v>3301</v>
      </c>
      <c r="AN88" s="3238">
        <v>2507</v>
      </c>
      <c r="AO88" s="3238">
        <v>113</v>
      </c>
      <c r="AP88" s="3238">
        <f>SUM(AA88:AB92)</f>
        <v>39767</v>
      </c>
      <c r="AQ88" s="2982">
        <v>44198</v>
      </c>
      <c r="AR88" s="2982">
        <v>44560</v>
      </c>
      <c r="AS88" s="2371" t="s">
        <v>2487</v>
      </c>
    </row>
    <row r="89" spans="1:45" ht="35.25" customHeight="1" x14ac:dyDescent="0.25">
      <c r="A89" s="1495"/>
      <c r="B89" s="1452"/>
      <c r="C89" s="1470"/>
      <c r="D89" s="1452"/>
      <c r="G89" s="3244"/>
      <c r="H89" s="2709"/>
      <c r="I89" s="3244"/>
      <c r="J89" s="2709"/>
      <c r="K89" s="3275"/>
      <c r="L89" s="2709"/>
      <c r="M89" s="3275"/>
      <c r="N89" s="2709"/>
      <c r="O89" s="3246"/>
      <c r="P89" s="2111"/>
      <c r="Q89" s="3292"/>
      <c r="R89" s="3294"/>
      <c r="S89" s="3298"/>
      <c r="T89" s="2142"/>
      <c r="U89" s="2305"/>
      <c r="V89" s="3266"/>
      <c r="W89" s="1668">
        <v>3713471.13</v>
      </c>
      <c r="X89" s="1347" t="s">
        <v>2668</v>
      </c>
      <c r="Y89" s="3124"/>
      <c r="Z89" s="2965"/>
      <c r="AA89" s="3216"/>
      <c r="AB89" s="3216"/>
      <c r="AC89" s="3216"/>
      <c r="AD89" s="3216"/>
      <c r="AE89" s="3216"/>
      <c r="AF89" s="3216"/>
      <c r="AG89" s="3216"/>
      <c r="AH89" s="3216"/>
      <c r="AI89" s="3216"/>
      <c r="AJ89" s="3216"/>
      <c r="AK89" s="3216"/>
      <c r="AL89" s="3216"/>
      <c r="AM89" s="3216"/>
      <c r="AN89" s="3216"/>
      <c r="AO89" s="3216"/>
      <c r="AP89" s="3216"/>
      <c r="AQ89" s="2973"/>
      <c r="AR89" s="2973"/>
      <c r="AS89" s="2372"/>
    </row>
    <row r="90" spans="1:45" ht="35.25" customHeight="1" x14ac:dyDescent="0.25">
      <c r="A90" s="1495"/>
      <c r="B90" s="1452"/>
      <c r="C90" s="1470"/>
      <c r="D90" s="1452"/>
      <c r="G90" s="3244"/>
      <c r="H90" s="2709"/>
      <c r="I90" s="3244"/>
      <c r="J90" s="2709"/>
      <c r="K90" s="3275"/>
      <c r="L90" s="2709"/>
      <c r="M90" s="3275"/>
      <c r="N90" s="2709"/>
      <c r="O90" s="3246"/>
      <c r="P90" s="2111"/>
      <c r="Q90" s="3292"/>
      <c r="R90" s="3294"/>
      <c r="S90" s="3298"/>
      <c r="T90" s="2142"/>
      <c r="U90" s="2305"/>
      <c r="V90" s="3266"/>
      <c r="W90" s="1668">
        <v>3375623.66</v>
      </c>
      <c r="X90" s="1347" t="s">
        <v>2669</v>
      </c>
      <c r="Y90" s="3124"/>
      <c r="Z90" s="2965"/>
      <c r="AA90" s="3216"/>
      <c r="AB90" s="3216"/>
      <c r="AC90" s="3216"/>
      <c r="AD90" s="3216"/>
      <c r="AE90" s="3216"/>
      <c r="AF90" s="3216"/>
      <c r="AG90" s="3216"/>
      <c r="AH90" s="3216"/>
      <c r="AI90" s="3216"/>
      <c r="AJ90" s="3216"/>
      <c r="AK90" s="3216"/>
      <c r="AL90" s="3216"/>
      <c r="AM90" s="3216"/>
      <c r="AN90" s="3216"/>
      <c r="AO90" s="3216"/>
      <c r="AP90" s="3216"/>
      <c r="AQ90" s="2973"/>
      <c r="AR90" s="2973"/>
      <c r="AS90" s="2372"/>
    </row>
    <row r="91" spans="1:45" ht="35.25" customHeight="1" x14ac:dyDescent="0.25">
      <c r="A91" s="1495"/>
      <c r="B91" s="1452"/>
      <c r="C91" s="1470"/>
      <c r="D91" s="1452"/>
      <c r="G91" s="3272"/>
      <c r="H91" s="2710"/>
      <c r="I91" s="3272"/>
      <c r="J91" s="2710"/>
      <c r="K91" s="3276"/>
      <c r="L91" s="2710"/>
      <c r="M91" s="3276"/>
      <c r="N91" s="2710"/>
      <c r="O91" s="3281"/>
      <c r="P91" s="2111"/>
      <c r="Q91" s="3292"/>
      <c r="R91" s="3295"/>
      <c r="S91" s="3298"/>
      <c r="T91" s="2142"/>
      <c r="U91" s="2305"/>
      <c r="V91" s="3267"/>
      <c r="W91" s="1668">
        <v>1312900.93</v>
      </c>
      <c r="X91" s="1347" t="s">
        <v>2670</v>
      </c>
      <c r="Y91" s="3126"/>
      <c r="Z91" s="2966"/>
      <c r="AA91" s="3216"/>
      <c r="AB91" s="3216"/>
      <c r="AC91" s="3216"/>
      <c r="AD91" s="3216"/>
      <c r="AE91" s="3216"/>
      <c r="AF91" s="3216"/>
      <c r="AG91" s="3216"/>
      <c r="AH91" s="3216"/>
      <c r="AI91" s="3216"/>
      <c r="AJ91" s="3216"/>
      <c r="AK91" s="3216"/>
      <c r="AL91" s="3216"/>
      <c r="AM91" s="3216"/>
      <c r="AN91" s="3216"/>
      <c r="AO91" s="3216"/>
      <c r="AP91" s="3216"/>
      <c r="AQ91" s="2973"/>
      <c r="AR91" s="2973"/>
      <c r="AS91" s="2372"/>
    </row>
    <row r="92" spans="1:45" ht="35.25" customHeight="1" x14ac:dyDescent="0.25">
      <c r="A92" s="1495"/>
      <c r="B92" s="1452"/>
      <c r="C92" s="1470"/>
      <c r="D92" s="1452"/>
      <c r="G92" s="3271">
        <v>2201048</v>
      </c>
      <c r="H92" s="3273" t="s">
        <v>2671</v>
      </c>
      <c r="I92" s="3271">
        <v>2201048</v>
      </c>
      <c r="J92" s="3273" t="s">
        <v>2671</v>
      </c>
      <c r="K92" s="3274">
        <v>220104801</v>
      </c>
      <c r="L92" s="3273" t="s">
        <v>2672</v>
      </c>
      <c r="M92" s="3274">
        <v>220104801</v>
      </c>
      <c r="N92" s="3273" t="s">
        <v>2672</v>
      </c>
      <c r="O92" s="3280">
        <v>1</v>
      </c>
      <c r="P92" s="2111"/>
      <c r="Q92" s="3292"/>
      <c r="R92" s="3296">
        <f>SUM(W92:W95)/S88</f>
        <v>0.5</v>
      </c>
      <c r="S92" s="3298"/>
      <c r="T92" s="2142"/>
      <c r="U92" s="2305" t="s">
        <v>2673</v>
      </c>
      <c r="V92" s="3265" t="s">
        <v>2674</v>
      </c>
      <c r="W92" s="1668">
        <v>598004.28</v>
      </c>
      <c r="X92" s="1347" t="s">
        <v>2675</v>
      </c>
      <c r="Y92" s="3122">
        <v>20</v>
      </c>
      <c r="Z92" s="2056" t="s">
        <v>2496</v>
      </c>
      <c r="AA92" s="3216"/>
      <c r="AB92" s="3216"/>
      <c r="AC92" s="3216"/>
      <c r="AD92" s="3216"/>
      <c r="AE92" s="3216"/>
      <c r="AF92" s="3216"/>
      <c r="AG92" s="3216"/>
      <c r="AH92" s="3216"/>
      <c r="AI92" s="3216"/>
      <c r="AJ92" s="3216"/>
      <c r="AK92" s="3216"/>
      <c r="AL92" s="3216"/>
      <c r="AM92" s="3216"/>
      <c r="AN92" s="3216"/>
      <c r="AO92" s="3216"/>
      <c r="AP92" s="3216"/>
      <c r="AQ92" s="2973"/>
      <c r="AR92" s="2973"/>
      <c r="AS92" s="2372"/>
    </row>
    <row r="93" spans="1:45" ht="35.25" customHeight="1" x14ac:dyDescent="0.25">
      <c r="A93" s="1495"/>
      <c r="B93" s="1452"/>
      <c r="C93" s="1470"/>
      <c r="D93" s="1452"/>
      <c r="G93" s="3244"/>
      <c r="H93" s="2709"/>
      <c r="I93" s="3244"/>
      <c r="J93" s="2709"/>
      <c r="K93" s="3275"/>
      <c r="L93" s="2709"/>
      <c r="M93" s="3275"/>
      <c r="N93" s="2709"/>
      <c r="O93" s="3246"/>
      <c r="P93" s="2111"/>
      <c r="Q93" s="3292"/>
      <c r="R93" s="3294"/>
      <c r="S93" s="3298"/>
      <c r="T93" s="2142"/>
      <c r="U93" s="2305"/>
      <c r="V93" s="3266"/>
      <c r="W93" s="1668">
        <v>3713471.13</v>
      </c>
      <c r="X93" s="1347" t="s">
        <v>2676</v>
      </c>
      <c r="Y93" s="3124"/>
      <c r="Z93" s="2965"/>
      <c r="AA93" s="3216"/>
      <c r="AB93" s="3216"/>
      <c r="AC93" s="3216"/>
      <c r="AD93" s="3216"/>
      <c r="AE93" s="3216"/>
      <c r="AF93" s="3216"/>
      <c r="AG93" s="3216"/>
      <c r="AH93" s="3216"/>
      <c r="AI93" s="3216"/>
      <c r="AJ93" s="3216"/>
      <c r="AK93" s="3216"/>
      <c r="AL93" s="3216"/>
      <c r="AM93" s="3216"/>
      <c r="AN93" s="3216"/>
      <c r="AO93" s="3216"/>
      <c r="AP93" s="3216"/>
      <c r="AQ93" s="2973"/>
      <c r="AR93" s="2973"/>
      <c r="AS93" s="2372"/>
    </row>
    <row r="94" spans="1:45" ht="35.25" customHeight="1" x14ac:dyDescent="0.25">
      <c r="A94" s="1495"/>
      <c r="B94" s="1452"/>
      <c r="C94" s="1470"/>
      <c r="D94" s="1452"/>
      <c r="G94" s="3244"/>
      <c r="H94" s="2709"/>
      <c r="I94" s="3244"/>
      <c r="J94" s="2709"/>
      <c r="K94" s="3275"/>
      <c r="L94" s="2709"/>
      <c r="M94" s="3275"/>
      <c r="N94" s="2709"/>
      <c r="O94" s="3246"/>
      <c r="P94" s="2111"/>
      <c r="Q94" s="3292"/>
      <c r="R94" s="3294"/>
      <c r="S94" s="3298"/>
      <c r="T94" s="2142"/>
      <c r="U94" s="2305"/>
      <c r="V94" s="3266"/>
      <c r="W94" s="1668">
        <v>3375623.66</v>
      </c>
      <c r="X94" s="1347" t="s">
        <v>2677</v>
      </c>
      <c r="Y94" s="3124"/>
      <c r="Z94" s="2965"/>
      <c r="AA94" s="3216"/>
      <c r="AB94" s="3216"/>
      <c r="AC94" s="3216"/>
      <c r="AD94" s="3216"/>
      <c r="AE94" s="3216"/>
      <c r="AF94" s="3216"/>
      <c r="AG94" s="3216"/>
      <c r="AH94" s="3216"/>
      <c r="AI94" s="3216"/>
      <c r="AJ94" s="3216"/>
      <c r="AK94" s="3216"/>
      <c r="AL94" s="3216"/>
      <c r="AM94" s="3216"/>
      <c r="AN94" s="3216"/>
      <c r="AO94" s="3216"/>
      <c r="AP94" s="3216"/>
      <c r="AQ94" s="2973"/>
      <c r="AR94" s="2973"/>
      <c r="AS94" s="2372"/>
    </row>
    <row r="95" spans="1:45" ht="35.25" customHeight="1" x14ac:dyDescent="0.25">
      <c r="A95" s="1495"/>
      <c r="B95" s="1452"/>
      <c r="C95" s="1470"/>
      <c r="D95" s="1452"/>
      <c r="G95" s="3272"/>
      <c r="H95" s="2710"/>
      <c r="I95" s="3272"/>
      <c r="J95" s="2710"/>
      <c r="K95" s="3276"/>
      <c r="L95" s="2710"/>
      <c r="M95" s="3276"/>
      <c r="N95" s="2710"/>
      <c r="O95" s="3281"/>
      <c r="P95" s="2165"/>
      <c r="Q95" s="3293"/>
      <c r="R95" s="3295"/>
      <c r="S95" s="3299"/>
      <c r="T95" s="2143"/>
      <c r="U95" s="2305"/>
      <c r="V95" s="3267"/>
      <c r="W95" s="1668">
        <v>1312900.93</v>
      </c>
      <c r="X95" s="1347" t="s">
        <v>2678</v>
      </c>
      <c r="Y95" s="3126"/>
      <c r="Z95" s="2966"/>
      <c r="AA95" s="3288"/>
      <c r="AB95" s="3288"/>
      <c r="AC95" s="3288"/>
      <c r="AD95" s="3288"/>
      <c r="AE95" s="3288"/>
      <c r="AF95" s="3288"/>
      <c r="AG95" s="3288"/>
      <c r="AH95" s="3288"/>
      <c r="AI95" s="3288"/>
      <c r="AJ95" s="3288"/>
      <c r="AK95" s="3288"/>
      <c r="AL95" s="3288"/>
      <c r="AM95" s="3288"/>
      <c r="AN95" s="3288"/>
      <c r="AO95" s="3288"/>
      <c r="AP95" s="3288"/>
      <c r="AQ95" s="2974"/>
      <c r="AR95" s="2974"/>
      <c r="AS95" s="2373"/>
    </row>
    <row r="96" spans="1:45" ht="37.5" customHeight="1" x14ac:dyDescent="0.25">
      <c r="A96" s="1495"/>
      <c r="B96" s="1452"/>
      <c r="C96" s="1470"/>
      <c r="D96" s="1452"/>
      <c r="G96" s="3243">
        <v>2201034</v>
      </c>
      <c r="H96" s="3159" t="s">
        <v>2679</v>
      </c>
      <c r="I96" s="3243">
        <v>2201034</v>
      </c>
      <c r="J96" s="3159" t="s">
        <v>2679</v>
      </c>
      <c r="K96" s="3300">
        <v>220103400</v>
      </c>
      <c r="L96" s="2103" t="s">
        <v>2680</v>
      </c>
      <c r="M96" s="3300">
        <v>220103400</v>
      </c>
      <c r="N96" s="2103" t="s">
        <v>2680</v>
      </c>
      <c r="O96" s="3302">
        <v>5500</v>
      </c>
      <c r="P96" s="2148" t="s">
        <v>2681</v>
      </c>
      <c r="Q96" s="3291" t="s">
        <v>2682</v>
      </c>
      <c r="R96" s="3305">
        <f>SUM(W96:W99)/S96</f>
        <v>0.3333333326666667</v>
      </c>
      <c r="S96" s="3310">
        <f>SUM(W96:W107)</f>
        <v>29999999.999999996</v>
      </c>
      <c r="T96" s="2141" t="s">
        <v>2683</v>
      </c>
      <c r="U96" s="2144" t="s">
        <v>2684</v>
      </c>
      <c r="V96" s="2103" t="s">
        <v>2685</v>
      </c>
      <c r="W96" s="1668">
        <v>664449.17000000004</v>
      </c>
      <c r="X96" s="1347" t="s">
        <v>2686</v>
      </c>
      <c r="Y96" s="3122">
        <v>20</v>
      </c>
      <c r="Z96" s="2056" t="s">
        <v>2496</v>
      </c>
      <c r="AA96" s="3238">
        <v>19649</v>
      </c>
      <c r="AB96" s="3238">
        <v>20118</v>
      </c>
      <c r="AC96" s="3238">
        <v>28907</v>
      </c>
      <c r="AD96" s="3238">
        <v>9525</v>
      </c>
      <c r="AE96" s="3238">
        <v>1222</v>
      </c>
      <c r="AF96" s="3238">
        <v>113</v>
      </c>
      <c r="AG96" s="3238">
        <v>297</v>
      </c>
      <c r="AH96" s="3238">
        <v>345</v>
      </c>
      <c r="AI96" s="3238">
        <v>0</v>
      </c>
      <c r="AJ96" s="3238">
        <v>0</v>
      </c>
      <c r="AK96" s="3238">
        <v>0</v>
      </c>
      <c r="AL96" s="3238">
        <v>0</v>
      </c>
      <c r="AM96" s="3238">
        <v>3301</v>
      </c>
      <c r="AN96" s="3238">
        <v>2507</v>
      </c>
      <c r="AO96" s="3238">
        <v>113</v>
      </c>
      <c r="AP96" s="3238">
        <f>SUM(AA96:AB104)</f>
        <v>39767</v>
      </c>
      <c r="AQ96" s="2982">
        <v>44198</v>
      </c>
      <c r="AR96" s="2982">
        <v>44560</v>
      </c>
      <c r="AS96" s="2371" t="s">
        <v>2487</v>
      </c>
    </row>
    <row r="97" spans="1:45" ht="47.25" customHeight="1" x14ac:dyDescent="0.25">
      <c r="A97" s="1495"/>
      <c r="B97" s="1452"/>
      <c r="C97" s="1470"/>
      <c r="D97" s="1452"/>
      <c r="G97" s="3244"/>
      <c r="H97" s="2709"/>
      <c r="I97" s="3244"/>
      <c r="J97" s="2709"/>
      <c r="K97" s="3301"/>
      <c r="L97" s="2104"/>
      <c r="M97" s="3301"/>
      <c r="N97" s="2104"/>
      <c r="O97" s="3303"/>
      <c r="P97" s="2111"/>
      <c r="Q97" s="3292"/>
      <c r="R97" s="3306"/>
      <c r="S97" s="3310"/>
      <c r="T97" s="2142"/>
      <c r="U97" s="2145"/>
      <c r="V97" s="2104"/>
      <c r="W97" s="1668">
        <v>4126079.04</v>
      </c>
      <c r="X97" s="1347" t="s">
        <v>2687</v>
      </c>
      <c r="Y97" s="3124"/>
      <c r="Z97" s="2965"/>
      <c r="AA97" s="3216"/>
      <c r="AB97" s="3216"/>
      <c r="AC97" s="3216"/>
      <c r="AD97" s="3216"/>
      <c r="AE97" s="3216"/>
      <c r="AF97" s="3216"/>
      <c r="AG97" s="3216"/>
      <c r="AH97" s="3216"/>
      <c r="AI97" s="3216"/>
      <c r="AJ97" s="3216"/>
      <c r="AK97" s="3216"/>
      <c r="AL97" s="3216"/>
      <c r="AM97" s="3216"/>
      <c r="AN97" s="3216"/>
      <c r="AO97" s="3216"/>
      <c r="AP97" s="3216"/>
      <c r="AQ97" s="2973"/>
      <c r="AR97" s="2973"/>
      <c r="AS97" s="2372"/>
    </row>
    <row r="98" spans="1:45" ht="24.75" customHeight="1" x14ac:dyDescent="0.25">
      <c r="A98" s="1495"/>
      <c r="B98" s="1452"/>
      <c r="C98" s="1470"/>
      <c r="D98" s="1452"/>
      <c r="G98" s="3244"/>
      <c r="H98" s="2709"/>
      <c r="I98" s="3244"/>
      <c r="J98" s="2709"/>
      <c r="K98" s="3301"/>
      <c r="L98" s="2104"/>
      <c r="M98" s="3301"/>
      <c r="N98" s="2104"/>
      <c r="O98" s="3303"/>
      <c r="P98" s="2111"/>
      <c r="Q98" s="3292"/>
      <c r="R98" s="3306"/>
      <c r="S98" s="3310"/>
      <c r="T98" s="2142"/>
      <c r="U98" s="2145"/>
      <c r="V98" s="2104"/>
      <c r="W98" s="1668">
        <v>3750692.96</v>
      </c>
      <c r="X98" s="1347" t="s">
        <v>2688</v>
      </c>
      <c r="Y98" s="3124"/>
      <c r="Z98" s="2965"/>
      <c r="AA98" s="3216"/>
      <c r="AB98" s="3216"/>
      <c r="AC98" s="3216"/>
      <c r="AD98" s="3216"/>
      <c r="AE98" s="3216"/>
      <c r="AF98" s="3216"/>
      <c r="AG98" s="3216"/>
      <c r="AH98" s="3216"/>
      <c r="AI98" s="3216"/>
      <c r="AJ98" s="3216"/>
      <c r="AK98" s="3216"/>
      <c r="AL98" s="3216"/>
      <c r="AM98" s="3216"/>
      <c r="AN98" s="3216"/>
      <c r="AO98" s="3216"/>
      <c r="AP98" s="3216"/>
      <c r="AQ98" s="2973"/>
      <c r="AR98" s="2973"/>
      <c r="AS98" s="2372"/>
    </row>
    <row r="99" spans="1:45" ht="26.25" customHeight="1" x14ac:dyDescent="0.25">
      <c r="A99" s="1495"/>
      <c r="B99" s="1452"/>
      <c r="C99" s="1470"/>
      <c r="D99" s="1452"/>
      <c r="G99" s="3272"/>
      <c r="H99" s="2710"/>
      <c r="I99" s="3272"/>
      <c r="J99" s="2710"/>
      <c r="K99" s="3213"/>
      <c r="L99" s="2584"/>
      <c r="M99" s="3213"/>
      <c r="N99" s="2584"/>
      <c r="O99" s="3304"/>
      <c r="P99" s="2111"/>
      <c r="Q99" s="3292"/>
      <c r="R99" s="3307"/>
      <c r="S99" s="3310"/>
      <c r="T99" s="2142"/>
      <c r="U99" s="2145"/>
      <c r="V99" s="2584"/>
      <c r="W99" s="1668">
        <v>1458778.81</v>
      </c>
      <c r="X99" s="1347" t="s">
        <v>2689</v>
      </c>
      <c r="Y99" s="3126"/>
      <c r="Z99" s="2966"/>
      <c r="AA99" s="3216"/>
      <c r="AB99" s="3216"/>
      <c r="AC99" s="3216"/>
      <c r="AD99" s="3216"/>
      <c r="AE99" s="3216"/>
      <c r="AF99" s="3216"/>
      <c r="AG99" s="3216"/>
      <c r="AH99" s="3216"/>
      <c r="AI99" s="3216"/>
      <c r="AJ99" s="3216"/>
      <c r="AK99" s="3216"/>
      <c r="AL99" s="3216"/>
      <c r="AM99" s="3216"/>
      <c r="AN99" s="3216"/>
      <c r="AO99" s="3216"/>
      <c r="AP99" s="3216"/>
      <c r="AQ99" s="2973"/>
      <c r="AR99" s="2973"/>
      <c r="AS99" s="2372"/>
    </row>
    <row r="100" spans="1:45" ht="30" customHeight="1" x14ac:dyDescent="0.25">
      <c r="A100" s="1495"/>
      <c r="B100" s="1452"/>
      <c r="C100" s="1470"/>
      <c r="D100" s="1452"/>
      <c r="G100" s="3243">
        <v>2201034</v>
      </c>
      <c r="H100" s="3159" t="s">
        <v>2690</v>
      </c>
      <c r="I100" s="3243">
        <v>2201034</v>
      </c>
      <c r="J100" s="3159" t="s">
        <v>2690</v>
      </c>
      <c r="K100" s="2991">
        <v>220103401</v>
      </c>
      <c r="L100" s="3159" t="s">
        <v>2691</v>
      </c>
      <c r="M100" s="2991">
        <v>220103401</v>
      </c>
      <c r="N100" s="3159" t="s">
        <v>2691</v>
      </c>
      <c r="O100" s="3245">
        <v>54</v>
      </c>
      <c r="P100" s="2111"/>
      <c r="Q100" s="3292"/>
      <c r="R100" s="3305">
        <f>SUM(W100:W103)/S96</f>
        <v>0.33333333366666668</v>
      </c>
      <c r="S100" s="3310"/>
      <c r="T100" s="2142"/>
      <c r="U100" s="2145"/>
      <c r="V100" s="3159" t="s">
        <v>2692</v>
      </c>
      <c r="W100" s="1668">
        <v>664449.19999999995</v>
      </c>
      <c r="X100" s="1347" t="s">
        <v>2693</v>
      </c>
      <c r="Y100" s="3122">
        <v>20</v>
      </c>
      <c r="Z100" s="2056" t="s">
        <v>2496</v>
      </c>
      <c r="AA100" s="3216"/>
      <c r="AB100" s="3216"/>
      <c r="AC100" s="3216"/>
      <c r="AD100" s="3216"/>
      <c r="AE100" s="3216"/>
      <c r="AF100" s="3216"/>
      <c r="AG100" s="3216"/>
      <c r="AH100" s="3216"/>
      <c r="AI100" s="3216"/>
      <c r="AJ100" s="3216"/>
      <c r="AK100" s="3216"/>
      <c r="AL100" s="3216"/>
      <c r="AM100" s="3216"/>
      <c r="AN100" s="3216"/>
      <c r="AO100" s="3216"/>
      <c r="AP100" s="3216"/>
      <c r="AQ100" s="2973"/>
      <c r="AR100" s="2973"/>
      <c r="AS100" s="2372"/>
    </row>
    <row r="101" spans="1:45" ht="26.25" customHeight="1" x14ac:dyDescent="0.25">
      <c r="A101" s="1495"/>
      <c r="B101" s="1452"/>
      <c r="C101" s="1470"/>
      <c r="D101" s="1452"/>
      <c r="G101" s="3244"/>
      <c r="H101" s="2709"/>
      <c r="I101" s="3244"/>
      <c r="J101" s="2709"/>
      <c r="K101" s="3275"/>
      <c r="L101" s="2709"/>
      <c r="M101" s="3275"/>
      <c r="N101" s="2709"/>
      <c r="O101" s="3246"/>
      <c r="P101" s="2111"/>
      <c r="Q101" s="3292"/>
      <c r="R101" s="3306"/>
      <c r="S101" s="3310"/>
      <c r="T101" s="2142"/>
      <c r="U101" s="2145"/>
      <c r="V101" s="2709"/>
      <c r="W101" s="1668">
        <v>4126079.04</v>
      </c>
      <c r="X101" s="1347" t="s">
        <v>2694</v>
      </c>
      <c r="Y101" s="3124"/>
      <c r="Z101" s="2965"/>
      <c r="AA101" s="3216"/>
      <c r="AB101" s="3216"/>
      <c r="AC101" s="3216"/>
      <c r="AD101" s="3216"/>
      <c r="AE101" s="3216"/>
      <c r="AF101" s="3216"/>
      <c r="AG101" s="3216"/>
      <c r="AH101" s="3216"/>
      <c r="AI101" s="3216"/>
      <c r="AJ101" s="3216"/>
      <c r="AK101" s="3216"/>
      <c r="AL101" s="3216"/>
      <c r="AM101" s="3216"/>
      <c r="AN101" s="3216"/>
      <c r="AO101" s="3216"/>
      <c r="AP101" s="3216"/>
      <c r="AQ101" s="2973"/>
      <c r="AR101" s="2973"/>
      <c r="AS101" s="2372"/>
    </row>
    <row r="102" spans="1:45" ht="26.25" customHeight="1" x14ac:dyDescent="0.25">
      <c r="A102" s="1495"/>
      <c r="B102" s="1452"/>
      <c r="C102" s="1470"/>
      <c r="D102" s="1452"/>
      <c r="G102" s="3244"/>
      <c r="H102" s="2709"/>
      <c r="I102" s="3244"/>
      <c r="J102" s="2709"/>
      <c r="K102" s="3275"/>
      <c r="L102" s="2709"/>
      <c r="M102" s="3275"/>
      <c r="N102" s="2709"/>
      <c r="O102" s="3246"/>
      <c r="P102" s="2111"/>
      <c r="Q102" s="3292"/>
      <c r="R102" s="3306"/>
      <c r="S102" s="3310"/>
      <c r="T102" s="2142"/>
      <c r="U102" s="2145"/>
      <c r="V102" s="2709"/>
      <c r="W102" s="1668">
        <v>3750692.96</v>
      </c>
      <c r="X102" s="1347" t="s">
        <v>2695</v>
      </c>
      <c r="Y102" s="3124"/>
      <c r="Z102" s="2965"/>
      <c r="AA102" s="3216"/>
      <c r="AB102" s="3216"/>
      <c r="AC102" s="3216"/>
      <c r="AD102" s="3216"/>
      <c r="AE102" s="3216"/>
      <c r="AF102" s="3216"/>
      <c r="AG102" s="3216"/>
      <c r="AH102" s="3216"/>
      <c r="AI102" s="3216"/>
      <c r="AJ102" s="3216"/>
      <c r="AK102" s="3216"/>
      <c r="AL102" s="3216"/>
      <c r="AM102" s="3216"/>
      <c r="AN102" s="3216"/>
      <c r="AO102" s="3216"/>
      <c r="AP102" s="3216"/>
      <c r="AQ102" s="2973"/>
      <c r="AR102" s="2973"/>
      <c r="AS102" s="2372"/>
    </row>
    <row r="103" spans="1:45" ht="30.75" customHeight="1" x14ac:dyDescent="0.25">
      <c r="A103" s="1495"/>
      <c r="B103" s="1452"/>
      <c r="C103" s="1470"/>
      <c r="D103" s="1452"/>
      <c r="G103" s="3272"/>
      <c r="H103" s="2710"/>
      <c r="I103" s="3272"/>
      <c r="J103" s="2710"/>
      <c r="K103" s="3276"/>
      <c r="L103" s="2710"/>
      <c r="M103" s="3276"/>
      <c r="N103" s="2710"/>
      <c r="O103" s="3281"/>
      <c r="P103" s="2111"/>
      <c r="Q103" s="3292"/>
      <c r="R103" s="3307"/>
      <c r="S103" s="3310"/>
      <c r="T103" s="2142"/>
      <c r="U103" s="2145"/>
      <c r="V103" s="2710"/>
      <c r="W103" s="1668">
        <v>1458778.81</v>
      </c>
      <c r="X103" s="1347" t="s">
        <v>2696</v>
      </c>
      <c r="Y103" s="3126"/>
      <c r="Z103" s="2966"/>
      <c r="AA103" s="3216"/>
      <c r="AB103" s="3216"/>
      <c r="AC103" s="3216"/>
      <c r="AD103" s="3216"/>
      <c r="AE103" s="3216"/>
      <c r="AF103" s="3216"/>
      <c r="AG103" s="3216"/>
      <c r="AH103" s="3216"/>
      <c r="AI103" s="3216"/>
      <c r="AJ103" s="3216"/>
      <c r="AK103" s="3216"/>
      <c r="AL103" s="3216"/>
      <c r="AM103" s="3216"/>
      <c r="AN103" s="3216"/>
      <c r="AO103" s="3216"/>
      <c r="AP103" s="3216"/>
      <c r="AQ103" s="2973"/>
      <c r="AR103" s="2973"/>
      <c r="AS103" s="2372"/>
    </row>
    <row r="104" spans="1:45" ht="26.25" customHeight="1" x14ac:dyDescent="0.25">
      <c r="A104" s="1495"/>
      <c r="B104" s="1452"/>
      <c r="C104" s="1470"/>
      <c r="D104" s="1452"/>
      <c r="G104" s="3243">
        <v>2201060</v>
      </c>
      <c r="H104" s="3159" t="s">
        <v>2697</v>
      </c>
      <c r="I104" s="3243">
        <v>2201060</v>
      </c>
      <c r="J104" s="3159" t="s">
        <v>2697</v>
      </c>
      <c r="K104" s="3300">
        <v>220106000</v>
      </c>
      <c r="L104" s="3159" t="s">
        <v>2698</v>
      </c>
      <c r="M104" s="3300">
        <v>220106000</v>
      </c>
      <c r="N104" s="3159" t="s">
        <v>2698</v>
      </c>
      <c r="O104" s="3308">
        <v>200</v>
      </c>
      <c r="P104" s="2111"/>
      <c r="Q104" s="3292"/>
      <c r="R104" s="3305">
        <f>SUM(W104:W107)/S96</f>
        <v>0.33333333366666668</v>
      </c>
      <c r="S104" s="3310"/>
      <c r="T104" s="2142"/>
      <c r="U104" s="2145"/>
      <c r="V104" s="3159" t="s">
        <v>2699</v>
      </c>
      <c r="W104" s="1668">
        <v>664449.19999999995</v>
      </c>
      <c r="X104" s="1347" t="s">
        <v>2700</v>
      </c>
      <c r="Y104" s="3122">
        <v>20</v>
      </c>
      <c r="Z104" s="2056" t="s">
        <v>2496</v>
      </c>
      <c r="AA104" s="3216"/>
      <c r="AB104" s="3216"/>
      <c r="AC104" s="3216"/>
      <c r="AD104" s="3216"/>
      <c r="AE104" s="3216"/>
      <c r="AF104" s="3216"/>
      <c r="AG104" s="3216"/>
      <c r="AH104" s="3216"/>
      <c r="AI104" s="3216"/>
      <c r="AJ104" s="3216"/>
      <c r="AK104" s="3216"/>
      <c r="AL104" s="3216"/>
      <c r="AM104" s="3216"/>
      <c r="AN104" s="3216"/>
      <c r="AO104" s="3216"/>
      <c r="AP104" s="3216"/>
      <c r="AQ104" s="2973"/>
      <c r="AR104" s="2973"/>
      <c r="AS104" s="2372"/>
    </row>
    <row r="105" spans="1:45" ht="30.75" customHeight="1" x14ac:dyDescent="0.25">
      <c r="A105" s="1495"/>
      <c r="B105" s="1452"/>
      <c r="C105" s="1470"/>
      <c r="D105" s="1452"/>
      <c r="G105" s="3244"/>
      <c r="H105" s="2709"/>
      <c r="I105" s="3244"/>
      <c r="J105" s="2709"/>
      <c r="K105" s="3301"/>
      <c r="L105" s="2709"/>
      <c r="M105" s="3301"/>
      <c r="N105" s="2709"/>
      <c r="O105" s="3309"/>
      <c r="P105" s="2111"/>
      <c r="Q105" s="3292"/>
      <c r="R105" s="3306"/>
      <c r="S105" s="3310"/>
      <c r="T105" s="2142"/>
      <c r="U105" s="2145"/>
      <c r="V105" s="2709"/>
      <c r="W105" s="1668">
        <v>4126079.04</v>
      </c>
      <c r="X105" s="1347" t="s">
        <v>2701</v>
      </c>
      <c r="Y105" s="3124"/>
      <c r="Z105" s="2965"/>
      <c r="AA105" s="3216"/>
      <c r="AB105" s="3216"/>
      <c r="AC105" s="3216"/>
      <c r="AD105" s="3216"/>
      <c r="AE105" s="3216"/>
      <c r="AF105" s="3216"/>
      <c r="AG105" s="3216"/>
      <c r="AH105" s="3216"/>
      <c r="AI105" s="3216"/>
      <c r="AJ105" s="3216"/>
      <c r="AK105" s="3216"/>
      <c r="AL105" s="3216"/>
      <c r="AM105" s="3216"/>
      <c r="AN105" s="3216"/>
      <c r="AO105" s="3216"/>
      <c r="AP105" s="3216"/>
      <c r="AQ105" s="2973"/>
      <c r="AR105" s="2973"/>
      <c r="AS105" s="2372"/>
    </row>
    <row r="106" spans="1:45" ht="26.25" customHeight="1" x14ac:dyDescent="0.25">
      <c r="A106" s="1495"/>
      <c r="B106" s="1452"/>
      <c r="C106" s="1470"/>
      <c r="D106" s="1452"/>
      <c r="G106" s="3244"/>
      <c r="H106" s="2709"/>
      <c r="I106" s="3244"/>
      <c r="J106" s="2709"/>
      <c r="K106" s="3301"/>
      <c r="L106" s="2709"/>
      <c r="M106" s="3301"/>
      <c r="N106" s="2709"/>
      <c r="O106" s="3309"/>
      <c r="P106" s="2111"/>
      <c r="Q106" s="3292"/>
      <c r="R106" s="3306"/>
      <c r="S106" s="3310"/>
      <c r="T106" s="2142"/>
      <c r="U106" s="2145"/>
      <c r="V106" s="2709"/>
      <c r="W106" s="1668">
        <v>3750692.96</v>
      </c>
      <c r="X106" s="1347" t="s">
        <v>2702</v>
      </c>
      <c r="Y106" s="3124"/>
      <c r="Z106" s="2965"/>
      <c r="AA106" s="3216"/>
      <c r="AB106" s="3216"/>
      <c r="AC106" s="3216"/>
      <c r="AD106" s="3216"/>
      <c r="AE106" s="3216"/>
      <c r="AF106" s="3216"/>
      <c r="AG106" s="3216"/>
      <c r="AH106" s="3216"/>
      <c r="AI106" s="3216"/>
      <c r="AJ106" s="3216"/>
      <c r="AK106" s="3216"/>
      <c r="AL106" s="3216"/>
      <c r="AM106" s="3216"/>
      <c r="AN106" s="3216"/>
      <c r="AO106" s="3216"/>
      <c r="AP106" s="3216"/>
      <c r="AQ106" s="2973"/>
      <c r="AR106" s="2973"/>
      <c r="AS106" s="2372"/>
    </row>
    <row r="107" spans="1:45" ht="27" customHeight="1" x14ac:dyDescent="0.25">
      <c r="A107" s="1495"/>
      <c r="B107" s="1452"/>
      <c r="C107" s="1470"/>
      <c r="D107" s="1452"/>
      <c r="G107" s="3272"/>
      <c r="H107" s="2710"/>
      <c r="I107" s="3272"/>
      <c r="J107" s="2710"/>
      <c r="K107" s="3213"/>
      <c r="L107" s="2710"/>
      <c r="M107" s="3213"/>
      <c r="N107" s="2710"/>
      <c r="O107" s="3309"/>
      <c r="P107" s="2111"/>
      <c r="Q107" s="3293"/>
      <c r="R107" s="3307"/>
      <c r="S107" s="3310"/>
      <c r="T107" s="2143"/>
      <c r="U107" s="2146"/>
      <c r="V107" s="2710"/>
      <c r="W107" s="1668">
        <v>1458778.81</v>
      </c>
      <c r="X107" s="1500" t="s">
        <v>2703</v>
      </c>
      <c r="Y107" s="3126"/>
      <c r="Z107" s="2966"/>
      <c r="AA107" s="3288"/>
      <c r="AB107" s="3288"/>
      <c r="AC107" s="3288"/>
      <c r="AD107" s="3288"/>
      <c r="AE107" s="3288"/>
      <c r="AF107" s="3288"/>
      <c r="AG107" s="3288"/>
      <c r="AH107" s="3288"/>
      <c r="AI107" s="3288"/>
      <c r="AJ107" s="3288"/>
      <c r="AK107" s="3288"/>
      <c r="AL107" s="3288"/>
      <c r="AM107" s="3288"/>
      <c r="AN107" s="3288"/>
      <c r="AO107" s="3288"/>
      <c r="AP107" s="3288"/>
      <c r="AQ107" s="2974"/>
      <c r="AR107" s="2974"/>
      <c r="AS107" s="2373"/>
    </row>
    <row r="108" spans="1:45" ht="29.25" customHeight="1" x14ac:dyDescent="0.25">
      <c r="A108" s="1495"/>
      <c r="B108" s="1452"/>
      <c r="C108" s="1470"/>
      <c r="D108" s="1452"/>
      <c r="G108" s="3243">
        <v>2201006</v>
      </c>
      <c r="H108" s="3159" t="s">
        <v>2704</v>
      </c>
      <c r="I108" s="3243">
        <v>2201006</v>
      </c>
      <c r="J108" s="3159" t="s">
        <v>2704</v>
      </c>
      <c r="K108" s="3243">
        <v>220100600</v>
      </c>
      <c r="L108" s="2273" t="s">
        <v>2705</v>
      </c>
      <c r="M108" s="3243">
        <v>220100600</v>
      </c>
      <c r="N108" s="2273" t="s">
        <v>2705</v>
      </c>
      <c r="O108" s="3215">
        <v>54</v>
      </c>
      <c r="P108" s="2093" t="s">
        <v>2706</v>
      </c>
      <c r="Q108" s="2711" t="s">
        <v>2707</v>
      </c>
      <c r="R108" s="3311">
        <f>SUM(W108:W111)/S108</f>
        <v>1.0908652737378294E-3</v>
      </c>
      <c r="S108" s="3285">
        <f>SUM(W108:W213)</f>
        <v>174173663351.63333</v>
      </c>
      <c r="T108" s="2141" t="s">
        <v>2708</v>
      </c>
      <c r="U108" s="2305" t="s">
        <v>2709</v>
      </c>
      <c r="V108" s="3319" t="s">
        <v>2710</v>
      </c>
      <c r="W108" s="1668">
        <f>664449.2+49287773.25</f>
        <v>49952222.450000003</v>
      </c>
      <c r="X108" s="1347" t="s">
        <v>2711</v>
      </c>
      <c r="Y108" s="3122">
        <v>20</v>
      </c>
      <c r="Z108" s="2056" t="s">
        <v>2496</v>
      </c>
      <c r="AA108" s="3252">
        <v>19649</v>
      </c>
      <c r="AB108" s="3238">
        <v>20118</v>
      </c>
      <c r="AC108" s="3238">
        <v>28907</v>
      </c>
      <c r="AD108" s="3238">
        <v>9525</v>
      </c>
      <c r="AE108" s="3238">
        <v>1222</v>
      </c>
      <c r="AF108" s="3238">
        <v>113</v>
      </c>
      <c r="AG108" s="3238">
        <v>297</v>
      </c>
      <c r="AH108" s="3238">
        <v>345</v>
      </c>
      <c r="AI108" s="3238">
        <v>0</v>
      </c>
      <c r="AJ108" s="3238">
        <v>0</v>
      </c>
      <c r="AK108" s="3238">
        <v>0</v>
      </c>
      <c r="AL108" s="3238">
        <v>0</v>
      </c>
      <c r="AM108" s="3238">
        <v>3301</v>
      </c>
      <c r="AN108" s="3238">
        <v>2507</v>
      </c>
      <c r="AO108" s="3238">
        <v>113</v>
      </c>
      <c r="AP108" s="3238">
        <f>SUM(AA108:AB206)</f>
        <v>39767</v>
      </c>
      <c r="AQ108" s="2982">
        <v>44198</v>
      </c>
      <c r="AR108" s="2982">
        <v>44560</v>
      </c>
      <c r="AS108" s="2371" t="s">
        <v>2487</v>
      </c>
    </row>
    <row r="109" spans="1:45" ht="26.25" customHeight="1" x14ac:dyDescent="0.25">
      <c r="A109" s="1495"/>
      <c r="B109" s="1452"/>
      <c r="C109" s="1470"/>
      <c r="D109" s="1452"/>
      <c r="G109" s="3244"/>
      <c r="H109" s="2709"/>
      <c r="I109" s="3244"/>
      <c r="J109" s="2709"/>
      <c r="K109" s="3244"/>
      <c r="L109" s="2274"/>
      <c r="M109" s="3244"/>
      <c r="N109" s="2274"/>
      <c r="O109" s="3215"/>
      <c r="P109" s="2093"/>
      <c r="Q109" s="2712"/>
      <c r="R109" s="3312"/>
      <c r="S109" s="3286"/>
      <c r="T109" s="2142"/>
      <c r="U109" s="2305"/>
      <c r="V109" s="3266"/>
      <c r="W109" s="1643">
        <f>4126079.98+86525649.55</f>
        <v>90651729.530000001</v>
      </c>
      <c r="X109" s="1347" t="s">
        <v>2712</v>
      </c>
      <c r="Y109" s="3124"/>
      <c r="Z109" s="2965"/>
      <c r="AA109" s="3218"/>
      <c r="AB109" s="3216"/>
      <c r="AC109" s="3216"/>
      <c r="AD109" s="3216"/>
      <c r="AE109" s="3216"/>
      <c r="AF109" s="3216"/>
      <c r="AG109" s="3216"/>
      <c r="AH109" s="3216"/>
      <c r="AI109" s="3216"/>
      <c r="AJ109" s="3216"/>
      <c r="AK109" s="3216"/>
      <c r="AL109" s="3216"/>
      <c r="AM109" s="3216"/>
      <c r="AN109" s="3216"/>
      <c r="AO109" s="3216"/>
      <c r="AP109" s="3216"/>
      <c r="AQ109" s="2973"/>
      <c r="AR109" s="2973"/>
      <c r="AS109" s="2372"/>
    </row>
    <row r="110" spans="1:45" ht="26.25" customHeight="1" x14ac:dyDescent="0.25">
      <c r="A110" s="1495"/>
      <c r="B110" s="1452"/>
      <c r="C110" s="1470"/>
      <c r="D110" s="1452"/>
      <c r="G110" s="3244"/>
      <c r="H110" s="2709"/>
      <c r="I110" s="3244"/>
      <c r="J110" s="2709"/>
      <c r="K110" s="3244"/>
      <c r="L110" s="2274"/>
      <c r="M110" s="3244"/>
      <c r="N110" s="2274"/>
      <c r="O110" s="3215"/>
      <c r="P110" s="2093"/>
      <c r="Q110" s="2712"/>
      <c r="R110" s="3312"/>
      <c r="S110" s="3286"/>
      <c r="T110" s="2142"/>
      <c r="U110" s="2305"/>
      <c r="V110" s="3266"/>
      <c r="W110" s="1643">
        <f>3750692.96+44186577.2</f>
        <v>47937270.160000004</v>
      </c>
      <c r="X110" s="1347" t="s">
        <v>2713</v>
      </c>
      <c r="Y110" s="3124"/>
      <c r="Z110" s="2965"/>
      <c r="AA110" s="3218"/>
      <c r="AB110" s="3216"/>
      <c r="AC110" s="3216"/>
      <c r="AD110" s="3216"/>
      <c r="AE110" s="3216"/>
      <c r="AF110" s="3216"/>
      <c r="AG110" s="3216"/>
      <c r="AH110" s="3216"/>
      <c r="AI110" s="3216"/>
      <c r="AJ110" s="3216"/>
      <c r="AK110" s="3216"/>
      <c r="AL110" s="3216"/>
      <c r="AM110" s="3216"/>
      <c r="AN110" s="3216"/>
      <c r="AO110" s="3216"/>
      <c r="AP110" s="3216"/>
      <c r="AQ110" s="2973"/>
      <c r="AR110" s="2973"/>
      <c r="AS110" s="2372"/>
    </row>
    <row r="111" spans="1:45" ht="66" customHeight="1" x14ac:dyDescent="0.25">
      <c r="A111" s="1495"/>
      <c r="B111" s="1452"/>
      <c r="C111" s="1470"/>
      <c r="D111" s="1452"/>
      <c r="G111" s="3272"/>
      <c r="H111" s="2710"/>
      <c r="I111" s="3272"/>
      <c r="J111" s="2710"/>
      <c r="K111" s="3272"/>
      <c r="L111" s="2250"/>
      <c r="M111" s="3272"/>
      <c r="N111" s="2250"/>
      <c r="O111" s="3215"/>
      <c r="P111" s="2093"/>
      <c r="Q111" s="2712"/>
      <c r="R111" s="3313"/>
      <c r="S111" s="3286"/>
      <c r="T111" s="2142"/>
      <c r="U111" s="2305"/>
      <c r="V111" s="3267"/>
      <c r="W111" s="1643">
        <v>1458778.81</v>
      </c>
      <c r="X111" s="1347" t="s">
        <v>2714</v>
      </c>
      <c r="Y111" s="3126"/>
      <c r="Z111" s="2966"/>
      <c r="AA111" s="3218"/>
      <c r="AB111" s="3216"/>
      <c r="AC111" s="3216"/>
      <c r="AD111" s="3216"/>
      <c r="AE111" s="3216"/>
      <c r="AF111" s="3216"/>
      <c r="AG111" s="3216"/>
      <c r="AH111" s="3216"/>
      <c r="AI111" s="3216"/>
      <c r="AJ111" s="3216"/>
      <c r="AK111" s="3216"/>
      <c r="AL111" s="3216"/>
      <c r="AM111" s="3216"/>
      <c r="AN111" s="3216"/>
      <c r="AO111" s="3216"/>
      <c r="AP111" s="3216"/>
      <c r="AQ111" s="2973"/>
      <c r="AR111" s="2973"/>
      <c r="AS111" s="2372"/>
    </row>
    <row r="112" spans="1:45" ht="36.75" customHeight="1" x14ac:dyDescent="0.25">
      <c r="A112" s="1495"/>
      <c r="B112" s="1452"/>
      <c r="C112" s="1470"/>
      <c r="D112" s="1452"/>
      <c r="G112" s="3243">
        <v>2201015</v>
      </c>
      <c r="H112" s="3159" t="s">
        <v>2715</v>
      </c>
      <c r="I112" s="3243">
        <v>2201015</v>
      </c>
      <c r="J112" s="3159" t="s">
        <v>2715</v>
      </c>
      <c r="K112" s="3243">
        <v>220101500</v>
      </c>
      <c r="L112" s="2273" t="s">
        <v>2716</v>
      </c>
      <c r="M112" s="3243">
        <v>220101500</v>
      </c>
      <c r="N112" s="2273" t="s">
        <v>2716</v>
      </c>
      <c r="O112" s="3215">
        <v>11</v>
      </c>
      <c r="P112" s="2093"/>
      <c r="Q112" s="2712"/>
      <c r="R112" s="3314">
        <f>SUM(W112:W115)/S108</f>
        <v>6.8896753786326501E-5</v>
      </c>
      <c r="S112" s="3286"/>
      <c r="T112" s="2142"/>
      <c r="U112" s="2305" t="s">
        <v>2717</v>
      </c>
      <c r="V112" s="3319" t="s">
        <v>2718</v>
      </c>
      <c r="W112" s="1643">
        <v>797339.04</v>
      </c>
      <c r="X112" s="1347" t="s">
        <v>2719</v>
      </c>
      <c r="Y112" s="3122">
        <v>20</v>
      </c>
      <c r="Z112" s="2056" t="s">
        <v>2496</v>
      </c>
      <c r="AA112" s="3218"/>
      <c r="AB112" s="3216"/>
      <c r="AC112" s="3216"/>
      <c r="AD112" s="3216"/>
      <c r="AE112" s="3216"/>
      <c r="AF112" s="3216"/>
      <c r="AG112" s="3216"/>
      <c r="AH112" s="3216"/>
      <c r="AI112" s="3216"/>
      <c r="AJ112" s="3216"/>
      <c r="AK112" s="3216"/>
      <c r="AL112" s="3216"/>
      <c r="AM112" s="3216"/>
      <c r="AN112" s="3216"/>
      <c r="AO112" s="3216"/>
      <c r="AP112" s="3216"/>
      <c r="AQ112" s="2973"/>
      <c r="AR112" s="2973"/>
      <c r="AS112" s="2372"/>
    </row>
    <row r="113" spans="1:45" ht="36.75" customHeight="1" x14ac:dyDescent="0.25">
      <c r="A113" s="1495"/>
      <c r="B113" s="1452"/>
      <c r="C113" s="1470"/>
      <c r="D113" s="1452"/>
      <c r="G113" s="3244"/>
      <c r="H113" s="2709"/>
      <c r="I113" s="3244"/>
      <c r="J113" s="2709"/>
      <c r="K113" s="3244"/>
      <c r="L113" s="2274"/>
      <c r="M113" s="3244"/>
      <c r="N113" s="2274"/>
      <c r="O113" s="3215"/>
      <c r="P113" s="2093"/>
      <c r="Q113" s="2712"/>
      <c r="R113" s="3315"/>
      <c r="S113" s="3286"/>
      <c r="T113" s="2142"/>
      <c r="U113" s="2305"/>
      <c r="V113" s="3266"/>
      <c r="W113" s="1643">
        <v>4951294.84</v>
      </c>
      <c r="X113" s="1347" t="s">
        <v>2720</v>
      </c>
      <c r="Y113" s="3124"/>
      <c r="Z113" s="2965"/>
      <c r="AA113" s="3218"/>
      <c r="AB113" s="3216"/>
      <c r="AC113" s="3216"/>
      <c r="AD113" s="3216"/>
      <c r="AE113" s="3216"/>
      <c r="AF113" s="3216"/>
      <c r="AG113" s="3216"/>
      <c r="AH113" s="3216"/>
      <c r="AI113" s="3216"/>
      <c r="AJ113" s="3216"/>
      <c r="AK113" s="3216"/>
      <c r="AL113" s="3216"/>
      <c r="AM113" s="3216"/>
      <c r="AN113" s="3216"/>
      <c r="AO113" s="3216"/>
      <c r="AP113" s="3216"/>
      <c r="AQ113" s="2973"/>
      <c r="AR113" s="2973"/>
      <c r="AS113" s="2372"/>
    </row>
    <row r="114" spans="1:45" ht="38.25" customHeight="1" x14ac:dyDescent="0.25">
      <c r="A114" s="1495"/>
      <c r="B114" s="1452"/>
      <c r="C114" s="1470"/>
      <c r="D114" s="1452"/>
      <c r="G114" s="3244"/>
      <c r="H114" s="2709"/>
      <c r="I114" s="3244"/>
      <c r="J114" s="2709"/>
      <c r="K114" s="3244"/>
      <c r="L114" s="2274"/>
      <c r="M114" s="3244"/>
      <c r="N114" s="2274"/>
      <c r="O114" s="3215"/>
      <c r="P114" s="2093"/>
      <c r="Q114" s="2712"/>
      <c r="R114" s="3315"/>
      <c r="S114" s="3286"/>
      <c r="T114" s="2142"/>
      <c r="U114" s="2305"/>
      <c r="V114" s="3266"/>
      <c r="W114" s="1643">
        <v>4500831.55</v>
      </c>
      <c r="X114" s="1347" t="s">
        <v>2721</v>
      </c>
      <c r="Y114" s="3124"/>
      <c r="Z114" s="2965"/>
      <c r="AA114" s="3218"/>
      <c r="AB114" s="3216"/>
      <c r="AC114" s="3216"/>
      <c r="AD114" s="3216"/>
      <c r="AE114" s="3216"/>
      <c r="AF114" s="3216"/>
      <c r="AG114" s="3216"/>
      <c r="AH114" s="3216"/>
      <c r="AI114" s="3216"/>
      <c r="AJ114" s="3216"/>
      <c r="AK114" s="3216"/>
      <c r="AL114" s="3216"/>
      <c r="AM114" s="3216"/>
      <c r="AN114" s="3216"/>
      <c r="AO114" s="3216"/>
      <c r="AP114" s="3216"/>
      <c r="AQ114" s="2973"/>
      <c r="AR114" s="2973"/>
      <c r="AS114" s="2372"/>
    </row>
    <row r="115" spans="1:45" ht="39" customHeight="1" x14ac:dyDescent="0.25">
      <c r="A115" s="1495"/>
      <c r="B115" s="1452"/>
      <c r="C115" s="1470"/>
      <c r="D115" s="1452"/>
      <c r="G115" s="3326"/>
      <c r="H115" s="3327"/>
      <c r="I115" s="3326"/>
      <c r="J115" s="3327"/>
      <c r="K115" s="3326"/>
      <c r="L115" s="3328"/>
      <c r="M115" s="3326"/>
      <c r="N115" s="3328"/>
      <c r="O115" s="3215"/>
      <c r="P115" s="2093"/>
      <c r="Q115" s="2712"/>
      <c r="R115" s="3316"/>
      <c r="S115" s="3286"/>
      <c r="T115" s="2142"/>
      <c r="U115" s="2305"/>
      <c r="V115" s="3320"/>
      <c r="W115" s="1643">
        <v>1750534.57</v>
      </c>
      <c r="X115" s="1347" t="s">
        <v>2722</v>
      </c>
      <c r="Y115" s="3126"/>
      <c r="Z115" s="2966"/>
      <c r="AA115" s="3218"/>
      <c r="AB115" s="3216"/>
      <c r="AC115" s="3216"/>
      <c r="AD115" s="3216"/>
      <c r="AE115" s="3216"/>
      <c r="AF115" s="3216"/>
      <c r="AG115" s="3216"/>
      <c r="AH115" s="3216"/>
      <c r="AI115" s="3216"/>
      <c r="AJ115" s="3216"/>
      <c r="AK115" s="3216"/>
      <c r="AL115" s="3216"/>
      <c r="AM115" s="3216"/>
      <c r="AN115" s="3216"/>
      <c r="AO115" s="3216"/>
      <c r="AP115" s="3216"/>
      <c r="AQ115" s="2973"/>
      <c r="AR115" s="2973"/>
      <c r="AS115" s="2372"/>
    </row>
    <row r="116" spans="1:45" ht="30" customHeight="1" x14ac:dyDescent="0.25">
      <c r="A116" s="1495"/>
      <c r="B116" s="1452"/>
      <c r="C116" s="1470"/>
      <c r="D116" s="1452"/>
      <c r="G116" s="3236">
        <v>2201042</v>
      </c>
      <c r="H116" s="2119" t="s">
        <v>2723</v>
      </c>
      <c r="I116" s="3236">
        <v>2201042</v>
      </c>
      <c r="J116" s="2119" t="s">
        <v>2723</v>
      </c>
      <c r="K116" s="3317">
        <v>220104200</v>
      </c>
      <c r="L116" s="2121" t="s">
        <v>2724</v>
      </c>
      <c r="M116" s="3317">
        <v>220104200</v>
      </c>
      <c r="N116" s="2121" t="s">
        <v>2724</v>
      </c>
      <c r="O116" s="3215">
        <v>6000</v>
      </c>
      <c r="P116" s="2093"/>
      <c r="Q116" s="2712"/>
      <c r="R116" s="3318">
        <f>SUM(W116:W119)/S108</f>
        <v>5.7413961546019375E-5</v>
      </c>
      <c r="S116" s="3286"/>
      <c r="T116" s="2142"/>
      <c r="U116" s="2144" t="s">
        <v>2725</v>
      </c>
      <c r="V116" s="2119" t="s">
        <v>2726</v>
      </c>
      <c r="W116" s="1643">
        <v>664449.19999999995</v>
      </c>
      <c r="X116" s="1347" t="s">
        <v>2727</v>
      </c>
      <c r="Y116" s="3122">
        <v>20</v>
      </c>
      <c r="Z116" s="2056" t="s">
        <v>2496</v>
      </c>
      <c r="AA116" s="3218"/>
      <c r="AB116" s="3216"/>
      <c r="AC116" s="3216"/>
      <c r="AD116" s="3216"/>
      <c r="AE116" s="3216"/>
      <c r="AF116" s="3216"/>
      <c r="AG116" s="3216"/>
      <c r="AH116" s="3216"/>
      <c r="AI116" s="3216"/>
      <c r="AJ116" s="3216"/>
      <c r="AK116" s="3216"/>
      <c r="AL116" s="3216"/>
      <c r="AM116" s="3216"/>
      <c r="AN116" s="3216"/>
      <c r="AO116" s="3216"/>
      <c r="AP116" s="3216"/>
      <c r="AQ116" s="2973"/>
      <c r="AR116" s="2973"/>
      <c r="AS116" s="2372"/>
    </row>
    <row r="117" spans="1:45" ht="24" customHeight="1" x14ac:dyDescent="0.25">
      <c r="A117" s="1495"/>
      <c r="B117" s="1452"/>
      <c r="C117" s="1470"/>
      <c r="D117" s="1452"/>
      <c r="G117" s="3236"/>
      <c r="H117" s="2119"/>
      <c r="I117" s="3236"/>
      <c r="J117" s="2119"/>
      <c r="K117" s="3317"/>
      <c r="L117" s="2121"/>
      <c r="M117" s="3317"/>
      <c r="N117" s="2121"/>
      <c r="O117" s="3215"/>
      <c r="P117" s="2093"/>
      <c r="Q117" s="2712"/>
      <c r="R117" s="3318"/>
      <c r="S117" s="3286"/>
      <c r="T117" s="2142"/>
      <c r="U117" s="2145"/>
      <c r="V117" s="2119"/>
      <c r="W117" s="1643">
        <v>4126079.04</v>
      </c>
      <c r="X117" s="1347" t="s">
        <v>2728</v>
      </c>
      <c r="Y117" s="3124"/>
      <c r="Z117" s="2965"/>
      <c r="AA117" s="3218"/>
      <c r="AB117" s="3216"/>
      <c r="AC117" s="3216"/>
      <c r="AD117" s="3216"/>
      <c r="AE117" s="3216"/>
      <c r="AF117" s="3216"/>
      <c r="AG117" s="3216"/>
      <c r="AH117" s="3216"/>
      <c r="AI117" s="3216"/>
      <c r="AJ117" s="3216"/>
      <c r="AK117" s="3216"/>
      <c r="AL117" s="3216"/>
      <c r="AM117" s="3216"/>
      <c r="AN117" s="3216"/>
      <c r="AO117" s="3216"/>
      <c r="AP117" s="3216"/>
      <c r="AQ117" s="2973"/>
      <c r="AR117" s="2973"/>
      <c r="AS117" s="2372"/>
    </row>
    <row r="118" spans="1:45" ht="30.75" customHeight="1" x14ac:dyDescent="0.25">
      <c r="A118" s="1495"/>
      <c r="B118" s="1452"/>
      <c r="C118" s="1470"/>
      <c r="D118" s="1452"/>
      <c r="G118" s="3236"/>
      <c r="H118" s="2119"/>
      <c r="I118" s="3236"/>
      <c r="J118" s="2119"/>
      <c r="K118" s="3317"/>
      <c r="L118" s="2121"/>
      <c r="M118" s="3317"/>
      <c r="N118" s="2121"/>
      <c r="O118" s="3215"/>
      <c r="P118" s="2093"/>
      <c r="Q118" s="2712"/>
      <c r="R118" s="3318"/>
      <c r="S118" s="3286"/>
      <c r="T118" s="2142"/>
      <c r="U118" s="2145"/>
      <c r="V118" s="2119"/>
      <c r="W118" s="1643">
        <v>3750692.96</v>
      </c>
      <c r="X118" s="1347" t="s">
        <v>2729</v>
      </c>
      <c r="Y118" s="3124"/>
      <c r="Z118" s="2965"/>
      <c r="AA118" s="3218"/>
      <c r="AB118" s="3216"/>
      <c r="AC118" s="3216"/>
      <c r="AD118" s="3216"/>
      <c r="AE118" s="3216"/>
      <c r="AF118" s="3216"/>
      <c r="AG118" s="3216"/>
      <c r="AH118" s="3216"/>
      <c r="AI118" s="3216"/>
      <c r="AJ118" s="3216"/>
      <c r="AK118" s="3216"/>
      <c r="AL118" s="3216"/>
      <c r="AM118" s="3216"/>
      <c r="AN118" s="3216"/>
      <c r="AO118" s="3216"/>
      <c r="AP118" s="3216"/>
      <c r="AQ118" s="2973"/>
      <c r="AR118" s="2973"/>
      <c r="AS118" s="2372"/>
    </row>
    <row r="119" spans="1:45" ht="30" customHeight="1" x14ac:dyDescent="0.25">
      <c r="A119" s="1495"/>
      <c r="B119" s="1452"/>
      <c r="C119" s="1470"/>
      <c r="D119" s="1452"/>
      <c r="G119" s="3236"/>
      <c r="H119" s="2119"/>
      <c r="I119" s="3236"/>
      <c r="J119" s="2119"/>
      <c r="K119" s="3317"/>
      <c r="L119" s="2121"/>
      <c r="M119" s="3317"/>
      <c r="N119" s="2121"/>
      <c r="O119" s="3215"/>
      <c r="P119" s="2093"/>
      <c r="Q119" s="2712"/>
      <c r="R119" s="3318"/>
      <c r="S119" s="3286"/>
      <c r="T119" s="2142"/>
      <c r="U119" s="2145"/>
      <c r="V119" s="2119"/>
      <c r="W119" s="1643">
        <v>1458778.81</v>
      </c>
      <c r="X119" s="1347" t="s">
        <v>2730</v>
      </c>
      <c r="Y119" s="3126"/>
      <c r="Z119" s="2965"/>
      <c r="AA119" s="3218"/>
      <c r="AB119" s="3216"/>
      <c r="AC119" s="3216"/>
      <c r="AD119" s="3216"/>
      <c r="AE119" s="3216"/>
      <c r="AF119" s="3216"/>
      <c r="AG119" s="3216"/>
      <c r="AH119" s="3216"/>
      <c r="AI119" s="3216"/>
      <c r="AJ119" s="3216"/>
      <c r="AK119" s="3216"/>
      <c r="AL119" s="3216"/>
      <c r="AM119" s="3216"/>
      <c r="AN119" s="3216"/>
      <c r="AO119" s="3216"/>
      <c r="AP119" s="3216"/>
      <c r="AQ119" s="2973"/>
      <c r="AR119" s="2973"/>
      <c r="AS119" s="2372"/>
    </row>
    <row r="120" spans="1:45" ht="40.5" customHeight="1" x14ac:dyDescent="0.25">
      <c r="A120" s="1495"/>
      <c r="B120" s="1452"/>
      <c r="C120" s="1470"/>
      <c r="D120" s="1452"/>
      <c r="G120" s="3222" t="s">
        <v>2731</v>
      </c>
      <c r="H120" s="3321" t="s">
        <v>2732</v>
      </c>
      <c r="I120" s="3222" t="s">
        <v>2731</v>
      </c>
      <c r="J120" s="3321" t="s">
        <v>2732</v>
      </c>
      <c r="K120" s="3222" t="s">
        <v>2733</v>
      </c>
      <c r="L120" s="3332" t="s">
        <v>2734</v>
      </c>
      <c r="M120" s="3222" t="s">
        <v>2733</v>
      </c>
      <c r="N120" s="3332" t="s">
        <v>2734</v>
      </c>
      <c r="O120" s="3335" t="s">
        <v>2735</v>
      </c>
      <c r="P120" s="2093"/>
      <c r="Q120" s="2712"/>
      <c r="R120" s="3277">
        <f>SUM(W120:W209)/S108</f>
        <v>0.98849405567267579</v>
      </c>
      <c r="S120" s="3286"/>
      <c r="T120" s="2142"/>
      <c r="U120" s="2145"/>
      <c r="V120" s="2056" t="s">
        <v>2736</v>
      </c>
      <c r="W120" s="1668">
        <v>8428000000</v>
      </c>
      <c r="X120" s="1347" t="s">
        <v>2737</v>
      </c>
      <c r="Y120" s="3330">
        <v>25</v>
      </c>
      <c r="Z120" s="2096" t="s">
        <v>2486</v>
      </c>
      <c r="AA120" s="3218"/>
      <c r="AB120" s="3216"/>
      <c r="AC120" s="3216"/>
      <c r="AD120" s="3216"/>
      <c r="AE120" s="3216"/>
      <c r="AF120" s="3216"/>
      <c r="AG120" s="3216"/>
      <c r="AH120" s="3216"/>
      <c r="AI120" s="3216"/>
      <c r="AJ120" s="3216"/>
      <c r="AK120" s="3216"/>
      <c r="AL120" s="3216"/>
      <c r="AM120" s="3216"/>
      <c r="AN120" s="3216"/>
      <c r="AO120" s="3216"/>
      <c r="AP120" s="3216"/>
      <c r="AQ120" s="2973"/>
      <c r="AR120" s="2973"/>
      <c r="AS120" s="2372"/>
    </row>
    <row r="121" spans="1:45" x14ac:dyDescent="0.25">
      <c r="A121" s="1495"/>
      <c r="B121" s="1452"/>
      <c r="C121" s="1470"/>
      <c r="D121" s="1452"/>
      <c r="G121" s="3211"/>
      <c r="H121" s="3322"/>
      <c r="I121" s="3211"/>
      <c r="J121" s="3322"/>
      <c r="K121" s="3211"/>
      <c r="L121" s="3333"/>
      <c r="M121" s="3211"/>
      <c r="N121" s="3333"/>
      <c r="O121" s="3335"/>
      <c r="P121" s="2093"/>
      <c r="Q121" s="2712"/>
      <c r="R121" s="3278"/>
      <c r="S121" s="3286"/>
      <c r="T121" s="2142"/>
      <c r="U121" s="2145"/>
      <c r="V121" s="2965"/>
      <c r="W121" s="1668">
        <v>1127000000</v>
      </c>
      <c r="X121" s="1347" t="s">
        <v>2738</v>
      </c>
      <c r="Y121" s="3330"/>
      <c r="Z121" s="2096"/>
      <c r="AA121" s="3218"/>
      <c r="AB121" s="3216"/>
      <c r="AC121" s="3216"/>
      <c r="AD121" s="3216"/>
      <c r="AE121" s="3216"/>
      <c r="AF121" s="3216"/>
      <c r="AG121" s="3216"/>
      <c r="AH121" s="3216"/>
      <c r="AI121" s="3216"/>
      <c r="AJ121" s="3216"/>
      <c r="AK121" s="3216"/>
      <c r="AL121" s="3216"/>
      <c r="AM121" s="3216"/>
      <c r="AN121" s="3216"/>
      <c r="AO121" s="3216"/>
      <c r="AP121" s="3216"/>
      <c r="AQ121" s="2973"/>
      <c r="AR121" s="2973"/>
      <c r="AS121" s="2372"/>
    </row>
    <row r="122" spans="1:45" x14ac:dyDescent="0.25">
      <c r="A122" s="1495"/>
      <c r="B122" s="1452"/>
      <c r="C122" s="1470"/>
      <c r="D122" s="1452"/>
      <c r="G122" s="3211"/>
      <c r="H122" s="3322"/>
      <c r="I122" s="3211"/>
      <c r="J122" s="3322"/>
      <c r="K122" s="3211"/>
      <c r="L122" s="3333"/>
      <c r="M122" s="3211"/>
      <c r="N122" s="3333"/>
      <c r="O122" s="3335"/>
      <c r="P122" s="2093"/>
      <c r="Q122" s="2712"/>
      <c r="R122" s="3278"/>
      <c r="S122" s="3286"/>
      <c r="T122" s="2142"/>
      <c r="U122" s="2145"/>
      <c r="V122" s="2965"/>
      <c r="W122" s="1668">
        <v>352000000</v>
      </c>
      <c r="X122" s="1347" t="s">
        <v>2739</v>
      </c>
      <c r="Y122" s="3330"/>
      <c r="Z122" s="2096"/>
      <c r="AA122" s="3218"/>
      <c r="AB122" s="3216"/>
      <c r="AC122" s="3216"/>
      <c r="AD122" s="3216"/>
      <c r="AE122" s="3216"/>
      <c r="AF122" s="3216"/>
      <c r="AG122" s="3216"/>
      <c r="AH122" s="3216"/>
      <c r="AI122" s="3216"/>
      <c r="AJ122" s="3216"/>
      <c r="AK122" s="3216"/>
      <c r="AL122" s="3216"/>
      <c r="AM122" s="3216"/>
      <c r="AN122" s="3216"/>
      <c r="AO122" s="3216"/>
      <c r="AP122" s="3216"/>
      <c r="AQ122" s="2973"/>
      <c r="AR122" s="2973"/>
      <c r="AS122" s="2372"/>
    </row>
    <row r="123" spans="1:45" x14ac:dyDescent="0.25">
      <c r="A123" s="1495"/>
      <c r="B123" s="1452"/>
      <c r="C123" s="1470"/>
      <c r="D123" s="1452"/>
      <c r="G123" s="3211"/>
      <c r="H123" s="3322"/>
      <c r="I123" s="3211"/>
      <c r="J123" s="3322"/>
      <c r="K123" s="3211"/>
      <c r="L123" s="3333"/>
      <c r="M123" s="3211"/>
      <c r="N123" s="3333"/>
      <c r="O123" s="3335"/>
      <c r="P123" s="2093"/>
      <c r="Q123" s="2712"/>
      <c r="R123" s="3278"/>
      <c r="S123" s="3286"/>
      <c r="T123" s="2142"/>
      <c r="U123" s="2145"/>
      <c r="V123" s="2965"/>
      <c r="W123" s="1668">
        <v>246000000</v>
      </c>
      <c r="X123" s="1347" t="s">
        <v>2740</v>
      </c>
      <c r="Y123" s="3330"/>
      <c r="Z123" s="2096"/>
      <c r="AA123" s="3218"/>
      <c r="AB123" s="3216"/>
      <c r="AC123" s="3216"/>
      <c r="AD123" s="3216"/>
      <c r="AE123" s="3216"/>
      <c r="AF123" s="3216"/>
      <c r="AG123" s="3216"/>
      <c r="AH123" s="3216"/>
      <c r="AI123" s="3216"/>
      <c r="AJ123" s="3216"/>
      <c r="AK123" s="3216"/>
      <c r="AL123" s="3216"/>
      <c r="AM123" s="3216"/>
      <c r="AN123" s="3216"/>
      <c r="AO123" s="3216"/>
      <c r="AP123" s="3216"/>
      <c r="AQ123" s="2973"/>
      <c r="AR123" s="2973"/>
      <c r="AS123" s="2372"/>
    </row>
    <row r="124" spans="1:45" x14ac:dyDescent="0.25">
      <c r="A124" s="1495"/>
      <c r="B124" s="1452"/>
      <c r="C124" s="1470"/>
      <c r="D124" s="1452"/>
      <c r="G124" s="3211"/>
      <c r="H124" s="3322"/>
      <c r="I124" s="3211"/>
      <c r="J124" s="3322"/>
      <c r="K124" s="3211"/>
      <c r="L124" s="3333"/>
      <c r="M124" s="3211"/>
      <c r="N124" s="3333"/>
      <c r="O124" s="3335"/>
      <c r="P124" s="2093"/>
      <c r="Q124" s="2712"/>
      <c r="R124" s="3278"/>
      <c r="S124" s="3286"/>
      <c r="T124" s="2142"/>
      <c r="U124" s="2145"/>
      <c r="V124" s="2965"/>
      <c r="W124" s="1668">
        <v>786000000</v>
      </c>
      <c r="X124" s="1347" t="s">
        <v>2741</v>
      </c>
      <c r="Y124" s="3330"/>
      <c r="Z124" s="2096"/>
      <c r="AA124" s="3218"/>
      <c r="AB124" s="3216"/>
      <c r="AC124" s="3216"/>
      <c r="AD124" s="3216"/>
      <c r="AE124" s="3216"/>
      <c r="AF124" s="3216"/>
      <c r="AG124" s="3216"/>
      <c r="AH124" s="3216"/>
      <c r="AI124" s="3216"/>
      <c r="AJ124" s="3216"/>
      <c r="AK124" s="3216"/>
      <c r="AL124" s="3216"/>
      <c r="AM124" s="3216"/>
      <c r="AN124" s="3216"/>
      <c r="AO124" s="3216"/>
      <c r="AP124" s="3216"/>
      <c r="AQ124" s="2973"/>
      <c r="AR124" s="2973"/>
      <c r="AS124" s="2372"/>
    </row>
    <row r="125" spans="1:45" x14ac:dyDescent="0.25">
      <c r="A125" s="1495"/>
      <c r="B125" s="1452"/>
      <c r="C125" s="1470"/>
      <c r="D125" s="1452"/>
      <c r="G125" s="3211"/>
      <c r="H125" s="3322"/>
      <c r="I125" s="3211"/>
      <c r="J125" s="3322"/>
      <c r="K125" s="3211"/>
      <c r="L125" s="3333"/>
      <c r="M125" s="3211"/>
      <c r="N125" s="3333"/>
      <c r="O125" s="3335"/>
      <c r="P125" s="2093"/>
      <c r="Q125" s="2712"/>
      <c r="R125" s="3278"/>
      <c r="S125" s="3286"/>
      <c r="T125" s="2142"/>
      <c r="U125" s="2145"/>
      <c r="V125" s="2965"/>
      <c r="W125" s="1668">
        <v>401000000</v>
      </c>
      <c r="X125" s="1347" t="s">
        <v>2742</v>
      </c>
      <c r="Y125" s="3330"/>
      <c r="Z125" s="2096"/>
      <c r="AA125" s="3218"/>
      <c r="AB125" s="3216"/>
      <c r="AC125" s="3216"/>
      <c r="AD125" s="3216"/>
      <c r="AE125" s="3216"/>
      <c r="AF125" s="3216"/>
      <c r="AG125" s="3216"/>
      <c r="AH125" s="3216"/>
      <c r="AI125" s="3216"/>
      <c r="AJ125" s="3216"/>
      <c r="AK125" s="3216"/>
      <c r="AL125" s="3216"/>
      <c r="AM125" s="3216"/>
      <c r="AN125" s="3216"/>
      <c r="AO125" s="3216"/>
      <c r="AP125" s="3216"/>
      <c r="AQ125" s="2973"/>
      <c r="AR125" s="2973"/>
      <c r="AS125" s="2372"/>
    </row>
    <row r="126" spans="1:45" x14ac:dyDescent="0.25">
      <c r="A126" s="1495"/>
      <c r="B126" s="1452"/>
      <c r="C126" s="1470"/>
      <c r="D126" s="1452"/>
      <c r="G126" s="3211"/>
      <c r="H126" s="3322"/>
      <c r="I126" s="3211"/>
      <c r="J126" s="3322"/>
      <c r="K126" s="3211"/>
      <c r="L126" s="3333"/>
      <c r="M126" s="3211"/>
      <c r="N126" s="3333"/>
      <c r="O126" s="3335"/>
      <c r="P126" s="2093"/>
      <c r="Q126" s="2712"/>
      <c r="R126" s="3278"/>
      <c r="S126" s="3286"/>
      <c r="T126" s="2142"/>
      <c r="U126" s="2145"/>
      <c r="V126" s="2965"/>
      <c r="W126" s="1668">
        <v>245000000</v>
      </c>
      <c r="X126" s="1347" t="s">
        <v>2743</v>
      </c>
      <c r="Y126" s="3330"/>
      <c r="Z126" s="2096"/>
      <c r="AA126" s="3218"/>
      <c r="AB126" s="3216"/>
      <c r="AC126" s="3216"/>
      <c r="AD126" s="3216"/>
      <c r="AE126" s="3216"/>
      <c r="AF126" s="3216"/>
      <c r="AG126" s="3216"/>
      <c r="AH126" s="3216"/>
      <c r="AI126" s="3216"/>
      <c r="AJ126" s="3216"/>
      <c r="AK126" s="3216"/>
      <c r="AL126" s="3216"/>
      <c r="AM126" s="3216"/>
      <c r="AN126" s="3216"/>
      <c r="AO126" s="3216"/>
      <c r="AP126" s="3216"/>
      <c r="AQ126" s="2973"/>
      <c r="AR126" s="2973"/>
      <c r="AS126" s="2372"/>
    </row>
    <row r="127" spans="1:45" x14ac:dyDescent="0.25">
      <c r="A127" s="1495"/>
      <c r="B127" s="1452"/>
      <c r="C127" s="1470"/>
      <c r="D127" s="1452"/>
      <c r="G127" s="3211"/>
      <c r="H127" s="3322"/>
      <c r="I127" s="3211"/>
      <c r="J127" s="3322"/>
      <c r="K127" s="3211"/>
      <c r="L127" s="3333"/>
      <c r="M127" s="3211"/>
      <c r="N127" s="3333"/>
      <c r="O127" s="3335"/>
      <c r="P127" s="2093"/>
      <c r="Q127" s="2712"/>
      <c r="R127" s="3278"/>
      <c r="S127" s="3286"/>
      <c r="T127" s="2142"/>
      <c r="U127" s="2145"/>
      <c r="V127" s="2965"/>
      <c r="W127" s="1668">
        <v>1136000000</v>
      </c>
      <c r="X127" s="1347" t="s">
        <v>2744</v>
      </c>
      <c r="Y127" s="3330"/>
      <c r="Z127" s="2096"/>
      <c r="AA127" s="3218"/>
      <c r="AB127" s="3216"/>
      <c r="AC127" s="3216"/>
      <c r="AD127" s="3216"/>
      <c r="AE127" s="3216"/>
      <c r="AF127" s="3216"/>
      <c r="AG127" s="3216"/>
      <c r="AH127" s="3216"/>
      <c r="AI127" s="3216"/>
      <c r="AJ127" s="3216"/>
      <c r="AK127" s="3216"/>
      <c r="AL127" s="3216"/>
      <c r="AM127" s="3216"/>
      <c r="AN127" s="3216"/>
      <c r="AO127" s="3216"/>
      <c r="AP127" s="3216"/>
      <c r="AQ127" s="2973"/>
      <c r="AR127" s="2973"/>
      <c r="AS127" s="2372"/>
    </row>
    <row r="128" spans="1:45" x14ac:dyDescent="0.25">
      <c r="A128" s="1495"/>
      <c r="B128" s="1452"/>
      <c r="C128" s="1470"/>
      <c r="D128" s="1452"/>
      <c r="G128" s="3211"/>
      <c r="H128" s="3322"/>
      <c r="I128" s="3211"/>
      <c r="J128" s="3322"/>
      <c r="K128" s="3211"/>
      <c r="L128" s="3333"/>
      <c r="M128" s="3211"/>
      <c r="N128" s="3333"/>
      <c r="O128" s="3335"/>
      <c r="P128" s="2093"/>
      <c r="Q128" s="2712"/>
      <c r="R128" s="3278"/>
      <c r="S128" s="3286"/>
      <c r="T128" s="2142"/>
      <c r="U128" s="2145"/>
      <c r="V128" s="2965"/>
      <c r="W128" s="1669">
        <v>805000000</v>
      </c>
      <c r="X128" s="1347" t="s">
        <v>2745</v>
      </c>
      <c r="Y128" s="3330"/>
      <c r="Z128" s="2096"/>
      <c r="AA128" s="3218"/>
      <c r="AB128" s="3216"/>
      <c r="AC128" s="3216"/>
      <c r="AD128" s="3216"/>
      <c r="AE128" s="3216"/>
      <c r="AF128" s="3216"/>
      <c r="AG128" s="3216"/>
      <c r="AH128" s="3216"/>
      <c r="AI128" s="3216"/>
      <c r="AJ128" s="3216"/>
      <c r="AK128" s="3216"/>
      <c r="AL128" s="3216"/>
      <c r="AM128" s="3216"/>
      <c r="AN128" s="3216"/>
      <c r="AO128" s="3216"/>
      <c r="AP128" s="3216"/>
      <c r="AQ128" s="2973"/>
      <c r="AR128" s="2973"/>
      <c r="AS128" s="2372"/>
    </row>
    <row r="129" spans="1:45" x14ac:dyDescent="0.25">
      <c r="A129" s="1495"/>
      <c r="B129" s="1452"/>
      <c r="C129" s="1470"/>
      <c r="D129" s="1452"/>
      <c r="G129" s="3211"/>
      <c r="H129" s="3322"/>
      <c r="I129" s="3211"/>
      <c r="J129" s="3322"/>
      <c r="K129" s="3211"/>
      <c r="L129" s="3333"/>
      <c r="M129" s="3211"/>
      <c r="N129" s="3333"/>
      <c r="O129" s="3335"/>
      <c r="P129" s="2093"/>
      <c r="Q129" s="2712"/>
      <c r="R129" s="3278"/>
      <c r="S129" s="3286"/>
      <c r="T129" s="2142"/>
      <c r="U129" s="2145"/>
      <c r="V129" s="2965"/>
      <c r="W129" s="1669">
        <v>1971000000</v>
      </c>
      <c r="X129" s="1347" t="s">
        <v>2746</v>
      </c>
      <c r="Y129" s="3330"/>
      <c r="Z129" s="2096"/>
      <c r="AA129" s="3218"/>
      <c r="AB129" s="3216"/>
      <c r="AC129" s="3216"/>
      <c r="AD129" s="3216"/>
      <c r="AE129" s="3216"/>
      <c r="AF129" s="3216"/>
      <c r="AG129" s="3216"/>
      <c r="AH129" s="3216"/>
      <c r="AI129" s="3216"/>
      <c r="AJ129" s="3216"/>
      <c r="AK129" s="3216"/>
      <c r="AL129" s="3216"/>
      <c r="AM129" s="3216"/>
      <c r="AN129" s="3216"/>
      <c r="AO129" s="3216"/>
      <c r="AP129" s="3216"/>
      <c r="AQ129" s="2973"/>
      <c r="AR129" s="2973"/>
      <c r="AS129" s="2372"/>
    </row>
    <row r="130" spans="1:45" x14ac:dyDescent="0.25">
      <c r="A130" s="1495"/>
      <c r="B130" s="1452"/>
      <c r="C130" s="1470"/>
      <c r="D130" s="1452"/>
      <c r="G130" s="3211"/>
      <c r="H130" s="3322"/>
      <c r="I130" s="3211"/>
      <c r="J130" s="3322"/>
      <c r="K130" s="3211"/>
      <c r="L130" s="3333"/>
      <c r="M130" s="3211"/>
      <c r="N130" s="3333"/>
      <c r="O130" s="3335"/>
      <c r="P130" s="2093"/>
      <c r="Q130" s="2712"/>
      <c r="R130" s="3278"/>
      <c r="S130" s="3286"/>
      <c r="T130" s="2142"/>
      <c r="U130" s="2145"/>
      <c r="V130" s="2965"/>
      <c r="W130" s="1669">
        <v>409000000</v>
      </c>
      <c r="X130" s="1347" t="s">
        <v>2747</v>
      </c>
      <c r="Y130" s="3330"/>
      <c r="Z130" s="2096"/>
      <c r="AA130" s="3218"/>
      <c r="AB130" s="3216"/>
      <c r="AC130" s="3216"/>
      <c r="AD130" s="3216"/>
      <c r="AE130" s="3216"/>
      <c r="AF130" s="3216"/>
      <c r="AG130" s="3216"/>
      <c r="AH130" s="3216"/>
      <c r="AI130" s="3216"/>
      <c r="AJ130" s="3216"/>
      <c r="AK130" s="3216"/>
      <c r="AL130" s="3216"/>
      <c r="AM130" s="3216"/>
      <c r="AN130" s="3216"/>
      <c r="AO130" s="3216"/>
      <c r="AP130" s="3216"/>
      <c r="AQ130" s="2973"/>
      <c r="AR130" s="2973"/>
      <c r="AS130" s="2372"/>
    </row>
    <row r="131" spans="1:45" x14ac:dyDescent="0.25">
      <c r="A131" s="1495"/>
      <c r="B131" s="1452"/>
      <c r="C131" s="1470"/>
      <c r="D131" s="1452"/>
      <c r="G131" s="3211"/>
      <c r="H131" s="3322"/>
      <c r="I131" s="3211"/>
      <c r="J131" s="3322"/>
      <c r="K131" s="3211"/>
      <c r="L131" s="3333"/>
      <c r="M131" s="3211"/>
      <c r="N131" s="3333"/>
      <c r="O131" s="3335"/>
      <c r="P131" s="2093"/>
      <c r="Q131" s="2712"/>
      <c r="R131" s="3278"/>
      <c r="S131" s="3286"/>
      <c r="T131" s="2142"/>
      <c r="U131" s="2145"/>
      <c r="V131" s="2965"/>
      <c r="W131" s="1669">
        <v>50000000</v>
      </c>
      <c r="X131" s="1347" t="s">
        <v>2748</v>
      </c>
      <c r="Y131" s="3330"/>
      <c r="Z131" s="2096"/>
      <c r="AA131" s="3218"/>
      <c r="AB131" s="3216"/>
      <c r="AC131" s="3216"/>
      <c r="AD131" s="3216"/>
      <c r="AE131" s="3216"/>
      <c r="AF131" s="3216"/>
      <c r="AG131" s="3216"/>
      <c r="AH131" s="3216"/>
      <c r="AI131" s="3216"/>
      <c r="AJ131" s="3216"/>
      <c r="AK131" s="3216"/>
      <c r="AL131" s="3216"/>
      <c r="AM131" s="3216"/>
      <c r="AN131" s="3216"/>
      <c r="AO131" s="3216"/>
      <c r="AP131" s="3216"/>
      <c r="AQ131" s="2973"/>
      <c r="AR131" s="2973"/>
      <c r="AS131" s="2372"/>
    </row>
    <row r="132" spans="1:45" x14ac:dyDescent="0.25">
      <c r="A132" s="1495"/>
      <c r="B132" s="1452"/>
      <c r="C132" s="1470"/>
      <c r="D132" s="1452"/>
      <c r="G132" s="3211"/>
      <c r="H132" s="3322"/>
      <c r="I132" s="3211"/>
      <c r="J132" s="3322"/>
      <c r="K132" s="3211"/>
      <c r="L132" s="3333"/>
      <c r="M132" s="3211"/>
      <c r="N132" s="3333"/>
      <c r="O132" s="3335"/>
      <c r="P132" s="2093"/>
      <c r="Q132" s="2712"/>
      <c r="R132" s="3278"/>
      <c r="S132" s="3286"/>
      <c r="T132" s="2142"/>
      <c r="U132" s="2145"/>
      <c r="V132" s="2965"/>
      <c r="W132" s="1669">
        <v>307000000</v>
      </c>
      <c r="X132" s="1347" t="s">
        <v>2749</v>
      </c>
      <c r="Y132" s="3330"/>
      <c r="Z132" s="2096"/>
      <c r="AA132" s="3218"/>
      <c r="AB132" s="3216"/>
      <c r="AC132" s="3216"/>
      <c r="AD132" s="3216"/>
      <c r="AE132" s="3216"/>
      <c r="AF132" s="3216"/>
      <c r="AG132" s="3216"/>
      <c r="AH132" s="3216"/>
      <c r="AI132" s="3216"/>
      <c r="AJ132" s="3216"/>
      <c r="AK132" s="3216"/>
      <c r="AL132" s="3216"/>
      <c r="AM132" s="3216"/>
      <c r="AN132" s="3216"/>
      <c r="AO132" s="3216"/>
      <c r="AP132" s="3216"/>
      <c r="AQ132" s="2973"/>
      <c r="AR132" s="2973"/>
      <c r="AS132" s="2372"/>
    </row>
    <row r="133" spans="1:45" x14ac:dyDescent="0.25">
      <c r="A133" s="1495"/>
      <c r="B133" s="1452"/>
      <c r="C133" s="1470"/>
      <c r="D133" s="1452"/>
      <c r="G133" s="3211"/>
      <c r="H133" s="3322"/>
      <c r="I133" s="3211"/>
      <c r="J133" s="3322"/>
      <c r="K133" s="3211"/>
      <c r="L133" s="3333"/>
      <c r="M133" s="3211"/>
      <c r="N133" s="3333"/>
      <c r="O133" s="3335"/>
      <c r="P133" s="2093"/>
      <c r="Q133" s="2712"/>
      <c r="R133" s="3278"/>
      <c r="S133" s="3286"/>
      <c r="T133" s="2142"/>
      <c r="U133" s="2145"/>
      <c r="V133" s="2965"/>
      <c r="W133" s="1669">
        <v>51000000</v>
      </c>
      <c r="X133" s="1347" t="s">
        <v>2750</v>
      </c>
      <c r="Y133" s="3330"/>
      <c r="Z133" s="2096"/>
      <c r="AA133" s="3218"/>
      <c r="AB133" s="3216"/>
      <c r="AC133" s="3216"/>
      <c r="AD133" s="3216"/>
      <c r="AE133" s="3216"/>
      <c r="AF133" s="3216"/>
      <c r="AG133" s="3216"/>
      <c r="AH133" s="3216"/>
      <c r="AI133" s="3216"/>
      <c r="AJ133" s="3216"/>
      <c r="AK133" s="3216"/>
      <c r="AL133" s="3216"/>
      <c r="AM133" s="3216"/>
      <c r="AN133" s="3216"/>
      <c r="AO133" s="3216"/>
      <c r="AP133" s="3216"/>
      <c r="AQ133" s="2973"/>
      <c r="AR133" s="2973"/>
      <c r="AS133" s="2372"/>
    </row>
    <row r="134" spans="1:45" x14ac:dyDescent="0.25">
      <c r="A134" s="1495"/>
      <c r="B134" s="1452"/>
      <c r="C134" s="1470"/>
      <c r="D134" s="1452"/>
      <c r="G134" s="3211"/>
      <c r="H134" s="3322"/>
      <c r="I134" s="3211"/>
      <c r="J134" s="3322"/>
      <c r="K134" s="3211"/>
      <c r="L134" s="3333"/>
      <c r="M134" s="3211"/>
      <c r="N134" s="3333"/>
      <c r="O134" s="3335"/>
      <c r="P134" s="2093"/>
      <c r="Q134" s="2712"/>
      <c r="R134" s="3278"/>
      <c r="S134" s="3286"/>
      <c r="T134" s="2142"/>
      <c r="U134" s="2145"/>
      <c r="V134" s="2965"/>
      <c r="W134" s="1669">
        <v>51000000</v>
      </c>
      <c r="X134" s="1347" t="s">
        <v>2751</v>
      </c>
      <c r="Y134" s="3330"/>
      <c r="Z134" s="2096"/>
      <c r="AA134" s="3218"/>
      <c r="AB134" s="3216"/>
      <c r="AC134" s="3216"/>
      <c r="AD134" s="3216"/>
      <c r="AE134" s="3216"/>
      <c r="AF134" s="3216"/>
      <c r="AG134" s="3216"/>
      <c r="AH134" s="3216"/>
      <c r="AI134" s="3216"/>
      <c r="AJ134" s="3216"/>
      <c r="AK134" s="3216"/>
      <c r="AL134" s="3216"/>
      <c r="AM134" s="3216"/>
      <c r="AN134" s="3216"/>
      <c r="AO134" s="3216"/>
      <c r="AP134" s="3216"/>
      <c r="AQ134" s="2973"/>
      <c r="AR134" s="2973"/>
      <c r="AS134" s="2372"/>
    </row>
    <row r="135" spans="1:45" x14ac:dyDescent="0.25">
      <c r="A135" s="1495"/>
      <c r="B135" s="1452"/>
      <c r="C135" s="1470"/>
      <c r="D135" s="1452"/>
      <c r="G135" s="3211"/>
      <c r="H135" s="3322"/>
      <c r="I135" s="3211"/>
      <c r="J135" s="3322"/>
      <c r="K135" s="3211"/>
      <c r="L135" s="3333"/>
      <c r="M135" s="3211"/>
      <c r="N135" s="3333"/>
      <c r="O135" s="3335"/>
      <c r="P135" s="2093"/>
      <c r="Q135" s="2712"/>
      <c r="R135" s="3278"/>
      <c r="S135" s="3286"/>
      <c r="T135" s="2142"/>
      <c r="U135" s="2145"/>
      <c r="V135" s="2965"/>
      <c r="W135" s="1669">
        <v>103000000</v>
      </c>
      <c r="X135" s="1347" t="s">
        <v>2752</v>
      </c>
      <c r="Y135" s="3330"/>
      <c r="Z135" s="2096"/>
      <c r="AA135" s="3218"/>
      <c r="AB135" s="3216"/>
      <c r="AC135" s="3216"/>
      <c r="AD135" s="3216"/>
      <c r="AE135" s="3216"/>
      <c r="AF135" s="3216"/>
      <c r="AG135" s="3216"/>
      <c r="AH135" s="3216"/>
      <c r="AI135" s="3216"/>
      <c r="AJ135" s="3216"/>
      <c r="AK135" s="3216"/>
      <c r="AL135" s="3216"/>
      <c r="AM135" s="3216"/>
      <c r="AN135" s="3216"/>
      <c r="AO135" s="3216"/>
      <c r="AP135" s="3216"/>
      <c r="AQ135" s="2973"/>
      <c r="AR135" s="2973"/>
      <c r="AS135" s="2372"/>
    </row>
    <row r="136" spans="1:45" x14ac:dyDescent="0.25">
      <c r="A136" s="1495"/>
      <c r="B136" s="1452"/>
      <c r="C136" s="1470"/>
      <c r="D136" s="1452"/>
      <c r="G136" s="3211"/>
      <c r="H136" s="3322"/>
      <c r="I136" s="3211"/>
      <c r="J136" s="3322"/>
      <c r="K136" s="3211"/>
      <c r="L136" s="3333"/>
      <c r="M136" s="3211"/>
      <c r="N136" s="3333"/>
      <c r="O136" s="3335"/>
      <c r="P136" s="2093"/>
      <c r="Q136" s="2712"/>
      <c r="R136" s="3278"/>
      <c r="S136" s="3286"/>
      <c r="T136" s="2142"/>
      <c r="U136" s="2145"/>
      <c r="V136" s="2965"/>
      <c r="W136" s="1669">
        <v>6000000</v>
      </c>
      <c r="X136" s="1347" t="s">
        <v>2753</v>
      </c>
      <c r="Y136" s="3330"/>
      <c r="Z136" s="2096"/>
      <c r="AA136" s="3218"/>
      <c r="AB136" s="3216"/>
      <c r="AC136" s="3216"/>
      <c r="AD136" s="3216"/>
      <c r="AE136" s="3216"/>
      <c r="AF136" s="3216"/>
      <c r="AG136" s="3216"/>
      <c r="AH136" s="3216"/>
      <c r="AI136" s="3216"/>
      <c r="AJ136" s="3216"/>
      <c r="AK136" s="3216"/>
      <c r="AL136" s="3216"/>
      <c r="AM136" s="3216"/>
      <c r="AN136" s="3216"/>
      <c r="AO136" s="3216"/>
      <c r="AP136" s="3216"/>
      <c r="AQ136" s="2973"/>
      <c r="AR136" s="2973"/>
      <c r="AS136" s="2372"/>
    </row>
    <row r="137" spans="1:45" x14ac:dyDescent="0.25">
      <c r="A137" s="1495"/>
      <c r="B137" s="1452"/>
      <c r="C137" s="1470"/>
      <c r="D137" s="1452"/>
      <c r="G137" s="3211"/>
      <c r="H137" s="3322"/>
      <c r="I137" s="3211"/>
      <c r="J137" s="3322"/>
      <c r="K137" s="3211"/>
      <c r="L137" s="3333"/>
      <c r="M137" s="3211"/>
      <c r="N137" s="3333"/>
      <c r="O137" s="3335"/>
      <c r="P137" s="2093"/>
      <c r="Q137" s="2712"/>
      <c r="R137" s="3278"/>
      <c r="S137" s="3286"/>
      <c r="T137" s="2142"/>
      <c r="U137" s="2145"/>
      <c r="V137" s="2965"/>
      <c r="W137" s="1669">
        <v>47000000</v>
      </c>
      <c r="X137" s="1347" t="s">
        <v>2754</v>
      </c>
      <c r="Y137" s="3330"/>
      <c r="Z137" s="2096"/>
      <c r="AA137" s="3218"/>
      <c r="AB137" s="3216"/>
      <c r="AC137" s="3216"/>
      <c r="AD137" s="3216"/>
      <c r="AE137" s="3216"/>
      <c r="AF137" s="3216"/>
      <c r="AG137" s="3216"/>
      <c r="AH137" s="3216"/>
      <c r="AI137" s="3216"/>
      <c r="AJ137" s="3216"/>
      <c r="AK137" s="3216"/>
      <c r="AL137" s="3216"/>
      <c r="AM137" s="3216"/>
      <c r="AN137" s="3216"/>
      <c r="AO137" s="3216"/>
      <c r="AP137" s="3216"/>
      <c r="AQ137" s="2973"/>
      <c r="AR137" s="2973"/>
      <c r="AS137" s="2372"/>
    </row>
    <row r="138" spans="1:45" x14ac:dyDescent="0.25">
      <c r="A138" s="1495"/>
      <c r="B138" s="1452"/>
      <c r="C138" s="1470"/>
      <c r="D138" s="1452"/>
      <c r="G138" s="3211"/>
      <c r="H138" s="3322"/>
      <c r="I138" s="3211"/>
      <c r="J138" s="3322"/>
      <c r="K138" s="3211"/>
      <c r="L138" s="3333"/>
      <c r="M138" s="3211"/>
      <c r="N138" s="3333"/>
      <c r="O138" s="3335"/>
      <c r="P138" s="2093"/>
      <c r="Q138" s="2712"/>
      <c r="R138" s="3278"/>
      <c r="S138" s="3286"/>
      <c r="T138" s="2142"/>
      <c r="U138" s="2145"/>
      <c r="V138" s="2965"/>
      <c r="W138" s="1669">
        <v>602000000</v>
      </c>
      <c r="X138" s="1347" t="s">
        <v>2755</v>
      </c>
      <c r="Y138" s="3330"/>
      <c r="Z138" s="2096"/>
      <c r="AA138" s="3218"/>
      <c r="AB138" s="3216"/>
      <c r="AC138" s="3216"/>
      <c r="AD138" s="3216"/>
      <c r="AE138" s="3216"/>
      <c r="AF138" s="3216"/>
      <c r="AG138" s="3216"/>
      <c r="AH138" s="3216"/>
      <c r="AI138" s="3216"/>
      <c r="AJ138" s="3216"/>
      <c r="AK138" s="3216"/>
      <c r="AL138" s="3216"/>
      <c r="AM138" s="3216"/>
      <c r="AN138" s="3216"/>
      <c r="AO138" s="3216"/>
      <c r="AP138" s="3216"/>
      <c r="AQ138" s="2973"/>
      <c r="AR138" s="2973"/>
      <c r="AS138" s="2372"/>
    </row>
    <row r="139" spans="1:45" x14ac:dyDescent="0.25">
      <c r="A139" s="1495"/>
      <c r="B139" s="1452"/>
      <c r="C139" s="1470"/>
      <c r="D139" s="1452"/>
      <c r="G139" s="3211"/>
      <c r="H139" s="3322"/>
      <c r="I139" s="3211"/>
      <c r="J139" s="3322"/>
      <c r="K139" s="3211"/>
      <c r="L139" s="3333"/>
      <c r="M139" s="3211"/>
      <c r="N139" s="3333"/>
      <c r="O139" s="3335"/>
      <c r="P139" s="2093"/>
      <c r="Q139" s="2712"/>
      <c r="R139" s="3278"/>
      <c r="S139" s="3286"/>
      <c r="T139" s="2142"/>
      <c r="U139" s="2145"/>
      <c r="V139" s="2965"/>
      <c r="W139" s="1669">
        <v>10000000</v>
      </c>
      <c r="X139" s="1347" t="s">
        <v>2756</v>
      </c>
      <c r="Y139" s="3330"/>
      <c r="Z139" s="2096"/>
      <c r="AA139" s="3218"/>
      <c r="AB139" s="3216"/>
      <c r="AC139" s="3216"/>
      <c r="AD139" s="3216"/>
      <c r="AE139" s="3216"/>
      <c r="AF139" s="3216"/>
      <c r="AG139" s="3216"/>
      <c r="AH139" s="3216"/>
      <c r="AI139" s="3216"/>
      <c r="AJ139" s="3216"/>
      <c r="AK139" s="3216"/>
      <c r="AL139" s="3216"/>
      <c r="AM139" s="3216"/>
      <c r="AN139" s="3216"/>
      <c r="AO139" s="3216"/>
      <c r="AP139" s="3216"/>
      <c r="AQ139" s="2973"/>
      <c r="AR139" s="2973"/>
      <c r="AS139" s="2372"/>
    </row>
    <row r="140" spans="1:45" x14ac:dyDescent="0.25">
      <c r="A140" s="1495"/>
      <c r="B140" s="1452"/>
      <c r="C140" s="1470"/>
      <c r="D140" s="1452"/>
      <c r="G140" s="3211"/>
      <c r="H140" s="3322"/>
      <c r="I140" s="3211"/>
      <c r="J140" s="3322"/>
      <c r="K140" s="3211"/>
      <c r="L140" s="3333"/>
      <c r="M140" s="3211"/>
      <c r="N140" s="3333"/>
      <c r="O140" s="3335"/>
      <c r="P140" s="2093"/>
      <c r="Q140" s="2712"/>
      <c r="R140" s="3278"/>
      <c r="S140" s="3286"/>
      <c r="T140" s="2142"/>
      <c r="U140" s="2145"/>
      <c r="V140" s="2965"/>
      <c r="W140" s="1669">
        <v>79031000000</v>
      </c>
      <c r="X140" s="1347" t="s">
        <v>2757</v>
      </c>
      <c r="Y140" s="3330"/>
      <c r="Z140" s="2096"/>
      <c r="AA140" s="3218"/>
      <c r="AB140" s="3216"/>
      <c r="AC140" s="3216"/>
      <c r="AD140" s="3216"/>
      <c r="AE140" s="3216"/>
      <c r="AF140" s="3216"/>
      <c r="AG140" s="3216"/>
      <c r="AH140" s="3216"/>
      <c r="AI140" s="3216"/>
      <c r="AJ140" s="3216"/>
      <c r="AK140" s="3216"/>
      <c r="AL140" s="3216"/>
      <c r="AM140" s="3216"/>
      <c r="AN140" s="3216"/>
      <c r="AO140" s="3216"/>
      <c r="AP140" s="3216"/>
      <c r="AQ140" s="2973"/>
      <c r="AR140" s="2973"/>
      <c r="AS140" s="2372"/>
    </row>
    <row r="141" spans="1:45" x14ac:dyDescent="0.25">
      <c r="A141" s="1495"/>
      <c r="B141" s="1452"/>
      <c r="C141" s="1470"/>
      <c r="D141" s="1452"/>
      <c r="G141" s="3211"/>
      <c r="H141" s="3322"/>
      <c r="I141" s="3211"/>
      <c r="J141" s="3322"/>
      <c r="K141" s="3211"/>
      <c r="L141" s="3333"/>
      <c r="M141" s="3211"/>
      <c r="N141" s="3333"/>
      <c r="O141" s="3335"/>
      <c r="P141" s="2093"/>
      <c r="Q141" s="2712"/>
      <c r="R141" s="3278"/>
      <c r="S141" s="3286"/>
      <c r="T141" s="2142"/>
      <c r="U141" s="2145"/>
      <c r="V141" s="2965"/>
      <c r="W141" s="1669">
        <v>2051000000</v>
      </c>
      <c r="X141" s="1347" t="s">
        <v>2758</v>
      </c>
      <c r="Y141" s="3330"/>
      <c r="Z141" s="2096"/>
      <c r="AA141" s="3218"/>
      <c r="AB141" s="3216"/>
      <c r="AC141" s="3216"/>
      <c r="AD141" s="3216"/>
      <c r="AE141" s="3216"/>
      <c r="AF141" s="3216"/>
      <c r="AG141" s="3216"/>
      <c r="AH141" s="3216"/>
      <c r="AI141" s="3216"/>
      <c r="AJ141" s="3216"/>
      <c r="AK141" s="3216"/>
      <c r="AL141" s="3216"/>
      <c r="AM141" s="3216"/>
      <c r="AN141" s="3216"/>
      <c r="AO141" s="3216"/>
      <c r="AP141" s="3216"/>
      <c r="AQ141" s="2973"/>
      <c r="AR141" s="2973"/>
      <c r="AS141" s="2372"/>
    </row>
    <row r="142" spans="1:45" x14ac:dyDescent="0.25">
      <c r="A142" s="1495"/>
      <c r="B142" s="1452"/>
      <c r="C142" s="1470"/>
      <c r="D142" s="1452"/>
      <c r="G142" s="3211"/>
      <c r="H142" s="3322"/>
      <c r="I142" s="3211"/>
      <c r="J142" s="3322"/>
      <c r="K142" s="3211"/>
      <c r="L142" s="3333"/>
      <c r="M142" s="3211"/>
      <c r="N142" s="3333"/>
      <c r="O142" s="3335"/>
      <c r="P142" s="2093"/>
      <c r="Q142" s="2712"/>
      <c r="R142" s="3278"/>
      <c r="S142" s="3286"/>
      <c r="T142" s="2142"/>
      <c r="U142" s="2145"/>
      <c r="V142" s="2965"/>
      <c r="W142" s="1669">
        <v>58000000</v>
      </c>
      <c r="X142" s="1347" t="s">
        <v>2759</v>
      </c>
      <c r="Y142" s="3330"/>
      <c r="Z142" s="2096"/>
      <c r="AA142" s="3218"/>
      <c r="AB142" s="3216"/>
      <c r="AC142" s="3216"/>
      <c r="AD142" s="3216"/>
      <c r="AE142" s="3216"/>
      <c r="AF142" s="3216"/>
      <c r="AG142" s="3216"/>
      <c r="AH142" s="3216"/>
      <c r="AI142" s="3216"/>
      <c r="AJ142" s="3216"/>
      <c r="AK142" s="3216"/>
      <c r="AL142" s="3216"/>
      <c r="AM142" s="3216"/>
      <c r="AN142" s="3216"/>
      <c r="AO142" s="3216"/>
      <c r="AP142" s="3216"/>
      <c r="AQ142" s="2973"/>
      <c r="AR142" s="2973"/>
      <c r="AS142" s="2372"/>
    </row>
    <row r="143" spans="1:45" x14ac:dyDescent="0.25">
      <c r="A143" s="1495"/>
      <c r="B143" s="1452"/>
      <c r="C143" s="1470"/>
      <c r="D143" s="1452"/>
      <c r="G143" s="3211"/>
      <c r="H143" s="3322"/>
      <c r="I143" s="3211"/>
      <c r="J143" s="3322"/>
      <c r="K143" s="3211"/>
      <c r="L143" s="3333"/>
      <c r="M143" s="3211"/>
      <c r="N143" s="3333"/>
      <c r="O143" s="3335"/>
      <c r="P143" s="2093"/>
      <c r="Q143" s="2712"/>
      <c r="R143" s="3278"/>
      <c r="S143" s="3286"/>
      <c r="T143" s="2142"/>
      <c r="U143" s="2145"/>
      <c r="V143" s="2965"/>
      <c r="W143" s="1669">
        <v>62000000</v>
      </c>
      <c r="X143" s="1347" t="s">
        <v>2760</v>
      </c>
      <c r="Y143" s="3330"/>
      <c r="Z143" s="2096"/>
      <c r="AA143" s="3218"/>
      <c r="AB143" s="3216"/>
      <c r="AC143" s="3216"/>
      <c r="AD143" s="3216"/>
      <c r="AE143" s="3216"/>
      <c r="AF143" s="3216"/>
      <c r="AG143" s="3216"/>
      <c r="AH143" s="3216"/>
      <c r="AI143" s="3216"/>
      <c r="AJ143" s="3216"/>
      <c r="AK143" s="3216"/>
      <c r="AL143" s="3216"/>
      <c r="AM143" s="3216"/>
      <c r="AN143" s="3216"/>
      <c r="AO143" s="3216"/>
      <c r="AP143" s="3216"/>
      <c r="AQ143" s="2973"/>
      <c r="AR143" s="2973"/>
      <c r="AS143" s="2372"/>
    </row>
    <row r="144" spans="1:45" x14ac:dyDescent="0.25">
      <c r="A144" s="1495"/>
      <c r="B144" s="1452"/>
      <c r="C144" s="1470"/>
      <c r="D144" s="1452"/>
      <c r="G144" s="3211"/>
      <c r="H144" s="3322"/>
      <c r="I144" s="3211"/>
      <c r="J144" s="3322"/>
      <c r="K144" s="3211"/>
      <c r="L144" s="3333"/>
      <c r="M144" s="3211"/>
      <c r="N144" s="3333"/>
      <c r="O144" s="3335"/>
      <c r="P144" s="2093"/>
      <c r="Q144" s="2712"/>
      <c r="R144" s="3278"/>
      <c r="S144" s="3286"/>
      <c r="T144" s="2142"/>
      <c r="U144" s="2145"/>
      <c r="V144" s="2965"/>
      <c r="W144" s="1669">
        <v>3533000000</v>
      </c>
      <c r="X144" s="1347" t="s">
        <v>2761</v>
      </c>
      <c r="Y144" s="3330"/>
      <c r="Z144" s="2096"/>
      <c r="AA144" s="3218"/>
      <c r="AB144" s="3216"/>
      <c r="AC144" s="3216"/>
      <c r="AD144" s="3216"/>
      <c r="AE144" s="3216"/>
      <c r="AF144" s="3216"/>
      <c r="AG144" s="3216"/>
      <c r="AH144" s="3216"/>
      <c r="AI144" s="3216"/>
      <c r="AJ144" s="3216"/>
      <c r="AK144" s="3216"/>
      <c r="AL144" s="3216"/>
      <c r="AM144" s="3216"/>
      <c r="AN144" s="3216"/>
      <c r="AO144" s="3216"/>
      <c r="AP144" s="3216"/>
      <c r="AQ144" s="2973"/>
      <c r="AR144" s="2973"/>
      <c r="AS144" s="2372"/>
    </row>
    <row r="145" spans="1:45" x14ac:dyDescent="0.25">
      <c r="A145" s="1495"/>
      <c r="B145" s="1452"/>
      <c r="C145" s="1470"/>
      <c r="D145" s="1452"/>
      <c r="G145" s="3211"/>
      <c r="H145" s="3322"/>
      <c r="I145" s="3211"/>
      <c r="J145" s="3322"/>
      <c r="K145" s="3211"/>
      <c r="L145" s="3333"/>
      <c r="M145" s="3211"/>
      <c r="N145" s="3333"/>
      <c r="O145" s="3335"/>
      <c r="P145" s="2093"/>
      <c r="Q145" s="2712"/>
      <c r="R145" s="3278"/>
      <c r="S145" s="3286"/>
      <c r="T145" s="2142"/>
      <c r="U145" s="2145"/>
      <c r="V145" s="2965"/>
      <c r="W145" s="1669">
        <v>7522000000</v>
      </c>
      <c r="X145" s="1347" t="s">
        <v>2762</v>
      </c>
      <c r="Y145" s="3330"/>
      <c r="Z145" s="2096"/>
      <c r="AA145" s="3218"/>
      <c r="AB145" s="3216"/>
      <c r="AC145" s="3216"/>
      <c r="AD145" s="3216"/>
      <c r="AE145" s="3216"/>
      <c r="AF145" s="3216"/>
      <c r="AG145" s="3216"/>
      <c r="AH145" s="3216"/>
      <c r="AI145" s="3216"/>
      <c r="AJ145" s="3216"/>
      <c r="AK145" s="3216"/>
      <c r="AL145" s="3216"/>
      <c r="AM145" s="3216"/>
      <c r="AN145" s="3216"/>
      <c r="AO145" s="3216"/>
      <c r="AP145" s="3216"/>
      <c r="AQ145" s="2973"/>
      <c r="AR145" s="2973"/>
      <c r="AS145" s="2372"/>
    </row>
    <row r="146" spans="1:45" x14ac:dyDescent="0.25">
      <c r="A146" s="1495"/>
      <c r="B146" s="1452"/>
      <c r="C146" s="1470"/>
      <c r="D146" s="1452"/>
      <c r="G146" s="3211"/>
      <c r="H146" s="3322"/>
      <c r="I146" s="3211"/>
      <c r="J146" s="3322"/>
      <c r="K146" s="3211"/>
      <c r="L146" s="3333"/>
      <c r="M146" s="3211"/>
      <c r="N146" s="3333"/>
      <c r="O146" s="3335"/>
      <c r="P146" s="2093"/>
      <c r="Q146" s="2712"/>
      <c r="R146" s="3278"/>
      <c r="S146" s="3286"/>
      <c r="T146" s="2142"/>
      <c r="U146" s="2145"/>
      <c r="V146" s="2965"/>
      <c r="W146" s="1669">
        <v>3424000000</v>
      </c>
      <c r="X146" s="1347" t="s">
        <v>2763</v>
      </c>
      <c r="Y146" s="3330"/>
      <c r="Z146" s="2096"/>
      <c r="AA146" s="3218"/>
      <c r="AB146" s="3216"/>
      <c r="AC146" s="3216"/>
      <c r="AD146" s="3216"/>
      <c r="AE146" s="3216"/>
      <c r="AF146" s="3216"/>
      <c r="AG146" s="3216"/>
      <c r="AH146" s="3216"/>
      <c r="AI146" s="3216"/>
      <c r="AJ146" s="3216"/>
      <c r="AK146" s="3216"/>
      <c r="AL146" s="3216"/>
      <c r="AM146" s="3216"/>
      <c r="AN146" s="3216"/>
      <c r="AO146" s="3216"/>
      <c r="AP146" s="3216"/>
      <c r="AQ146" s="2973"/>
      <c r="AR146" s="2973"/>
      <c r="AS146" s="2372"/>
    </row>
    <row r="147" spans="1:45" x14ac:dyDescent="0.25">
      <c r="A147" s="1495"/>
      <c r="B147" s="1452"/>
      <c r="C147" s="1470"/>
      <c r="D147" s="1452"/>
      <c r="G147" s="3211"/>
      <c r="H147" s="3322"/>
      <c r="I147" s="3211"/>
      <c r="J147" s="3322"/>
      <c r="K147" s="3211"/>
      <c r="L147" s="3333"/>
      <c r="M147" s="3211"/>
      <c r="N147" s="3333"/>
      <c r="O147" s="3335"/>
      <c r="P147" s="2093"/>
      <c r="Q147" s="2712"/>
      <c r="R147" s="3278"/>
      <c r="S147" s="3286"/>
      <c r="T147" s="2142"/>
      <c r="U147" s="2145"/>
      <c r="V147" s="2965"/>
      <c r="W147" s="1669">
        <v>3527000000</v>
      </c>
      <c r="X147" s="1347" t="s">
        <v>2764</v>
      </c>
      <c r="Y147" s="3330"/>
      <c r="Z147" s="2096"/>
      <c r="AA147" s="3218"/>
      <c r="AB147" s="3216"/>
      <c r="AC147" s="3216"/>
      <c r="AD147" s="3216"/>
      <c r="AE147" s="3216"/>
      <c r="AF147" s="3216"/>
      <c r="AG147" s="3216"/>
      <c r="AH147" s="3216"/>
      <c r="AI147" s="3216"/>
      <c r="AJ147" s="3216"/>
      <c r="AK147" s="3216"/>
      <c r="AL147" s="3216"/>
      <c r="AM147" s="3216"/>
      <c r="AN147" s="3216"/>
      <c r="AO147" s="3216"/>
      <c r="AP147" s="3216"/>
      <c r="AQ147" s="2973"/>
      <c r="AR147" s="2973"/>
      <c r="AS147" s="2372"/>
    </row>
    <row r="148" spans="1:45" x14ac:dyDescent="0.25">
      <c r="A148" s="1495"/>
      <c r="B148" s="1452"/>
      <c r="C148" s="1470"/>
      <c r="D148" s="1452"/>
      <c r="G148" s="3211"/>
      <c r="H148" s="3322"/>
      <c r="I148" s="3211"/>
      <c r="J148" s="3322"/>
      <c r="K148" s="3211"/>
      <c r="L148" s="3333"/>
      <c r="M148" s="3211"/>
      <c r="N148" s="3333"/>
      <c r="O148" s="3335"/>
      <c r="P148" s="2093"/>
      <c r="Q148" s="2712"/>
      <c r="R148" s="3278"/>
      <c r="S148" s="3286"/>
      <c r="T148" s="2142"/>
      <c r="U148" s="2145"/>
      <c r="V148" s="2965"/>
      <c r="W148" s="1669">
        <v>2645000000</v>
      </c>
      <c r="X148" s="1347" t="s">
        <v>2765</v>
      </c>
      <c r="Y148" s="3330"/>
      <c r="Z148" s="2096"/>
      <c r="AA148" s="3218"/>
      <c r="AB148" s="3216"/>
      <c r="AC148" s="3216"/>
      <c r="AD148" s="3216"/>
      <c r="AE148" s="3216"/>
      <c r="AF148" s="3216"/>
      <c r="AG148" s="3216"/>
      <c r="AH148" s="3216"/>
      <c r="AI148" s="3216"/>
      <c r="AJ148" s="3216"/>
      <c r="AK148" s="3216"/>
      <c r="AL148" s="3216"/>
      <c r="AM148" s="3216"/>
      <c r="AN148" s="3216"/>
      <c r="AO148" s="3216"/>
      <c r="AP148" s="3216"/>
      <c r="AQ148" s="2973"/>
      <c r="AR148" s="2973"/>
      <c r="AS148" s="2372"/>
    </row>
    <row r="149" spans="1:45" x14ac:dyDescent="0.25">
      <c r="A149" s="1495"/>
      <c r="B149" s="1452"/>
      <c r="C149" s="1470"/>
      <c r="D149" s="1452"/>
      <c r="G149" s="3211"/>
      <c r="H149" s="3322"/>
      <c r="I149" s="3211"/>
      <c r="J149" s="3322"/>
      <c r="K149" s="3211"/>
      <c r="L149" s="3333"/>
      <c r="M149" s="3211"/>
      <c r="N149" s="3333"/>
      <c r="O149" s="3335"/>
      <c r="P149" s="2093"/>
      <c r="Q149" s="2712"/>
      <c r="R149" s="3278"/>
      <c r="S149" s="3286"/>
      <c r="T149" s="2142"/>
      <c r="U149" s="2145"/>
      <c r="V149" s="2965"/>
      <c r="W149" s="1669">
        <v>441000000</v>
      </c>
      <c r="X149" s="1347" t="s">
        <v>2766</v>
      </c>
      <c r="Y149" s="3330"/>
      <c r="Z149" s="2096"/>
      <c r="AA149" s="3218"/>
      <c r="AB149" s="3216"/>
      <c r="AC149" s="3216"/>
      <c r="AD149" s="3216"/>
      <c r="AE149" s="3216"/>
      <c r="AF149" s="3216"/>
      <c r="AG149" s="3216"/>
      <c r="AH149" s="3216"/>
      <c r="AI149" s="3216"/>
      <c r="AJ149" s="3216"/>
      <c r="AK149" s="3216"/>
      <c r="AL149" s="3216"/>
      <c r="AM149" s="3216"/>
      <c r="AN149" s="3216"/>
      <c r="AO149" s="3216"/>
      <c r="AP149" s="3216"/>
      <c r="AQ149" s="2973"/>
      <c r="AR149" s="2973"/>
      <c r="AS149" s="2372"/>
    </row>
    <row r="150" spans="1:45" x14ac:dyDescent="0.25">
      <c r="A150" s="1495"/>
      <c r="B150" s="1452"/>
      <c r="C150" s="1470"/>
      <c r="D150" s="1452"/>
      <c r="G150" s="3211"/>
      <c r="H150" s="3322"/>
      <c r="I150" s="3211"/>
      <c r="J150" s="3322"/>
      <c r="K150" s="3211"/>
      <c r="L150" s="3333"/>
      <c r="M150" s="3211"/>
      <c r="N150" s="3333"/>
      <c r="O150" s="3335"/>
      <c r="P150" s="2093"/>
      <c r="Q150" s="2712"/>
      <c r="R150" s="3278"/>
      <c r="S150" s="3286"/>
      <c r="T150" s="2142"/>
      <c r="U150" s="2145"/>
      <c r="V150" s="2965"/>
      <c r="W150" s="1669">
        <v>441000000</v>
      </c>
      <c r="X150" s="1347" t="s">
        <v>2767</v>
      </c>
      <c r="Y150" s="3330"/>
      <c r="Z150" s="2096"/>
      <c r="AA150" s="3218"/>
      <c r="AB150" s="3216"/>
      <c r="AC150" s="3216"/>
      <c r="AD150" s="3216"/>
      <c r="AE150" s="3216"/>
      <c r="AF150" s="3216"/>
      <c r="AG150" s="3216"/>
      <c r="AH150" s="3216"/>
      <c r="AI150" s="3216"/>
      <c r="AJ150" s="3216"/>
      <c r="AK150" s="3216"/>
      <c r="AL150" s="3216"/>
      <c r="AM150" s="3216"/>
      <c r="AN150" s="3216"/>
      <c r="AO150" s="3216"/>
      <c r="AP150" s="3216"/>
      <c r="AQ150" s="2973"/>
      <c r="AR150" s="2973"/>
      <c r="AS150" s="2372"/>
    </row>
    <row r="151" spans="1:45" x14ac:dyDescent="0.25">
      <c r="A151" s="1495"/>
      <c r="B151" s="1452"/>
      <c r="C151" s="1470"/>
      <c r="D151" s="1452"/>
      <c r="G151" s="3211"/>
      <c r="H151" s="3322"/>
      <c r="I151" s="3211"/>
      <c r="J151" s="3322"/>
      <c r="K151" s="3211"/>
      <c r="L151" s="3333"/>
      <c r="M151" s="3211"/>
      <c r="N151" s="3333"/>
      <c r="O151" s="3335"/>
      <c r="P151" s="2093"/>
      <c r="Q151" s="2712"/>
      <c r="R151" s="3278"/>
      <c r="S151" s="3286"/>
      <c r="T151" s="2142"/>
      <c r="U151" s="2145"/>
      <c r="V151" s="2965"/>
      <c r="W151" s="1669">
        <v>882000000</v>
      </c>
      <c r="X151" s="1347" t="s">
        <v>2768</v>
      </c>
      <c r="Y151" s="3330"/>
      <c r="Z151" s="2096"/>
      <c r="AA151" s="3218"/>
      <c r="AB151" s="3216"/>
      <c r="AC151" s="3216"/>
      <c r="AD151" s="3216"/>
      <c r="AE151" s="3216"/>
      <c r="AF151" s="3216"/>
      <c r="AG151" s="3216"/>
      <c r="AH151" s="3216"/>
      <c r="AI151" s="3216"/>
      <c r="AJ151" s="3216"/>
      <c r="AK151" s="3216"/>
      <c r="AL151" s="3216"/>
      <c r="AM151" s="3216"/>
      <c r="AN151" s="3216"/>
      <c r="AO151" s="3216"/>
      <c r="AP151" s="3216"/>
      <c r="AQ151" s="2973"/>
      <c r="AR151" s="2973"/>
      <c r="AS151" s="2372"/>
    </row>
    <row r="152" spans="1:45" x14ac:dyDescent="0.25">
      <c r="A152" s="1495"/>
      <c r="B152" s="1452"/>
      <c r="C152" s="1470"/>
      <c r="D152" s="1452"/>
      <c r="G152" s="3211"/>
      <c r="H152" s="3322"/>
      <c r="I152" s="3211"/>
      <c r="J152" s="3322"/>
      <c r="K152" s="3211"/>
      <c r="L152" s="3333"/>
      <c r="M152" s="3211"/>
      <c r="N152" s="3333"/>
      <c r="O152" s="3335"/>
      <c r="P152" s="2093"/>
      <c r="Q152" s="2712"/>
      <c r="R152" s="3278"/>
      <c r="S152" s="3286"/>
      <c r="T152" s="2142"/>
      <c r="U152" s="2145"/>
      <c r="V152" s="2965"/>
      <c r="W152" s="1669">
        <v>64000000</v>
      </c>
      <c r="X152" s="1347" t="s">
        <v>2769</v>
      </c>
      <c r="Y152" s="3330"/>
      <c r="Z152" s="2096"/>
      <c r="AA152" s="3218"/>
      <c r="AB152" s="3216"/>
      <c r="AC152" s="3216"/>
      <c r="AD152" s="3216"/>
      <c r="AE152" s="3216"/>
      <c r="AF152" s="3216"/>
      <c r="AG152" s="3216"/>
      <c r="AH152" s="3216"/>
      <c r="AI152" s="3216"/>
      <c r="AJ152" s="3216"/>
      <c r="AK152" s="3216"/>
      <c r="AL152" s="3216"/>
      <c r="AM152" s="3216"/>
      <c r="AN152" s="3216"/>
      <c r="AO152" s="3216"/>
      <c r="AP152" s="3216"/>
      <c r="AQ152" s="2973"/>
      <c r="AR152" s="2973"/>
      <c r="AS152" s="2372"/>
    </row>
    <row r="153" spans="1:45" x14ac:dyDescent="0.25">
      <c r="A153" s="1495"/>
      <c r="B153" s="1452"/>
      <c r="C153" s="1470"/>
      <c r="D153" s="1452"/>
      <c r="G153" s="3211"/>
      <c r="H153" s="3322"/>
      <c r="I153" s="3211"/>
      <c r="J153" s="3322"/>
      <c r="K153" s="3211"/>
      <c r="L153" s="3333"/>
      <c r="M153" s="3211"/>
      <c r="N153" s="3333"/>
      <c r="O153" s="3335"/>
      <c r="P153" s="2093"/>
      <c r="Q153" s="2712"/>
      <c r="R153" s="3278"/>
      <c r="S153" s="3286"/>
      <c r="T153" s="2142"/>
      <c r="U153" s="2145"/>
      <c r="V153" s="2965"/>
      <c r="W153" s="1669">
        <v>831338000</v>
      </c>
      <c r="X153" s="1347" t="s">
        <v>2770</v>
      </c>
      <c r="Y153" s="3330"/>
      <c r="Z153" s="2096"/>
      <c r="AA153" s="3218"/>
      <c r="AB153" s="3216"/>
      <c r="AC153" s="3216"/>
      <c r="AD153" s="3216"/>
      <c r="AE153" s="3216"/>
      <c r="AF153" s="3216"/>
      <c r="AG153" s="3216"/>
      <c r="AH153" s="3216"/>
      <c r="AI153" s="3216"/>
      <c r="AJ153" s="3216"/>
      <c r="AK153" s="3216"/>
      <c r="AL153" s="3216"/>
      <c r="AM153" s="3216"/>
      <c r="AN153" s="3216"/>
      <c r="AO153" s="3216"/>
      <c r="AP153" s="3216"/>
      <c r="AQ153" s="2973"/>
      <c r="AR153" s="2973"/>
      <c r="AS153" s="2372"/>
    </row>
    <row r="154" spans="1:45" x14ac:dyDescent="0.25">
      <c r="A154" s="1495"/>
      <c r="B154" s="1452"/>
      <c r="C154" s="1470"/>
      <c r="D154" s="1452"/>
      <c r="G154" s="3211"/>
      <c r="H154" s="3322"/>
      <c r="I154" s="3211"/>
      <c r="J154" s="3322"/>
      <c r="K154" s="3211"/>
      <c r="L154" s="3333"/>
      <c r="M154" s="3211"/>
      <c r="N154" s="3333"/>
      <c r="O154" s="3335"/>
      <c r="P154" s="2093"/>
      <c r="Q154" s="2712"/>
      <c r="R154" s="3278"/>
      <c r="S154" s="3286"/>
      <c r="T154" s="2142"/>
      <c r="U154" s="2145"/>
      <c r="V154" s="2965"/>
      <c r="W154" s="1669">
        <v>15000000</v>
      </c>
      <c r="X154" s="1347" t="s">
        <v>2771</v>
      </c>
      <c r="Y154" s="3330"/>
      <c r="Z154" s="2096"/>
      <c r="AA154" s="3218"/>
      <c r="AB154" s="3216"/>
      <c r="AC154" s="3216"/>
      <c r="AD154" s="3216"/>
      <c r="AE154" s="3216"/>
      <c r="AF154" s="3216"/>
      <c r="AG154" s="3216"/>
      <c r="AH154" s="3216"/>
      <c r="AI154" s="3216"/>
      <c r="AJ154" s="3216"/>
      <c r="AK154" s="3216"/>
      <c r="AL154" s="3216"/>
      <c r="AM154" s="3216"/>
      <c r="AN154" s="3216"/>
      <c r="AO154" s="3216"/>
      <c r="AP154" s="3216"/>
      <c r="AQ154" s="2973"/>
      <c r="AR154" s="2973"/>
      <c r="AS154" s="2372"/>
    </row>
    <row r="155" spans="1:45" x14ac:dyDescent="0.25">
      <c r="A155" s="1495"/>
      <c r="B155" s="1452"/>
      <c r="C155" s="1470"/>
      <c r="D155" s="1452"/>
      <c r="G155" s="3211"/>
      <c r="H155" s="3322"/>
      <c r="I155" s="3211"/>
      <c r="J155" s="3322"/>
      <c r="K155" s="3211"/>
      <c r="L155" s="3333"/>
      <c r="M155" s="3211"/>
      <c r="N155" s="3333"/>
      <c r="O155" s="3335"/>
      <c r="P155" s="2093"/>
      <c r="Q155" s="2712"/>
      <c r="R155" s="3278"/>
      <c r="S155" s="3286"/>
      <c r="T155" s="2142"/>
      <c r="U155" s="2145"/>
      <c r="V155" s="2965"/>
      <c r="W155" s="1669">
        <v>12128000000</v>
      </c>
      <c r="X155" s="1347" t="s">
        <v>2772</v>
      </c>
      <c r="Y155" s="3330"/>
      <c r="Z155" s="2096"/>
      <c r="AA155" s="3218"/>
      <c r="AB155" s="3216"/>
      <c r="AC155" s="3216"/>
      <c r="AD155" s="3216"/>
      <c r="AE155" s="3216"/>
      <c r="AF155" s="3216"/>
      <c r="AG155" s="3216"/>
      <c r="AH155" s="3216"/>
      <c r="AI155" s="3216"/>
      <c r="AJ155" s="3216"/>
      <c r="AK155" s="3216"/>
      <c r="AL155" s="3216"/>
      <c r="AM155" s="3216"/>
      <c r="AN155" s="3216"/>
      <c r="AO155" s="3216"/>
      <c r="AP155" s="3216"/>
      <c r="AQ155" s="2973"/>
      <c r="AR155" s="2973"/>
      <c r="AS155" s="2372"/>
    </row>
    <row r="156" spans="1:45" x14ac:dyDescent="0.25">
      <c r="A156" s="1495"/>
      <c r="B156" s="1452"/>
      <c r="C156" s="1470"/>
      <c r="D156" s="1452"/>
      <c r="G156" s="3211"/>
      <c r="H156" s="3322"/>
      <c r="I156" s="3211"/>
      <c r="J156" s="3322"/>
      <c r="K156" s="3211"/>
      <c r="L156" s="3333"/>
      <c r="M156" s="3211"/>
      <c r="N156" s="3333"/>
      <c r="O156" s="3335"/>
      <c r="P156" s="2093"/>
      <c r="Q156" s="2712"/>
      <c r="R156" s="3278"/>
      <c r="S156" s="3286"/>
      <c r="T156" s="2142"/>
      <c r="U156" s="2145"/>
      <c r="V156" s="2965"/>
      <c r="W156" s="1669">
        <v>79000000</v>
      </c>
      <c r="X156" s="1347" t="s">
        <v>2773</v>
      </c>
      <c r="Y156" s="3330"/>
      <c r="Z156" s="2096"/>
      <c r="AA156" s="3218"/>
      <c r="AB156" s="3216"/>
      <c r="AC156" s="3216"/>
      <c r="AD156" s="3216"/>
      <c r="AE156" s="3216"/>
      <c r="AF156" s="3216"/>
      <c r="AG156" s="3216"/>
      <c r="AH156" s="3216"/>
      <c r="AI156" s="3216"/>
      <c r="AJ156" s="3216"/>
      <c r="AK156" s="3216"/>
      <c r="AL156" s="3216"/>
      <c r="AM156" s="3216"/>
      <c r="AN156" s="3216"/>
      <c r="AO156" s="3216"/>
      <c r="AP156" s="3216"/>
      <c r="AQ156" s="2973"/>
      <c r="AR156" s="2973"/>
      <c r="AS156" s="2372"/>
    </row>
    <row r="157" spans="1:45" x14ac:dyDescent="0.25">
      <c r="A157" s="1495"/>
      <c r="B157" s="1452"/>
      <c r="C157" s="1470"/>
      <c r="D157" s="1452"/>
      <c r="G157" s="3211"/>
      <c r="H157" s="3322"/>
      <c r="I157" s="3211"/>
      <c r="J157" s="3322"/>
      <c r="K157" s="3211"/>
      <c r="L157" s="3333"/>
      <c r="M157" s="3211"/>
      <c r="N157" s="3333"/>
      <c r="O157" s="3335"/>
      <c r="P157" s="2093"/>
      <c r="Q157" s="2712"/>
      <c r="R157" s="3278"/>
      <c r="S157" s="3286"/>
      <c r="T157" s="2142"/>
      <c r="U157" s="2145"/>
      <c r="V157" s="2965"/>
      <c r="W157" s="1669">
        <v>4000000</v>
      </c>
      <c r="X157" s="1347" t="s">
        <v>2774</v>
      </c>
      <c r="Y157" s="3330"/>
      <c r="Z157" s="2096"/>
      <c r="AA157" s="3218"/>
      <c r="AB157" s="3216"/>
      <c r="AC157" s="3216"/>
      <c r="AD157" s="3216"/>
      <c r="AE157" s="3216"/>
      <c r="AF157" s="3216"/>
      <c r="AG157" s="3216"/>
      <c r="AH157" s="3216"/>
      <c r="AI157" s="3216"/>
      <c r="AJ157" s="3216"/>
      <c r="AK157" s="3216"/>
      <c r="AL157" s="3216"/>
      <c r="AM157" s="3216"/>
      <c r="AN157" s="3216"/>
      <c r="AO157" s="3216"/>
      <c r="AP157" s="3216"/>
      <c r="AQ157" s="2973"/>
      <c r="AR157" s="2973"/>
      <c r="AS157" s="2372"/>
    </row>
    <row r="158" spans="1:45" x14ac:dyDescent="0.25">
      <c r="A158" s="1495"/>
      <c r="B158" s="1452"/>
      <c r="C158" s="1470"/>
      <c r="D158" s="1452"/>
      <c r="G158" s="3211"/>
      <c r="H158" s="3322"/>
      <c r="I158" s="3211"/>
      <c r="J158" s="3322"/>
      <c r="K158" s="3211"/>
      <c r="L158" s="3333"/>
      <c r="M158" s="3211"/>
      <c r="N158" s="3333"/>
      <c r="O158" s="3335"/>
      <c r="P158" s="2093"/>
      <c r="Q158" s="2712"/>
      <c r="R158" s="3278"/>
      <c r="S158" s="3286"/>
      <c r="T158" s="2142"/>
      <c r="U158" s="2145"/>
      <c r="V158" s="2965"/>
      <c r="W158" s="1669">
        <v>514000000</v>
      </c>
      <c r="X158" s="1347" t="s">
        <v>2775</v>
      </c>
      <c r="Y158" s="3330"/>
      <c r="Z158" s="2096"/>
      <c r="AA158" s="3218"/>
      <c r="AB158" s="3216"/>
      <c r="AC158" s="3216"/>
      <c r="AD158" s="3216"/>
      <c r="AE158" s="3216"/>
      <c r="AF158" s="3216"/>
      <c r="AG158" s="3216"/>
      <c r="AH158" s="3216"/>
      <c r="AI158" s="3216"/>
      <c r="AJ158" s="3216"/>
      <c r="AK158" s="3216"/>
      <c r="AL158" s="3216"/>
      <c r="AM158" s="3216"/>
      <c r="AN158" s="3216"/>
      <c r="AO158" s="3216"/>
      <c r="AP158" s="3216"/>
      <c r="AQ158" s="2973"/>
      <c r="AR158" s="2973"/>
      <c r="AS158" s="2372"/>
    </row>
    <row r="159" spans="1:45" x14ac:dyDescent="0.25">
      <c r="A159" s="1495"/>
      <c r="B159" s="1452"/>
      <c r="C159" s="1470"/>
      <c r="D159" s="1452"/>
      <c r="G159" s="3211"/>
      <c r="H159" s="3322"/>
      <c r="I159" s="3211"/>
      <c r="J159" s="3322"/>
      <c r="K159" s="3211"/>
      <c r="L159" s="3333"/>
      <c r="M159" s="3211"/>
      <c r="N159" s="3333"/>
      <c r="O159" s="3335"/>
      <c r="P159" s="2093"/>
      <c r="Q159" s="2712"/>
      <c r="R159" s="3278"/>
      <c r="S159" s="3286"/>
      <c r="T159" s="2142"/>
      <c r="U159" s="2145"/>
      <c r="V159" s="2965"/>
      <c r="W159" s="1669">
        <v>1367000000</v>
      </c>
      <c r="X159" s="1347" t="s">
        <v>2776</v>
      </c>
      <c r="Y159" s="3330"/>
      <c r="Z159" s="2096"/>
      <c r="AA159" s="3218"/>
      <c r="AB159" s="3216"/>
      <c r="AC159" s="3216"/>
      <c r="AD159" s="3216"/>
      <c r="AE159" s="3216"/>
      <c r="AF159" s="3216"/>
      <c r="AG159" s="3216"/>
      <c r="AH159" s="3216"/>
      <c r="AI159" s="3216"/>
      <c r="AJ159" s="3216"/>
      <c r="AK159" s="3216"/>
      <c r="AL159" s="3216"/>
      <c r="AM159" s="3216"/>
      <c r="AN159" s="3216"/>
      <c r="AO159" s="3216"/>
      <c r="AP159" s="3216"/>
      <c r="AQ159" s="2973"/>
      <c r="AR159" s="2973"/>
      <c r="AS159" s="2372"/>
    </row>
    <row r="160" spans="1:45" x14ac:dyDescent="0.25">
      <c r="A160" s="1495"/>
      <c r="B160" s="1452"/>
      <c r="C160" s="1470"/>
      <c r="D160" s="1452"/>
      <c r="G160" s="3211"/>
      <c r="H160" s="3322"/>
      <c r="I160" s="3211"/>
      <c r="J160" s="3322"/>
      <c r="K160" s="3211"/>
      <c r="L160" s="3333"/>
      <c r="M160" s="3211"/>
      <c r="N160" s="3333"/>
      <c r="O160" s="3335"/>
      <c r="P160" s="2093"/>
      <c r="Q160" s="2712"/>
      <c r="R160" s="3278"/>
      <c r="S160" s="3286"/>
      <c r="T160" s="2142"/>
      <c r="U160" s="2145"/>
      <c r="V160" s="2965"/>
      <c r="W160" s="1669">
        <v>536000000</v>
      </c>
      <c r="X160" s="1347" t="s">
        <v>2777</v>
      </c>
      <c r="Y160" s="3330"/>
      <c r="Z160" s="2096"/>
      <c r="AA160" s="3218"/>
      <c r="AB160" s="3216"/>
      <c r="AC160" s="3216"/>
      <c r="AD160" s="3216"/>
      <c r="AE160" s="3216"/>
      <c r="AF160" s="3216"/>
      <c r="AG160" s="3216"/>
      <c r="AH160" s="3216"/>
      <c r="AI160" s="3216"/>
      <c r="AJ160" s="3216"/>
      <c r="AK160" s="3216"/>
      <c r="AL160" s="3216"/>
      <c r="AM160" s="3216"/>
      <c r="AN160" s="3216"/>
      <c r="AO160" s="3216"/>
      <c r="AP160" s="3216"/>
      <c r="AQ160" s="2973"/>
      <c r="AR160" s="2973"/>
      <c r="AS160" s="2372"/>
    </row>
    <row r="161" spans="1:45" x14ac:dyDescent="0.25">
      <c r="A161" s="1495"/>
      <c r="B161" s="1452"/>
      <c r="C161" s="1470"/>
      <c r="D161" s="1452"/>
      <c r="G161" s="3211"/>
      <c r="H161" s="3322"/>
      <c r="I161" s="3211"/>
      <c r="J161" s="3322"/>
      <c r="K161" s="3211"/>
      <c r="L161" s="3333"/>
      <c r="M161" s="3211"/>
      <c r="N161" s="3333"/>
      <c r="O161" s="3335"/>
      <c r="P161" s="2093"/>
      <c r="Q161" s="2712"/>
      <c r="R161" s="3278"/>
      <c r="S161" s="3286"/>
      <c r="T161" s="2142"/>
      <c r="U161" s="2145"/>
      <c r="V161" s="2965"/>
      <c r="W161" s="1669">
        <v>567000000</v>
      </c>
      <c r="X161" s="1347" t="s">
        <v>2778</v>
      </c>
      <c r="Y161" s="3330"/>
      <c r="Z161" s="2096"/>
      <c r="AA161" s="3218"/>
      <c r="AB161" s="3216"/>
      <c r="AC161" s="3216"/>
      <c r="AD161" s="3216"/>
      <c r="AE161" s="3216"/>
      <c r="AF161" s="3216"/>
      <c r="AG161" s="3216"/>
      <c r="AH161" s="3216"/>
      <c r="AI161" s="3216"/>
      <c r="AJ161" s="3216"/>
      <c r="AK161" s="3216"/>
      <c r="AL161" s="3216"/>
      <c r="AM161" s="3216"/>
      <c r="AN161" s="3216"/>
      <c r="AO161" s="3216"/>
      <c r="AP161" s="3216"/>
      <c r="AQ161" s="2973"/>
      <c r="AR161" s="2973"/>
      <c r="AS161" s="2372"/>
    </row>
    <row r="162" spans="1:45" x14ac:dyDescent="0.25">
      <c r="A162" s="1495"/>
      <c r="B162" s="1452"/>
      <c r="C162" s="1470"/>
      <c r="D162" s="1452"/>
      <c r="G162" s="3211"/>
      <c r="H162" s="3322"/>
      <c r="I162" s="3211"/>
      <c r="J162" s="3322"/>
      <c r="K162" s="3211"/>
      <c r="L162" s="3333"/>
      <c r="M162" s="3211"/>
      <c r="N162" s="3333"/>
      <c r="O162" s="3335"/>
      <c r="P162" s="2093"/>
      <c r="Q162" s="2712"/>
      <c r="R162" s="3278"/>
      <c r="S162" s="3286"/>
      <c r="T162" s="2142"/>
      <c r="U162" s="2145"/>
      <c r="V162" s="2965"/>
      <c r="W162" s="1669">
        <v>426000000</v>
      </c>
      <c r="X162" s="1347" t="s">
        <v>2779</v>
      </c>
      <c r="Y162" s="3330"/>
      <c r="Z162" s="2096"/>
      <c r="AA162" s="3218"/>
      <c r="AB162" s="3216"/>
      <c r="AC162" s="3216"/>
      <c r="AD162" s="3216"/>
      <c r="AE162" s="3216"/>
      <c r="AF162" s="3216"/>
      <c r="AG162" s="3216"/>
      <c r="AH162" s="3216"/>
      <c r="AI162" s="3216"/>
      <c r="AJ162" s="3216"/>
      <c r="AK162" s="3216"/>
      <c r="AL162" s="3216"/>
      <c r="AM162" s="3216"/>
      <c r="AN162" s="3216"/>
      <c r="AO162" s="3216"/>
      <c r="AP162" s="3216"/>
      <c r="AQ162" s="2973"/>
      <c r="AR162" s="2973"/>
      <c r="AS162" s="2372"/>
    </row>
    <row r="163" spans="1:45" x14ac:dyDescent="0.25">
      <c r="A163" s="1495"/>
      <c r="B163" s="1452"/>
      <c r="C163" s="1470"/>
      <c r="D163" s="1452"/>
      <c r="G163" s="3211"/>
      <c r="H163" s="3322"/>
      <c r="I163" s="3211"/>
      <c r="J163" s="3322"/>
      <c r="K163" s="3211"/>
      <c r="L163" s="3333"/>
      <c r="M163" s="3211"/>
      <c r="N163" s="3333"/>
      <c r="O163" s="3335"/>
      <c r="P163" s="2093"/>
      <c r="Q163" s="2712"/>
      <c r="R163" s="3278"/>
      <c r="S163" s="3286"/>
      <c r="T163" s="2142"/>
      <c r="U163" s="2145"/>
      <c r="V163" s="2965"/>
      <c r="W163" s="1669">
        <v>71000000</v>
      </c>
      <c r="X163" s="1347" t="s">
        <v>2780</v>
      </c>
      <c r="Y163" s="3330"/>
      <c r="Z163" s="2096"/>
      <c r="AA163" s="3218"/>
      <c r="AB163" s="3216"/>
      <c r="AC163" s="3216"/>
      <c r="AD163" s="3216"/>
      <c r="AE163" s="3216"/>
      <c r="AF163" s="3216"/>
      <c r="AG163" s="3216"/>
      <c r="AH163" s="3216"/>
      <c r="AI163" s="3216"/>
      <c r="AJ163" s="3216"/>
      <c r="AK163" s="3216"/>
      <c r="AL163" s="3216"/>
      <c r="AM163" s="3216"/>
      <c r="AN163" s="3216"/>
      <c r="AO163" s="3216"/>
      <c r="AP163" s="3216"/>
      <c r="AQ163" s="2973"/>
      <c r="AR163" s="2973"/>
      <c r="AS163" s="2372"/>
    </row>
    <row r="164" spans="1:45" x14ac:dyDescent="0.25">
      <c r="A164" s="1495"/>
      <c r="B164" s="1452"/>
      <c r="C164" s="1470"/>
      <c r="D164" s="1452"/>
      <c r="G164" s="3211"/>
      <c r="H164" s="3322"/>
      <c r="I164" s="3211"/>
      <c r="J164" s="3322"/>
      <c r="K164" s="3211"/>
      <c r="L164" s="3333"/>
      <c r="M164" s="3211"/>
      <c r="N164" s="3333"/>
      <c r="O164" s="3335"/>
      <c r="P164" s="2093"/>
      <c r="Q164" s="2712"/>
      <c r="R164" s="3278"/>
      <c r="S164" s="3286"/>
      <c r="T164" s="2142"/>
      <c r="U164" s="2145"/>
      <c r="V164" s="2965"/>
      <c r="W164" s="1669">
        <v>71000000</v>
      </c>
      <c r="X164" s="1347" t="s">
        <v>2781</v>
      </c>
      <c r="Y164" s="3330"/>
      <c r="Z164" s="2096"/>
      <c r="AA164" s="3218"/>
      <c r="AB164" s="3216"/>
      <c r="AC164" s="3216"/>
      <c r="AD164" s="3216"/>
      <c r="AE164" s="3216"/>
      <c r="AF164" s="3216"/>
      <c r="AG164" s="3216"/>
      <c r="AH164" s="3216"/>
      <c r="AI164" s="3216"/>
      <c r="AJ164" s="3216"/>
      <c r="AK164" s="3216"/>
      <c r="AL164" s="3216"/>
      <c r="AM164" s="3216"/>
      <c r="AN164" s="3216"/>
      <c r="AO164" s="3216"/>
      <c r="AP164" s="3216"/>
      <c r="AQ164" s="2973"/>
      <c r="AR164" s="2973"/>
      <c r="AS164" s="2372"/>
    </row>
    <row r="165" spans="1:45" x14ac:dyDescent="0.25">
      <c r="A165" s="1495"/>
      <c r="B165" s="1452"/>
      <c r="C165" s="1470"/>
      <c r="D165" s="1452"/>
      <c r="G165" s="3211"/>
      <c r="H165" s="3322"/>
      <c r="I165" s="3211"/>
      <c r="J165" s="3322"/>
      <c r="K165" s="3211"/>
      <c r="L165" s="3333"/>
      <c r="M165" s="3211"/>
      <c r="N165" s="3333"/>
      <c r="O165" s="3335"/>
      <c r="P165" s="2093"/>
      <c r="Q165" s="2712"/>
      <c r="R165" s="3278"/>
      <c r="S165" s="3286"/>
      <c r="T165" s="2142"/>
      <c r="U165" s="2145"/>
      <c r="V165" s="2965"/>
      <c r="W165" s="1669">
        <v>142000000</v>
      </c>
      <c r="X165" s="1347" t="s">
        <v>2782</v>
      </c>
      <c r="Y165" s="3330"/>
      <c r="Z165" s="2096"/>
      <c r="AA165" s="3218"/>
      <c r="AB165" s="3216"/>
      <c r="AC165" s="3216"/>
      <c r="AD165" s="3216"/>
      <c r="AE165" s="3216"/>
      <c r="AF165" s="3216"/>
      <c r="AG165" s="3216"/>
      <c r="AH165" s="3216"/>
      <c r="AI165" s="3216"/>
      <c r="AJ165" s="3216"/>
      <c r="AK165" s="3216"/>
      <c r="AL165" s="3216"/>
      <c r="AM165" s="3216"/>
      <c r="AN165" s="3216"/>
      <c r="AO165" s="3216"/>
      <c r="AP165" s="3216"/>
      <c r="AQ165" s="2973"/>
      <c r="AR165" s="2973"/>
      <c r="AS165" s="2372"/>
    </row>
    <row r="166" spans="1:45" x14ac:dyDescent="0.25">
      <c r="A166" s="1495"/>
      <c r="B166" s="1452"/>
      <c r="C166" s="1470"/>
      <c r="D166" s="1452"/>
      <c r="G166" s="3211"/>
      <c r="H166" s="3322"/>
      <c r="I166" s="3211"/>
      <c r="J166" s="3322"/>
      <c r="K166" s="3211"/>
      <c r="L166" s="3333"/>
      <c r="M166" s="3211"/>
      <c r="N166" s="3333"/>
      <c r="O166" s="3335"/>
      <c r="P166" s="2093"/>
      <c r="Q166" s="2712"/>
      <c r="R166" s="3278"/>
      <c r="S166" s="3286"/>
      <c r="T166" s="2142"/>
      <c r="U166" s="2145"/>
      <c r="V166" s="2965"/>
      <c r="W166" s="1669">
        <v>37662000</v>
      </c>
      <c r="X166" s="1347" t="s">
        <v>2783</v>
      </c>
      <c r="Y166" s="3330"/>
      <c r="Z166" s="2096"/>
      <c r="AA166" s="3218"/>
      <c r="AB166" s="3216"/>
      <c r="AC166" s="3216"/>
      <c r="AD166" s="3216"/>
      <c r="AE166" s="3216"/>
      <c r="AF166" s="3216"/>
      <c r="AG166" s="3216"/>
      <c r="AH166" s="3216"/>
      <c r="AI166" s="3216"/>
      <c r="AJ166" s="3216"/>
      <c r="AK166" s="3216"/>
      <c r="AL166" s="3216"/>
      <c r="AM166" s="3216"/>
      <c r="AN166" s="3216"/>
      <c r="AO166" s="3216"/>
      <c r="AP166" s="3216"/>
      <c r="AQ166" s="2973"/>
      <c r="AR166" s="2973"/>
      <c r="AS166" s="2372"/>
    </row>
    <row r="167" spans="1:45" x14ac:dyDescent="0.25">
      <c r="A167" s="1495"/>
      <c r="B167" s="1452"/>
      <c r="C167" s="1470"/>
      <c r="D167" s="1452"/>
      <c r="G167" s="3211"/>
      <c r="H167" s="3322"/>
      <c r="I167" s="3211"/>
      <c r="J167" s="3322"/>
      <c r="K167" s="3211"/>
      <c r="L167" s="3333"/>
      <c r="M167" s="3211"/>
      <c r="N167" s="3333"/>
      <c r="O167" s="3335"/>
      <c r="P167" s="2093"/>
      <c r="Q167" s="2712"/>
      <c r="R167" s="3278"/>
      <c r="S167" s="3286"/>
      <c r="T167" s="2142"/>
      <c r="U167" s="2145"/>
      <c r="V167" s="2965"/>
      <c r="W167" s="1669">
        <v>10000000</v>
      </c>
      <c r="X167" s="1347" t="s">
        <v>2784</v>
      </c>
      <c r="Y167" s="3330"/>
      <c r="Z167" s="2096"/>
      <c r="AA167" s="3218"/>
      <c r="AB167" s="3216"/>
      <c r="AC167" s="3216"/>
      <c r="AD167" s="3216"/>
      <c r="AE167" s="3216"/>
      <c r="AF167" s="3216"/>
      <c r="AG167" s="3216"/>
      <c r="AH167" s="3216"/>
      <c r="AI167" s="3216"/>
      <c r="AJ167" s="3216"/>
      <c r="AK167" s="3216"/>
      <c r="AL167" s="3216"/>
      <c r="AM167" s="3216"/>
      <c r="AN167" s="3216"/>
      <c r="AO167" s="3216"/>
      <c r="AP167" s="3216"/>
      <c r="AQ167" s="2973"/>
      <c r="AR167" s="2973"/>
      <c r="AS167" s="2372"/>
    </row>
    <row r="168" spans="1:45" x14ac:dyDescent="0.25">
      <c r="A168" s="1495"/>
      <c r="B168" s="1452"/>
      <c r="C168" s="1470"/>
      <c r="D168" s="1452"/>
      <c r="G168" s="3211"/>
      <c r="H168" s="3322"/>
      <c r="I168" s="3211"/>
      <c r="J168" s="3322"/>
      <c r="K168" s="3211"/>
      <c r="L168" s="3333"/>
      <c r="M168" s="3211"/>
      <c r="N168" s="3333"/>
      <c r="O168" s="3335"/>
      <c r="P168" s="2093"/>
      <c r="Q168" s="2712"/>
      <c r="R168" s="3278"/>
      <c r="S168" s="3286"/>
      <c r="T168" s="2142"/>
      <c r="U168" s="2145"/>
      <c r="V168" s="2965"/>
      <c r="W168" s="1669">
        <v>6543000000</v>
      </c>
      <c r="X168" s="1347" t="s">
        <v>2785</v>
      </c>
      <c r="Y168" s="3331">
        <v>26</v>
      </c>
      <c r="Z168" s="2966" t="s">
        <v>2786</v>
      </c>
      <c r="AA168" s="3218"/>
      <c r="AB168" s="3216"/>
      <c r="AC168" s="3216"/>
      <c r="AD168" s="3216"/>
      <c r="AE168" s="3216"/>
      <c r="AF168" s="3216"/>
      <c r="AG168" s="3216"/>
      <c r="AH168" s="3216"/>
      <c r="AI168" s="3216"/>
      <c r="AJ168" s="3216"/>
      <c r="AK168" s="3216"/>
      <c r="AL168" s="3216"/>
      <c r="AM168" s="3216"/>
      <c r="AN168" s="3216"/>
      <c r="AO168" s="3216"/>
      <c r="AP168" s="3216"/>
      <c r="AQ168" s="2973"/>
      <c r="AR168" s="2973"/>
      <c r="AS168" s="2372"/>
    </row>
    <row r="169" spans="1:45" x14ac:dyDescent="0.25">
      <c r="A169" s="1495"/>
      <c r="B169" s="1452"/>
      <c r="C169" s="1470"/>
      <c r="D169" s="1452"/>
      <c r="G169" s="3211"/>
      <c r="H169" s="3322"/>
      <c r="I169" s="3211"/>
      <c r="J169" s="3322"/>
      <c r="K169" s="3211"/>
      <c r="L169" s="3333"/>
      <c r="M169" s="3211"/>
      <c r="N169" s="3333"/>
      <c r="O169" s="3335"/>
      <c r="P169" s="2093"/>
      <c r="Q169" s="2712"/>
      <c r="R169" s="3278"/>
      <c r="S169" s="3286"/>
      <c r="T169" s="2142"/>
      <c r="U169" s="2145"/>
      <c r="V169" s="2965"/>
      <c r="W169" s="1669">
        <v>3923333334</v>
      </c>
      <c r="X169" s="1347" t="s">
        <v>2787</v>
      </c>
      <c r="Y169" s="3331"/>
      <c r="Z169" s="2055"/>
      <c r="AA169" s="3218"/>
      <c r="AB169" s="3216"/>
      <c r="AC169" s="3216"/>
      <c r="AD169" s="3216"/>
      <c r="AE169" s="3216"/>
      <c r="AF169" s="3216"/>
      <c r="AG169" s="3216"/>
      <c r="AH169" s="3216"/>
      <c r="AI169" s="3216"/>
      <c r="AJ169" s="3216"/>
      <c r="AK169" s="3216"/>
      <c r="AL169" s="3216"/>
      <c r="AM169" s="3216"/>
      <c r="AN169" s="3216"/>
      <c r="AO169" s="3216"/>
      <c r="AP169" s="3216"/>
      <c r="AQ169" s="2973"/>
      <c r="AR169" s="2973"/>
      <c r="AS169" s="2372"/>
    </row>
    <row r="170" spans="1:45" x14ac:dyDescent="0.25">
      <c r="A170" s="1495"/>
      <c r="B170" s="1452"/>
      <c r="C170" s="1470"/>
      <c r="D170" s="1452"/>
      <c r="G170" s="3211"/>
      <c r="H170" s="3322"/>
      <c r="I170" s="3211"/>
      <c r="J170" s="3322"/>
      <c r="K170" s="3211"/>
      <c r="L170" s="3333"/>
      <c r="M170" s="3211"/>
      <c r="N170" s="3333"/>
      <c r="O170" s="3335"/>
      <c r="P170" s="2093"/>
      <c r="Q170" s="2712"/>
      <c r="R170" s="3278"/>
      <c r="S170" s="3286"/>
      <c r="T170" s="2142"/>
      <c r="U170" s="2145"/>
      <c r="V170" s="2965"/>
      <c r="W170" s="1669">
        <v>3923333333</v>
      </c>
      <c r="X170" s="1347" t="s">
        <v>2788</v>
      </c>
      <c r="Y170" s="3331"/>
      <c r="Z170" s="2055"/>
      <c r="AA170" s="3218"/>
      <c r="AB170" s="3216"/>
      <c r="AC170" s="3216"/>
      <c r="AD170" s="3216"/>
      <c r="AE170" s="3216"/>
      <c r="AF170" s="3216"/>
      <c r="AG170" s="3216"/>
      <c r="AH170" s="3216"/>
      <c r="AI170" s="3216"/>
      <c r="AJ170" s="3216"/>
      <c r="AK170" s="3216"/>
      <c r="AL170" s="3216"/>
      <c r="AM170" s="3216"/>
      <c r="AN170" s="3216"/>
      <c r="AO170" s="3216"/>
      <c r="AP170" s="3216"/>
      <c r="AQ170" s="2973"/>
      <c r="AR170" s="2973"/>
      <c r="AS170" s="2372"/>
    </row>
    <row r="171" spans="1:45" x14ac:dyDescent="0.25">
      <c r="A171" s="1495"/>
      <c r="B171" s="1452"/>
      <c r="C171" s="1470"/>
      <c r="D171" s="1452"/>
      <c r="G171" s="3211"/>
      <c r="H171" s="3322"/>
      <c r="I171" s="3211"/>
      <c r="J171" s="3322"/>
      <c r="K171" s="3211"/>
      <c r="L171" s="3333"/>
      <c r="M171" s="3211"/>
      <c r="N171" s="3333"/>
      <c r="O171" s="3335"/>
      <c r="P171" s="2093"/>
      <c r="Q171" s="2712"/>
      <c r="R171" s="3278"/>
      <c r="S171" s="3286"/>
      <c r="T171" s="2142"/>
      <c r="U171" s="2145"/>
      <c r="V171" s="2965"/>
      <c r="W171" s="1669">
        <v>7689733333</v>
      </c>
      <c r="X171" s="1347" t="s">
        <v>2789</v>
      </c>
      <c r="Y171" s="3331"/>
      <c r="Z171" s="2055"/>
      <c r="AA171" s="3218"/>
      <c r="AB171" s="3216"/>
      <c r="AC171" s="3216"/>
      <c r="AD171" s="3216"/>
      <c r="AE171" s="3216"/>
      <c r="AF171" s="3216"/>
      <c r="AG171" s="3216"/>
      <c r="AH171" s="3216"/>
      <c r="AI171" s="3216"/>
      <c r="AJ171" s="3216"/>
      <c r="AK171" s="3216"/>
      <c r="AL171" s="3216"/>
      <c r="AM171" s="3216"/>
      <c r="AN171" s="3216"/>
      <c r="AO171" s="3216"/>
      <c r="AP171" s="3216"/>
      <c r="AQ171" s="2973"/>
      <c r="AR171" s="2973"/>
      <c r="AS171" s="2372"/>
    </row>
    <row r="172" spans="1:45" x14ac:dyDescent="0.25">
      <c r="A172" s="1495"/>
      <c r="B172" s="1452"/>
      <c r="C172" s="1470"/>
      <c r="D172" s="1452"/>
      <c r="G172" s="3211"/>
      <c r="H172" s="3322"/>
      <c r="I172" s="3211"/>
      <c r="J172" s="3322"/>
      <c r="K172" s="3211"/>
      <c r="L172" s="3333"/>
      <c r="M172" s="3211"/>
      <c r="N172" s="3333"/>
      <c r="O172" s="3335"/>
      <c r="P172" s="2093"/>
      <c r="Q172" s="2712"/>
      <c r="R172" s="3278"/>
      <c r="S172" s="3286"/>
      <c r="T172" s="2142"/>
      <c r="U172" s="2145"/>
      <c r="V172" s="2965"/>
      <c r="W172" s="1669">
        <v>947000000</v>
      </c>
      <c r="X172" s="1347" t="s">
        <v>2790</v>
      </c>
      <c r="Y172" s="3331"/>
      <c r="Z172" s="2055"/>
      <c r="AA172" s="3218"/>
      <c r="AB172" s="3216"/>
      <c r="AC172" s="3216"/>
      <c r="AD172" s="3216"/>
      <c r="AE172" s="3216"/>
      <c r="AF172" s="3216"/>
      <c r="AG172" s="3216"/>
      <c r="AH172" s="3216"/>
      <c r="AI172" s="3216"/>
      <c r="AJ172" s="3216"/>
      <c r="AK172" s="3216"/>
      <c r="AL172" s="3216"/>
      <c r="AM172" s="3216"/>
      <c r="AN172" s="3216"/>
      <c r="AO172" s="3216"/>
      <c r="AP172" s="3216"/>
      <c r="AQ172" s="2973"/>
      <c r="AR172" s="2973"/>
      <c r="AS172" s="2372"/>
    </row>
    <row r="173" spans="1:45" x14ac:dyDescent="0.25">
      <c r="A173" s="1495"/>
      <c r="B173" s="1452"/>
      <c r="C173" s="1470"/>
      <c r="D173" s="1452"/>
      <c r="G173" s="3211"/>
      <c r="H173" s="3322"/>
      <c r="I173" s="3211"/>
      <c r="J173" s="3322"/>
      <c r="K173" s="3211"/>
      <c r="L173" s="3333"/>
      <c r="M173" s="3211"/>
      <c r="N173" s="3333"/>
      <c r="O173" s="3335"/>
      <c r="P173" s="2093"/>
      <c r="Q173" s="2712"/>
      <c r="R173" s="3278"/>
      <c r="S173" s="3286"/>
      <c r="T173" s="2142"/>
      <c r="U173" s="2145"/>
      <c r="V173" s="2965"/>
      <c r="W173" s="1669">
        <v>535000000</v>
      </c>
      <c r="X173" s="1347" t="s">
        <v>2791</v>
      </c>
      <c r="Y173" s="3331"/>
      <c r="Z173" s="2055"/>
      <c r="AA173" s="3218"/>
      <c r="AB173" s="3216"/>
      <c r="AC173" s="3216"/>
      <c r="AD173" s="3216"/>
      <c r="AE173" s="3216"/>
      <c r="AF173" s="3216"/>
      <c r="AG173" s="3216"/>
      <c r="AH173" s="3216"/>
      <c r="AI173" s="3216"/>
      <c r="AJ173" s="3216"/>
      <c r="AK173" s="3216"/>
      <c r="AL173" s="3216"/>
      <c r="AM173" s="3216"/>
      <c r="AN173" s="3216"/>
      <c r="AO173" s="3216"/>
      <c r="AP173" s="3216"/>
      <c r="AQ173" s="2973"/>
      <c r="AR173" s="2973"/>
      <c r="AS173" s="2372"/>
    </row>
    <row r="174" spans="1:45" x14ac:dyDescent="0.25">
      <c r="A174" s="1495"/>
      <c r="B174" s="1452"/>
      <c r="C174" s="1470"/>
      <c r="D174" s="1452"/>
      <c r="G174" s="3211"/>
      <c r="H174" s="3322"/>
      <c r="I174" s="3211"/>
      <c r="J174" s="3322"/>
      <c r="K174" s="3211"/>
      <c r="L174" s="3333"/>
      <c r="M174" s="3211"/>
      <c r="N174" s="3333"/>
      <c r="O174" s="3335"/>
      <c r="P174" s="2093"/>
      <c r="Q174" s="2712"/>
      <c r="R174" s="3278"/>
      <c r="S174" s="3286"/>
      <c r="T174" s="2142"/>
      <c r="U174" s="2145"/>
      <c r="V174" s="2965"/>
      <c r="W174" s="1669">
        <v>535000000</v>
      </c>
      <c r="X174" s="1347" t="s">
        <v>2792</v>
      </c>
      <c r="Y174" s="3331"/>
      <c r="Z174" s="2055"/>
      <c r="AA174" s="3218"/>
      <c r="AB174" s="3216"/>
      <c r="AC174" s="3216"/>
      <c r="AD174" s="3216"/>
      <c r="AE174" s="3216"/>
      <c r="AF174" s="3216"/>
      <c r="AG174" s="3216"/>
      <c r="AH174" s="3216"/>
      <c r="AI174" s="3216"/>
      <c r="AJ174" s="3216"/>
      <c r="AK174" s="3216"/>
      <c r="AL174" s="3216"/>
      <c r="AM174" s="3216"/>
      <c r="AN174" s="3216"/>
      <c r="AO174" s="3216"/>
      <c r="AP174" s="3216"/>
      <c r="AQ174" s="2973"/>
      <c r="AR174" s="2973"/>
      <c r="AS174" s="2372"/>
    </row>
    <row r="175" spans="1:45" x14ac:dyDescent="0.25">
      <c r="A175" s="1495"/>
      <c r="B175" s="1452"/>
      <c r="C175" s="1470"/>
      <c r="D175" s="1452"/>
      <c r="G175" s="3211"/>
      <c r="H175" s="3322"/>
      <c r="I175" s="3211"/>
      <c r="J175" s="3322"/>
      <c r="K175" s="3211"/>
      <c r="L175" s="3333"/>
      <c r="M175" s="3211"/>
      <c r="N175" s="3333"/>
      <c r="O175" s="3335"/>
      <c r="P175" s="2093"/>
      <c r="Q175" s="2712"/>
      <c r="R175" s="3278"/>
      <c r="S175" s="3286"/>
      <c r="T175" s="2142"/>
      <c r="U175" s="2145"/>
      <c r="V175" s="2965"/>
      <c r="W175" s="1669">
        <v>1048600000</v>
      </c>
      <c r="X175" s="1347" t="s">
        <v>2793</v>
      </c>
      <c r="Y175" s="3331"/>
      <c r="Z175" s="2055"/>
      <c r="AA175" s="3218"/>
      <c r="AB175" s="3216"/>
      <c r="AC175" s="3216"/>
      <c r="AD175" s="3216"/>
      <c r="AE175" s="3216"/>
      <c r="AF175" s="3216"/>
      <c r="AG175" s="3216"/>
      <c r="AH175" s="3216"/>
      <c r="AI175" s="3216"/>
      <c r="AJ175" s="3216"/>
      <c r="AK175" s="3216"/>
      <c r="AL175" s="3216"/>
      <c r="AM175" s="3216"/>
      <c r="AN175" s="3216"/>
      <c r="AO175" s="3216"/>
      <c r="AP175" s="3216"/>
      <c r="AQ175" s="2973"/>
      <c r="AR175" s="2973"/>
      <c r="AS175" s="2372"/>
    </row>
    <row r="176" spans="1:45" ht="46.5" customHeight="1" x14ac:dyDescent="0.25">
      <c r="A176" s="1495"/>
      <c r="B176" s="1452"/>
      <c r="C176" s="1470"/>
      <c r="D176" s="1452"/>
      <c r="G176" s="3211"/>
      <c r="H176" s="3322"/>
      <c r="I176" s="3211"/>
      <c r="J176" s="3322"/>
      <c r="K176" s="3211"/>
      <c r="L176" s="3333"/>
      <c r="M176" s="3211"/>
      <c r="N176" s="3333"/>
      <c r="O176" s="3335"/>
      <c r="P176" s="2093"/>
      <c r="Q176" s="2712"/>
      <c r="R176" s="3278"/>
      <c r="S176" s="3286"/>
      <c r="T176" s="2142"/>
      <c r="U176" s="2145"/>
      <c r="V176" s="2965"/>
      <c r="W176" s="1670">
        <f>80000000+207017358.94</f>
        <v>287017358.94</v>
      </c>
      <c r="X176" s="1347" t="s">
        <v>2794</v>
      </c>
      <c r="Y176" s="1494">
        <v>9</v>
      </c>
      <c r="Z176" s="1460" t="s">
        <v>2795</v>
      </c>
      <c r="AA176" s="3218"/>
      <c r="AB176" s="3216"/>
      <c r="AC176" s="3216"/>
      <c r="AD176" s="3216"/>
      <c r="AE176" s="3216"/>
      <c r="AF176" s="3216"/>
      <c r="AG176" s="3216"/>
      <c r="AH176" s="3216"/>
      <c r="AI176" s="3216"/>
      <c r="AJ176" s="3216"/>
      <c r="AK176" s="3216"/>
      <c r="AL176" s="3216"/>
      <c r="AM176" s="3216"/>
      <c r="AN176" s="3216"/>
      <c r="AO176" s="3216"/>
      <c r="AP176" s="3216"/>
      <c r="AQ176" s="2973"/>
      <c r="AR176" s="2973"/>
      <c r="AS176" s="2372"/>
    </row>
    <row r="177" spans="1:45" ht="48" customHeight="1" x14ac:dyDescent="0.25">
      <c r="A177" s="1495"/>
      <c r="B177" s="1452"/>
      <c r="C177" s="1470"/>
      <c r="D177" s="1452"/>
      <c r="G177" s="3211"/>
      <c r="H177" s="3322"/>
      <c r="I177" s="3211"/>
      <c r="J177" s="3322"/>
      <c r="K177" s="3211"/>
      <c r="L177" s="3333"/>
      <c r="M177" s="3211"/>
      <c r="N177" s="3333"/>
      <c r="O177" s="3335"/>
      <c r="P177" s="2093"/>
      <c r="Q177" s="2712"/>
      <c r="R177" s="3278"/>
      <c r="S177" s="3286"/>
      <c r="T177" s="2142"/>
      <c r="U177" s="2145"/>
      <c r="V177" s="2965"/>
      <c r="W177" s="1670">
        <v>188164805.88</v>
      </c>
      <c r="X177" s="1347" t="s">
        <v>2796</v>
      </c>
      <c r="Y177" s="1494">
        <v>91</v>
      </c>
      <c r="Z177" s="1460" t="s">
        <v>2797</v>
      </c>
      <c r="AA177" s="3218"/>
      <c r="AB177" s="3216"/>
      <c r="AC177" s="3216"/>
      <c r="AD177" s="3216"/>
      <c r="AE177" s="3216"/>
      <c r="AF177" s="3216"/>
      <c r="AG177" s="3216"/>
      <c r="AH177" s="3216"/>
      <c r="AI177" s="3216"/>
      <c r="AJ177" s="3216"/>
      <c r="AK177" s="3216"/>
      <c r="AL177" s="3216"/>
      <c r="AM177" s="3216"/>
      <c r="AN177" s="3216"/>
      <c r="AO177" s="3216"/>
      <c r="AP177" s="3216"/>
      <c r="AQ177" s="2973"/>
      <c r="AR177" s="2973"/>
      <c r="AS177" s="2372"/>
    </row>
    <row r="178" spans="1:45" ht="99.75" customHeight="1" x14ac:dyDescent="0.25">
      <c r="A178" s="1495"/>
      <c r="B178" s="1452"/>
      <c r="C178" s="1470"/>
      <c r="D178" s="1452"/>
      <c r="G178" s="3211"/>
      <c r="H178" s="3322"/>
      <c r="I178" s="3211"/>
      <c r="J178" s="3322"/>
      <c r="K178" s="3211"/>
      <c r="L178" s="3333"/>
      <c r="M178" s="3211"/>
      <c r="N178" s="3333"/>
      <c r="O178" s="3335"/>
      <c r="P178" s="2093"/>
      <c r="Q178" s="2712"/>
      <c r="R178" s="3278"/>
      <c r="S178" s="3286"/>
      <c r="T178" s="2142"/>
      <c r="U178" s="2145"/>
      <c r="V178" s="2056" t="s">
        <v>2798</v>
      </c>
      <c r="W178" s="1669">
        <v>1923000000</v>
      </c>
      <c r="X178" s="1347" t="s">
        <v>2799</v>
      </c>
      <c r="Y178" s="3331">
        <v>25</v>
      </c>
      <c r="Z178" s="2055" t="s">
        <v>2486</v>
      </c>
      <c r="AA178" s="3218"/>
      <c r="AB178" s="3216"/>
      <c r="AC178" s="3216"/>
      <c r="AD178" s="3216"/>
      <c r="AE178" s="3216"/>
      <c r="AF178" s="3216"/>
      <c r="AG178" s="3216"/>
      <c r="AH178" s="3216"/>
      <c r="AI178" s="3216"/>
      <c r="AJ178" s="3216"/>
      <c r="AK178" s="3216"/>
      <c r="AL178" s="3216"/>
      <c r="AM178" s="3216"/>
      <c r="AN178" s="3216"/>
      <c r="AO178" s="3216"/>
      <c r="AP178" s="3216"/>
      <c r="AQ178" s="2973"/>
      <c r="AR178" s="2973"/>
      <c r="AS178" s="2372"/>
    </row>
    <row r="179" spans="1:45" ht="15" customHeight="1" x14ac:dyDescent="0.25">
      <c r="A179" s="1495"/>
      <c r="B179" s="1452"/>
      <c r="C179" s="1470"/>
      <c r="D179" s="1452"/>
      <c r="G179" s="3211"/>
      <c r="H179" s="3322"/>
      <c r="I179" s="3211"/>
      <c r="J179" s="3322"/>
      <c r="K179" s="3211"/>
      <c r="L179" s="3333"/>
      <c r="M179" s="3211"/>
      <c r="N179" s="3333"/>
      <c r="O179" s="3335"/>
      <c r="P179" s="2093"/>
      <c r="Q179" s="2712"/>
      <c r="R179" s="3278"/>
      <c r="S179" s="3286"/>
      <c r="T179" s="2142"/>
      <c r="U179" s="2145"/>
      <c r="V179" s="2965"/>
      <c r="W179" s="1669">
        <v>70000000</v>
      </c>
      <c r="X179" s="1347" t="s">
        <v>2800</v>
      </c>
      <c r="Y179" s="3331"/>
      <c r="Z179" s="2055"/>
      <c r="AA179" s="3218"/>
      <c r="AB179" s="3216"/>
      <c r="AC179" s="3216"/>
      <c r="AD179" s="3216"/>
      <c r="AE179" s="3216"/>
      <c r="AF179" s="3216"/>
      <c r="AG179" s="3216"/>
      <c r="AH179" s="3216"/>
      <c r="AI179" s="3216"/>
      <c r="AJ179" s="3216"/>
      <c r="AK179" s="3216"/>
      <c r="AL179" s="3216"/>
      <c r="AM179" s="3216"/>
      <c r="AN179" s="3216"/>
      <c r="AO179" s="3216"/>
      <c r="AP179" s="3216"/>
      <c r="AQ179" s="2973"/>
      <c r="AR179" s="2973"/>
      <c r="AS179" s="2372"/>
    </row>
    <row r="180" spans="1:45" ht="15" customHeight="1" x14ac:dyDescent="0.25">
      <c r="A180" s="1495"/>
      <c r="B180" s="1452"/>
      <c r="C180" s="1470"/>
      <c r="D180" s="1452"/>
      <c r="G180" s="3211"/>
      <c r="H180" s="3322"/>
      <c r="I180" s="3211"/>
      <c r="J180" s="3322"/>
      <c r="K180" s="3211"/>
      <c r="L180" s="3333"/>
      <c r="M180" s="3211"/>
      <c r="N180" s="3333"/>
      <c r="O180" s="3335"/>
      <c r="P180" s="2093"/>
      <c r="Q180" s="2712"/>
      <c r="R180" s="3278"/>
      <c r="S180" s="3286"/>
      <c r="T180" s="2142"/>
      <c r="U180" s="2145"/>
      <c r="V180" s="2965"/>
      <c r="W180" s="1669">
        <v>49000000</v>
      </c>
      <c r="X180" s="1347" t="s">
        <v>2801</v>
      </c>
      <c r="Y180" s="3331"/>
      <c r="Z180" s="2055"/>
      <c r="AA180" s="3218"/>
      <c r="AB180" s="3216"/>
      <c r="AC180" s="3216"/>
      <c r="AD180" s="3216"/>
      <c r="AE180" s="3216"/>
      <c r="AF180" s="3216"/>
      <c r="AG180" s="3216"/>
      <c r="AH180" s="3216"/>
      <c r="AI180" s="3216"/>
      <c r="AJ180" s="3216"/>
      <c r="AK180" s="3216"/>
      <c r="AL180" s="3216"/>
      <c r="AM180" s="3216"/>
      <c r="AN180" s="3216"/>
      <c r="AO180" s="3216"/>
      <c r="AP180" s="3216"/>
      <c r="AQ180" s="2973"/>
      <c r="AR180" s="2973"/>
      <c r="AS180" s="2372"/>
    </row>
    <row r="181" spans="1:45" ht="15" customHeight="1" x14ac:dyDescent="0.25">
      <c r="A181" s="1495"/>
      <c r="B181" s="1452"/>
      <c r="C181" s="1470"/>
      <c r="D181" s="1452"/>
      <c r="G181" s="3211"/>
      <c r="H181" s="3322"/>
      <c r="I181" s="3211"/>
      <c r="J181" s="3322"/>
      <c r="K181" s="3211"/>
      <c r="L181" s="3333"/>
      <c r="M181" s="3211"/>
      <c r="N181" s="3333"/>
      <c r="O181" s="3335"/>
      <c r="P181" s="2093"/>
      <c r="Q181" s="2712"/>
      <c r="R181" s="3278"/>
      <c r="S181" s="3286"/>
      <c r="T181" s="2142"/>
      <c r="U181" s="2145"/>
      <c r="V181" s="2965"/>
      <c r="W181" s="1669">
        <v>155000000</v>
      </c>
      <c r="X181" s="1347" t="s">
        <v>2802</v>
      </c>
      <c r="Y181" s="3331"/>
      <c r="Z181" s="2055"/>
      <c r="AA181" s="3218"/>
      <c r="AB181" s="3216"/>
      <c r="AC181" s="3216"/>
      <c r="AD181" s="3216"/>
      <c r="AE181" s="3216"/>
      <c r="AF181" s="3216"/>
      <c r="AG181" s="3216"/>
      <c r="AH181" s="3216"/>
      <c r="AI181" s="3216"/>
      <c r="AJ181" s="3216"/>
      <c r="AK181" s="3216"/>
      <c r="AL181" s="3216"/>
      <c r="AM181" s="3216"/>
      <c r="AN181" s="3216"/>
      <c r="AO181" s="3216"/>
      <c r="AP181" s="3216"/>
      <c r="AQ181" s="2973"/>
      <c r="AR181" s="2973"/>
      <c r="AS181" s="2372"/>
    </row>
    <row r="182" spans="1:45" ht="15" customHeight="1" x14ac:dyDescent="0.25">
      <c r="A182" s="1495"/>
      <c r="B182" s="1452"/>
      <c r="C182" s="1470"/>
      <c r="D182" s="1452"/>
      <c r="G182" s="3211"/>
      <c r="H182" s="3322"/>
      <c r="I182" s="3211"/>
      <c r="J182" s="3322"/>
      <c r="K182" s="3211"/>
      <c r="L182" s="3333"/>
      <c r="M182" s="3211"/>
      <c r="N182" s="3333"/>
      <c r="O182" s="3335"/>
      <c r="P182" s="2093"/>
      <c r="Q182" s="2712"/>
      <c r="R182" s="3278"/>
      <c r="S182" s="3286"/>
      <c r="T182" s="2142"/>
      <c r="U182" s="2145"/>
      <c r="V182" s="2965"/>
      <c r="W182" s="1669">
        <v>79000000</v>
      </c>
      <c r="X182" s="1347" t="s">
        <v>2803</v>
      </c>
      <c r="Y182" s="3331"/>
      <c r="Z182" s="2055"/>
      <c r="AA182" s="3218"/>
      <c r="AB182" s="3216"/>
      <c r="AC182" s="3216"/>
      <c r="AD182" s="3216"/>
      <c r="AE182" s="3216"/>
      <c r="AF182" s="3216"/>
      <c r="AG182" s="3216"/>
      <c r="AH182" s="3216"/>
      <c r="AI182" s="3216"/>
      <c r="AJ182" s="3216"/>
      <c r="AK182" s="3216"/>
      <c r="AL182" s="3216"/>
      <c r="AM182" s="3216"/>
      <c r="AN182" s="3216"/>
      <c r="AO182" s="3216"/>
      <c r="AP182" s="3216"/>
      <c r="AQ182" s="2973"/>
      <c r="AR182" s="2973"/>
      <c r="AS182" s="2372"/>
    </row>
    <row r="183" spans="1:45" ht="15" customHeight="1" x14ac:dyDescent="0.25">
      <c r="A183" s="1495"/>
      <c r="B183" s="1452"/>
      <c r="C183" s="1470"/>
      <c r="D183" s="1452"/>
      <c r="G183" s="3211"/>
      <c r="H183" s="3322"/>
      <c r="I183" s="3211"/>
      <c r="J183" s="3322"/>
      <c r="K183" s="3211"/>
      <c r="L183" s="3333"/>
      <c r="M183" s="3211"/>
      <c r="N183" s="3333"/>
      <c r="O183" s="3335"/>
      <c r="P183" s="2093"/>
      <c r="Q183" s="2712"/>
      <c r="R183" s="3278"/>
      <c r="S183" s="3286"/>
      <c r="T183" s="2142"/>
      <c r="U183" s="2145"/>
      <c r="V183" s="2965"/>
      <c r="W183" s="1669">
        <v>20000000</v>
      </c>
      <c r="X183" s="1347" t="s">
        <v>2804</v>
      </c>
      <c r="Y183" s="3331"/>
      <c r="Z183" s="2055"/>
      <c r="AA183" s="3218"/>
      <c r="AB183" s="3216"/>
      <c r="AC183" s="3216"/>
      <c r="AD183" s="3216"/>
      <c r="AE183" s="3216"/>
      <c r="AF183" s="3216"/>
      <c r="AG183" s="3216"/>
      <c r="AH183" s="3216"/>
      <c r="AI183" s="3216"/>
      <c r="AJ183" s="3216"/>
      <c r="AK183" s="3216"/>
      <c r="AL183" s="3216"/>
      <c r="AM183" s="3216"/>
      <c r="AN183" s="3216"/>
      <c r="AO183" s="3216"/>
      <c r="AP183" s="3216"/>
      <c r="AQ183" s="2973"/>
      <c r="AR183" s="2973"/>
      <c r="AS183" s="2372"/>
    </row>
    <row r="184" spans="1:45" ht="15" customHeight="1" x14ac:dyDescent="0.25">
      <c r="A184" s="1495"/>
      <c r="B184" s="1452"/>
      <c r="C184" s="1470"/>
      <c r="D184" s="1452"/>
      <c r="G184" s="3211"/>
      <c r="H184" s="3322"/>
      <c r="I184" s="3211"/>
      <c r="J184" s="3322"/>
      <c r="K184" s="3211"/>
      <c r="L184" s="3333"/>
      <c r="M184" s="3211"/>
      <c r="N184" s="3333"/>
      <c r="O184" s="3335"/>
      <c r="P184" s="2093"/>
      <c r="Q184" s="2712"/>
      <c r="R184" s="3278"/>
      <c r="S184" s="3286"/>
      <c r="T184" s="2142"/>
      <c r="U184" s="2145"/>
      <c r="V184" s="2965"/>
      <c r="W184" s="1669">
        <v>208000000</v>
      </c>
      <c r="X184" s="1347" t="s">
        <v>2805</v>
      </c>
      <c r="Y184" s="3331"/>
      <c r="Z184" s="2055"/>
      <c r="AA184" s="3218"/>
      <c r="AB184" s="3216"/>
      <c r="AC184" s="3216"/>
      <c r="AD184" s="3216"/>
      <c r="AE184" s="3216"/>
      <c r="AF184" s="3216"/>
      <c r="AG184" s="3216"/>
      <c r="AH184" s="3216"/>
      <c r="AI184" s="3216"/>
      <c r="AJ184" s="3216"/>
      <c r="AK184" s="3216"/>
      <c r="AL184" s="3216"/>
      <c r="AM184" s="3216"/>
      <c r="AN184" s="3216"/>
      <c r="AO184" s="3216"/>
      <c r="AP184" s="3216"/>
      <c r="AQ184" s="2973"/>
      <c r="AR184" s="2973"/>
      <c r="AS184" s="2372"/>
    </row>
    <row r="185" spans="1:45" ht="15" customHeight="1" x14ac:dyDescent="0.25">
      <c r="A185" s="1495"/>
      <c r="B185" s="1452"/>
      <c r="C185" s="1470"/>
      <c r="D185" s="1452"/>
      <c r="G185" s="3211"/>
      <c r="H185" s="3322"/>
      <c r="I185" s="3211"/>
      <c r="J185" s="3322"/>
      <c r="K185" s="3211"/>
      <c r="L185" s="3333"/>
      <c r="M185" s="3211"/>
      <c r="N185" s="3333"/>
      <c r="O185" s="3335"/>
      <c r="P185" s="2093"/>
      <c r="Q185" s="2712"/>
      <c r="R185" s="3278"/>
      <c r="S185" s="3286"/>
      <c r="T185" s="2142"/>
      <c r="U185" s="2145"/>
      <c r="V185" s="2965"/>
      <c r="W185" s="1669">
        <v>148000000</v>
      </c>
      <c r="X185" s="1347" t="s">
        <v>2806</v>
      </c>
      <c r="Y185" s="3331"/>
      <c r="Z185" s="2055"/>
      <c r="AA185" s="3218"/>
      <c r="AB185" s="3216"/>
      <c r="AC185" s="3216"/>
      <c r="AD185" s="3216"/>
      <c r="AE185" s="3216"/>
      <c r="AF185" s="3216"/>
      <c r="AG185" s="3216"/>
      <c r="AH185" s="3216"/>
      <c r="AI185" s="3216"/>
      <c r="AJ185" s="3216"/>
      <c r="AK185" s="3216"/>
      <c r="AL185" s="3216"/>
      <c r="AM185" s="3216"/>
      <c r="AN185" s="3216"/>
      <c r="AO185" s="3216"/>
      <c r="AP185" s="3216"/>
      <c r="AQ185" s="2973"/>
      <c r="AR185" s="2973"/>
      <c r="AS185" s="2372"/>
    </row>
    <row r="186" spans="1:45" ht="15" customHeight="1" x14ac:dyDescent="0.25">
      <c r="A186" s="1495"/>
      <c r="B186" s="1452"/>
      <c r="C186" s="1470"/>
      <c r="D186" s="1452"/>
      <c r="G186" s="3211"/>
      <c r="H186" s="3322"/>
      <c r="I186" s="3211"/>
      <c r="J186" s="3322"/>
      <c r="K186" s="3211"/>
      <c r="L186" s="3333"/>
      <c r="M186" s="3211"/>
      <c r="N186" s="3333"/>
      <c r="O186" s="3335"/>
      <c r="P186" s="2093"/>
      <c r="Q186" s="2712"/>
      <c r="R186" s="3278"/>
      <c r="S186" s="3286"/>
      <c r="T186" s="2142"/>
      <c r="U186" s="2145"/>
      <c r="V186" s="2965"/>
      <c r="W186" s="1669">
        <v>371000000</v>
      </c>
      <c r="X186" s="1347" t="s">
        <v>2807</v>
      </c>
      <c r="Y186" s="3331"/>
      <c r="Z186" s="2055"/>
      <c r="AA186" s="3218"/>
      <c r="AB186" s="3216"/>
      <c r="AC186" s="3216"/>
      <c r="AD186" s="3216"/>
      <c r="AE186" s="3216"/>
      <c r="AF186" s="3216"/>
      <c r="AG186" s="3216"/>
      <c r="AH186" s="3216"/>
      <c r="AI186" s="3216"/>
      <c r="AJ186" s="3216"/>
      <c r="AK186" s="3216"/>
      <c r="AL186" s="3216"/>
      <c r="AM186" s="3216"/>
      <c r="AN186" s="3216"/>
      <c r="AO186" s="3216"/>
      <c r="AP186" s="3216"/>
      <c r="AQ186" s="2973"/>
      <c r="AR186" s="2973"/>
      <c r="AS186" s="2372"/>
    </row>
    <row r="187" spans="1:45" ht="15" customHeight="1" x14ac:dyDescent="0.25">
      <c r="A187" s="1495"/>
      <c r="B187" s="1452"/>
      <c r="C187" s="1470"/>
      <c r="D187" s="1452"/>
      <c r="G187" s="3211"/>
      <c r="H187" s="3322"/>
      <c r="I187" s="3211"/>
      <c r="J187" s="3322"/>
      <c r="K187" s="3211"/>
      <c r="L187" s="3333"/>
      <c r="M187" s="3211"/>
      <c r="N187" s="3333"/>
      <c r="O187" s="3335"/>
      <c r="P187" s="2093"/>
      <c r="Q187" s="2712"/>
      <c r="R187" s="3278"/>
      <c r="S187" s="3286"/>
      <c r="T187" s="2142"/>
      <c r="U187" s="2145"/>
      <c r="V187" s="2965"/>
      <c r="W187" s="1669">
        <v>75000000</v>
      </c>
      <c r="X187" s="1347" t="s">
        <v>2808</v>
      </c>
      <c r="Y187" s="3331"/>
      <c r="Z187" s="2055"/>
      <c r="AA187" s="3218"/>
      <c r="AB187" s="3216"/>
      <c r="AC187" s="3216"/>
      <c r="AD187" s="3216"/>
      <c r="AE187" s="3216"/>
      <c r="AF187" s="3216"/>
      <c r="AG187" s="3216"/>
      <c r="AH187" s="3216"/>
      <c r="AI187" s="3216"/>
      <c r="AJ187" s="3216"/>
      <c r="AK187" s="3216"/>
      <c r="AL187" s="3216"/>
      <c r="AM187" s="3216"/>
      <c r="AN187" s="3216"/>
      <c r="AO187" s="3216"/>
      <c r="AP187" s="3216"/>
      <c r="AQ187" s="2973"/>
      <c r="AR187" s="2973"/>
      <c r="AS187" s="2372"/>
    </row>
    <row r="188" spans="1:45" ht="15" customHeight="1" x14ac:dyDescent="0.25">
      <c r="A188" s="1495"/>
      <c r="B188" s="1452"/>
      <c r="C188" s="1470"/>
      <c r="D188" s="1452"/>
      <c r="G188" s="3211"/>
      <c r="H188" s="3322"/>
      <c r="I188" s="3211"/>
      <c r="J188" s="3322"/>
      <c r="K188" s="3211"/>
      <c r="L188" s="3333"/>
      <c r="M188" s="3211"/>
      <c r="N188" s="3333"/>
      <c r="O188" s="3335"/>
      <c r="P188" s="2093"/>
      <c r="Q188" s="2712"/>
      <c r="R188" s="3278"/>
      <c r="S188" s="3286"/>
      <c r="T188" s="2142"/>
      <c r="U188" s="2145"/>
      <c r="V188" s="2965"/>
      <c r="W188" s="1669">
        <v>10000000</v>
      </c>
      <c r="X188" s="1347" t="s">
        <v>2809</v>
      </c>
      <c r="Y188" s="3331"/>
      <c r="Z188" s="2055"/>
      <c r="AA188" s="3218"/>
      <c r="AB188" s="3216"/>
      <c r="AC188" s="3216"/>
      <c r="AD188" s="3216"/>
      <c r="AE188" s="3216"/>
      <c r="AF188" s="3216"/>
      <c r="AG188" s="3216"/>
      <c r="AH188" s="3216"/>
      <c r="AI188" s="3216"/>
      <c r="AJ188" s="3216"/>
      <c r="AK188" s="3216"/>
      <c r="AL188" s="3216"/>
      <c r="AM188" s="3216"/>
      <c r="AN188" s="3216"/>
      <c r="AO188" s="3216"/>
      <c r="AP188" s="3216"/>
      <c r="AQ188" s="2973"/>
      <c r="AR188" s="2973"/>
      <c r="AS188" s="2372"/>
    </row>
    <row r="189" spans="1:45" ht="15" customHeight="1" x14ac:dyDescent="0.25">
      <c r="A189" s="1495"/>
      <c r="B189" s="1452"/>
      <c r="C189" s="1470"/>
      <c r="D189" s="1452"/>
      <c r="G189" s="3211"/>
      <c r="H189" s="3322"/>
      <c r="I189" s="3211"/>
      <c r="J189" s="3322"/>
      <c r="K189" s="3211"/>
      <c r="L189" s="3333"/>
      <c r="M189" s="3211"/>
      <c r="N189" s="3333"/>
      <c r="O189" s="3335"/>
      <c r="P189" s="2093"/>
      <c r="Q189" s="2712"/>
      <c r="R189" s="3278"/>
      <c r="S189" s="3286"/>
      <c r="T189" s="2142"/>
      <c r="U189" s="2145"/>
      <c r="V189" s="2965"/>
      <c r="W189" s="1669">
        <v>57000000</v>
      </c>
      <c r="X189" s="1347" t="s">
        <v>2810</v>
      </c>
      <c r="Y189" s="3331"/>
      <c r="Z189" s="2055"/>
      <c r="AA189" s="3218"/>
      <c r="AB189" s="3216"/>
      <c r="AC189" s="3216"/>
      <c r="AD189" s="3216"/>
      <c r="AE189" s="3216"/>
      <c r="AF189" s="3216"/>
      <c r="AG189" s="3216"/>
      <c r="AH189" s="3216"/>
      <c r="AI189" s="3216"/>
      <c r="AJ189" s="3216"/>
      <c r="AK189" s="3216"/>
      <c r="AL189" s="3216"/>
      <c r="AM189" s="3216"/>
      <c r="AN189" s="3216"/>
      <c r="AO189" s="3216"/>
      <c r="AP189" s="3216"/>
      <c r="AQ189" s="2973"/>
      <c r="AR189" s="2973"/>
      <c r="AS189" s="2372"/>
    </row>
    <row r="190" spans="1:45" ht="15" customHeight="1" x14ac:dyDescent="0.25">
      <c r="A190" s="1495"/>
      <c r="B190" s="1452"/>
      <c r="C190" s="1470"/>
      <c r="D190" s="1452"/>
      <c r="G190" s="3211"/>
      <c r="H190" s="3322"/>
      <c r="I190" s="3211"/>
      <c r="J190" s="3322"/>
      <c r="K190" s="3211"/>
      <c r="L190" s="3333"/>
      <c r="M190" s="3211"/>
      <c r="N190" s="3333"/>
      <c r="O190" s="3335"/>
      <c r="P190" s="2093"/>
      <c r="Q190" s="2712"/>
      <c r="R190" s="3278"/>
      <c r="S190" s="3286"/>
      <c r="T190" s="2142"/>
      <c r="U190" s="2145"/>
      <c r="V190" s="2965"/>
      <c r="W190" s="1669">
        <v>10000000</v>
      </c>
      <c r="X190" s="1347" t="s">
        <v>2811</v>
      </c>
      <c r="Y190" s="3331"/>
      <c r="Z190" s="2055"/>
      <c r="AA190" s="3218"/>
      <c r="AB190" s="3216"/>
      <c r="AC190" s="3216"/>
      <c r="AD190" s="3216"/>
      <c r="AE190" s="3216"/>
      <c r="AF190" s="3216"/>
      <c r="AG190" s="3216"/>
      <c r="AH190" s="3216"/>
      <c r="AI190" s="3216"/>
      <c r="AJ190" s="3216"/>
      <c r="AK190" s="3216"/>
      <c r="AL190" s="3216"/>
      <c r="AM190" s="3216"/>
      <c r="AN190" s="3216"/>
      <c r="AO190" s="3216"/>
      <c r="AP190" s="3216"/>
      <c r="AQ190" s="2973"/>
      <c r="AR190" s="2973"/>
      <c r="AS190" s="2372"/>
    </row>
    <row r="191" spans="1:45" ht="15" customHeight="1" x14ac:dyDescent="0.25">
      <c r="A191" s="1495"/>
      <c r="B191" s="1452"/>
      <c r="C191" s="1470"/>
      <c r="D191" s="1452"/>
      <c r="G191" s="3211"/>
      <c r="H191" s="3322"/>
      <c r="I191" s="3211"/>
      <c r="J191" s="3322"/>
      <c r="K191" s="3211"/>
      <c r="L191" s="3333"/>
      <c r="M191" s="3211"/>
      <c r="N191" s="3333"/>
      <c r="O191" s="3335"/>
      <c r="P191" s="2093"/>
      <c r="Q191" s="2712"/>
      <c r="R191" s="3278"/>
      <c r="S191" s="3286"/>
      <c r="T191" s="2142"/>
      <c r="U191" s="2145"/>
      <c r="V191" s="2965"/>
      <c r="W191" s="1669">
        <v>10000000</v>
      </c>
      <c r="X191" s="1347" t="s">
        <v>2812</v>
      </c>
      <c r="Y191" s="3331"/>
      <c r="Z191" s="2055"/>
      <c r="AA191" s="3218"/>
      <c r="AB191" s="3216"/>
      <c r="AC191" s="3216"/>
      <c r="AD191" s="3216"/>
      <c r="AE191" s="3216"/>
      <c r="AF191" s="3216"/>
      <c r="AG191" s="3216"/>
      <c r="AH191" s="3216"/>
      <c r="AI191" s="3216"/>
      <c r="AJ191" s="3216"/>
      <c r="AK191" s="3216"/>
      <c r="AL191" s="3216"/>
      <c r="AM191" s="3216"/>
      <c r="AN191" s="3216"/>
      <c r="AO191" s="3216"/>
      <c r="AP191" s="3216"/>
      <c r="AQ191" s="2973"/>
      <c r="AR191" s="2973"/>
      <c r="AS191" s="2372"/>
    </row>
    <row r="192" spans="1:45" ht="15" customHeight="1" x14ac:dyDescent="0.25">
      <c r="A192" s="1495"/>
      <c r="B192" s="1452"/>
      <c r="C192" s="1470"/>
      <c r="D192" s="1452"/>
      <c r="G192" s="3211"/>
      <c r="H192" s="3322"/>
      <c r="I192" s="3211"/>
      <c r="J192" s="3322"/>
      <c r="K192" s="3211"/>
      <c r="L192" s="3333"/>
      <c r="M192" s="3211"/>
      <c r="N192" s="3333"/>
      <c r="O192" s="3335"/>
      <c r="P192" s="2093"/>
      <c r="Q192" s="2712"/>
      <c r="R192" s="3278"/>
      <c r="S192" s="3286"/>
      <c r="T192" s="2142"/>
      <c r="U192" s="2145"/>
      <c r="V192" s="2965"/>
      <c r="W192" s="1669">
        <v>19000000</v>
      </c>
      <c r="X192" s="1347" t="s">
        <v>2813</v>
      </c>
      <c r="Y192" s="3331"/>
      <c r="Z192" s="2055"/>
      <c r="AA192" s="3218"/>
      <c r="AB192" s="3216"/>
      <c r="AC192" s="3216"/>
      <c r="AD192" s="3216"/>
      <c r="AE192" s="3216"/>
      <c r="AF192" s="3216"/>
      <c r="AG192" s="3216"/>
      <c r="AH192" s="3216"/>
      <c r="AI192" s="3216"/>
      <c r="AJ192" s="3216"/>
      <c r="AK192" s="3216"/>
      <c r="AL192" s="3216"/>
      <c r="AM192" s="3216"/>
      <c r="AN192" s="3216"/>
      <c r="AO192" s="3216"/>
      <c r="AP192" s="3216"/>
      <c r="AQ192" s="2973"/>
      <c r="AR192" s="2973"/>
      <c r="AS192" s="2372"/>
    </row>
    <row r="193" spans="1:45" ht="15" customHeight="1" x14ac:dyDescent="0.25">
      <c r="A193" s="1495"/>
      <c r="B193" s="1452"/>
      <c r="C193" s="1470"/>
      <c r="D193" s="1452"/>
      <c r="G193" s="3211"/>
      <c r="H193" s="3322"/>
      <c r="I193" s="3211"/>
      <c r="J193" s="3322"/>
      <c r="K193" s="3211"/>
      <c r="L193" s="3333"/>
      <c r="M193" s="3211"/>
      <c r="N193" s="3333"/>
      <c r="O193" s="3335"/>
      <c r="P193" s="2093"/>
      <c r="Q193" s="2712"/>
      <c r="R193" s="3278"/>
      <c r="S193" s="3286"/>
      <c r="T193" s="2142"/>
      <c r="U193" s="2145"/>
      <c r="V193" s="2965"/>
      <c r="W193" s="1669">
        <v>16000000</v>
      </c>
      <c r="X193" s="1347" t="s">
        <v>2814</v>
      </c>
      <c r="Y193" s="3331"/>
      <c r="Z193" s="2055"/>
      <c r="AA193" s="3218"/>
      <c r="AB193" s="3216"/>
      <c r="AC193" s="3216"/>
      <c r="AD193" s="3216"/>
      <c r="AE193" s="3216"/>
      <c r="AF193" s="3216"/>
      <c r="AG193" s="3216"/>
      <c r="AH193" s="3216"/>
      <c r="AI193" s="3216"/>
      <c r="AJ193" s="3216"/>
      <c r="AK193" s="3216"/>
      <c r="AL193" s="3216"/>
      <c r="AM193" s="3216"/>
      <c r="AN193" s="3216"/>
      <c r="AO193" s="3216"/>
      <c r="AP193" s="3216"/>
      <c r="AQ193" s="2973"/>
      <c r="AR193" s="2973"/>
      <c r="AS193" s="2372"/>
    </row>
    <row r="194" spans="1:45" ht="15" customHeight="1" x14ac:dyDescent="0.25">
      <c r="A194" s="1495"/>
      <c r="B194" s="1452"/>
      <c r="C194" s="1470"/>
      <c r="D194" s="1452"/>
      <c r="G194" s="3211"/>
      <c r="H194" s="3322"/>
      <c r="I194" s="3211"/>
      <c r="J194" s="3322"/>
      <c r="K194" s="3211"/>
      <c r="L194" s="3333"/>
      <c r="M194" s="3211"/>
      <c r="N194" s="3333"/>
      <c r="O194" s="3335"/>
      <c r="P194" s="2093"/>
      <c r="Q194" s="2712"/>
      <c r="R194" s="3278"/>
      <c r="S194" s="3286"/>
      <c r="T194" s="2142"/>
      <c r="U194" s="2145"/>
      <c r="V194" s="2965"/>
      <c r="W194" s="1669">
        <v>10000000</v>
      </c>
      <c r="X194" s="1347" t="s">
        <v>2815</v>
      </c>
      <c r="Y194" s="3331"/>
      <c r="Z194" s="2055"/>
      <c r="AA194" s="3218"/>
      <c r="AB194" s="3216"/>
      <c r="AC194" s="3216"/>
      <c r="AD194" s="3216"/>
      <c r="AE194" s="3216"/>
      <c r="AF194" s="3216"/>
      <c r="AG194" s="3216"/>
      <c r="AH194" s="3216"/>
      <c r="AI194" s="3216"/>
      <c r="AJ194" s="3216"/>
      <c r="AK194" s="3216"/>
      <c r="AL194" s="3216"/>
      <c r="AM194" s="3216"/>
      <c r="AN194" s="3216"/>
      <c r="AO194" s="3216"/>
      <c r="AP194" s="3216"/>
      <c r="AQ194" s="2973"/>
      <c r="AR194" s="2973"/>
      <c r="AS194" s="2372"/>
    </row>
    <row r="195" spans="1:45" ht="15" customHeight="1" x14ac:dyDescent="0.25">
      <c r="A195" s="1495"/>
      <c r="B195" s="1452"/>
      <c r="C195" s="1470"/>
      <c r="D195" s="1452"/>
      <c r="G195" s="3211"/>
      <c r="H195" s="3322"/>
      <c r="I195" s="3211"/>
      <c r="J195" s="3322"/>
      <c r="K195" s="3211"/>
      <c r="L195" s="3333"/>
      <c r="M195" s="3211"/>
      <c r="N195" s="3333"/>
      <c r="O195" s="3335"/>
      <c r="P195" s="2093"/>
      <c r="Q195" s="2712"/>
      <c r="R195" s="3278"/>
      <c r="S195" s="3286"/>
      <c r="T195" s="2142"/>
      <c r="U195" s="2145"/>
      <c r="V195" s="2965"/>
      <c r="W195" s="1669">
        <v>100000000</v>
      </c>
      <c r="X195" s="1347" t="s">
        <v>2816</v>
      </c>
      <c r="Y195" s="3331"/>
      <c r="Z195" s="2055"/>
      <c r="AA195" s="3218"/>
      <c r="AB195" s="3216"/>
      <c r="AC195" s="3216"/>
      <c r="AD195" s="3216"/>
      <c r="AE195" s="3216"/>
      <c r="AF195" s="3216"/>
      <c r="AG195" s="3216"/>
      <c r="AH195" s="3216"/>
      <c r="AI195" s="3216"/>
      <c r="AJ195" s="3216"/>
      <c r="AK195" s="3216"/>
      <c r="AL195" s="3216"/>
      <c r="AM195" s="3216"/>
      <c r="AN195" s="3216"/>
      <c r="AO195" s="3216"/>
      <c r="AP195" s="3216"/>
      <c r="AQ195" s="2973"/>
      <c r="AR195" s="2973"/>
      <c r="AS195" s="2372"/>
    </row>
    <row r="196" spans="1:45" ht="15" customHeight="1" x14ac:dyDescent="0.25">
      <c r="A196" s="1495"/>
      <c r="B196" s="1452"/>
      <c r="C196" s="1470"/>
      <c r="D196" s="1452"/>
      <c r="G196" s="3211"/>
      <c r="H196" s="3322"/>
      <c r="I196" s="3211"/>
      <c r="J196" s="3322"/>
      <c r="K196" s="3211"/>
      <c r="L196" s="3333"/>
      <c r="M196" s="3211"/>
      <c r="N196" s="3333"/>
      <c r="O196" s="3335"/>
      <c r="P196" s="2093"/>
      <c r="Q196" s="2712"/>
      <c r="R196" s="3278"/>
      <c r="S196" s="3286"/>
      <c r="T196" s="2142"/>
      <c r="U196" s="2145"/>
      <c r="V196" s="2965"/>
      <c r="W196" s="1669">
        <v>70000000</v>
      </c>
      <c r="X196" s="1347" t="s">
        <v>2817</v>
      </c>
      <c r="Y196" s="3331"/>
      <c r="Z196" s="2055"/>
      <c r="AA196" s="3218"/>
      <c r="AB196" s="3216"/>
      <c r="AC196" s="3216"/>
      <c r="AD196" s="3216"/>
      <c r="AE196" s="3216"/>
      <c r="AF196" s="3216"/>
      <c r="AG196" s="3216"/>
      <c r="AH196" s="3216"/>
      <c r="AI196" s="3216"/>
      <c r="AJ196" s="3216"/>
      <c r="AK196" s="3216"/>
      <c r="AL196" s="3216"/>
      <c r="AM196" s="3216"/>
      <c r="AN196" s="3216"/>
      <c r="AO196" s="3216"/>
      <c r="AP196" s="3216"/>
      <c r="AQ196" s="2973"/>
      <c r="AR196" s="2973"/>
      <c r="AS196" s="2372"/>
    </row>
    <row r="197" spans="1:45" ht="15" customHeight="1" x14ac:dyDescent="0.25">
      <c r="A197" s="1495"/>
      <c r="B197" s="1452"/>
      <c r="C197" s="1470"/>
      <c r="D197" s="1452"/>
      <c r="G197" s="3211"/>
      <c r="H197" s="3322"/>
      <c r="I197" s="3211"/>
      <c r="J197" s="3322"/>
      <c r="K197" s="3211"/>
      <c r="L197" s="3333"/>
      <c r="M197" s="3211"/>
      <c r="N197" s="3333"/>
      <c r="O197" s="3335"/>
      <c r="P197" s="2093"/>
      <c r="Q197" s="2712"/>
      <c r="R197" s="3278"/>
      <c r="S197" s="3286"/>
      <c r="T197" s="2142"/>
      <c r="U197" s="2145"/>
      <c r="V197" s="2965"/>
      <c r="W197" s="1669">
        <v>177000000</v>
      </c>
      <c r="X197" s="1347" t="s">
        <v>2818</v>
      </c>
      <c r="Y197" s="3331"/>
      <c r="Z197" s="2055"/>
      <c r="AA197" s="3218"/>
      <c r="AB197" s="3216"/>
      <c r="AC197" s="3216"/>
      <c r="AD197" s="3216"/>
      <c r="AE197" s="3216"/>
      <c r="AF197" s="3216"/>
      <c r="AG197" s="3216"/>
      <c r="AH197" s="3216"/>
      <c r="AI197" s="3216"/>
      <c r="AJ197" s="3216"/>
      <c r="AK197" s="3216"/>
      <c r="AL197" s="3216"/>
      <c r="AM197" s="3216"/>
      <c r="AN197" s="3216"/>
      <c r="AO197" s="3216"/>
      <c r="AP197" s="3216"/>
      <c r="AQ197" s="2973"/>
      <c r="AR197" s="2973"/>
      <c r="AS197" s="2372"/>
    </row>
    <row r="198" spans="1:45" ht="15" customHeight="1" x14ac:dyDescent="0.25">
      <c r="A198" s="1495"/>
      <c r="B198" s="1452"/>
      <c r="C198" s="1470"/>
      <c r="D198" s="1452"/>
      <c r="G198" s="3211"/>
      <c r="H198" s="3322"/>
      <c r="I198" s="3211"/>
      <c r="J198" s="3322"/>
      <c r="K198" s="3211"/>
      <c r="L198" s="3333"/>
      <c r="M198" s="3211"/>
      <c r="N198" s="3333"/>
      <c r="O198" s="3335"/>
      <c r="P198" s="2093"/>
      <c r="Q198" s="2712"/>
      <c r="R198" s="3278"/>
      <c r="S198" s="3286"/>
      <c r="T198" s="2142"/>
      <c r="U198" s="2145"/>
      <c r="V198" s="2965"/>
      <c r="W198" s="1669">
        <v>50000000</v>
      </c>
      <c r="X198" s="1347" t="s">
        <v>2819</v>
      </c>
      <c r="Y198" s="3331"/>
      <c r="Z198" s="2055"/>
      <c r="AA198" s="3218"/>
      <c r="AB198" s="3216"/>
      <c r="AC198" s="3216"/>
      <c r="AD198" s="3216"/>
      <c r="AE198" s="3216"/>
      <c r="AF198" s="3216"/>
      <c r="AG198" s="3216"/>
      <c r="AH198" s="3216"/>
      <c r="AI198" s="3216"/>
      <c r="AJ198" s="3216"/>
      <c r="AK198" s="3216"/>
      <c r="AL198" s="3216"/>
      <c r="AM198" s="3216"/>
      <c r="AN198" s="3216"/>
      <c r="AO198" s="3216"/>
      <c r="AP198" s="3216"/>
      <c r="AQ198" s="2973"/>
      <c r="AR198" s="2973"/>
      <c r="AS198" s="2372"/>
    </row>
    <row r="199" spans="1:45" ht="32.25" customHeight="1" x14ac:dyDescent="0.25">
      <c r="A199" s="1495"/>
      <c r="B199" s="1452"/>
      <c r="C199" s="1470"/>
      <c r="D199" s="1452"/>
      <c r="G199" s="3211"/>
      <c r="H199" s="3322"/>
      <c r="I199" s="3211"/>
      <c r="J199" s="3322"/>
      <c r="K199" s="3211"/>
      <c r="L199" s="3333"/>
      <c r="M199" s="3211"/>
      <c r="N199" s="3333"/>
      <c r="O199" s="3335"/>
      <c r="P199" s="2093"/>
      <c r="Q199" s="2712"/>
      <c r="R199" s="3278"/>
      <c r="S199" s="3286"/>
      <c r="T199" s="2142"/>
      <c r="U199" s="2145"/>
      <c r="V199" s="2966"/>
      <c r="W199" s="1671">
        <v>3120000</v>
      </c>
      <c r="X199" s="1361" t="s">
        <v>2820</v>
      </c>
      <c r="Y199" s="1672">
        <v>188</v>
      </c>
      <c r="Z199" s="1458" t="s">
        <v>2821</v>
      </c>
      <c r="AA199" s="3218"/>
      <c r="AB199" s="3216"/>
      <c r="AC199" s="3216"/>
      <c r="AD199" s="3216"/>
      <c r="AE199" s="3216"/>
      <c r="AF199" s="3216"/>
      <c r="AG199" s="3216"/>
      <c r="AH199" s="3216"/>
      <c r="AI199" s="3216"/>
      <c r="AJ199" s="3216"/>
      <c r="AK199" s="3216"/>
      <c r="AL199" s="3216"/>
      <c r="AM199" s="3216"/>
      <c r="AN199" s="3216"/>
      <c r="AO199" s="3216"/>
      <c r="AP199" s="3216"/>
      <c r="AQ199" s="2973"/>
      <c r="AR199" s="2973"/>
      <c r="AS199" s="2372"/>
    </row>
    <row r="200" spans="1:45" ht="17.25" customHeight="1" x14ac:dyDescent="0.25">
      <c r="A200" s="1495"/>
      <c r="B200" s="1452"/>
      <c r="C200" s="1470"/>
      <c r="D200" s="1452"/>
      <c r="G200" s="3211"/>
      <c r="H200" s="3322"/>
      <c r="I200" s="3211"/>
      <c r="J200" s="3322"/>
      <c r="K200" s="3211"/>
      <c r="L200" s="3333"/>
      <c r="M200" s="3211"/>
      <c r="N200" s="3333"/>
      <c r="O200" s="3335"/>
      <c r="P200" s="2093"/>
      <c r="Q200" s="2712"/>
      <c r="R200" s="3278"/>
      <c r="S200" s="3286"/>
      <c r="T200" s="2142"/>
      <c r="U200" s="2145"/>
      <c r="V200" s="2056" t="s">
        <v>2822</v>
      </c>
      <c r="W200" s="1671">
        <v>86709124.420000002</v>
      </c>
      <c r="X200" s="1347" t="s">
        <v>2823</v>
      </c>
      <c r="Y200" s="3124">
        <v>35</v>
      </c>
      <c r="Z200" s="2965" t="s">
        <v>2824</v>
      </c>
      <c r="AA200" s="3218"/>
      <c r="AB200" s="3216"/>
      <c r="AC200" s="3216"/>
      <c r="AD200" s="3216"/>
      <c r="AE200" s="3216"/>
      <c r="AF200" s="3216"/>
      <c r="AG200" s="3216"/>
      <c r="AH200" s="3216"/>
      <c r="AI200" s="3216"/>
      <c r="AJ200" s="3216"/>
      <c r="AK200" s="3216"/>
      <c r="AL200" s="3216"/>
      <c r="AM200" s="3216"/>
      <c r="AN200" s="3216"/>
      <c r="AO200" s="3216"/>
      <c r="AP200" s="3216"/>
      <c r="AQ200" s="2973"/>
      <c r="AR200" s="2973"/>
      <c r="AS200" s="2372"/>
    </row>
    <row r="201" spans="1:45" ht="17.25" customHeight="1" x14ac:dyDescent="0.25">
      <c r="A201" s="1495"/>
      <c r="B201" s="1452"/>
      <c r="C201" s="1470"/>
      <c r="D201" s="1452"/>
      <c r="G201" s="3211"/>
      <c r="H201" s="3322"/>
      <c r="I201" s="3211"/>
      <c r="J201" s="3322"/>
      <c r="K201" s="3211"/>
      <c r="L201" s="3333"/>
      <c r="M201" s="3211"/>
      <c r="N201" s="3333"/>
      <c r="O201" s="3335"/>
      <c r="P201" s="2093"/>
      <c r="Q201" s="2712"/>
      <c r="R201" s="3278"/>
      <c r="S201" s="3286"/>
      <c r="T201" s="2142"/>
      <c r="U201" s="2145"/>
      <c r="V201" s="2965"/>
      <c r="W201" s="1668">
        <v>538444026.51999998</v>
      </c>
      <c r="X201" s="1347" t="s">
        <v>2825</v>
      </c>
      <c r="Y201" s="3124"/>
      <c r="Z201" s="2965"/>
      <c r="AA201" s="3218"/>
      <c r="AB201" s="3216"/>
      <c r="AC201" s="3216"/>
      <c r="AD201" s="3216"/>
      <c r="AE201" s="3216"/>
      <c r="AF201" s="3216"/>
      <c r="AG201" s="3216"/>
      <c r="AH201" s="3216"/>
      <c r="AI201" s="3216"/>
      <c r="AJ201" s="3216"/>
      <c r="AK201" s="3216"/>
      <c r="AL201" s="3216"/>
      <c r="AM201" s="3216"/>
      <c r="AN201" s="3216"/>
      <c r="AO201" s="3216"/>
      <c r="AP201" s="3216"/>
      <c r="AQ201" s="2973"/>
      <c r="AR201" s="2973"/>
      <c r="AS201" s="2372"/>
    </row>
    <row r="202" spans="1:45" ht="17.25" customHeight="1" x14ac:dyDescent="0.25">
      <c r="A202" s="1495"/>
      <c r="B202" s="1452"/>
      <c r="C202" s="1470"/>
      <c r="D202" s="1452"/>
      <c r="G202" s="3211"/>
      <c r="H202" s="3322"/>
      <c r="I202" s="3211"/>
      <c r="J202" s="3322"/>
      <c r="K202" s="3211"/>
      <c r="L202" s="3333"/>
      <c r="M202" s="3211"/>
      <c r="N202" s="3333"/>
      <c r="O202" s="3335"/>
      <c r="P202" s="2093"/>
      <c r="Q202" s="2712"/>
      <c r="R202" s="3278"/>
      <c r="S202" s="3286"/>
      <c r="T202" s="2142"/>
      <c r="U202" s="2145"/>
      <c r="V202" s="2965"/>
      <c r="W202" s="1668">
        <v>489456988.42000002</v>
      </c>
      <c r="X202" s="1347" t="s">
        <v>2826</v>
      </c>
      <c r="Y202" s="3124"/>
      <c r="Z202" s="2965"/>
      <c r="AA202" s="3218"/>
      <c r="AB202" s="3216"/>
      <c r="AC202" s="3216"/>
      <c r="AD202" s="3216"/>
      <c r="AE202" s="3216"/>
      <c r="AF202" s="3216"/>
      <c r="AG202" s="3216"/>
      <c r="AH202" s="3216"/>
      <c r="AI202" s="3216"/>
      <c r="AJ202" s="3216"/>
      <c r="AK202" s="3216"/>
      <c r="AL202" s="3216"/>
      <c r="AM202" s="3216"/>
      <c r="AN202" s="3216"/>
      <c r="AO202" s="3216"/>
      <c r="AP202" s="3216"/>
      <c r="AQ202" s="2973"/>
      <c r="AR202" s="2973"/>
      <c r="AS202" s="2372"/>
    </row>
    <row r="203" spans="1:45" ht="17.25" customHeight="1" x14ac:dyDescent="0.25">
      <c r="A203" s="1495"/>
      <c r="B203" s="1452"/>
      <c r="C203" s="1470"/>
      <c r="D203" s="1452"/>
      <c r="G203" s="3211"/>
      <c r="H203" s="3322"/>
      <c r="I203" s="3211"/>
      <c r="J203" s="3322"/>
      <c r="K203" s="3211"/>
      <c r="L203" s="3333"/>
      <c r="M203" s="3211"/>
      <c r="N203" s="3333"/>
      <c r="O203" s="3335"/>
      <c r="P203" s="2093"/>
      <c r="Q203" s="2712"/>
      <c r="R203" s="3278"/>
      <c r="S203" s="3286"/>
      <c r="T203" s="2142"/>
      <c r="U203" s="2145"/>
      <c r="V203" s="2965"/>
      <c r="W203" s="1668">
        <v>190367350.63999999</v>
      </c>
      <c r="X203" s="1347" t="s">
        <v>2827</v>
      </c>
      <c r="Y203" s="3124"/>
      <c r="Z203" s="2965"/>
      <c r="AA203" s="3218"/>
      <c r="AB203" s="3216"/>
      <c r="AC203" s="3216"/>
      <c r="AD203" s="3216"/>
      <c r="AE203" s="3216"/>
      <c r="AF203" s="3216"/>
      <c r="AG203" s="3216"/>
      <c r="AH203" s="3216"/>
      <c r="AI203" s="3216"/>
      <c r="AJ203" s="3216"/>
      <c r="AK203" s="3216"/>
      <c r="AL203" s="3216"/>
      <c r="AM203" s="3216"/>
      <c r="AN203" s="3216"/>
      <c r="AO203" s="3216"/>
      <c r="AP203" s="3216"/>
      <c r="AQ203" s="2973"/>
      <c r="AR203" s="2973"/>
      <c r="AS203" s="2372"/>
    </row>
    <row r="204" spans="1:45" ht="31.5" customHeight="1" x14ac:dyDescent="0.25">
      <c r="A204" s="1495"/>
      <c r="B204" s="1452"/>
      <c r="C204" s="1470"/>
      <c r="D204" s="1452"/>
      <c r="G204" s="3211"/>
      <c r="H204" s="3322"/>
      <c r="I204" s="3211"/>
      <c r="J204" s="3322"/>
      <c r="K204" s="3211"/>
      <c r="L204" s="3333"/>
      <c r="M204" s="3211"/>
      <c r="N204" s="3333"/>
      <c r="O204" s="3335"/>
      <c r="P204" s="2093"/>
      <c r="Q204" s="2712"/>
      <c r="R204" s="3278"/>
      <c r="S204" s="3286"/>
      <c r="T204" s="2142"/>
      <c r="U204" s="2145"/>
      <c r="V204" s="2965"/>
      <c r="W204" s="1668">
        <v>80777982.780000001</v>
      </c>
      <c r="X204" s="1347" t="s">
        <v>2828</v>
      </c>
      <c r="Y204" s="1673">
        <v>91</v>
      </c>
      <c r="Z204" s="1456" t="s">
        <v>2797</v>
      </c>
      <c r="AA204" s="3218"/>
      <c r="AB204" s="3216"/>
      <c r="AC204" s="3216"/>
      <c r="AD204" s="3216"/>
      <c r="AE204" s="3216"/>
      <c r="AF204" s="3216"/>
      <c r="AG204" s="3216"/>
      <c r="AH204" s="3216"/>
      <c r="AI204" s="3216"/>
      <c r="AJ204" s="3216"/>
      <c r="AK204" s="3216"/>
      <c r="AL204" s="3216"/>
      <c r="AM204" s="3216"/>
      <c r="AN204" s="3216"/>
      <c r="AO204" s="3216"/>
      <c r="AP204" s="3216"/>
      <c r="AQ204" s="2973"/>
      <c r="AR204" s="2973"/>
      <c r="AS204" s="2372"/>
    </row>
    <row r="205" spans="1:45" ht="36" customHeight="1" x14ac:dyDescent="0.25">
      <c r="A205" s="1495"/>
      <c r="B205" s="1452"/>
      <c r="C205" s="1470"/>
      <c r="D205" s="1452"/>
      <c r="G205" s="3211"/>
      <c r="H205" s="3322"/>
      <c r="I205" s="3211"/>
      <c r="J205" s="3322"/>
      <c r="K205" s="3211"/>
      <c r="L205" s="3333"/>
      <c r="M205" s="3211"/>
      <c r="N205" s="3333"/>
      <c r="O205" s="3335"/>
      <c r="P205" s="2093"/>
      <c r="Q205" s="2712"/>
      <c r="R205" s="3278"/>
      <c r="S205" s="3286"/>
      <c r="T205" s="2142"/>
      <c r="U205" s="2145"/>
      <c r="V205" s="2965"/>
      <c r="W205" s="1668">
        <v>209925998.22</v>
      </c>
      <c r="X205" s="1347" t="s">
        <v>2829</v>
      </c>
      <c r="Y205" s="1673">
        <v>88</v>
      </c>
      <c r="Z205" s="1456" t="s">
        <v>2830</v>
      </c>
      <c r="AA205" s="3218"/>
      <c r="AB205" s="3216"/>
      <c r="AC205" s="3216"/>
      <c r="AD205" s="3216"/>
      <c r="AE205" s="3216"/>
      <c r="AF205" s="3216"/>
      <c r="AG205" s="3216"/>
      <c r="AH205" s="3216"/>
      <c r="AI205" s="3216"/>
      <c r="AJ205" s="3216"/>
      <c r="AK205" s="3216"/>
      <c r="AL205" s="3216"/>
      <c r="AM205" s="3216"/>
      <c r="AN205" s="3216"/>
      <c r="AO205" s="3216"/>
      <c r="AP205" s="3216"/>
      <c r="AQ205" s="2973"/>
      <c r="AR205" s="2973"/>
      <c r="AS205" s="2372"/>
    </row>
    <row r="206" spans="1:45" ht="27" customHeight="1" x14ac:dyDescent="0.25">
      <c r="A206" s="1495"/>
      <c r="B206" s="1452"/>
      <c r="C206" s="1470"/>
      <c r="D206" s="1452"/>
      <c r="G206" s="3211"/>
      <c r="H206" s="3322"/>
      <c r="I206" s="3211"/>
      <c r="J206" s="3322"/>
      <c r="K206" s="3211"/>
      <c r="L206" s="3333"/>
      <c r="M206" s="3211"/>
      <c r="N206" s="3333"/>
      <c r="O206" s="3335"/>
      <c r="P206" s="2093"/>
      <c r="Q206" s="2712"/>
      <c r="R206" s="3278"/>
      <c r="S206" s="3286"/>
      <c r="T206" s="2142"/>
      <c r="U206" s="2145"/>
      <c r="V206" s="2965"/>
      <c r="W206" s="1668">
        <f>258513743.251604-49287773.25</f>
        <v>209225970.00160399</v>
      </c>
      <c r="X206" s="1499" t="s">
        <v>2831</v>
      </c>
      <c r="Y206" s="3124">
        <v>20</v>
      </c>
      <c r="Z206" s="2965" t="s">
        <v>2496</v>
      </c>
      <c r="AA206" s="3218"/>
      <c r="AB206" s="3216"/>
      <c r="AC206" s="3216"/>
      <c r="AD206" s="3216"/>
      <c r="AE206" s="3216"/>
      <c r="AF206" s="3216"/>
      <c r="AG206" s="3216"/>
      <c r="AH206" s="3216"/>
      <c r="AI206" s="3216"/>
      <c r="AJ206" s="3216"/>
      <c r="AK206" s="3216"/>
      <c r="AL206" s="3216"/>
      <c r="AM206" s="3216"/>
      <c r="AN206" s="3216"/>
      <c r="AO206" s="3216"/>
      <c r="AP206" s="3216"/>
      <c r="AQ206" s="2973"/>
      <c r="AR206" s="2973"/>
      <c r="AS206" s="2372"/>
    </row>
    <row r="207" spans="1:45" ht="17.25" customHeight="1" x14ac:dyDescent="0.25">
      <c r="A207" s="1495"/>
      <c r="B207" s="1452"/>
      <c r="C207" s="1470"/>
      <c r="D207" s="1452"/>
      <c r="G207" s="3211"/>
      <c r="H207" s="3322"/>
      <c r="I207" s="3211"/>
      <c r="J207" s="3322"/>
      <c r="K207" s="3211"/>
      <c r="L207" s="3333"/>
      <c r="M207" s="3211"/>
      <c r="N207" s="3333"/>
      <c r="O207" s="3335"/>
      <c r="P207" s="2093"/>
      <c r="Q207" s="2712"/>
      <c r="R207" s="3278"/>
      <c r="S207" s="3286"/>
      <c r="T207" s="2142"/>
      <c r="U207" s="2145"/>
      <c r="V207" s="2965"/>
      <c r="W207" s="1668">
        <f>1605311802.55168-86525649.55</f>
        <v>1518786153.0016801</v>
      </c>
      <c r="X207" s="1347" t="s">
        <v>2832</v>
      </c>
      <c r="Y207" s="3124"/>
      <c r="Z207" s="2965"/>
      <c r="AA207" s="3218"/>
      <c r="AB207" s="3216"/>
      <c r="AC207" s="3216"/>
      <c r="AD207" s="3216"/>
      <c r="AE207" s="3216"/>
      <c r="AF207" s="3216"/>
      <c r="AG207" s="3216"/>
      <c r="AH207" s="3216"/>
      <c r="AI207" s="3216"/>
      <c r="AJ207" s="3216"/>
      <c r="AK207" s="3216"/>
      <c r="AL207" s="3216"/>
      <c r="AM207" s="3216"/>
      <c r="AN207" s="3216"/>
      <c r="AO207" s="3216"/>
      <c r="AP207" s="3216"/>
      <c r="AQ207" s="2973"/>
      <c r="AR207" s="2973"/>
      <c r="AS207" s="2372"/>
    </row>
    <row r="208" spans="1:45" ht="17.25" customHeight="1" x14ac:dyDescent="0.25">
      <c r="A208" s="1495"/>
      <c r="B208" s="1452"/>
      <c r="C208" s="1470"/>
      <c r="D208" s="1452"/>
      <c r="G208" s="3211"/>
      <c r="H208" s="3322"/>
      <c r="I208" s="3211"/>
      <c r="J208" s="3322"/>
      <c r="K208" s="3211"/>
      <c r="L208" s="3333"/>
      <c r="M208" s="3211"/>
      <c r="N208" s="3333"/>
      <c r="O208" s="3335"/>
      <c r="P208" s="2093"/>
      <c r="Q208" s="2712"/>
      <c r="R208" s="3278"/>
      <c r="S208" s="3286"/>
      <c r="T208" s="2142"/>
      <c r="U208" s="2145"/>
      <c r="V208" s="2965"/>
      <c r="W208" s="1668">
        <v>1415075744.6600001</v>
      </c>
      <c r="X208" s="1347" t="s">
        <v>2833</v>
      </c>
      <c r="Y208" s="3124"/>
      <c r="Z208" s="2965"/>
      <c r="AA208" s="3218"/>
      <c r="AB208" s="3216"/>
      <c r="AC208" s="3216"/>
      <c r="AD208" s="3216"/>
      <c r="AE208" s="3216"/>
      <c r="AF208" s="3216"/>
      <c r="AG208" s="3216"/>
      <c r="AH208" s="3216"/>
      <c r="AI208" s="3216"/>
      <c r="AJ208" s="3216"/>
      <c r="AK208" s="3216"/>
      <c r="AL208" s="3216"/>
      <c r="AM208" s="3216"/>
      <c r="AN208" s="3216"/>
      <c r="AO208" s="3216"/>
      <c r="AP208" s="3216"/>
      <c r="AQ208" s="2973"/>
      <c r="AR208" s="2973"/>
      <c r="AS208" s="2372"/>
    </row>
    <row r="209" spans="1:45" ht="17.25" customHeight="1" x14ac:dyDescent="0.25">
      <c r="A209" s="1495"/>
      <c r="B209" s="1452"/>
      <c r="C209" s="1470"/>
      <c r="D209" s="1452"/>
      <c r="G209" s="3211"/>
      <c r="H209" s="3322"/>
      <c r="I209" s="3211"/>
      <c r="J209" s="3322"/>
      <c r="K209" s="3211"/>
      <c r="L209" s="3333"/>
      <c r="M209" s="3211"/>
      <c r="N209" s="3333"/>
      <c r="O209" s="3335"/>
      <c r="P209" s="2093"/>
      <c r="Q209" s="2712"/>
      <c r="R209" s="3278"/>
      <c r="S209" s="3286"/>
      <c r="T209" s="2142"/>
      <c r="U209" s="2145"/>
      <c r="V209" s="2966"/>
      <c r="W209" s="1674">
        <v>567559374.34000003</v>
      </c>
      <c r="X209" s="1347" t="s">
        <v>2834</v>
      </c>
      <c r="Y209" s="3124"/>
      <c r="Z209" s="2965"/>
      <c r="AA209" s="3218"/>
      <c r="AB209" s="3216"/>
      <c r="AC209" s="3216"/>
      <c r="AD209" s="3216"/>
      <c r="AE209" s="3216"/>
      <c r="AF209" s="3216"/>
      <c r="AG209" s="3216"/>
      <c r="AH209" s="3216"/>
      <c r="AI209" s="3216"/>
      <c r="AJ209" s="3216"/>
      <c r="AK209" s="3216"/>
      <c r="AL209" s="3216"/>
      <c r="AM209" s="3216"/>
      <c r="AN209" s="3216"/>
      <c r="AO209" s="3216"/>
      <c r="AP209" s="3216"/>
      <c r="AQ209" s="2973"/>
      <c r="AR209" s="2973"/>
      <c r="AS209" s="2372"/>
    </row>
    <row r="210" spans="1:45" ht="66.75" customHeight="1" x14ac:dyDescent="0.25">
      <c r="A210" s="1495"/>
      <c r="B210" s="1452"/>
      <c r="C210" s="1470"/>
      <c r="D210" s="1452"/>
      <c r="G210" s="3211"/>
      <c r="H210" s="3322"/>
      <c r="I210" s="3211"/>
      <c r="J210" s="3322"/>
      <c r="K210" s="3211"/>
      <c r="L210" s="3333"/>
      <c r="M210" s="3211"/>
      <c r="N210" s="3333"/>
      <c r="O210" s="3335"/>
      <c r="P210" s="2093"/>
      <c r="Q210" s="2712"/>
      <c r="R210" s="3278"/>
      <c r="S210" s="3286"/>
      <c r="T210" s="2142"/>
      <c r="U210" s="2145"/>
      <c r="V210" s="2181" t="s">
        <v>2835</v>
      </c>
      <c r="W210" s="1675">
        <v>119071453.84999999</v>
      </c>
      <c r="X210" s="1347" t="s">
        <v>2836</v>
      </c>
      <c r="Y210" s="1676">
        <v>187</v>
      </c>
      <c r="Z210" s="1456" t="s">
        <v>2837</v>
      </c>
      <c r="AA210" s="3218"/>
      <c r="AB210" s="3216"/>
      <c r="AC210" s="3216"/>
      <c r="AD210" s="3216"/>
      <c r="AE210" s="3216"/>
      <c r="AF210" s="3216"/>
      <c r="AG210" s="3216"/>
      <c r="AH210" s="3216"/>
      <c r="AI210" s="3216"/>
      <c r="AJ210" s="3216"/>
      <c r="AK210" s="3216"/>
      <c r="AL210" s="3216"/>
      <c r="AM210" s="3216"/>
      <c r="AN210" s="3216"/>
      <c r="AO210" s="3216"/>
      <c r="AP210" s="3216"/>
      <c r="AQ210" s="2973"/>
      <c r="AR210" s="2973"/>
      <c r="AS210" s="2372"/>
    </row>
    <row r="211" spans="1:45" ht="66.75" customHeight="1" x14ac:dyDescent="0.25">
      <c r="A211" s="1495"/>
      <c r="B211" s="1452"/>
      <c r="C211" s="1470"/>
      <c r="D211" s="1452"/>
      <c r="G211" s="3211"/>
      <c r="H211" s="3322"/>
      <c r="I211" s="3211"/>
      <c r="J211" s="3322"/>
      <c r="K211" s="3211"/>
      <c r="L211" s="3333"/>
      <c r="M211" s="3211"/>
      <c r="N211" s="3333"/>
      <c r="O211" s="3335"/>
      <c r="P211" s="2093"/>
      <c r="Q211" s="2712"/>
      <c r="R211" s="3278"/>
      <c r="S211" s="3286"/>
      <c r="T211" s="2142"/>
      <c r="U211" s="2145"/>
      <c r="V211" s="3220"/>
      <c r="W211" s="1675">
        <v>739406762</v>
      </c>
      <c r="X211" s="1347" t="s">
        <v>2838</v>
      </c>
      <c r="Y211" s="1676">
        <v>187</v>
      </c>
      <c r="Z211" s="1456" t="s">
        <v>2837</v>
      </c>
      <c r="AA211" s="3218"/>
      <c r="AB211" s="3216"/>
      <c r="AC211" s="3216"/>
      <c r="AD211" s="3216"/>
      <c r="AE211" s="3216"/>
      <c r="AF211" s="3216"/>
      <c r="AG211" s="3216"/>
      <c r="AH211" s="3216"/>
      <c r="AI211" s="3216"/>
      <c r="AJ211" s="3216"/>
      <c r="AK211" s="3216"/>
      <c r="AL211" s="3216"/>
      <c r="AM211" s="3216"/>
      <c r="AN211" s="3216"/>
      <c r="AO211" s="3216"/>
      <c r="AP211" s="3216"/>
      <c r="AQ211" s="2973"/>
      <c r="AR211" s="2973"/>
      <c r="AS211" s="2372"/>
    </row>
    <row r="212" spans="1:45" ht="38.25" customHeight="1" x14ac:dyDescent="0.25">
      <c r="A212" s="1495"/>
      <c r="B212" s="1452"/>
      <c r="C212" s="1470"/>
      <c r="D212" s="1452"/>
      <c r="G212" s="3211"/>
      <c r="H212" s="3322"/>
      <c r="I212" s="3211"/>
      <c r="J212" s="3322"/>
      <c r="K212" s="3211"/>
      <c r="L212" s="3333"/>
      <c r="M212" s="3211"/>
      <c r="N212" s="3333"/>
      <c r="O212" s="3335"/>
      <c r="P212" s="2093"/>
      <c r="Q212" s="2712"/>
      <c r="R212" s="3278"/>
      <c r="S212" s="3286"/>
      <c r="T212" s="2142"/>
      <c r="U212" s="2145"/>
      <c r="V212" s="3220"/>
      <c r="W212" s="1675">
        <v>672136357</v>
      </c>
      <c r="X212" s="1347" t="s">
        <v>2839</v>
      </c>
      <c r="Y212" s="1676">
        <v>187</v>
      </c>
      <c r="Z212" s="1456" t="s">
        <v>2837</v>
      </c>
      <c r="AA212" s="3218"/>
      <c r="AB212" s="3216"/>
      <c r="AC212" s="3216"/>
      <c r="AD212" s="3216"/>
      <c r="AE212" s="3216"/>
      <c r="AF212" s="3216"/>
      <c r="AG212" s="3216"/>
      <c r="AH212" s="3216"/>
      <c r="AI212" s="3216"/>
      <c r="AJ212" s="3216"/>
      <c r="AK212" s="3216"/>
      <c r="AL212" s="3216"/>
      <c r="AM212" s="3216"/>
      <c r="AN212" s="3216"/>
      <c r="AO212" s="3216"/>
      <c r="AP212" s="3216"/>
      <c r="AQ212" s="2973"/>
      <c r="AR212" s="2973"/>
      <c r="AS212" s="2372"/>
    </row>
    <row r="213" spans="1:45" ht="39.75" customHeight="1" x14ac:dyDescent="0.25">
      <c r="A213" s="1495"/>
      <c r="B213" s="1452"/>
      <c r="C213" s="1470"/>
      <c r="D213" s="1452"/>
      <c r="G213" s="3324"/>
      <c r="H213" s="3323"/>
      <c r="I213" s="3324"/>
      <c r="J213" s="3323"/>
      <c r="K213" s="3324"/>
      <c r="L213" s="3334"/>
      <c r="M213" s="3324"/>
      <c r="N213" s="3334"/>
      <c r="O213" s="3335"/>
      <c r="P213" s="2093"/>
      <c r="Q213" s="2713"/>
      <c r="R213" s="3278"/>
      <c r="S213" s="3286"/>
      <c r="T213" s="2142"/>
      <c r="U213" s="2145"/>
      <c r="V213" s="3220"/>
      <c r="W213" s="1677">
        <v>261417900</v>
      </c>
      <c r="X213" s="1347" t="s">
        <v>2840</v>
      </c>
      <c r="Y213" s="1678">
        <v>187</v>
      </c>
      <c r="Z213" s="1457" t="s">
        <v>2837</v>
      </c>
      <c r="AA213" s="3218"/>
      <c r="AB213" s="3216"/>
      <c r="AC213" s="3216"/>
      <c r="AD213" s="3216"/>
      <c r="AE213" s="3216"/>
      <c r="AF213" s="3216"/>
      <c r="AG213" s="3216"/>
      <c r="AH213" s="3216"/>
      <c r="AI213" s="3216"/>
      <c r="AJ213" s="3216"/>
      <c r="AK213" s="3216"/>
      <c r="AL213" s="3216"/>
      <c r="AM213" s="3216"/>
      <c r="AN213" s="3216"/>
      <c r="AO213" s="3216"/>
      <c r="AP213" s="3216"/>
      <c r="AQ213" s="2983"/>
      <c r="AR213" s="2983"/>
      <c r="AS213" s="3325"/>
    </row>
    <row r="214" spans="1:45" ht="18.75" customHeight="1" x14ac:dyDescent="0.25">
      <c r="A214" s="1495"/>
      <c r="B214" s="1452"/>
      <c r="C214" s="1470"/>
      <c r="D214" s="1452"/>
      <c r="E214" s="812">
        <v>2202</v>
      </c>
      <c r="F214" s="2979" t="s">
        <v>2841</v>
      </c>
      <c r="G214" s="3329"/>
      <c r="H214" s="3329"/>
      <c r="I214" s="3329"/>
      <c r="J214" s="3329"/>
      <c r="K214" s="3329"/>
      <c r="L214" s="3329"/>
      <c r="M214" s="3329"/>
      <c r="N214" s="3329"/>
      <c r="O214" s="3329"/>
      <c r="P214" s="3329"/>
      <c r="Q214" s="1013"/>
      <c r="R214" s="812"/>
      <c r="S214" s="812"/>
      <c r="T214" s="61"/>
      <c r="U214" s="61"/>
      <c r="V214" s="61"/>
      <c r="W214" s="1640"/>
      <c r="X214" s="1679"/>
      <c r="Y214" s="812"/>
      <c r="Z214" s="61"/>
      <c r="AA214" s="1375"/>
      <c r="AB214" s="1375"/>
      <c r="AC214" s="1375"/>
      <c r="AD214" s="1375"/>
      <c r="AE214" s="1375"/>
      <c r="AF214" s="1375"/>
      <c r="AG214" s="1375"/>
      <c r="AH214" s="1375"/>
      <c r="AI214" s="1375"/>
      <c r="AJ214" s="1375"/>
      <c r="AK214" s="1375"/>
      <c r="AL214" s="1375"/>
      <c r="AM214" s="1375"/>
      <c r="AN214" s="1375"/>
      <c r="AO214" s="1375"/>
      <c r="AP214" s="1375"/>
      <c r="AQ214" s="812"/>
      <c r="AR214" s="812"/>
      <c r="AS214" s="818"/>
    </row>
    <row r="215" spans="1:45" ht="171.75" customHeight="1" x14ac:dyDescent="0.25">
      <c r="A215" s="1496"/>
      <c r="B215" s="1479"/>
      <c r="C215" s="1471"/>
      <c r="D215" s="1479"/>
      <c r="G215" s="1680" t="s">
        <v>62</v>
      </c>
      <c r="H215" s="1467" t="s">
        <v>2842</v>
      </c>
      <c r="I215" s="1680" t="s">
        <v>2843</v>
      </c>
      <c r="J215" s="1467" t="s">
        <v>2842</v>
      </c>
      <c r="K215" s="1453" t="s">
        <v>62</v>
      </c>
      <c r="L215" s="1467" t="s">
        <v>2844</v>
      </c>
      <c r="M215" s="1453">
        <v>220200604</v>
      </c>
      <c r="N215" s="1467" t="s">
        <v>2845</v>
      </c>
      <c r="O215" s="1681">
        <v>2</v>
      </c>
      <c r="P215" s="1501" t="s">
        <v>2846</v>
      </c>
      <c r="Q215" s="1472" t="s">
        <v>2847</v>
      </c>
      <c r="R215" s="1468">
        <f>W215/S215</f>
        <v>1</v>
      </c>
      <c r="S215" s="1682">
        <f>SUM(W215)</f>
        <v>100000000</v>
      </c>
      <c r="T215" s="1498" t="s">
        <v>2848</v>
      </c>
      <c r="U215" s="1469" t="s">
        <v>2849</v>
      </c>
      <c r="V215" s="1469" t="s">
        <v>2850</v>
      </c>
      <c r="W215" s="1683">
        <v>100000000</v>
      </c>
      <c r="X215" s="1347" t="s">
        <v>2851</v>
      </c>
      <c r="Y215" s="1684">
        <v>20</v>
      </c>
      <c r="Z215" s="1469" t="s">
        <v>77</v>
      </c>
      <c r="AA215" s="1685">
        <v>3994</v>
      </c>
      <c r="AB215" s="1685">
        <v>3934</v>
      </c>
      <c r="AC215" s="1685">
        <v>1474</v>
      </c>
      <c r="AD215" s="1685">
        <v>6425</v>
      </c>
      <c r="AE215" s="1685">
        <v>29</v>
      </c>
      <c r="AF215" s="1685">
        <v>0</v>
      </c>
      <c r="AG215" s="1685">
        <v>23</v>
      </c>
      <c r="AH215" s="1685">
        <v>101</v>
      </c>
      <c r="AI215" s="1685">
        <v>0</v>
      </c>
      <c r="AJ215" s="1685">
        <v>0</v>
      </c>
      <c r="AK215" s="1685">
        <v>0</v>
      </c>
      <c r="AL215" s="1685">
        <v>0</v>
      </c>
      <c r="AM215" s="1685">
        <v>664</v>
      </c>
      <c r="AN215" s="1685">
        <v>425</v>
      </c>
      <c r="AO215" s="1685">
        <v>13</v>
      </c>
      <c r="AP215" s="1685">
        <f>SUM(AA215:AB215)</f>
        <v>7928</v>
      </c>
      <c r="AQ215" s="1487">
        <v>44198</v>
      </c>
      <c r="AR215" s="1487">
        <v>44560</v>
      </c>
      <c r="AS215" s="1482" t="s">
        <v>2487</v>
      </c>
    </row>
    <row r="216" spans="1:45" ht="17.25" customHeight="1" x14ac:dyDescent="0.25">
      <c r="A216" s="440">
        <v>2</v>
      </c>
      <c r="B216" s="3340" t="s">
        <v>683</v>
      </c>
      <c r="C216" s="3341"/>
      <c r="D216" s="3341"/>
      <c r="E216" s="3341"/>
      <c r="F216" s="3341"/>
      <c r="G216" s="3341"/>
      <c r="H216" s="3341"/>
      <c r="I216" s="1686"/>
      <c r="J216" s="1687"/>
      <c r="K216" s="1686"/>
      <c r="L216" s="1687"/>
      <c r="M216" s="1686"/>
      <c r="N216" s="1687"/>
      <c r="O216" s="1686"/>
      <c r="P216" s="1686"/>
      <c r="Q216" s="1687"/>
      <c r="R216" s="1686"/>
      <c r="S216" s="1686"/>
      <c r="T216" s="1687"/>
      <c r="U216" s="1687"/>
      <c r="V216" s="1687"/>
      <c r="W216" s="1688"/>
      <c r="X216" s="1689"/>
      <c r="Y216" s="1686"/>
      <c r="Z216" s="1687"/>
      <c r="AA216" s="1686"/>
      <c r="AB216" s="1686"/>
      <c r="AC216" s="1686"/>
      <c r="AD216" s="1686"/>
      <c r="AE216" s="1686"/>
      <c r="AF216" s="1686"/>
      <c r="AG216" s="1686"/>
      <c r="AH216" s="1686"/>
      <c r="AI216" s="1686"/>
      <c r="AJ216" s="1686"/>
      <c r="AK216" s="1686"/>
      <c r="AL216" s="1686"/>
      <c r="AM216" s="1686"/>
      <c r="AN216" s="1686"/>
      <c r="AO216" s="1686"/>
      <c r="AP216" s="1686"/>
      <c r="AQ216" s="1686"/>
      <c r="AR216" s="1686"/>
      <c r="AS216" s="1690"/>
    </row>
    <row r="217" spans="1:45" ht="17.25" customHeight="1" x14ac:dyDescent="0.25">
      <c r="A217" s="900"/>
      <c r="B217" s="1691"/>
      <c r="C217" s="1692">
        <v>39</v>
      </c>
      <c r="D217" s="3342" t="s">
        <v>1769</v>
      </c>
      <c r="E217" s="3343"/>
      <c r="F217" s="3343"/>
      <c r="G217" s="3343"/>
      <c r="H217" s="1693"/>
      <c r="I217" s="823"/>
      <c r="J217" s="1693"/>
      <c r="K217" s="823"/>
      <c r="L217" s="1693"/>
      <c r="M217" s="823"/>
      <c r="N217" s="1693"/>
      <c r="O217" s="823"/>
      <c r="P217" s="823"/>
      <c r="Q217" s="1693"/>
      <c r="R217" s="823"/>
      <c r="S217" s="823"/>
      <c r="T217" s="1693"/>
      <c r="U217" s="1693"/>
      <c r="V217" s="1693"/>
      <c r="W217" s="1694"/>
      <c r="X217" s="823"/>
      <c r="Y217" s="823"/>
      <c r="Z217" s="1693"/>
      <c r="AA217" s="823"/>
      <c r="AB217" s="823"/>
      <c r="AC217" s="823"/>
      <c r="AD217" s="823"/>
      <c r="AE217" s="823"/>
      <c r="AF217" s="823"/>
      <c r="AG217" s="823"/>
      <c r="AH217" s="823"/>
      <c r="AI217" s="823"/>
      <c r="AJ217" s="823"/>
      <c r="AK217" s="823"/>
      <c r="AL217" s="823"/>
      <c r="AM217" s="823"/>
      <c r="AN217" s="823"/>
      <c r="AO217" s="823"/>
      <c r="AP217" s="823"/>
      <c r="AQ217" s="823"/>
      <c r="AR217" s="823"/>
      <c r="AS217" s="911"/>
    </row>
    <row r="218" spans="1:45" ht="15.75" x14ac:dyDescent="0.25">
      <c r="A218" s="1495"/>
      <c r="B218" s="1452"/>
      <c r="C218" s="1477"/>
      <c r="D218" s="1478"/>
      <c r="E218" s="67">
        <v>3904</v>
      </c>
      <c r="F218" s="2420" t="s">
        <v>2852</v>
      </c>
      <c r="G218" s="2421"/>
      <c r="H218" s="2421"/>
      <c r="I218" s="2421"/>
      <c r="J218" s="2421"/>
      <c r="K218" s="2421"/>
      <c r="L218" s="2421"/>
      <c r="M218" s="2421"/>
      <c r="N218" s="2421"/>
      <c r="O218" s="2421"/>
      <c r="P218" s="2421"/>
      <c r="Q218" s="61"/>
      <c r="R218" s="812"/>
      <c r="S218" s="812"/>
      <c r="T218" s="61"/>
      <c r="U218" s="61"/>
      <c r="V218" s="61"/>
      <c r="W218" s="1640"/>
      <c r="X218" s="1641"/>
      <c r="Y218" s="812"/>
      <c r="Z218" s="61"/>
      <c r="AA218" s="1375"/>
      <c r="AB218" s="1375"/>
      <c r="AC218" s="1375"/>
      <c r="AD218" s="1375"/>
      <c r="AE218" s="1375"/>
      <c r="AF218" s="1375"/>
      <c r="AG218" s="1375"/>
      <c r="AH218" s="1375"/>
      <c r="AI218" s="1375"/>
      <c r="AJ218" s="1375"/>
      <c r="AK218" s="1375"/>
      <c r="AL218" s="1375"/>
      <c r="AM218" s="1375"/>
      <c r="AN218" s="1375"/>
      <c r="AO218" s="1375"/>
      <c r="AP218" s="1375"/>
      <c r="AQ218" s="812"/>
      <c r="AR218" s="812"/>
      <c r="AS218" s="818"/>
    </row>
    <row r="219" spans="1:45" ht="110.25" customHeight="1" x14ac:dyDescent="0.25">
      <c r="A219" s="1495"/>
      <c r="B219" s="1452"/>
      <c r="C219" s="1470"/>
      <c r="D219" s="1452"/>
      <c r="E219" s="1477"/>
      <c r="F219" s="1478"/>
      <c r="G219" s="3212">
        <v>3904006</v>
      </c>
      <c r="H219" s="2143" t="s">
        <v>2853</v>
      </c>
      <c r="I219" s="3212">
        <v>3904006</v>
      </c>
      <c r="J219" s="2143" t="s">
        <v>2853</v>
      </c>
      <c r="K219" s="3344">
        <v>390400604</v>
      </c>
      <c r="L219" s="2627" t="s">
        <v>2854</v>
      </c>
      <c r="M219" s="3344">
        <v>390400604</v>
      </c>
      <c r="N219" s="2627" t="s">
        <v>2854</v>
      </c>
      <c r="O219" s="3225">
        <v>18</v>
      </c>
      <c r="P219" s="3336" t="s">
        <v>2855</v>
      </c>
      <c r="Q219" s="2142" t="s">
        <v>2856</v>
      </c>
      <c r="R219" s="2150">
        <f>SUM(W219:W220)/S219</f>
        <v>1</v>
      </c>
      <c r="S219" s="3338">
        <f>SUM(W219:W220)</f>
        <v>7500000</v>
      </c>
      <c r="T219" s="2142" t="s">
        <v>2857</v>
      </c>
      <c r="U219" s="2145" t="s">
        <v>2858</v>
      </c>
      <c r="V219" s="2145" t="s">
        <v>2859</v>
      </c>
      <c r="W219" s="1695">
        <v>5400000</v>
      </c>
      <c r="X219" s="1347" t="s">
        <v>2860</v>
      </c>
      <c r="Y219" s="3346">
        <v>20</v>
      </c>
      <c r="Z219" s="2146" t="s">
        <v>77</v>
      </c>
      <c r="AA219" s="3288">
        <v>3994</v>
      </c>
      <c r="AB219" s="3288">
        <v>3934</v>
      </c>
      <c r="AC219" s="3288">
        <v>1474</v>
      </c>
      <c r="AD219" s="3288">
        <v>6425</v>
      </c>
      <c r="AE219" s="3288">
        <v>29</v>
      </c>
      <c r="AF219" s="3288">
        <v>0</v>
      </c>
      <c r="AG219" s="3288">
        <v>23</v>
      </c>
      <c r="AH219" s="3288">
        <v>101</v>
      </c>
      <c r="AI219" s="3288">
        <v>0</v>
      </c>
      <c r="AJ219" s="3288">
        <v>0</v>
      </c>
      <c r="AK219" s="3288">
        <v>0</v>
      </c>
      <c r="AL219" s="3288">
        <v>0</v>
      </c>
      <c r="AM219" s="3288">
        <v>664</v>
      </c>
      <c r="AN219" s="3288">
        <v>425</v>
      </c>
      <c r="AO219" s="3288">
        <v>13</v>
      </c>
      <c r="AP219" s="3288">
        <f>SUM(AA219:AB219)</f>
        <v>7928</v>
      </c>
      <c r="AQ219" s="2974">
        <v>44198</v>
      </c>
      <c r="AR219" s="2974">
        <v>44560</v>
      </c>
      <c r="AS219" s="2373" t="s">
        <v>2487</v>
      </c>
    </row>
    <row r="220" spans="1:45" ht="110.25" customHeight="1" x14ac:dyDescent="0.25">
      <c r="A220" s="1496"/>
      <c r="B220" s="1479"/>
      <c r="C220" s="1471"/>
      <c r="D220" s="1479"/>
      <c r="E220" s="1471"/>
      <c r="F220" s="1479"/>
      <c r="G220" s="3236"/>
      <c r="H220" s="2119"/>
      <c r="I220" s="3236"/>
      <c r="J220" s="2119"/>
      <c r="K220" s="2345"/>
      <c r="L220" s="2174"/>
      <c r="M220" s="2345"/>
      <c r="N220" s="2174"/>
      <c r="O220" s="3239"/>
      <c r="P220" s="3337"/>
      <c r="Q220" s="2143"/>
      <c r="R220" s="2964"/>
      <c r="S220" s="3339"/>
      <c r="T220" s="2143"/>
      <c r="U220" s="2146"/>
      <c r="V220" s="2146"/>
      <c r="W220" s="1669">
        <v>2100000</v>
      </c>
      <c r="X220" s="1347" t="s">
        <v>2861</v>
      </c>
      <c r="Y220" s="3347"/>
      <c r="Z220" s="2305"/>
      <c r="AA220" s="3345"/>
      <c r="AB220" s="3345"/>
      <c r="AC220" s="3345"/>
      <c r="AD220" s="3345"/>
      <c r="AE220" s="3345"/>
      <c r="AF220" s="3345"/>
      <c r="AG220" s="3345"/>
      <c r="AH220" s="3345"/>
      <c r="AI220" s="3345"/>
      <c r="AJ220" s="3345"/>
      <c r="AK220" s="3345"/>
      <c r="AL220" s="3345"/>
      <c r="AM220" s="3345"/>
      <c r="AN220" s="3345"/>
      <c r="AO220" s="3345"/>
      <c r="AP220" s="3345"/>
      <c r="AQ220" s="3167"/>
      <c r="AR220" s="3167"/>
      <c r="AS220" s="2398"/>
    </row>
    <row r="221" spans="1:45" ht="31.5" customHeight="1" x14ac:dyDescent="0.25">
      <c r="A221" s="1387"/>
      <c r="B221" s="1388"/>
      <c r="C221" s="1388"/>
      <c r="D221" s="1388"/>
      <c r="E221" s="1388"/>
      <c r="F221" s="1388"/>
      <c r="G221" s="1388"/>
      <c r="H221" s="1696"/>
      <c r="I221" s="1388"/>
      <c r="J221" s="1696"/>
      <c r="K221" s="1388"/>
      <c r="L221" s="1696"/>
      <c r="M221" s="1388"/>
      <c r="N221" s="1696"/>
      <c r="O221" s="1388"/>
      <c r="P221" s="1388"/>
      <c r="Q221" s="1696"/>
      <c r="R221" s="1697"/>
      <c r="S221" s="1382">
        <f>SUM(S9:S220)</f>
        <v>190698739865.30334</v>
      </c>
      <c r="T221" s="1696"/>
      <c r="U221" s="1696"/>
      <c r="V221" s="1385" t="s">
        <v>113</v>
      </c>
      <c r="W221" s="1698">
        <f>SUM(W9:W220)</f>
        <v>190698739865.30334</v>
      </c>
      <c r="X221" s="1699"/>
      <c r="Y221" s="1387"/>
      <c r="Z221" s="1696"/>
      <c r="AA221" s="1388"/>
      <c r="AB221" s="1388"/>
      <c r="AC221" s="1388"/>
      <c r="AD221" s="1388"/>
      <c r="AE221" s="1388"/>
      <c r="AF221" s="1388"/>
      <c r="AG221" s="1388"/>
      <c r="AH221" s="1388"/>
      <c r="AI221" s="1388"/>
      <c r="AJ221" s="1388"/>
      <c r="AK221" s="1388"/>
      <c r="AL221" s="1388"/>
      <c r="AM221" s="1388"/>
      <c r="AN221" s="1388"/>
      <c r="AO221" s="1388"/>
      <c r="AP221" s="1388"/>
      <c r="AQ221" s="1389"/>
      <c r="AR221" s="1389"/>
      <c r="AS221" s="1700"/>
    </row>
    <row r="234" spans="6:21" ht="15.75" x14ac:dyDescent="0.25">
      <c r="F234" s="1701"/>
      <c r="L234" s="1702"/>
      <c r="N234" s="1702"/>
      <c r="O234" s="1546"/>
      <c r="P234" s="1546"/>
    </row>
    <row r="235" spans="6:21" ht="15.75" x14ac:dyDescent="0.25">
      <c r="F235" s="1484"/>
      <c r="L235" s="1702"/>
      <c r="N235" s="1702"/>
      <c r="O235" s="1546"/>
      <c r="P235" s="1546"/>
    </row>
    <row r="236" spans="6:21" x14ac:dyDescent="0.25">
      <c r="L236" s="1702"/>
      <c r="N236" s="1702"/>
      <c r="O236" s="1546"/>
      <c r="P236" s="1546"/>
    </row>
    <row r="237" spans="6:21" x14ac:dyDescent="0.25">
      <c r="L237" s="1702"/>
      <c r="N237" s="1702"/>
      <c r="O237" s="1546"/>
      <c r="P237" s="1546"/>
      <c r="U237" s="1703"/>
    </row>
    <row r="238" spans="6:21" x14ac:dyDescent="0.25">
      <c r="L238" s="1702"/>
      <c r="N238" s="1702"/>
      <c r="O238" s="1546"/>
      <c r="P238" s="1546"/>
    </row>
  </sheetData>
  <sheetProtection algorithmName="SHA-512" hashValue="hVYIVpr6QOzfECn3m/pyH15pnIfePK+HliQ5uEhoEIxRC+OV2NaSRxndQLYineTgDeqNSGTtAKdbZ14Vq7445g==" saltValue="WJ3N52H7g3jLVVpMPE/7xQ==" spinCount="100000" sheet="1" objects="1" scenarios="1"/>
  <mergeCells count="575">
    <mergeCell ref="AN219:AN220"/>
    <mergeCell ref="AO219:AO220"/>
    <mergeCell ref="AP219:AP220"/>
    <mergeCell ref="AQ219:AQ220"/>
    <mergeCell ref="AR219:AR220"/>
    <mergeCell ref="AS219:AS220"/>
    <mergeCell ref="AH219:AH220"/>
    <mergeCell ref="AI219:AI220"/>
    <mergeCell ref="AJ219:AJ220"/>
    <mergeCell ref="AK219:AK220"/>
    <mergeCell ref="AL219:AL220"/>
    <mergeCell ref="AM219:AM220"/>
    <mergeCell ref="AB219:AB220"/>
    <mergeCell ref="AC219:AC220"/>
    <mergeCell ref="AD219:AD220"/>
    <mergeCell ref="AE219:AE220"/>
    <mergeCell ref="AF219:AF220"/>
    <mergeCell ref="AG219:AG220"/>
    <mergeCell ref="T219:T220"/>
    <mergeCell ref="U219:U220"/>
    <mergeCell ref="V219:V220"/>
    <mergeCell ref="Y219:Y220"/>
    <mergeCell ref="Z219:Z220"/>
    <mergeCell ref="AA219:AA220"/>
    <mergeCell ref="N219:N220"/>
    <mergeCell ref="O219:O220"/>
    <mergeCell ref="P219:P220"/>
    <mergeCell ref="Q219:Q220"/>
    <mergeCell ref="R219:R220"/>
    <mergeCell ref="S219:S220"/>
    <mergeCell ref="B216:H216"/>
    <mergeCell ref="D217:G217"/>
    <mergeCell ref="F218:P218"/>
    <mergeCell ref="G219:G220"/>
    <mergeCell ref="H219:H220"/>
    <mergeCell ref="I219:I220"/>
    <mergeCell ref="J219:J220"/>
    <mergeCell ref="K219:K220"/>
    <mergeCell ref="L219:L220"/>
    <mergeCell ref="M219:M220"/>
    <mergeCell ref="L116:L119"/>
    <mergeCell ref="Y200:Y203"/>
    <mergeCell ref="Z200:Z203"/>
    <mergeCell ref="Y206:Y209"/>
    <mergeCell ref="Z206:Z209"/>
    <mergeCell ref="V210:V213"/>
    <mergeCell ref="F214:P214"/>
    <mergeCell ref="Y120:Y167"/>
    <mergeCell ref="Z120:Z167"/>
    <mergeCell ref="Y168:Y175"/>
    <mergeCell ref="Z168:Z175"/>
    <mergeCell ref="V178:V199"/>
    <mergeCell ref="Y178:Y198"/>
    <mergeCell ref="Z178:Z198"/>
    <mergeCell ref="L120:L213"/>
    <mergeCell ref="M120:M213"/>
    <mergeCell ref="N120:N213"/>
    <mergeCell ref="O120:O213"/>
    <mergeCell ref="R120:R213"/>
    <mergeCell ref="V120:V177"/>
    <mergeCell ref="V200:V209"/>
    <mergeCell ref="G120:G213"/>
    <mergeCell ref="H120:H213"/>
    <mergeCell ref="I120:I213"/>
    <mergeCell ref="J120:J213"/>
    <mergeCell ref="K120:K213"/>
    <mergeCell ref="G116:G119"/>
    <mergeCell ref="H116:H119"/>
    <mergeCell ref="I116:I119"/>
    <mergeCell ref="J116:J119"/>
    <mergeCell ref="K116:K119"/>
    <mergeCell ref="AS108:AS213"/>
    <mergeCell ref="G112:G115"/>
    <mergeCell ref="H112:H115"/>
    <mergeCell ref="I112:I115"/>
    <mergeCell ref="J112:J115"/>
    <mergeCell ref="K112:K115"/>
    <mergeCell ref="L112:L115"/>
    <mergeCell ref="M112:M115"/>
    <mergeCell ref="N112:N115"/>
    <mergeCell ref="O112:O115"/>
    <mergeCell ref="AM108:AM213"/>
    <mergeCell ref="AN108:AN213"/>
    <mergeCell ref="AO108:AO213"/>
    <mergeCell ref="AP108:AP213"/>
    <mergeCell ref="AQ108:AQ213"/>
    <mergeCell ref="AR108:AR213"/>
    <mergeCell ref="AG108:AG213"/>
    <mergeCell ref="AH108:AH213"/>
    <mergeCell ref="AI108:AI213"/>
    <mergeCell ref="AJ108:AJ213"/>
    <mergeCell ref="AK108:AK213"/>
    <mergeCell ref="AL108:AL213"/>
    <mergeCell ref="AA108:AA213"/>
    <mergeCell ref="AB108:AB213"/>
    <mergeCell ref="AC108:AC213"/>
    <mergeCell ref="AD108:AD213"/>
    <mergeCell ref="AE108:AE213"/>
    <mergeCell ref="AF108:AF213"/>
    <mergeCell ref="S108:S213"/>
    <mergeCell ref="T108:T213"/>
    <mergeCell ref="U108:U111"/>
    <mergeCell ref="V108:V111"/>
    <mergeCell ref="Y108:Y111"/>
    <mergeCell ref="Z108:Z111"/>
    <mergeCell ref="U112:U115"/>
    <mergeCell ref="V112:V115"/>
    <mergeCell ref="Y112:Y115"/>
    <mergeCell ref="Z112:Z115"/>
    <mergeCell ref="U116:U213"/>
    <mergeCell ref="V116:V119"/>
    <mergeCell ref="Y116:Y119"/>
    <mergeCell ref="Z116:Z119"/>
    <mergeCell ref="M108:M111"/>
    <mergeCell ref="N108:N111"/>
    <mergeCell ref="O108:O111"/>
    <mergeCell ref="P108:P213"/>
    <mergeCell ref="Q108:Q213"/>
    <mergeCell ref="R108:R111"/>
    <mergeCell ref="R112:R115"/>
    <mergeCell ref="M116:M119"/>
    <mergeCell ref="N116:N119"/>
    <mergeCell ref="O116:O119"/>
    <mergeCell ref="R116:R119"/>
    <mergeCell ref="G108:G111"/>
    <mergeCell ref="H108:H111"/>
    <mergeCell ref="I108:I111"/>
    <mergeCell ref="J108:J111"/>
    <mergeCell ref="K108:K111"/>
    <mergeCell ref="L108:L111"/>
    <mergeCell ref="G104:G107"/>
    <mergeCell ref="H104:H107"/>
    <mergeCell ref="I104:I107"/>
    <mergeCell ref="J104:J107"/>
    <mergeCell ref="K104:K107"/>
    <mergeCell ref="L104:L107"/>
    <mergeCell ref="AS96:AS107"/>
    <mergeCell ref="G100:G103"/>
    <mergeCell ref="H100:H103"/>
    <mergeCell ref="I100:I103"/>
    <mergeCell ref="J100:J103"/>
    <mergeCell ref="K100:K103"/>
    <mergeCell ref="L100:L103"/>
    <mergeCell ref="M100:M103"/>
    <mergeCell ref="N100:N103"/>
    <mergeCell ref="O100:O103"/>
    <mergeCell ref="AM96:AM107"/>
    <mergeCell ref="AN96:AN107"/>
    <mergeCell ref="AO96:AO107"/>
    <mergeCell ref="AP96:AP107"/>
    <mergeCell ref="AQ96:AQ107"/>
    <mergeCell ref="AR96:AR107"/>
    <mergeCell ref="AG96:AG107"/>
    <mergeCell ref="AH96:AH107"/>
    <mergeCell ref="AI96:AI107"/>
    <mergeCell ref="AJ96:AJ107"/>
    <mergeCell ref="AK96:AK107"/>
    <mergeCell ref="AL96:AL107"/>
    <mergeCell ref="AA96:AA107"/>
    <mergeCell ref="AB96:AB107"/>
    <mergeCell ref="AC96:AC107"/>
    <mergeCell ref="AD96:AD107"/>
    <mergeCell ref="AE96:AE107"/>
    <mergeCell ref="AF96:AF107"/>
    <mergeCell ref="S96:S107"/>
    <mergeCell ref="T96:T107"/>
    <mergeCell ref="U96:U107"/>
    <mergeCell ref="V96:V99"/>
    <mergeCell ref="Y96:Y99"/>
    <mergeCell ref="Z96:Z99"/>
    <mergeCell ref="V100:V103"/>
    <mergeCell ref="Y100:Y103"/>
    <mergeCell ref="Z100:Z103"/>
    <mergeCell ref="V104:V107"/>
    <mergeCell ref="Y104:Y107"/>
    <mergeCell ref="Z104:Z107"/>
    <mergeCell ref="M96:M99"/>
    <mergeCell ref="N96:N99"/>
    <mergeCell ref="O96:O99"/>
    <mergeCell ref="P96:P107"/>
    <mergeCell ref="Q96:Q107"/>
    <mergeCell ref="R96:R99"/>
    <mergeCell ref="R100:R103"/>
    <mergeCell ref="M104:M107"/>
    <mergeCell ref="N104:N107"/>
    <mergeCell ref="O104:O107"/>
    <mergeCell ref="R104:R107"/>
    <mergeCell ref="G96:G99"/>
    <mergeCell ref="H96:H99"/>
    <mergeCell ref="I96:I99"/>
    <mergeCell ref="J96:J99"/>
    <mergeCell ref="K96:K99"/>
    <mergeCell ref="L96:L99"/>
    <mergeCell ref="AS88:AS95"/>
    <mergeCell ref="G92:G95"/>
    <mergeCell ref="H92:H95"/>
    <mergeCell ref="I92:I95"/>
    <mergeCell ref="J92:J95"/>
    <mergeCell ref="K92:K95"/>
    <mergeCell ref="L92:L95"/>
    <mergeCell ref="M92:M95"/>
    <mergeCell ref="N92:N95"/>
    <mergeCell ref="O92:O95"/>
    <mergeCell ref="AM88:AM95"/>
    <mergeCell ref="AN88:AN95"/>
    <mergeCell ref="AO88:AO95"/>
    <mergeCell ref="AP88:AP95"/>
    <mergeCell ref="AQ88:AQ95"/>
    <mergeCell ref="AR88:AR95"/>
    <mergeCell ref="AG88:AG95"/>
    <mergeCell ref="AH88:AH95"/>
    <mergeCell ref="AI88:AI95"/>
    <mergeCell ref="AJ88:AJ95"/>
    <mergeCell ref="AK88:AK95"/>
    <mergeCell ref="AL88:AL95"/>
    <mergeCell ref="AA88:AA95"/>
    <mergeCell ref="AB88:AB95"/>
    <mergeCell ref="AC88:AC95"/>
    <mergeCell ref="AD88:AD95"/>
    <mergeCell ref="AE88:AE95"/>
    <mergeCell ref="AF88:AF95"/>
    <mergeCell ref="S88:S95"/>
    <mergeCell ref="T88:T95"/>
    <mergeCell ref="U88:U91"/>
    <mergeCell ref="V88:V91"/>
    <mergeCell ref="Y88:Y91"/>
    <mergeCell ref="Z88:Z91"/>
    <mergeCell ref="U92:U95"/>
    <mergeCell ref="V92:V95"/>
    <mergeCell ref="Y92:Y95"/>
    <mergeCell ref="Z92:Z95"/>
    <mergeCell ref="M88:M91"/>
    <mergeCell ref="N88:N91"/>
    <mergeCell ref="O88:O91"/>
    <mergeCell ref="P88:P95"/>
    <mergeCell ref="Q88:Q95"/>
    <mergeCell ref="R88:R91"/>
    <mergeCell ref="R92:R95"/>
    <mergeCell ref="G88:G91"/>
    <mergeCell ref="H88:H91"/>
    <mergeCell ref="I88:I91"/>
    <mergeCell ref="J88:J91"/>
    <mergeCell ref="K88:K91"/>
    <mergeCell ref="L88:L91"/>
    <mergeCell ref="M84:M87"/>
    <mergeCell ref="N84:N87"/>
    <mergeCell ref="O84:O87"/>
    <mergeCell ref="R84:R87"/>
    <mergeCell ref="U84:U87"/>
    <mergeCell ref="V84:V87"/>
    <mergeCell ref="G84:G87"/>
    <mergeCell ref="H84:H87"/>
    <mergeCell ref="I84:I87"/>
    <mergeCell ref="J84:J87"/>
    <mergeCell ref="K84:K87"/>
    <mergeCell ref="L84:L87"/>
    <mergeCell ref="M80:M83"/>
    <mergeCell ref="N80:N83"/>
    <mergeCell ref="O80:O83"/>
    <mergeCell ref="R80:R83"/>
    <mergeCell ref="V80:V83"/>
    <mergeCell ref="Y80:Y83"/>
    <mergeCell ref="G80:G83"/>
    <mergeCell ref="H80:H83"/>
    <mergeCell ref="I80:I83"/>
    <mergeCell ref="J80:J83"/>
    <mergeCell ref="K80:K83"/>
    <mergeCell ref="L80:L83"/>
    <mergeCell ref="AN76:AN87"/>
    <mergeCell ref="AO76:AO87"/>
    <mergeCell ref="AP76:AP87"/>
    <mergeCell ref="AQ76:AQ87"/>
    <mergeCell ref="AR76:AR87"/>
    <mergeCell ref="AS76:AS87"/>
    <mergeCell ref="AH76:AH87"/>
    <mergeCell ref="AI76:AI87"/>
    <mergeCell ref="AJ76:AJ87"/>
    <mergeCell ref="AK76:AK87"/>
    <mergeCell ref="AL76:AL87"/>
    <mergeCell ref="AM76:AM87"/>
    <mergeCell ref="AB76:AB87"/>
    <mergeCell ref="AC76:AC87"/>
    <mergeCell ref="AD76:AD87"/>
    <mergeCell ref="AE76:AE87"/>
    <mergeCell ref="AF76:AF87"/>
    <mergeCell ref="AG76:AG87"/>
    <mergeCell ref="T76:T87"/>
    <mergeCell ref="U76:U83"/>
    <mergeCell ref="V76:V79"/>
    <mergeCell ref="Y76:Y79"/>
    <mergeCell ref="Z76:Z79"/>
    <mergeCell ref="AA76:AA87"/>
    <mergeCell ref="Z80:Z83"/>
    <mergeCell ref="Y84:Y87"/>
    <mergeCell ref="Z84:Z87"/>
    <mergeCell ref="N76:N79"/>
    <mergeCell ref="O76:O79"/>
    <mergeCell ref="P76:P87"/>
    <mergeCell ref="Q76:Q87"/>
    <mergeCell ref="R76:R79"/>
    <mergeCell ref="S76:S87"/>
    <mergeCell ref="V70:V73"/>
    <mergeCell ref="Y70:Y73"/>
    <mergeCell ref="Z70:Z73"/>
    <mergeCell ref="G76:G79"/>
    <mergeCell ref="H76:H79"/>
    <mergeCell ref="I76:I79"/>
    <mergeCell ref="J76:J79"/>
    <mergeCell ref="K76:K79"/>
    <mergeCell ref="L76:L79"/>
    <mergeCell ref="M76:M79"/>
    <mergeCell ref="Z66:Z69"/>
    <mergeCell ref="G70:G73"/>
    <mergeCell ref="H70:H73"/>
    <mergeCell ref="I70:I73"/>
    <mergeCell ref="J70:J73"/>
    <mergeCell ref="K70:K73"/>
    <mergeCell ref="L70:L73"/>
    <mergeCell ref="M70:M73"/>
    <mergeCell ref="N70:N73"/>
    <mergeCell ref="O70:O73"/>
    <mergeCell ref="M66:M69"/>
    <mergeCell ref="N66:N69"/>
    <mergeCell ref="O66:O69"/>
    <mergeCell ref="R66:R69"/>
    <mergeCell ref="V66:V69"/>
    <mergeCell ref="Y66:Y69"/>
    <mergeCell ref="G66:G69"/>
    <mergeCell ref="H66:H69"/>
    <mergeCell ref="I66:I69"/>
    <mergeCell ref="J66:J69"/>
    <mergeCell ref="K66:K69"/>
    <mergeCell ref="L66:L69"/>
    <mergeCell ref="M60:M63"/>
    <mergeCell ref="N60:N63"/>
    <mergeCell ref="O60:O63"/>
    <mergeCell ref="R60:R63"/>
    <mergeCell ref="Y60:Y63"/>
    <mergeCell ref="G60:G63"/>
    <mergeCell ref="H60:H63"/>
    <mergeCell ref="I60:I63"/>
    <mergeCell ref="J60:J63"/>
    <mergeCell ref="K60:K63"/>
    <mergeCell ref="L60:L63"/>
    <mergeCell ref="M52:M59"/>
    <mergeCell ref="N52:N59"/>
    <mergeCell ref="O52:O59"/>
    <mergeCell ref="R52:R59"/>
    <mergeCell ref="V52:V59"/>
    <mergeCell ref="Y52:Y55"/>
    <mergeCell ref="Y56:Y59"/>
    <mergeCell ref="G52:G59"/>
    <mergeCell ref="H52:H59"/>
    <mergeCell ref="I52:I59"/>
    <mergeCell ref="J52:J59"/>
    <mergeCell ref="K52:K59"/>
    <mergeCell ref="L52:L59"/>
    <mergeCell ref="M48:M51"/>
    <mergeCell ref="N48:N51"/>
    <mergeCell ref="O48:O51"/>
    <mergeCell ref="R48:R51"/>
    <mergeCell ref="V48:V51"/>
    <mergeCell ref="Y48:Y51"/>
    <mergeCell ref="AP43:AP75"/>
    <mergeCell ref="AQ43:AQ75"/>
    <mergeCell ref="AR43:AR75"/>
    <mergeCell ref="AC43:AC75"/>
    <mergeCell ref="Z48:Z51"/>
    <mergeCell ref="Z52:Z55"/>
    <mergeCell ref="Z56:Z59"/>
    <mergeCell ref="Z60:Z63"/>
    <mergeCell ref="P43:P75"/>
    <mergeCell ref="Q43:Q75"/>
    <mergeCell ref="R43:R47"/>
    <mergeCell ref="S43:S75"/>
    <mergeCell ref="T43:T75"/>
    <mergeCell ref="U43:U64"/>
    <mergeCell ref="U65:U69"/>
    <mergeCell ref="R70:R73"/>
    <mergeCell ref="U70:U73"/>
    <mergeCell ref="V60:V63"/>
    <mergeCell ref="AS43:AS75"/>
    <mergeCell ref="G48:G51"/>
    <mergeCell ref="H48:H51"/>
    <mergeCell ref="I48:I51"/>
    <mergeCell ref="J48:J51"/>
    <mergeCell ref="K48:K51"/>
    <mergeCell ref="L48:L51"/>
    <mergeCell ref="AJ43:AJ75"/>
    <mergeCell ref="AK43:AK75"/>
    <mergeCell ref="AL43:AL75"/>
    <mergeCell ref="AM43:AM75"/>
    <mergeCell ref="AN43:AN75"/>
    <mergeCell ref="AO43:AO75"/>
    <mergeCell ref="AD43:AD75"/>
    <mergeCell ref="AE43:AE75"/>
    <mergeCell ref="AF43:AF75"/>
    <mergeCell ref="AG43:AG75"/>
    <mergeCell ref="AH43:AH75"/>
    <mergeCell ref="AI43:AI75"/>
    <mergeCell ref="V43:V47"/>
    <mergeCell ref="Y43:Y46"/>
    <mergeCell ref="Z43:Z46"/>
    <mergeCell ref="AA43:AA75"/>
    <mergeCell ref="AB43:AB75"/>
    <mergeCell ref="AS41:AS42"/>
    <mergeCell ref="G43:G47"/>
    <mergeCell ref="H43:H47"/>
    <mergeCell ref="I43:I47"/>
    <mergeCell ref="J43:J47"/>
    <mergeCell ref="K43:K47"/>
    <mergeCell ref="L43:L47"/>
    <mergeCell ref="M43:M47"/>
    <mergeCell ref="N43:N47"/>
    <mergeCell ref="O43:O47"/>
    <mergeCell ref="AM41:AM42"/>
    <mergeCell ref="AN41:AN42"/>
    <mergeCell ref="AO41:AO42"/>
    <mergeCell ref="AP41:AP42"/>
    <mergeCell ref="AQ41:AQ42"/>
    <mergeCell ref="AR41:AR42"/>
    <mergeCell ref="AG41:AG42"/>
    <mergeCell ref="AH41:AH42"/>
    <mergeCell ref="AI41:AI42"/>
    <mergeCell ref="AJ41:AJ42"/>
    <mergeCell ref="AK41:AK42"/>
    <mergeCell ref="AL41:AL42"/>
    <mergeCell ref="AA41:AA42"/>
    <mergeCell ref="AB41:AB42"/>
    <mergeCell ref="AC41:AC42"/>
    <mergeCell ref="AD41:AD42"/>
    <mergeCell ref="AE41:AE42"/>
    <mergeCell ref="AF41:AF42"/>
    <mergeCell ref="M39:M40"/>
    <mergeCell ref="N39:N40"/>
    <mergeCell ref="O39:O40"/>
    <mergeCell ref="R39:R40"/>
    <mergeCell ref="V39:V40"/>
    <mergeCell ref="P41:P42"/>
    <mergeCell ref="Q41:Q42"/>
    <mergeCell ref="S41:S42"/>
    <mergeCell ref="T41:T42"/>
    <mergeCell ref="AB12:AB40"/>
    <mergeCell ref="AC12:AC40"/>
    <mergeCell ref="Y16:Y19"/>
    <mergeCell ref="Z16:Z19"/>
    <mergeCell ref="Y20:Y23"/>
    <mergeCell ref="Z20:Z23"/>
    <mergeCell ref="U16:U19"/>
    <mergeCell ref="V16:V19"/>
    <mergeCell ref="U20:U30"/>
    <mergeCell ref="V20:V23"/>
    <mergeCell ref="U12:U15"/>
    <mergeCell ref="G31:G35"/>
    <mergeCell ref="H31:H35"/>
    <mergeCell ref="I31:I35"/>
    <mergeCell ref="J31:J35"/>
    <mergeCell ref="K31:K35"/>
    <mergeCell ref="L31:L35"/>
    <mergeCell ref="G39:G40"/>
    <mergeCell ref="H39:H40"/>
    <mergeCell ref="I39:I40"/>
    <mergeCell ref="J39:J40"/>
    <mergeCell ref="K39:K40"/>
    <mergeCell ref="L39:L40"/>
    <mergeCell ref="G27:G30"/>
    <mergeCell ref="H27:H30"/>
    <mergeCell ref="I27:I30"/>
    <mergeCell ref="J27:J30"/>
    <mergeCell ref="K27:K30"/>
    <mergeCell ref="L27:L30"/>
    <mergeCell ref="M27:M30"/>
    <mergeCell ref="G24:G26"/>
    <mergeCell ref="H24:H26"/>
    <mergeCell ref="I24:I26"/>
    <mergeCell ref="J24:J26"/>
    <mergeCell ref="K24:K26"/>
    <mergeCell ref="L24:L26"/>
    <mergeCell ref="M24:M26"/>
    <mergeCell ref="R24:R26"/>
    <mergeCell ref="P12:P40"/>
    <mergeCell ref="Q12:Q40"/>
    <mergeCell ref="R12:R15"/>
    <mergeCell ref="S12:S40"/>
    <mergeCell ref="T12:T40"/>
    <mergeCell ref="N27:N30"/>
    <mergeCell ref="O27:O30"/>
    <mergeCell ref="R27:R30"/>
    <mergeCell ref="R31:R35"/>
    <mergeCell ref="R16:R19"/>
    <mergeCell ref="R20:R23"/>
    <mergeCell ref="M31:M35"/>
    <mergeCell ref="N31:N35"/>
    <mergeCell ref="O31:O35"/>
    <mergeCell ref="J20:J23"/>
    <mergeCell ref="K20:K23"/>
    <mergeCell ref="L20:L23"/>
    <mergeCell ref="M16:M19"/>
    <mergeCell ref="N16:N19"/>
    <mergeCell ref="O16:O19"/>
    <mergeCell ref="M20:M23"/>
    <mergeCell ref="N20:N23"/>
    <mergeCell ref="O20:O23"/>
    <mergeCell ref="N24:N26"/>
    <mergeCell ref="O24:O26"/>
    <mergeCell ref="AP12:AP40"/>
    <mergeCell ref="AQ12:AQ40"/>
    <mergeCell ref="AR12:AR40"/>
    <mergeCell ref="AS12:AS40"/>
    <mergeCell ref="G16:G19"/>
    <mergeCell ref="H16:H19"/>
    <mergeCell ref="I16:I19"/>
    <mergeCell ref="J16:J19"/>
    <mergeCell ref="K16:K19"/>
    <mergeCell ref="L16:L19"/>
    <mergeCell ref="AJ12:AJ40"/>
    <mergeCell ref="AK12:AK40"/>
    <mergeCell ref="AL12:AL40"/>
    <mergeCell ref="AM12:AM40"/>
    <mergeCell ref="AN12:AN40"/>
    <mergeCell ref="AO12:AO40"/>
    <mergeCell ref="AD12:AD40"/>
    <mergeCell ref="AE12:AE40"/>
    <mergeCell ref="AF12:AF40"/>
    <mergeCell ref="AG12:AG40"/>
    <mergeCell ref="AH12:AH40"/>
    <mergeCell ref="G20:G23"/>
    <mergeCell ref="H20:H23"/>
    <mergeCell ref="I20:I23"/>
    <mergeCell ref="U37:U40"/>
    <mergeCell ref="V27:V30"/>
    <mergeCell ref="Y27:Y30"/>
    <mergeCell ref="Z27:Z30"/>
    <mergeCell ref="V24:V26"/>
    <mergeCell ref="Y24:Y26"/>
    <mergeCell ref="Z24:Z26"/>
    <mergeCell ref="U31:U36"/>
    <mergeCell ref="V31:V35"/>
    <mergeCell ref="B9:G9"/>
    <mergeCell ref="AA9:AP9"/>
    <mergeCell ref="A11:B40"/>
    <mergeCell ref="F11:R11"/>
    <mergeCell ref="G12:G15"/>
    <mergeCell ref="H12:H15"/>
    <mergeCell ref="I12:I15"/>
    <mergeCell ref="X7:Z7"/>
    <mergeCell ref="AA7:AB7"/>
    <mergeCell ref="AC7:AF7"/>
    <mergeCell ref="AG7:AL7"/>
    <mergeCell ref="AM7:AO7"/>
    <mergeCell ref="AP7:AP8"/>
    <mergeCell ref="J12:J15"/>
    <mergeCell ref="K12:K15"/>
    <mergeCell ref="L12:L15"/>
    <mergeCell ref="M12:M15"/>
    <mergeCell ref="N12:N15"/>
    <mergeCell ref="O12:O15"/>
    <mergeCell ref="AI12:AI40"/>
    <mergeCell ref="V12:V15"/>
    <mergeCell ref="Y12:Y15"/>
    <mergeCell ref="Z12:Z15"/>
    <mergeCell ref="AA12:AA40"/>
    <mergeCell ref="A1:AQ4"/>
    <mergeCell ref="A5:O6"/>
    <mergeCell ref="P5:AS5"/>
    <mergeCell ref="AA6:AO6"/>
    <mergeCell ref="A7:B7"/>
    <mergeCell ref="C7:D7"/>
    <mergeCell ref="E7:F7"/>
    <mergeCell ref="G7:J7"/>
    <mergeCell ref="K7:N7"/>
    <mergeCell ref="O7:W7"/>
    <mergeCell ref="AQ7:AQ8"/>
    <mergeCell ref="AR7:AR8"/>
    <mergeCell ref="AS7:AS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M199"/>
  <sheetViews>
    <sheetView showGridLines="0" topLeftCell="A3" zoomScale="70" zoomScaleNormal="70" workbookViewId="0">
      <selection activeCell="A8" sqref="A8"/>
    </sheetView>
  </sheetViews>
  <sheetFormatPr baseColWidth="10" defaultColWidth="9.140625" defaultRowHeight="27" customHeight="1" x14ac:dyDescent="0.25"/>
  <cols>
    <col min="1" max="1" width="13.5703125" style="130" customWidth="1"/>
    <col min="2" max="2" width="13.5703125" style="1804" customWidth="1"/>
    <col min="3" max="4" width="14" style="1804" customWidth="1"/>
    <col min="5" max="6" width="15.140625" style="1804" customWidth="1"/>
    <col min="7" max="7" width="15.85546875" style="1804" customWidth="1"/>
    <col min="8" max="8" width="25.42578125" style="3" customWidth="1"/>
    <col min="9" max="9" width="27.140625" style="3" customWidth="1"/>
    <col min="10" max="10" width="28.5703125" style="3" customWidth="1"/>
    <col min="11" max="11" width="14.85546875" style="3" customWidth="1"/>
    <col min="12" max="12" width="33.42578125" style="3" customWidth="1"/>
    <col min="13" max="13" width="25.140625" style="3" customWidth="1"/>
    <col min="14" max="14" width="35.140625" style="3" customWidth="1"/>
    <col min="15" max="15" width="16.85546875" style="3" customWidth="1"/>
    <col min="16" max="16" width="25.85546875" style="3" customWidth="1"/>
    <col min="17" max="17" width="33.85546875" style="3" customWidth="1"/>
    <col min="18" max="18" width="17.5703125" style="134" customWidth="1"/>
    <col min="19" max="19" width="31.7109375" style="143" customWidth="1"/>
    <col min="20" max="20" width="34.28515625" style="3" customWidth="1"/>
    <col min="21" max="21" width="39" style="3" customWidth="1"/>
    <col min="22" max="22" width="50.85546875" style="3" customWidth="1"/>
    <col min="23" max="23" width="31.7109375" style="143" customWidth="1"/>
    <col min="24" max="24" width="57.28515625" style="143" customWidth="1"/>
    <col min="25" max="25" width="16" style="137" customWidth="1"/>
    <col min="26" max="26" width="29.5703125" style="3" customWidth="1"/>
    <col min="27" max="42" width="14" style="1804" customWidth="1"/>
    <col min="43" max="43" width="14.42578125" style="139" customWidth="1"/>
    <col min="44" max="44" width="20.5703125" style="139" customWidth="1"/>
    <col min="45" max="45" width="26.85546875" style="1804" customWidth="1"/>
    <col min="46" max="16384" width="9.140625" style="1804"/>
  </cols>
  <sheetData>
    <row r="1" spans="1:65" ht="22.5" customHeight="1" x14ac:dyDescent="0.25">
      <c r="A1" s="2207" t="s">
        <v>1025</v>
      </c>
      <c r="B1" s="3038"/>
      <c r="C1" s="3038"/>
      <c r="D1" s="3038"/>
      <c r="E1" s="3038"/>
      <c r="F1" s="3038"/>
      <c r="G1" s="3038"/>
      <c r="H1" s="3038"/>
      <c r="I1" s="3038"/>
      <c r="J1" s="3038"/>
      <c r="K1" s="3038"/>
      <c r="L1" s="3038"/>
      <c r="M1" s="3038"/>
      <c r="N1" s="3038"/>
      <c r="O1" s="3038"/>
      <c r="P1" s="3038"/>
      <c r="Q1" s="3038"/>
      <c r="R1" s="3038"/>
      <c r="S1" s="3038"/>
      <c r="T1" s="3038"/>
      <c r="U1" s="3038"/>
      <c r="V1" s="3038"/>
      <c r="W1" s="3038"/>
      <c r="X1" s="3038"/>
      <c r="Y1" s="3038"/>
      <c r="Z1" s="3038"/>
      <c r="AA1" s="3038"/>
      <c r="AB1" s="3038"/>
      <c r="AC1" s="3038"/>
      <c r="AD1" s="3038"/>
      <c r="AE1" s="3038"/>
      <c r="AF1" s="3038"/>
      <c r="AG1" s="3038"/>
      <c r="AH1" s="3038"/>
      <c r="AI1" s="3038"/>
      <c r="AJ1" s="3038"/>
      <c r="AK1" s="3038"/>
      <c r="AL1" s="3038"/>
      <c r="AM1" s="3038"/>
      <c r="AN1" s="3038"/>
      <c r="AO1" s="3038"/>
      <c r="AP1" s="3038"/>
      <c r="AQ1" s="2017"/>
      <c r="AR1" s="1713" t="s">
        <v>1</v>
      </c>
      <c r="AS1" s="1713" t="s">
        <v>983</v>
      </c>
      <c r="AT1" s="3"/>
      <c r="AU1" s="3"/>
      <c r="AV1" s="3"/>
      <c r="AW1" s="3"/>
      <c r="AX1" s="3"/>
      <c r="AY1" s="3"/>
      <c r="AZ1" s="3"/>
      <c r="BA1" s="3"/>
      <c r="BB1" s="3"/>
      <c r="BC1" s="3"/>
      <c r="BD1" s="3"/>
      <c r="BE1" s="3"/>
      <c r="BF1" s="3"/>
      <c r="BG1" s="3"/>
      <c r="BH1" s="3"/>
      <c r="BI1" s="3"/>
      <c r="BJ1" s="3"/>
      <c r="BK1" s="3"/>
      <c r="BL1" s="3"/>
      <c r="BM1" s="3"/>
    </row>
    <row r="2" spans="1:65" ht="27" customHeight="1" x14ac:dyDescent="0.25">
      <c r="A2" s="3038"/>
      <c r="B2" s="3038"/>
      <c r="C2" s="3038"/>
      <c r="D2" s="3038"/>
      <c r="E2" s="3038"/>
      <c r="F2" s="3038"/>
      <c r="G2" s="3038"/>
      <c r="H2" s="3038"/>
      <c r="I2" s="3038"/>
      <c r="J2" s="3038"/>
      <c r="K2" s="3038"/>
      <c r="L2" s="3038"/>
      <c r="M2" s="3038"/>
      <c r="N2" s="3038"/>
      <c r="O2" s="3038"/>
      <c r="P2" s="3038"/>
      <c r="Q2" s="3038"/>
      <c r="R2" s="3038"/>
      <c r="S2" s="3038"/>
      <c r="T2" s="3038"/>
      <c r="U2" s="3038"/>
      <c r="V2" s="3038"/>
      <c r="W2" s="3038"/>
      <c r="X2" s="3038"/>
      <c r="Y2" s="3038"/>
      <c r="Z2" s="3038"/>
      <c r="AA2" s="3038"/>
      <c r="AB2" s="3038"/>
      <c r="AC2" s="3038"/>
      <c r="AD2" s="3038"/>
      <c r="AE2" s="3038"/>
      <c r="AF2" s="3038"/>
      <c r="AG2" s="3038"/>
      <c r="AH2" s="3038"/>
      <c r="AI2" s="3038"/>
      <c r="AJ2" s="3038"/>
      <c r="AK2" s="3038"/>
      <c r="AL2" s="3038"/>
      <c r="AM2" s="3038"/>
      <c r="AN2" s="3038"/>
      <c r="AO2" s="3038"/>
      <c r="AP2" s="3038"/>
      <c r="AQ2" s="2017"/>
      <c r="AR2" s="1713" t="s">
        <v>3</v>
      </c>
      <c r="AS2" s="762" t="s">
        <v>984</v>
      </c>
      <c r="AT2" s="3"/>
      <c r="AU2" s="3"/>
      <c r="AV2" s="3"/>
      <c r="AW2" s="3"/>
      <c r="AX2" s="3"/>
      <c r="AY2" s="3"/>
      <c r="AZ2" s="3"/>
      <c r="BA2" s="3"/>
      <c r="BB2" s="3"/>
      <c r="BC2" s="3"/>
      <c r="BD2" s="3"/>
      <c r="BE2" s="3"/>
      <c r="BF2" s="3"/>
      <c r="BG2" s="3"/>
      <c r="BH2" s="3"/>
      <c r="BI2" s="3"/>
      <c r="BJ2" s="3"/>
      <c r="BK2" s="3"/>
      <c r="BL2" s="3"/>
      <c r="BM2" s="3"/>
    </row>
    <row r="3" spans="1:65" ht="22.5" customHeight="1" x14ac:dyDescent="0.25">
      <c r="A3" s="3038"/>
      <c r="B3" s="3038"/>
      <c r="C3" s="3038"/>
      <c r="D3" s="3038"/>
      <c r="E3" s="3038"/>
      <c r="F3" s="3038"/>
      <c r="G3" s="3038"/>
      <c r="H3" s="3038"/>
      <c r="I3" s="3038"/>
      <c r="J3" s="3038"/>
      <c r="K3" s="3038"/>
      <c r="L3" s="3038"/>
      <c r="M3" s="3038"/>
      <c r="N3" s="3038"/>
      <c r="O3" s="3038"/>
      <c r="P3" s="3038"/>
      <c r="Q3" s="3038"/>
      <c r="R3" s="3038"/>
      <c r="S3" s="3038"/>
      <c r="T3" s="3038"/>
      <c r="U3" s="3038"/>
      <c r="V3" s="3038"/>
      <c r="W3" s="3038"/>
      <c r="X3" s="3038"/>
      <c r="Y3" s="3038"/>
      <c r="Z3" s="3038"/>
      <c r="AA3" s="3038"/>
      <c r="AB3" s="3038"/>
      <c r="AC3" s="3038"/>
      <c r="AD3" s="3038"/>
      <c r="AE3" s="3038"/>
      <c r="AF3" s="3038"/>
      <c r="AG3" s="3038"/>
      <c r="AH3" s="3038"/>
      <c r="AI3" s="3038"/>
      <c r="AJ3" s="3038"/>
      <c r="AK3" s="3038"/>
      <c r="AL3" s="3038"/>
      <c r="AM3" s="3038"/>
      <c r="AN3" s="3038"/>
      <c r="AO3" s="3038"/>
      <c r="AP3" s="3038"/>
      <c r="AQ3" s="2017"/>
      <c r="AR3" s="1713" t="s">
        <v>4</v>
      </c>
      <c r="AS3" s="763">
        <v>44266</v>
      </c>
      <c r="AT3" s="3"/>
      <c r="AU3" s="3"/>
      <c r="AV3" s="3"/>
      <c r="AW3" s="3"/>
      <c r="AX3" s="3"/>
      <c r="AY3" s="3"/>
      <c r="AZ3" s="3"/>
      <c r="BA3" s="3"/>
      <c r="BB3" s="3"/>
      <c r="BC3" s="3"/>
      <c r="BD3" s="3"/>
      <c r="BE3" s="3"/>
      <c r="BF3" s="3"/>
      <c r="BG3" s="3"/>
      <c r="BH3" s="3"/>
      <c r="BI3" s="3"/>
      <c r="BJ3" s="3"/>
      <c r="BK3" s="3"/>
      <c r="BL3" s="3"/>
      <c r="BM3" s="3"/>
    </row>
    <row r="4" spans="1:65" ht="24.75" customHeight="1" x14ac:dyDescent="0.25">
      <c r="A4" s="2018"/>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1713" t="s">
        <v>5</v>
      </c>
      <c r="AS4" s="687" t="s">
        <v>114</v>
      </c>
      <c r="AT4" s="3"/>
      <c r="AU4" s="3"/>
      <c r="AV4" s="3"/>
      <c r="AW4" s="3"/>
      <c r="AX4" s="3"/>
      <c r="AY4" s="3"/>
      <c r="AZ4" s="3"/>
      <c r="BA4" s="3"/>
      <c r="BB4" s="3"/>
      <c r="BC4" s="3"/>
      <c r="BD4" s="3"/>
      <c r="BE4" s="3"/>
      <c r="BF4" s="3"/>
      <c r="BG4" s="3"/>
      <c r="BH4" s="3"/>
      <c r="BI4" s="3"/>
      <c r="BJ4" s="3"/>
      <c r="BK4" s="3"/>
      <c r="BL4" s="3"/>
      <c r="BM4" s="3"/>
    </row>
    <row r="5" spans="1:65" ht="22.5" customHeight="1" x14ac:dyDescent="0.25">
      <c r="A5" s="2444" t="s">
        <v>281</v>
      </c>
      <c r="B5" s="2020"/>
      <c r="C5" s="2020"/>
      <c r="D5" s="2020"/>
      <c r="E5" s="2020"/>
      <c r="F5" s="2020"/>
      <c r="G5" s="2020"/>
      <c r="H5" s="2020"/>
      <c r="I5" s="2020"/>
      <c r="J5" s="2020"/>
      <c r="K5" s="2020"/>
      <c r="L5" s="2020"/>
      <c r="M5" s="2020"/>
      <c r="N5" s="2020"/>
      <c r="O5" s="2445"/>
      <c r="P5" s="2448"/>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3"/>
      <c r="AU5" s="3"/>
      <c r="AV5" s="3"/>
      <c r="AW5" s="3"/>
      <c r="AX5" s="3"/>
      <c r="AY5" s="3"/>
      <c r="AZ5" s="3"/>
      <c r="BA5" s="3"/>
      <c r="BB5" s="3"/>
      <c r="BC5" s="3"/>
      <c r="BD5" s="3"/>
      <c r="BE5" s="3"/>
      <c r="BF5" s="3"/>
      <c r="BG5" s="3"/>
      <c r="BH5" s="3"/>
      <c r="BI5" s="3"/>
      <c r="BJ5" s="3"/>
      <c r="BK5" s="3"/>
      <c r="BL5" s="3"/>
      <c r="BM5" s="3"/>
    </row>
    <row r="6" spans="1:65" ht="18.75" customHeight="1" x14ac:dyDescent="0.25">
      <c r="A6" s="2209"/>
      <c r="B6" s="2018"/>
      <c r="C6" s="2018"/>
      <c r="D6" s="2018"/>
      <c r="E6" s="2018"/>
      <c r="F6" s="2018"/>
      <c r="G6" s="2018"/>
      <c r="H6" s="2018"/>
      <c r="I6" s="2018"/>
      <c r="J6" s="2018"/>
      <c r="K6" s="2018"/>
      <c r="L6" s="2018"/>
      <c r="M6" s="2018"/>
      <c r="N6" s="2018"/>
      <c r="O6" s="2019"/>
      <c r="P6" s="1710"/>
      <c r="Q6" s="1710"/>
      <c r="R6" s="1710"/>
      <c r="S6" s="1710"/>
      <c r="T6" s="1710"/>
      <c r="U6" s="1710"/>
      <c r="V6" s="1710"/>
      <c r="W6" s="1710"/>
      <c r="X6" s="1711"/>
      <c r="Y6" s="1711"/>
      <c r="Z6" s="1711"/>
      <c r="AA6" s="2209" t="s">
        <v>8</v>
      </c>
      <c r="AB6" s="2018"/>
      <c r="AC6" s="2018"/>
      <c r="AD6" s="2018"/>
      <c r="AE6" s="2018"/>
      <c r="AF6" s="2018"/>
      <c r="AG6" s="2018"/>
      <c r="AH6" s="2018"/>
      <c r="AI6" s="2018"/>
      <c r="AJ6" s="2018"/>
      <c r="AK6" s="2018"/>
      <c r="AL6" s="2018"/>
      <c r="AM6" s="2018"/>
      <c r="AN6" s="2018"/>
      <c r="AO6" s="2019"/>
      <c r="AP6" s="1711"/>
      <c r="AQ6" s="1711"/>
      <c r="AR6" s="1711"/>
      <c r="AS6" s="1712"/>
      <c r="AT6" s="3"/>
      <c r="AU6" s="3"/>
      <c r="AV6" s="3"/>
      <c r="AW6" s="3"/>
      <c r="AX6" s="3"/>
      <c r="AY6" s="3"/>
      <c r="AZ6" s="3"/>
      <c r="BA6" s="3"/>
      <c r="BB6" s="3"/>
      <c r="BC6" s="3"/>
      <c r="BD6" s="3"/>
      <c r="BE6" s="3"/>
      <c r="BF6" s="3"/>
      <c r="BG6" s="3"/>
      <c r="BH6" s="3"/>
      <c r="BI6" s="3"/>
      <c r="BJ6" s="3"/>
      <c r="BK6" s="3"/>
      <c r="BL6" s="3"/>
      <c r="BM6" s="3"/>
    </row>
    <row r="7" spans="1:65" ht="28.5" customHeight="1" x14ac:dyDescent="0.25">
      <c r="A7" s="3040" t="s">
        <v>9</v>
      </c>
      <c r="B7" s="3041"/>
      <c r="C7" s="2212" t="s">
        <v>10</v>
      </c>
      <c r="D7" s="3040"/>
      <c r="E7" s="3040" t="s">
        <v>11</v>
      </c>
      <c r="F7" s="3041"/>
      <c r="G7" s="3348" t="s">
        <v>12</v>
      </c>
      <c r="H7" s="3040"/>
      <c r="I7" s="3040"/>
      <c r="J7" s="3040"/>
      <c r="K7" s="2212" t="s">
        <v>13</v>
      </c>
      <c r="L7" s="3040"/>
      <c r="M7" s="3040"/>
      <c r="N7" s="3040"/>
      <c r="O7" s="3042" t="s">
        <v>1026</v>
      </c>
      <c r="P7" s="3043"/>
      <c r="Q7" s="3043"/>
      <c r="R7" s="3043"/>
      <c r="S7" s="3043"/>
      <c r="T7" s="3043"/>
      <c r="U7" s="3043"/>
      <c r="V7" s="3043"/>
      <c r="W7" s="3043"/>
      <c r="X7" s="2960" t="s">
        <v>15</v>
      </c>
      <c r="Y7" s="2960"/>
      <c r="Z7" s="2961"/>
      <c r="AA7" s="2277" t="s">
        <v>16</v>
      </c>
      <c r="AB7" s="2277"/>
      <c r="AC7" s="2050" t="s">
        <v>17</v>
      </c>
      <c r="AD7" s="2050"/>
      <c r="AE7" s="2050"/>
      <c r="AF7" s="2050"/>
      <c r="AG7" s="2216" t="s">
        <v>18</v>
      </c>
      <c r="AH7" s="2217"/>
      <c r="AI7" s="2217"/>
      <c r="AJ7" s="2217"/>
      <c r="AK7" s="2217"/>
      <c r="AL7" s="2934"/>
      <c r="AM7" s="2050" t="s">
        <v>19</v>
      </c>
      <c r="AN7" s="2050"/>
      <c r="AO7" s="2050"/>
      <c r="AP7" s="2935" t="s">
        <v>20</v>
      </c>
      <c r="AQ7" s="2036" t="s">
        <v>21</v>
      </c>
      <c r="AR7" s="2036" t="s">
        <v>22</v>
      </c>
      <c r="AS7" s="2038" t="s">
        <v>23</v>
      </c>
      <c r="AT7" s="3"/>
      <c r="AU7" s="3"/>
      <c r="AV7" s="3"/>
      <c r="AW7" s="3"/>
      <c r="AX7" s="3"/>
      <c r="AY7" s="3"/>
      <c r="AZ7" s="3"/>
      <c r="BA7" s="3"/>
      <c r="BB7" s="3"/>
      <c r="BC7" s="3"/>
      <c r="BD7" s="3"/>
      <c r="BE7" s="3"/>
      <c r="BF7" s="3"/>
      <c r="BG7" s="3"/>
      <c r="BH7" s="3"/>
      <c r="BI7" s="3"/>
      <c r="BJ7" s="3"/>
      <c r="BK7" s="3"/>
      <c r="BL7" s="3"/>
      <c r="BM7" s="3"/>
    </row>
    <row r="8" spans="1:65" ht="138.75" customHeight="1" x14ac:dyDescent="0.25">
      <c r="A8" s="170" t="s">
        <v>24</v>
      </c>
      <c r="B8" s="171" t="s">
        <v>25</v>
      </c>
      <c r="C8" s="764" t="s">
        <v>24</v>
      </c>
      <c r="D8" s="171" t="s">
        <v>25</v>
      </c>
      <c r="E8" s="764" t="s">
        <v>24</v>
      </c>
      <c r="F8" s="765" t="s">
        <v>25</v>
      </c>
      <c r="G8" s="766" t="s">
        <v>26</v>
      </c>
      <c r="H8" s="764" t="s">
        <v>27</v>
      </c>
      <c r="I8" s="171" t="s">
        <v>28</v>
      </c>
      <c r="J8" s="171" t="s">
        <v>117</v>
      </c>
      <c r="K8" s="171" t="s">
        <v>26</v>
      </c>
      <c r="L8" s="171" t="s">
        <v>30</v>
      </c>
      <c r="M8" s="20" t="s">
        <v>31</v>
      </c>
      <c r="N8" s="20" t="s">
        <v>32</v>
      </c>
      <c r="O8" s="767" t="s">
        <v>116</v>
      </c>
      <c r="P8" s="767" t="s">
        <v>34</v>
      </c>
      <c r="Q8" s="767" t="s">
        <v>35</v>
      </c>
      <c r="R8" s="768" t="s">
        <v>36</v>
      </c>
      <c r="S8" s="769" t="s">
        <v>37</v>
      </c>
      <c r="T8" s="770" t="s">
        <v>38</v>
      </c>
      <c r="U8" s="770" t="s">
        <v>39</v>
      </c>
      <c r="V8" s="767" t="s">
        <v>40</v>
      </c>
      <c r="W8" s="771" t="s">
        <v>1027</v>
      </c>
      <c r="X8" s="171" t="s">
        <v>1028</v>
      </c>
      <c r="Y8" s="1770" t="s">
        <v>43</v>
      </c>
      <c r="Z8" s="171" t="s">
        <v>25</v>
      </c>
      <c r="AA8" s="772" t="s">
        <v>44</v>
      </c>
      <c r="AB8" s="773" t="s">
        <v>45</v>
      </c>
      <c r="AC8" s="774" t="s">
        <v>46</v>
      </c>
      <c r="AD8" s="774" t="s">
        <v>1029</v>
      </c>
      <c r="AE8" s="774" t="s">
        <v>283</v>
      </c>
      <c r="AF8" s="774" t="s">
        <v>49</v>
      </c>
      <c r="AG8" s="774" t="s">
        <v>50</v>
      </c>
      <c r="AH8" s="774" t="s">
        <v>51</v>
      </c>
      <c r="AI8" s="774" t="s">
        <v>52</v>
      </c>
      <c r="AJ8" s="774" t="s">
        <v>53</v>
      </c>
      <c r="AK8" s="774" t="s">
        <v>54</v>
      </c>
      <c r="AL8" s="774" t="s">
        <v>55</v>
      </c>
      <c r="AM8" s="774" t="s">
        <v>56</v>
      </c>
      <c r="AN8" s="774" t="s">
        <v>57</v>
      </c>
      <c r="AO8" s="774" t="s">
        <v>58</v>
      </c>
      <c r="AP8" s="2936"/>
      <c r="AQ8" s="2215"/>
      <c r="AR8" s="2215"/>
      <c r="AS8" s="2039"/>
      <c r="AT8" s="3"/>
      <c r="AU8" s="3"/>
      <c r="AV8" s="3"/>
      <c r="AW8" s="3"/>
      <c r="AX8" s="3"/>
      <c r="AY8" s="3"/>
      <c r="AZ8" s="3"/>
      <c r="BA8" s="3"/>
      <c r="BB8" s="3"/>
      <c r="BC8" s="3"/>
      <c r="BD8" s="3"/>
      <c r="BE8" s="3"/>
      <c r="BF8" s="3"/>
      <c r="BG8" s="3"/>
      <c r="BH8" s="3"/>
      <c r="BI8" s="3"/>
      <c r="BJ8" s="3"/>
      <c r="BK8" s="3"/>
      <c r="BL8" s="3"/>
      <c r="BM8" s="3"/>
    </row>
    <row r="9" spans="1:65" ht="27" customHeight="1" x14ac:dyDescent="0.25">
      <c r="A9" s="440">
        <v>1</v>
      </c>
      <c r="B9" s="3349" t="s">
        <v>1030</v>
      </c>
      <c r="C9" s="3047"/>
      <c r="D9" s="3047"/>
      <c r="E9" s="3047"/>
      <c r="F9" s="3047"/>
      <c r="G9" s="3047"/>
      <c r="H9" s="775"/>
      <c r="I9" s="775"/>
      <c r="J9" s="775"/>
      <c r="K9" s="775"/>
      <c r="L9" s="775"/>
      <c r="M9" s="775"/>
      <c r="N9" s="775"/>
      <c r="O9" s="775"/>
      <c r="P9" s="775"/>
      <c r="Q9" s="775"/>
      <c r="R9" s="776"/>
      <c r="S9" s="777"/>
      <c r="T9" s="775"/>
      <c r="U9" s="775"/>
      <c r="V9" s="775"/>
      <c r="W9" s="777"/>
      <c r="X9" s="775"/>
      <c r="Y9" s="778"/>
      <c r="Z9" s="775"/>
      <c r="AA9" s="775"/>
      <c r="AB9" s="775"/>
      <c r="AC9" s="775"/>
      <c r="AD9" s="775"/>
      <c r="AE9" s="775"/>
      <c r="AF9" s="775"/>
      <c r="AG9" s="775"/>
      <c r="AH9" s="775"/>
      <c r="AI9" s="775"/>
      <c r="AJ9" s="775"/>
      <c r="AK9" s="775"/>
      <c r="AL9" s="775"/>
      <c r="AM9" s="775"/>
      <c r="AN9" s="775"/>
      <c r="AO9" s="775"/>
      <c r="AP9" s="775"/>
      <c r="AQ9" s="779"/>
      <c r="AR9" s="779"/>
      <c r="AS9" s="780"/>
      <c r="AT9" s="3"/>
      <c r="AU9" s="3"/>
      <c r="AV9" s="3"/>
      <c r="AW9" s="3"/>
      <c r="AX9" s="3"/>
      <c r="AY9" s="3"/>
      <c r="AZ9" s="3"/>
      <c r="BA9" s="3"/>
      <c r="BB9" s="3"/>
      <c r="BC9" s="3"/>
      <c r="BD9" s="3"/>
      <c r="BE9" s="3"/>
      <c r="BF9" s="3"/>
      <c r="BG9" s="3"/>
      <c r="BH9" s="3"/>
      <c r="BI9" s="3"/>
      <c r="BJ9" s="3"/>
      <c r="BK9" s="3"/>
      <c r="BL9" s="3"/>
      <c r="BM9" s="3"/>
    </row>
    <row r="10" spans="1:65" s="80" customFormat="1" ht="27" customHeight="1" x14ac:dyDescent="0.25">
      <c r="A10" s="1733"/>
      <c r="B10" s="1734"/>
      <c r="C10" s="38">
        <v>19</v>
      </c>
      <c r="D10" s="3350" t="s">
        <v>392</v>
      </c>
      <c r="E10" s="2378"/>
      <c r="F10" s="2378"/>
      <c r="G10" s="2378"/>
      <c r="H10" s="2378"/>
      <c r="I10" s="2378"/>
      <c r="J10" s="40"/>
      <c r="K10" s="40"/>
      <c r="L10" s="40"/>
      <c r="M10" s="570"/>
      <c r="N10" s="570"/>
      <c r="O10" s="570"/>
      <c r="P10" s="570"/>
      <c r="Q10" s="570"/>
      <c r="R10" s="781"/>
      <c r="S10" s="782"/>
      <c r="T10" s="570"/>
      <c r="U10" s="570"/>
      <c r="V10" s="570"/>
      <c r="W10" s="782"/>
      <c r="X10" s="570"/>
      <c r="Y10" s="569"/>
      <c r="Z10" s="570"/>
      <c r="AA10" s="570"/>
      <c r="AB10" s="570"/>
      <c r="AC10" s="570"/>
      <c r="AD10" s="570"/>
      <c r="AE10" s="570"/>
      <c r="AF10" s="570"/>
      <c r="AG10" s="570"/>
      <c r="AH10" s="570"/>
      <c r="AI10" s="570"/>
      <c r="AJ10" s="570"/>
      <c r="AK10" s="570"/>
      <c r="AL10" s="570"/>
      <c r="AM10" s="570"/>
      <c r="AN10" s="570"/>
      <c r="AO10" s="570"/>
      <c r="AP10" s="570"/>
      <c r="AQ10" s="571"/>
      <c r="AR10" s="571"/>
      <c r="AS10" s="572"/>
    </row>
    <row r="11" spans="1:65" s="3" customFormat="1" ht="15.75" x14ac:dyDescent="0.25">
      <c r="A11" s="2428"/>
      <c r="B11" s="2429"/>
      <c r="C11" s="1723"/>
      <c r="D11" s="1726"/>
      <c r="E11" s="783">
        <v>1905</v>
      </c>
      <c r="F11" s="3351" t="s">
        <v>1031</v>
      </c>
      <c r="G11" s="3352"/>
      <c r="H11" s="3352"/>
      <c r="I11" s="3352"/>
      <c r="J11" s="3353"/>
      <c r="K11" s="3353"/>
      <c r="L11" s="3353"/>
      <c r="M11" s="538"/>
      <c r="N11" s="538"/>
      <c r="O11" s="538"/>
      <c r="P11" s="538"/>
      <c r="Q11" s="538"/>
      <c r="R11" s="784"/>
      <c r="S11" s="785"/>
      <c r="T11" s="538"/>
      <c r="U11" s="538"/>
      <c r="V11" s="576"/>
      <c r="W11" s="786"/>
      <c r="X11" s="538"/>
      <c r="Y11" s="787"/>
      <c r="Z11" s="538"/>
      <c r="AA11" s="538"/>
      <c r="AB11" s="538"/>
      <c r="AC11" s="538"/>
      <c r="AD11" s="538"/>
      <c r="AE11" s="538"/>
      <c r="AF11" s="538"/>
      <c r="AG11" s="538"/>
      <c r="AH11" s="538"/>
      <c r="AI11" s="538"/>
      <c r="AJ11" s="538"/>
      <c r="AK11" s="538"/>
      <c r="AL11" s="538"/>
      <c r="AM11" s="538"/>
      <c r="AN11" s="538"/>
      <c r="AO11" s="538"/>
      <c r="AP11" s="538"/>
      <c r="AQ11" s="788"/>
      <c r="AR11" s="788"/>
      <c r="AS11" s="789"/>
    </row>
    <row r="12" spans="1:65" s="80" customFormat="1" ht="65.25" customHeight="1" x14ac:dyDescent="0.25">
      <c r="A12" s="2428"/>
      <c r="B12" s="2429"/>
      <c r="C12" s="1719"/>
      <c r="D12" s="1720"/>
      <c r="E12" s="2926"/>
      <c r="F12" s="2926"/>
      <c r="G12" s="2901">
        <v>1905021</v>
      </c>
      <c r="H12" s="2897" t="s">
        <v>1032</v>
      </c>
      <c r="I12" s="2901">
        <v>1905021</v>
      </c>
      <c r="J12" s="2897" t="s">
        <v>1032</v>
      </c>
      <c r="K12" s="2901">
        <v>190502100</v>
      </c>
      <c r="L12" s="2897" t="s">
        <v>1033</v>
      </c>
      <c r="M12" s="2901">
        <v>190502100</v>
      </c>
      <c r="N12" s="2897" t="s">
        <v>1033</v>
      </c>
      <c r="O12" s="2901">
        <v>12</v>
      </c>
      <c r="P12" s="2901" t="s">
        <v>1034</v>
      </c>
      <c r="Q12" s="2897" t="s">
        <v>1035</v>
      </c>
      <c r="R12" s="3362">
        <f>SUM(W12:W14)/S12</f>
        <v>0.5714285714285714</v>
      </c>
      <c r="S12" s="2890">
        <f>SUM(W12:W19)</f>
        <v>175000000</v>
      </c>
      <c r="T12" s="2897" t="s">
        <v>1036</v>
      </c>
      <c r="U12" s="3357" t="s">
        <v>1037</v>
      </c>
      <c r="V12" s="793" t="s">
        <v>1038</v>
      </c>
      <c r="W12" s="794">
        <v>65000000</v>
      </c>
      <c r="X12" s="1781" t="s">
        <v>1039</v>
      </c>
      <c r="Y12" s="3359">
        <v>20</v>
      </c>
      <c r="Z12" s="3067" t="s">
        <v>387</v>
      </c>
      <c r="AA12" s="3356">
        <v>2360</v>
      </c>
      <c r="AB12" s="3355">
        <v>2360</v>
      </c>
      <c r="AC12" s="3356">
        <v>480</v>
      </c>
      <c r="AD12" s="3355">
        <v>1400</v>
      </c>
      <c r="AE12" s="3356">
        <v>1440</v>
      </c>
      <c r="AF12" s="3355">
        <v>1200</v>
      </c>
      <c r="AG12" s="3356">
        <v>50</v>
      </c>
      <c r="AH12" s="3355">
        <v>50</v>
      </c>
      <c r="AI12" s="3356" t="s">
        <v>294</v>
      </c>
      <c r="AJ12" s="3355" t="s">
        <v>294</v>
      </c>
      <c r="AK12" s="3356" t="s">
        <v>294</v>
      </c>
      <c r="AL12" s="3355" t="s">
        <v>294</v>
      </c>
      <c r="AM12" s="3356">
        <v>50</v>
      </c>
      <c r="AN12" s="3355">
        <v>50</v>
      </c>
      <c r="AO12" s="3356" t="s">
        <v>294</v>
      </c>
      <c r="AP12" s="2879"/>
      <c r="AQ12" s="3361">
        <v>44197</v>
      </c>
      <c r="AR12" s="2881">
        <v>44561</v>
      </c>
      <c r="AS12" s="3354" t="s">
        <v>1040</v>
      </c>
    </row>
    <row r="13" spans="1:65" s="80" customFormat="1" ht="65.25" customHeight="1" x14ac:dyDescent="0.25">
      <c r="A13" s="2428"/>
      <c r="B13" s="2429"/>
      <c r="C13" s="1719"/>
      <c r="D13" s="1720"/>
      <c r="E13" s="2926"/>
      <c r="F13" s="2926"/>
      <c r="G13" s="2901"/>
      <c r="H13" s="2897"/>
      <c r="I13" s="2901"/>
      <c r="J13" s="2897"/>
      <c r="K13" s="2901"/>
      <c r="L13" s="2897"/>
      <c r="M13" s="2901"/>
      <c r="N13" s="2897"/>
      <c r="O13" s="2901"/>
      <c r="P13" s="2901"/>
      <c r="Q13" s="2897"/>
      <c r="R13" s="3362"/>
      <c r="S13" s="2890"/>
      <c r="T13" s="2897"/>
      <c r="U13" s="3357"/>
      <c r="V13" s="793" t="s">
        <v>1041</v>
      </c>
      <c r="W13" s="794">
        <v>20000000</v>
      </c>
      <c r="X13" s="1781" t="s">
        <v>1039</v>
      </c>
      <c r="Y13" s="3359"/>
      <c r="Z13" s="3067"/>
      <c r="AA13" s="3356"/>
      <c r="AB13" s="3355"/>
      <c r="AC13" s="3356"/>
      <c r="AD13" s="3355"/>
      <c r="AE13" s="3356"/>
      <c r="AF13" s="3355"/>
      <c r="AG13" s="3356"/>
      <c r="AH13" s="3355"/>
      <c r="AI13" s="3356"/>
      <c r="AJ13" s="3355"/>
      <c r="AK13" s="3356"/>
      <c r="AL13" s="3355"/>
      <c r="AM13" s="3356"/>
      <c r="AN13" s="3355"/>
      <c r="AO13" s="3356"/>
      <c r="AP13" s="2879"/>
      <c r="AQ13" s="3361"/>
      <c r="AR13" s="2881"/>
      <c r="AS13" s="3354"/>
    </row>
    <row r="14" spans="1:65" s="80" customFormat="1" ht="65.25" customHeight="1" x14ac:dyDescent="0.25">
      <c r="A14" s="2428"/>
      <c r="B14" s="2429"/>
      <c r="C14" s="1719"/>
      <c r="D14" s="1720"/>
      <c r="E14" s="2926"/>
      <c r="F14" s="2926"/>
      <c r="G14" s="2901"/>
      <c r="H14" s="2897"/>
      <c r="I14" s="2901"/>
      <c r="J14" s="2897"/>
      <c r="K14" s="2901"/>
      <c r="L14" s="2897"/>
      <c r="M14" s="2901"/>
      <c r="N14" s="2897"/>
      <c r="O14" s="2901"/>
      <c r="P14" s="2901"/>
      <c r="Q14" s="2897"/>
      <c r="R14" s="3362"/>
      <c r="S14" s="2890"/>
      <c r="T14" s="2897"/>
      <c r="U14" s="3357"/>
      <c r="V14" s="793" t="s">
        <v>1042</v>
      </c>
      <c r="W14" s="794">
        <v>15000000</v>
      </c>
      <c r="X14" s="1781" t="s">
        <v>1039</v>
      </c>
      <c r="Y14" s="3359"/>
      <c r="Z14" s="3067"/>
      <c r="AA14" s="3356"/>
      <c r="AB14" s="3355"/>
      <c r="AC14" s="3356"/>
      <c r="AD14" s="3355"/>
      <c r="AE14" s="3356"/>
      <c r="AF14" s="3355"/>
      <c r="AG14" s="3356"/>
      <c r="AH14" s="3355"/>
      <c r="AI14" s="3356"/>
      <c r="AJ14" s="3355"/>
      <c r="AK14" s="3356"/>
      <c r="AL14" s="3355"/>
      <c r="AM14" s="3356"/>
      <c r="AN14" s="3355"/>
      <c r="AO14" s="3356"/>
      <c r="AP14" s="2879"/>
      <c r="AQ14" s="3361"/>
      <c r="AR14" s="2881"/>
      <c r="AS14" s="3354"/>
    </row>
    <row r="15" spans="1:65" s="80" customFormat="1" ht="65.25" customHeight="1" x14ac:dyDescent="0.25">
      <c r="A15" s="2428"/>
      <c r="B15" s="2429"/>
      <c r="C15" s="1719"/>
      <c r="D15" s="1720"/>
      <c r="E15" s="1746"/>
      <c r="F15" s="1746"/>
      <c r="G15" s="2901">
        <v>1905022</v>
      </c>
      <c r="H15" s="2897" t="s">
        <v>1043</v>
      </c>
      <c r="I15" s="2901">
        <v>1905022</v>
      </c>
      <c r="J15" s="2897" t="s">
        <v>1043</v>
      </c>
      <c r="K15" s="2901">
        <v>190502200</v>
      </c>
      <c r="L15" s="2897" t="s">
        <v>1044</v>
      </c>
      <c r="M15" s="2901">
        <v>190502200</v>
      </c>
      <c r="N15" s="2897" t="s">
        <v>1044</v>
      </c>
      <c r="O15" s="2901">
        <v>12</v>
      </c>
      <c r="P15" s="2901"/>
      <c r="Q15" s="2897"/>
      <c r="R15" s="3360">
        <f>SUM(W15:W19)/S12</f>
        <v>0.42857142857142855</v>
      </c>
      <c r="S15" s="2890"/>
      <c r="T15" s="2897"/>
      <c r="U15" s="3357"/>
      <c r="V15" s="796" t="s">
        <v>1045</v>
      </c>
      <c r="W15" s="794">
        <f>25000000+5700000</f>
        <v>30700000</v>
      </c>
      <c r="X15" s="1781" t="s">
        <v>1046</v>
      </c>
      <c r="Y15" s="3359"/>
      <c r="Z15" s="3067"/>
      <c r="AA15" s="3356"/>
      <c r="AB15" s="3355"/>
      <c r="AC15" s="3356"/>
      <c r="AD15" s="3355"/>
      <c r="AE15" s="3356"/>
      <c r="AF15" s="3355"/>
      <c r="AG15" s="3356"/>
      <c r="AH15" s="3355"/>
      <c r="AI15" s="3356"/>
      <c r="AJ15" s="3355"/>
      <c r="AK15" s="3356"/>
      <c r="AL15" s="3355"/>
      <c r="AM15" s="3356"/>
      <c r="AN15" s="3355"/>
      <c r="AO15" s="3356"/>
      <c r="AP15" s="2879"/>
      <c r="AQ15" s="3361"/>
      <c r="AR15" s="2881"/>
      <c r="AS15" s="3354"/>
    </row>
    <row r="16" spans="1:65" s="80" customFormat="1" ht="65.25" customHeight="1" x14ac:dyDescent="0.25">
      <c r="A16" s="2428"/>
      <c r="B16" s="2429"/>
      <c r="C16" s="1719"/>
      <c r="D16" s="1720"/>
      <c r="E16" s="1746"/>
      <c r="F16" s="1746"/>
      <c r="G16" s="2901"/>
      <c r="H16" s="2897"/>
      <c r="I16" s="2901"/>
      <c r="J16" s="2897"/>
      <c r="K16" s="2901"/>
      <c r="L16" s="2897"/>
      <c r="M16" s="2901"/>
      <c r="N16" s="2897"/>
      <c r="O16" s="2901"/>
      <c r="P16" s="2901"/>
      <c r="Q16" s="2897"/>
      <c r="R16" s="3360"/>
      <c r="S16" s="2890"/>
      <c r="T16" s="2897"/>
      <c r="U16" s="3357"/>
      <c r="V16" s="796" t="s">
        <v>1047</v>
      </c>
      <c r="W16" s="794">
        <v>25000000</v>
      </c>
      <c r="X16" s="1781" t="s">
        <v>1046</v>
      </c>
      <c r="Y16" s="3359"/>
      <c r="Z16" s="3067"/>
      <c r="AA16" s="3356"/>
      <c r="AB16" s="3355"/>
      <c r="AC16" s="3356"/>
      <c r="AD16" s="3355"/>
      <c r="AE16" s="3356"/>
      <c r="AF16" s="3355"/>
      <c r="AG16" s="3356"/>
      <c r="AH16" s="3355"/>
      <c r="AI16" s="3356"/>
      <c r="AJ16" s="3355"/>
      <c r="AK16" s="3356"/>
      <c r="AL16" s="3355"/>
      <c r="AM16" s="3356"/>
      <c r="AN16" s="3355"/>
      <c r="AO16" s="3356"/>
      <c r="AP16" s="2879"/>
      <c r="AQ16" s="3361"/>
      <c r="AR16" s="2881"/>
      <c r="AS16" s="3354"/>
    </row>
    <row r="17" spans="1:45" s="80" customFormat="1" ht="65.25" customHeight="1" x14ac:dyDescent="0.25">
      <c r="A17" s="2428"/>
      <c r="B17" s="2429"/>
      <c r="C17" s="1719"/>
      <c r="D17" s="1720"/>
      <c r="E17" s="1746"/>
      <c r="F17" s="1746"/>
      <c r="G17" s="2901"/>
      <c r="H17" s="2897"/>
      <c r="I17" s="2901"/>
      <c r="J17" s="2897"/>
      <c r="K17" s="2901"/>
      <c r="L17" s="2897"/>
      <c r="M17" s="2901"/>
      <c r="N17" s="2897"/>
      <c r="O17" s="2901"/>
      <c r="P17" s="2901"/>
      <c r="Q17" s="2897"/>
      <c r="R17" s="3360"/>
      <c r="S17" s="2890"/>
      <c r="T17" s="2897"/>
      <c r="U17" s="3357"/>
      <c r="V17" s="796" t="s">
        <v>1048</v>
      </c>
      <c r="W17" s="794">
        <f>15000000-5700000</f>
        <v>9300000</v>
      </c>
      <c r="X17" s="1781" t="s">
        <v>1049</v>
      </c>
      <c r="Y17" s="3359"/>
      <c r="Z17" s="3067"/>
      <c r="AA17" s="3356"/>
      <c r="AB17" s="3355"/>
      <c r="AC17" s="3356"/>
      <c r="AD17" s="3355"/>
      <c r="AE17" s="3356"/>
      <c r="AF17" s="3355"/>
      <c r="AG17" s="3356"/>
      <c r="AH17" s="3355"/>
      <c r="AI17" s="3356"/>
      <c r="AJ17" s="3355"/>
      <c r="AK17" s="3356"/>
      <c r="AL17" s="3355"/>
      <c r="AM17" s="3356"/>
      <c r="AN17" s="3355"/>
      <c r="AO17" s="3356"/>
      <c r="AP17" s="2879"/>
      <c r="AQ17" s="3361"/>
      <c r="AR17" s="2881"/>
      <c r="AS17" s="3354"/>
    </row>
    <row r="18" spans="1:45" s="80" customFormat="1" ht="39" customHeight="1" x14ac:dyDescent="0.25">
      <c r="A18" s="2428"/>
      <c r="B18" s="2429"/>
      <c r="C18" s="1719"/>
      <c r="D18" s="1720"/>
      <c r="E18" s="1746"/>
      <c r="F18" s="1746"/>
      <c r="G18" s="2901"/>
      <c r="H18" s="2897"/>
      <c r="I18" s="2901"/>
      <c r="J18" s="2897"/>
      <c r="K18" s="2901"/>
      <c r="L18" s="2897"/>
      <c r="M18" s="2901"/>
      <c r="N18" s="2897"/>
      <c r="O18" s="2901"/>
      <c r="P18" s="2901"/>
      <c r="Q18" s="2897"/>
      <c r="R18" s="3360"/>
      <c r="S18" s="2890"/>
      <c r="T18" s="2897"/>
      <c r="U18" s="3358"/>
      <c r="V18" s="797" t="s">
        <v>1050</v>
      </c>
      <c r="W18" s="798">
        <v>5000000</v>
      </c>
      <c r="X18" s="799" t="s">
        <v>1051</v>
      </c>
      <c r="Y18" s="3359"/>
      <c r="Z18" s="3067"/>
      <c r="AA18" s="3356"/>
      <c r="AB18" s="3355"/>
      <c r="AC18" s="3356"/>
      <c r="AD18" s="3355"/>
      <c r="AE18" s="3356"/>
      <c r="AF18" s="3355"/>
      <c r="AG18" s="3356"/>
      <c r="AH18" s="3355"/>
      <c r="AI18" s="3356"/>
      <c r="AJ18" s="3355"/>
      <c r="AK18" s="3356"/>
      <c r="AL18" s="3355"/>
      <c r="AM18" s="3356"/>
      <c r="AN18" s="3355"/>
      <c r="AO18" s="3356"/>
      <c r="AP18" s="2879"/>
      <c r="AQ18" s="3361"/>
      <c r="AR18" s="2881"/>
      <c r="AS18" s="3354"/>
    </row>
    <row r="19" spans="1:45" s="80" customFormat="1" ht="39" customHeight="1" x14ac:dyDescent="0.25">
      <c r="A19" s="2428"/>
      <c r="B19" s="2429"/>
      <c r="C19" s="1721"/>
      <c r="D19" s="1722"/>
      <c r="E19" s="1746"/>
      <c r="F19" s="1746"/>
      <c r="G19" s="2901"/>
      <c r="H19" s="2897"/>
      <c r="I19" s="2901"/>
      <c r="J19" s="2897"/>
      <c r="K19" s="2901"/>
      <c r="L19" s="2897"/>
      <c r="M19" s="2901"/>
      <c r="N19" s="2897"/>
      <c r="O19" s="2901"/>
      <c r="P19" s="2901"/>
      <c r="Q19" s="2897"/>
      <c r="R19" s="3360"/>
      <c r="S19" s="2890"/>
      <c r="T19" s="2897"/>
      <c r="U19" s="3358"/>
      <c r="V19" s="797" t="s">
        <v>1052</v>
      </c>
      <c r="W19" s="1805">
        <v>5000000</v>
      </c>
      <c r="X19" s="1707" t="s">
        <v>1053</v>
      </c>
      <c r="Y19" s="3359"/>
      <c r="Z19" s="3067"/>
      <c r="AA19" s="3356"/>
      <c r="AB19" s="3355"/>
      <c r="AC19" s="3356"/>
      <c r="AD19" s="3355"/>
      <c r="AE19" s="3356"/>
      <c r="AF19" s="3355"/>
      <c r="AG19" s="3356"/>
      <c r="AH19" s="3355"/>
      <c r="AI19" s="3356"/>
      <c r="AJ19" s="3355"/>
      <c r="AK19" s="3356"/>
      <c r="AL19" s="3355"/>
      <c r="AM19" s="3356"/>
      <c r="AN19" s="3355"/>
      <c r="AO19" s="3356"/>
      <c r="AP19" s="2879"/>
      <c r="AQ19" s="3361"/>
      <c r="AR19" s="2881"/>
      <c r="AS19" s="3354"/>
    </row>
    <row r="20" spans="1:45" s="3" customFormat="1" ht="27.75" customHeight="1" x14ac:dyDescent="0.25">
      <c r="A20" s="2428"/>
      <c r="B20" s="2429"/>
      <c r="C20" s="313">
        <v>33</v>
      </c>
      <c r="D20" s="801" t="s">
        <v>437</v>
      </c>
      <c r="E20" s="802"/>
      <c r="F20" s="537"/>
      <c r="G20" s="469"/>
      <c r="H20" s="469"/>
      <c r="I20" s="469"/>
      <c r="J20" s="469"/>
      <c r="K20" s="469"/>
      <c r="L20" s="469"/>
      <c r="M20" s="469"/>
      <c r="N20" s="469"/>
      <c r="O20" s="469"/>
      <c r="P20" s="469"/>
      <c r="Q20" s="469"/>
      <c r="R20" s="803"/>
      <c r="S20" s="804"/>
      <c r="T20" s="469"/>
      <c r="U20" s="805"/>
      <c r="V20" s="806"/>
      <c r="W20" s="807"/>
      <c r="X20" s="808"/>
      <c r="Y20" s="809"/>
      <c r="Z20" s="462"/>
      <c r="AA20" s="808"/>
      <c r="AB20" s="808"/>
      <c r="AC20" s="808"/>
      <c r="AD20" s="808"/>
      <c r="AE20" s="808"/>
      <c r="AF20" s="808"/>
      <c r="AG20" s="808"/>
      <c r="AH20" s="808"/>
      <c r="AI20" s="808"/>
      <c r="AJ20" s="808"/>
      <c r="AK20" s="808"/>
      <c r="AL20" s="808"/>
      <c r="AM20" s="808"/>
      <c r="AN20" s="808"/>
      <c r="AO20" s="808"/>
      <c r="AP20" s="809"/>
      <c r="AQ20" s="810"/>
      <c r="AR20" s="810"/>
      <c r="AS20" s="811"/>
    </row>
    <row r="21" spans="1:45" s="3" customFormat="1" ht="27" customHeight="1" x14ac:dyDescent="0.25">
      <c r="A21" s="2428"/>
      <c r="B21" s="2429"/>
      <c r="C21" s="1723"/>
      <c r="D21" s="1724"/>
      <c r="E21" s="411">
        <v>3301</v>
      </c>
      <c r="F21" s="2550" t="s">
        <v>438</v>
      </c>
      <c r="G21" s="2551"/>
      <c r="H21" s="2551"/>
      <c r="I21" s="2551"/>
      <c r="J21" s="2551"/>
      <c r="K21" s="2551"/>
      <c r="L21" s="2551"/>
      <c r="M21" s="812"/>
      <c r="N21" s="812"/>
      <c r="O21" s="812"/>
      <c r="P21" s="812"/>
      <c r="Q21" s="812"/>
      <c r="R21" s="813"/>
      <c r="S21" s="814"/>
      <c r="T21" s="812"/>
      <c r="U21" s="812"/>
      <c r="V21" s="812"/>
      <c r="W21" s="815"/>
      <c r="X21" s="64"/>
      <c r="Y21" s="816"/>
      <c r="Z21" s="206"/>
      <c r="AA21" s="812"/>
      <c r="AB21" s="812"/>
      <c r="AC21" s="812"/>
      <c r="AD21" s="812"/>
      <c r="AE21" s="812"/>
      <c r="AF21" s="812"/>
      <c r="AG21" s="812"/>
      <c r="AH21" s="812"/>
      <c r="AI21" s="812"/>
      <c r="AJ21" s="812"/>
      <c r="AK21" s="812"/>
      <c r="AL21" s="812"/>
      <c r="AM21" s="812"/>
      <c r="AN21" s="812"/>
      <c r="AO21" s="812"/>
      <c r="AP21" s="812"/>
      <c r="AQ21" s="817"/>
      <c r="AR21" s="817"/>
      <c r="AS21" s="818"/>
    </row>
    <row r="22" spans="1:45" s="3" customFormat="1" ht="201.75" customHeight="1" x14ac:dyDescent="0.25">
      <c r="A22" s="2428"/>
      <c r="B22" s="2429"/>
      <c r="C22" s="1727"/>
      <c r="D22" s="1726"/>
      <c r="E22" s="1784"/>
      <c r="F22" s="1784"/>
      <c r="G22" s="1785">
        <v>3301051</v>
      </c>
      <c r="H22" s="1787" t="s">
        <v>1054</v>
      </c>
      <c r="I22" s="1785">
        <v>3301051</v>
      </c>
      <c r="J22" s="1787" t="s">
        <v>1054</v>
      </c>
      <c r="K22" s="1715">
        <v>330105110</v>
      </c>
      <c r="L22" s="1717" t="s">
        <v>1055</v>
      </c>
      <c r="M22" s="1715">
        <v>330105110</v>
      </c>
      <c r="N22" s="1717" t="s">
        <v>1055</v>
      </c>
      <c r="O22" s="1715">
        <v>250</v>
      </c>
      <c r="P22" s="1715" t="s">
        <v>1056</v>
      </c>
      <c r="Q22" s="1717" t="s">
        <v>1057</v>
      </c>
      <c r="R22" s="1766">
        <f>W22/S22</f>
        <v>1</v>
      </c>
      <c r="S22" s="1778">
        <f>W22</f>
        <v>14250000</v>
      </c>
      <c r="T22" s="1717" t="s">
        <v>1058</v>
      </c>
      <c r="U22" s="1742" t="s">
        <v>1059</v>
      </c>
      <c r="V22" s="1739" t="s">
        <v>1060</v>
      </c>
      <c r="W22" s="819">
        <v>14250000</v>
      </c>
      <c r="X22" s="1781" t="s">
        <v>1061</v>
      </c>
      <c r="Y22" s="1779">
        <v>20</v>
      </c>
      <c r="Z22" s="1709" t="s">
        <v>387</v>
      </c>
      <c r="AA22" s="1775">
        <v>100</v>
      </c>
      <c r="AB22" s="1775">
        <v>150</v>
      </c>
      <c r="AC22" s="1775" t="s">
        <v>294</v>
      </c>
      <c r="AD22" s="1775">
        <v>214</v>
      </c>
      <c r="AE22" s="1775">
        <v>30</v>
      </c>
      <c r="AF22" s="1775" t="s">
        <v>294</v>
      </c>
      <c r="AG22" s="1775" t="s">
        <v>294</v>
      </c>
      <c r="AH22" s="1775">
        <v>2</v>
      </c>
      <c r="AI22" s="1775" t="s">
        <v>294</v>
      </c>
      <c r="AJ22" s="1775" t="s">
        <v>294</v>
      </c>
      <c r="AK22" s="1775" t="s">
        <v>294</v>
      </c>
      <c r="AL22" s="1775" t="s">
        <v>294</v>
      </c>
      <c r="AM22" s="1775" t="s">
        <v>294</v>
      </c>
      <c r="AN22" s="1775">
        <v>1</v>
      </c>
      <c r="AO22" s="1775">
        <v>3</v>
      </c>
      <c r="AP22" s="1754"/>
      <c r="AQ22" s="1755">
        <v>44197</v>
      </c>
      <c r="AR22" s="1755">
        <v>44561</v>
      </c>
      <c r="AS22" s="1756" t="s">
        <v>1062</v>
      </c>
    </row>
    <row r="23" spans="1:45" s="3" customFormat="1" ht="20.25" customHeight="1" x14ac:dyDescent="0.25">
      <c r="A23" s="2428"/>
      <c r="B23" s="2429"/>
      <c r="C23" s="313">
        <v>41</v>
      </c>
      <c r="D23" s="3350" t="s">
        <v>1063</v>
      </c>
      <c r="E23" s="2378"/>
      <c r="F23" s="2925"/>
      <c r="G23" s="2925"/>
      <c r="H23" s="2925"/>
      <c r="I23" s="2925"/>
      <c r="J23" s="2925"/>
      <c r="K23" s="537"/>
      <c r="L23" s="537"/>
      <c r="M23" s="537"/>
      <c r="N23" s="537"/>
      <c r="O23" s="537"/>
      <c r="P23" s="537"/>
      <c r="Q23" s="537"/>
      <c r="R23" s="820"/>
      <c r="S23" s="821"/>
      <c r="T23" s="537"/>
      <c r="U23" s="822"/>
      <c r="V23" s="537"/>
      <c r="W23" s="821"/>
      <c r="X23" s="469"/>
      <c r="Y23" s="823"/>
      <c r="Z23" s="462"/>
      <c r="AA23" s="824"/>
      <c r="AB23" s="824"/>
      <c r="AC23" s="824"/>
      <c r="AD23" s="824"/>
      <c r="AE23" s="824"/>
      <c r="AF23" s="824"/>
      <c r="AG23" s="824"/>
      <c r="AH23" s="824"/>
      <c r="AI23" s="824"/>
      <c r="AJ23" s="824"/>
      <c r="AK23" s="824"/>
      <c r="AL23" s="824"/>
      <c r="AM23" s="824"/>
      <c r="AN23" s="824"/>
      <c r="AO23" s="824"/>
      <c r="AP23" s="823"/>
      <c r="AQ23" s="825"/>
      <c r="AR23" s="825"/>
      <c r="AS23" s="826"/>
    </row>
    <row r="24" spans="1:45" s="3" customFormat="1" ht="27" customHeight="1" x14ac:dyDescent="0.25">
      <c r="A24" s="2428"/>
      <c r="B24" s="2429"/>
      <c r="C24" s="1723"/>
      <c r="D24" s="1726"/>
      <c r="E24" s="827">
        <v>4102</v>
      </c>
      <c r="F24" s="828" t="s">
        <v>1064</v>
      </c>
      <c r="G24" s="829"/>
      <c r="H24" s="829"/>
      <c r="I24" s="829"/>
      <c r="J24" s="829"/>
      <c r="K24" s="829"/>
      <c r="L24" s="829"/>
      <c r="M24" s="830"/>
      <c r="N24" s="830"/>
      <c r="O24" s="812"/>
      <c r="P24" s="812"/>
      <c r="Q24" s="812"/>
      <c r="R24" s="813"/>
      <c r="S24" s="814"/>
      <c r="T24" s="812"/>
      <c r="U24" s="812"/>
      <c r="V24" s="812"/>
      <c r="W24" s="814"/>
      <c r="X24" s="64"/>
      <c r="Y24" s="816"/>
      <c r="Z24" s="206"/>
      <c r="AA24" s="812"/>
      <c r="AB24" s="812"/>
      <c r="AC24" s="812"/>
      <c r="AD24" s="812"/>
      <c r="AE24" s="812"/>
      <c r="AF24" s="812"/>
      <c r="AG24" s="812"/>
      <c r="AH24" s="812"/>
      <c r="AI24" s="812"/>
      <c r="AJ24" s="812"/>
      <c r="AK24" s="812"/>
      <c r="AL24" s="812"/>
      <c r="AM24" s="812"/>
      <c r="AN24" s="812"/>
      <c r="AO24" s="812"/>
      <c r="AP24" s="812"/>
      <c r="AQ24" s="817"/>
      <c r="AR24" s="817"/>
      <c r="AS24" s="818"/>
    </row>
    <row r="25" spans="1:45" s="80" customFormat="1" ht="158.25" customHeight="1" x14ac:dyDescent="0.25">
      <c r="A25" s="2428"/>
      <c r="B25" s="2429"/>
      <c r="C25" s="1719"/>
      <c r="D25" s="831"/>
      <c r="E25" s="3363"/>
      <c r="F25" s="3364"/>
      <c r="G25" s="3067" t="s">
        <v>62</v>
      </c>
      <c r="H25" s="2191" t="s">
        <v>1065</v>
      </c>
      <c r="I25" s="3067">
        <v>4102035</v>
      </c>
      <c r="J25" s="2190" t="s">
        <v>173</v>
      </c>
      <c r="K25" s="3067" t="s">
        <v>62</v>
      </c>
      <c r="L25" s="2191" t="s">
        <v>1066</v>
      </c>
      <c r="M25" s="3067">
        <v>410203500</v>
      </c>
      <c r="N25" s="2513" t="s">
        <v>175</v>
      </c>
      <c r="O25" s="1761">
        <v>1</v>
      </c>
      <c r="P25" s="3050" t="s">
        <v>1067</v>
      </c>
      <c r="Q25" s="2321" t="s">
        <v>1068</v>
      </c>
      <c r="R25" s="1764">
        <f>W25/S25</f>
        <v>0.19621308741293045</v>
      </c>
      <c r="S25" s="2884">
        <f>SUM(W25:W30)</f>
        <v>101930000</v>
      </c>
      <c r="T25" s="2321" t="s">
        <v>1069</v>
      </c>
      <c r="U25" s="2295" t="s">
        <v>1070</v>
      </c>
      <c r="V25" s="3370" t="s">
        <v>1071</v>
      </c>
      <c r="W25" s="832">
        <v>20000000</v>
      </c>
      <c r="X25" s="833" t="s">
        <v>1072</v>
      </c>
      <c r="Y25" s="834">
        <v>20</v>
      </c>
      <c r="Z25" s="1736" t="s">
        <v>387</v>
      </c>
      <c r="AA25" s="3371">
        <v>104</v>
      </c>
      <c r="AB25" s="2077">
        <v>96</v>
      </c>
      <c r="AC25" s="2077">
        <v>125</v>
      </c>
      <c r="AD25" s="2077" t="s">
        <v>294</v>
      </c>
      <c r="AE25" s="2077">
        <v>75</v>
      </c>
      <c r="AF25" s="2077" t="s">
        <v>294</v>
      </c>
      <c r="AG25" s="2077" t="s">
        <v>294</v>
      </c>
      <c r="AH25" s="2077" t="s">
        <v>294</v>
      </c>
      <c r="AI25" s="2077" t="s">
        <v>294</v>
      </c>
      <c r="AJ25" s="2077" t="s">
        <v>294</v>
      </c>
      <c r="AK25" s="2077" t="s">
        <v>294</v>
      </c>
      <c r="AL25" s="2077" t="s">
        <v>294</v>
      </c>
      <c r="AM25" s="2077" t="s">
        <v>294</v>
      </c>
      <c r="AN25" s="2077" t="s">
        <v>294</v>
      </c>
      <c r="AO25" s="2077" t="s">
        <v>294</v>
      </c>
      <c r="AP25" s="2861">
        <f>SUM(AC25:AO30)</f>
        <v>200</v>
      </c>
      <c r="AQ25" s="3372">
        <v>44197</v>
      </c>
      <c r="AR25" s="3372">
        <v>44561</v>
      </c>
      <c r="AS25" s="2861" t="s">
        <v>1073</v>
      </c>
    </row>
    <row r="26" spans="1:45" s="80" customFormat="1" ht="158.25" customHeight="1" x14ac:dyDescent="0.25">
      <c r="A26" s="2428"/>
      <c r="B26" s="2429"/>
      <c r="C26" s="1719"/>
      <c r="D26" s="831"/>
      <c r="E26" s="3363"/>
      <c r="F26" s="3364"/>
      <c r="G26" s="3067"/>
      <c r="H26" s="2191"/>
      <c r="I26" s="3067"/>
      <c r="J26" s="2190"/>
      <c r="K26" s="3067"/>
      <c r="L26" s="2191"/>
      <c r="M26" s="3067"/>
      <c r="N26" s="2513"/>
      <c r="O26" s="1761"/>
      <c r="P26" s="3050"/>
      <c r="Q26" s="2321"/>
      <c r="R26" s="1764"/>
      <c r="S26" s="2884"/>
      <c r="T26" s="2321"/>
      <c r="U26" s="2295"/>
      <c r="V26" s="2129"/>
      <c r="W26" s="832">
        <v>30000000</v>
      </c>
      <c r="X26" s="835" t="s">
        <v>1074</v>
      </c>
      <c r="Y26" s="834">
        <v>88</v>
      </c>
      <c r="Z26" s="1736" t="s">
        <v>1075</v>
      </c>
      <c r="AA26" s="3371"/>
      <c r="AB26" s="2077"/>
      <c r="AC26" s="2077"/>
      <c r="AD26" s="2077"/>
      <c r="AE26" s="2077"/>
      <c r="AF26" s="2077"/>
      <c r="AG26" s="2077"/>
      <c r="AH26" s="2077"/>
      <c r="AI26" s="2077"/>
      <c r="AJ26" s="2077"/>
      <c r="AK26" s="2077"/>
      <c r="AL26" s="2077"/>
      <c r="AM26" s="2077"/>
      <c r="AN26" s="2077"/>
      <c r="AO26" s="2077"/>
      <c r="AP26" s="2861"/>
      <c r="AQ26" s="3372"/>
      <c r="AR26" s="3372"/>
      <c r="AS26" s="2861"/>
    </row>
    <row r="27" spans="1:45" s="80" customFormat="1" ht="104.25" customHeight="1" x14ac:dyDescent="0.25">
      <c r="A27" s="2428"/>
      <c r="B27" s="2429"/>
      <c r="C27" s="1719"/>
      <c r="D27" s="831"/>
      <c r="E27" s="3363"/>
      <c r="F27" s="3363"/>
      <c r="G27" s="3367" t="s">
        <v>62</v>
      </c>
      <c r="H27" s="3369" t="s">
        <v>1076</v>
      </c>
      <c r="I27" s="2868">
        <v>4102001</v>
      </c>
      <c r="J27" s="3369" t="s">
        <v>1077</v>
      </c>
      <c r="K27" s="3050" t="s">
        <v>62</v>
      </c>
      <c r="L27" s="2321" t="s">
        <v>1078</v>
      </c>
      <c r="M27" s="3050">
        <v>410200100</v>
      </c>
      <c r="N27" s="2321" t="s">
        <v>1079</v>
      </c>
      <c r="O27" s="3049">
        <v>12</v>
      </c>
      <c r="P27" s="3050"/>
      <c r="Q27" s="2321"/>
      <c r="R27" s="3103">
        <f>SUM(W27:W30)/S25</f>
        <v>0.50946728146767395</v>
      </c>
      <c r="S27" s="2884"/>
      <c r="T27" s="2321"/>
      <c r="U27" s="2295"/>
      <c r="V27" s="1740" t="s">
        <v>1080</v>
      </c>
      <c r="W27" s="832">
        <v>20000000</v>
      </c>
      <c r="X27" s="833" t="s">
        <v>1081</v>
      </c>
      <c r="Y27" s="834">
        <v>20</v>
      </c>
      <c r="Z27" s="1736" t="s">
        <v>387</v>
      </c>
      <c r="AA27" s="3371"/>
      <c r="AB27" s="2077"/>
      <c r="AC27" s="2077"/>
      <c r="AD27" s="2077"/>
      <c r="AE27" s="2077"/>
      <c r="AF27" s="2077"/>
      <c r="AG27" s="2077"/>
      <c r="AH27" s="2077"/>
      <c r="AI27" s="2077"/>
      <c r="AJ27" s="2077"/>
      <c r="AK27" s="2077"/>
      <c r="AL27" s="2077"/>
      <c r="AM27" s="2077"/>
      <c r="AN27" s="2077"/>
      <c r="AO27" s="2077"/>
      <c r="AP27" s="2861"/>
      <c r="AQ27" s="3372"/>
      <c r="AR27" s="3372"/>
      <c r="AS27" s="2861"/>
    </row>
    <row r="28" spans="1:45" s="80" customFormat="1" ht="105" customHeight="1" x14ac:dyDescent="0.25">
      <c r="A28" s="2428"/>
      <c r="B28" s="2429"/>
      <c r="C28" s="1719"/>
      <c r="D28" s="831"/>
      <c r="E28" s="3363"/>
      <c r="F28" s="3363"/>
      <c r="G28" s="2920"/>
      <c r="H28" s="3369"/>
      <c r="I28" s="2901"/>
      <c r="J28" s="3369"/>
      <c r="K28" s="3050"/>
      <c r="L28" s="2321"/>
      <c r="M28" s="3050"/>
      <c r="N28" s="2321"/>
      <c r="O28" s="3050"/>
      <c r="P28" s="3050"/>
      <c r="Q28" s="2321"/>
      <c r="R28" s="3150"/>
      <c r="S28" s="2884"/>
      <c r="T28" s="2321"/>
      <c r="U28" s="2295"/>
      <c r="V28" s="2154" t="s">
        <v>1082</v>
      </c>
      <c r="W28" s="832">
        <v>20000000</v>
      </c>
      <c r="X28" s="833" t="s">
        <v>1081</v>
      </c>
      <c r="Y28" s="834">
        <v>20</v>
      </c>
      <c r="Z28" s="1736" t="s">
        <v>387</v>
      </c>
      <c r="AA28" s="3371"/>
      <c r="AB28" s="2077"/>
      <c r="AC28" s="2077"/>
      <c r="AD28" s="2077"/>
      <c r="AE28" s="2077"/>
      <c r="AF28" s="2077"/>
      <c r="AG28" s="2077"/>
      <c r="AH28" s="2077"/>
      <c r="AI28" s="2077"/>
      <c r="AJ28" s="2077"/>
      <c r="AK28" s="2077"/>
      <c r="AL28" s="2077"/>
      <c r="AM28" s="2077"/>
      <c r="AN28" s="2077"/>
      <c r="AO28" s="2077"/>
      <c r="AP28" s="2861"/>
      <c r="AQ28" s="3372"/>
      <c r="AR28" s="3372"/>
      <c r="AS28" s="2861"/>
    </row>
    <row r="29" spans="1:45" s="80" customFormat="1" ht="105" customHeight="1" x14ac:dyDescent="0.25">
      <c r="A29" s="2428"/>
      <c r="B29" s="2429"/>
      <c r="C29" s="1719"/>
      <c r="D29" s="831"/>
      <c r="E29" s="3363"/>
      <c r="F29" s="3363"/>
      <c r="G29" s="3368"/>
      <c r="H29" s="3369"/>
      <c r="I29" s="2866"/>
      <c r="J29" s="3369"/>
      <c r="K29" s="3050"/>
      <c r="L29" s="2321"/>
      <c r="M29" s="3050"/>
      <c r="N29" s="2321"/>
      <c r="O29" s="3050"/>
      <c r="P29" s="3050"/>
      <c r="Q29" s="2321"/>
      <c r="R29" s="3150"/>
      <c r="S29" s="2884"/>
      <c r="T29" s="2321"/>
      <c r="U29" s="2295"/>
      <c r="V29" s="2129"/>
      <c r="W29" s="832">
        <v>1930000</v>
      </c>
      <c r="X29" s="835" t="s">
        <v>1083</v>
      </c>
      <c r="Y29" s="834">
        <v>88</v>
      </c>
      <c r="Z29" s="1736" t="s">
        <v>1075</v>
      </c>
      <c r="AA29" s="3371"/>
      <c r="AB29" s="2077"/>
      <c r="AC29" s="2077"/>
      <c r="AD29" s="2077"/>
      <c r="AE29" s="2077"/>
      <c r="AF29" s="2077"/>
      <c r="AG29" s="2077"/>
      <c r="AH29" s="2077"/>
      <c r="AI29" s="2077"/>
      <c r="AJ29" s="2077"/>
      <c r="AK29" s="2077"/>
      <c r="AL29" s="2077"/>
      <c r="AM29" s="2077"/>
      <c r="AN29" s="2077"/>
      <c r="AO29" s="2077"/>
      <c r="AP29" s="2861"/>
      <c r="AQ29" s="3372"/>
      <c r="AR29" s="3372"/>
      <c r="AS29" s="2861"/>
    </row>
    <row r="30" spans="1:45" s="80" customFormat="1" ht="72.75" customHeight="1" x14ac:dyDescent="0.25">
      <c r="A30" s="2428"/>
      <c r="B30" s="2429"/>
      <c r="C30" s="1719"/>
      <c r="D30" s="831"/>
      <c r="E30" s="3363"/>
      <c r="F30" s="3363"/>
      <c r="G30" s="3368"/>
      <c r="H30" s="3369"/>
      <c r="I30" s="2866"/>
      <c r="J30" s="3369"/>
      <c r="K30" s="3050"/>
      <c r="L30" s="2321"/>
      <c r="M30" s="3050"/>
      <c r="N30" s="2321"/>
      <c r="O30" s="3050"/>
      <c r="P30" s="3050"/>
      <c r="Q30" s="2321"/>
      <c r="R30" s="3150"/>
      <c r="S30" s="2884"/>
      <c r="T30" s="2321"/>
      <c r="U30" s="2295"/>
      <c r="V30" s="1739" t="s">
        <v>1084</v>
      </c>
      <c r="W30" s="832">
        <v>10000000</v>
      </c>
      <c r="X30" s="833" t="s">
        <v>1081</v>
      </c>
      <c r="Y30" s="834">
        <v>20</v>
      </c>
      <c r="Z30" s="1736" t="s">
        <v>387</v>
      </c>
      <c r="AA30" s="3371"/>
      <c r="AB30" s="2077"/>
      <c r="AC30" s="2077"/>
      <c r="AD30" s="2077"/>
      <c r="AE30" s="2077"/>
      <c r="AF30" s="2077"/>
      <c r="AG30" s="2077"/>
      <c r="AH30" s="2077"/>
      <c r="AI30" s="2077"/>
      <c r="AJ30" s="2077"/>
      <c r="AK30" s="2077"/>
      <c r="AL30" s="2077"/>
      <c r="AM30" s="2077"/>
      <c r="AN30" s="2077"/>
      <c r="AO30" s="2077"/>
      <c r="AP30" s="2861"/>
      <c r="AQ30" s="3372"/>
      <c r="AR30" s="3372"/>
      <c r="AS30" s="2861"/>
    </row>
    <row r="31" spans="1:45" s="80" customFormat="1" ht="33.75" customHeight="1" x14ac:dyDescent="0.25">
      <c r="A31" s="2428"/>
      <c r="B31" s="2429"/>
      <c r="C31" s="1719"/>
      <c r="D31" s="831"/>
      <c r="E31" s="3363"/>
      <c r="F31" s="3363"/>
      <c r="G31" s="2920" t="s">
        <v>62</v>
      </c>
      <c r="H31" s="3366" t="s">
        <v>1085</v>
      </c>
      <c r="I31" s="2901">
        <v>4102043</v>
      </c>
      <c r="J31" s="2897" t="s">
        <v>1086</v>
      </c>
      <c r="K31" s="2901" t="s">
        <v>62</v>
      </c>
      <c r="L31" s="2897" t="s">
        <v>1087</v>
      </c>
      <c r="M31" s="2901" t="s">
        <v>1088</v>
      </c>
      <c r="N31" s="2897" t="s">
        <v>1089</v>
      </c>
      <c r="O31" s="2901">
        <v>1</v>
      </c>
      <c r="P31" s="2901" t="s">
        <v>1090</v>
      </c>
      <c r="Q31" s="2897" t="s">
        <v>1091</v>
      </c>
      <c r="R31" s="3362">
        <f>SUM(W31:W36)/S31</f>
        <v>1</v>
      </c>
      <c r="S31" s="2890">
        <f>SUM(W31:W36)</f>
        <v>135000000</v>
      </c>
      <c r="T31" s="2897" t="s">
        <v>1092</v>
      </c>
      <c r="U31" s="3357" t="s">
        <v>1093</v>
      </c>
      <c r="V31" s="1783" t="s">
        <v>1094</v>
      </c>
      <c r="W31" s="837">
        <v>15400000</v>
      </c>
      <c r="X31" s="833" t="s">
        <v>1095</v>
      </c>
      <c r="Y31" s="3373">
        <v>20</v>
      </c>
      <c r="Z31" s="3067" t="s">
        <v>387</v>
      </c>
      <c r="AA31" s="3389">
        <v>650</v>
      </c>
      <c r="AB31" s="3355">
        <v>600</v>
      </c>
      <c r="AC31" s="3355">
        <v>125</v>
      </c>
      <c r="AD31" s="3355">
        <v>250</v>
      </c>
      <c r="AE31" s="3355">
        <v>625</v>
      </c>
      <c r="AF31" s="3355">
        <v>250</v>
      </c>
      <c r="AG31" s="3355" t="s">
        <v>294</v>
      </c>
      <c r="AH31" s="3355" t="s">
        <v>294</v>
      </c>
      <c r="AI31" s="3355" t="s">
        <v>294</v>
      </c>
      <c r="AJ31" s="3355" t="s">
        <v>294</v>
      </c>
      <c r="AK31" s="3355" t="s">
        <v>294</v>
      </c>
      <c r="AL31" s="3355" t="s">
        <v>294</v>
      </c>
      <c r="AM31" s="3355" t="s">
        <v>294</v>
      </c>
      <c r="AN31" s="3355" t="s">
        <v>294</v>
      </c>
      <c r="AO31" s="3355" t="s">
        <v>294</v>
      </c>
      <c r="AP31" s="2879">
        <f>SUM(AC31:AO33)</f>
        <v>1250</v>
      </c>
      <c r="AQ31" s="3374">
        <v>44197</v>
      </c>
      <c r="AR31" s="3374">
        <v>44561</v>
      </c>
      <c r="AS31" s="2879" t="s">
        <v>1073</v>
      </c>
    </row>
    <row r="32" spans="1:45" s="80" customFormat="1" ht="51" customHeight="1" x14ac:dyDescent="0.25">
      <c r="A32" s="2428"/>
      <c r="B32" s="2429"/>
      <c r="C32" s="1719"/>
      <c r="D32" s="831"/>
      <c r="E32" s="3363"/>
      <c r="F32" s="3363"/>
      <c r="G32" s="2920"/>
      <c r="H32" s="3366"/>
      <c r="I32" s="2901"/>
      <c r="J32" s="2897"/>
      <c r="K32" s="2901"/>
      <c r="L32" s="2897"/>
      <c r="M32" s="2901"/>
      <c r="N32" s="2897"/>
      <c r="O32" s="2901"/>
      <c r="P32" s="2901"/>
      <c r="Q32" s="2897"/>
      <c r="R32" s="3362"/>
      <c r="S32" s="2890"/>
      <c r="T32" s="2897"/>
      <c r="U32" s="3357"/>
      <c r="V32" s="1783" t="s">
        <v>1096</v>
      </c>
      <c r="W32" s="837">
        <v>11000000</v>
      </c>
      <c r="X32" s="833" t="s">
        <v>1095</v>
      </c>
      <c r="Y32" s="3373"/>
      <c r="Z32" s="3067"/>
      <c r="AA32" s="3389"/>
      <c r="AB32" s="3355"/>
      <c r="AC32" s="3355"/>
      <c r="AD32" s="3355"/>
      <c r="AE32" s="3355"/>
      <c r="AF32" s="3355"/>
      <c r="AG32" s="3355"/>
      <c r="AH32" s="3355"/>
      <c r="AI32" s="3355"/>
      <c r="AJ32" s="3355"/>
      <c r="AK32" s="3355"/>
      <c r="AL32" s="3355"/>
      <c r="AM32" s="3355"/>
      <c r="AN32" s="3355"/>
      <c r="AO32" s="3355"/>
      <c r="AP32" s="2879"/>
      <c r="AQ32" s="3374"/>
      <c r="AR32" s="3374"/>
      <c r="AS32" s="2879"/>
    </row>
    <row r="33" spans="1:45" s="80" customFormat="1" ht="58.5" customHeight="1" x14ac:dyDescent="0.25">
      <c r="A33" s="2428"/>
      <c r="B33" s="2429"/>
      <c r="C33" s="1719"/>
      <c r="D33" s="831"/>
      <c r="E33" s="3363"/>
      <c r="F33" s="3363"/>
      <c r="G33" s="2920"/>
      <c r="H33" s="3366"/>
      <c r="I33" s="2901"/>
      <c r="J33" s="2897"/>
      <c r="K33" s="2901"/>
      <c r="L33" s="2897"/>
      <c r="M33" s="2901"/>
      <c r="N33" s="2897"/>
      <c r="O33" s="2901"/>
      <c r="P33" s="2901"/>
      <c r="Q33" s="2897"/>
      <c r="R33" s="3362"/>
      <c r="S33" s="2890"/>
      <c r="T33" s="2897"/>
      <c r="U33" s="3357"/>
      <c r="V33" s="1783" t="s">
        <v>1097</v>
      </c>
      <c r="W33" s="837">
        <v>98600000</v>
      </c>
      <c r="X33" s="833" t="s">
        <v>1095</v>
      </c>
      <c r="Y33" s="3373"/>
      <c r="Z33" s="3067"/>
      <c r="AA33" s="3389"/>
      <c r="AB33" s="3355"/>
      <c r="AC33" s="3355"/>
      <c r="AD33" s="3355"/>
      <c r="AE33" s="3355"/>
      <c r="AF33" s="3355"/>
      <c r="AG33" s="3355"/>
      <c r="AH33" s="3355"/>
      <c r="AI33" s="3355"/>
      <c r="AJ33" s="3355"/>
      <c r="AK33" s="3355"/>
      <c r="AL33" s="3355"/>
      <c r="AM33" s="3355"/>
      <c r="AN33" s="3355"/>
      <c r="AO33" s="3355"/>
      <c r="AP33" s="2879"/>
      <c r="AQ33" s="3374"/>
      <c r="AR33" s="3374"/>
      <c r="AS33" s="2879"/>
    </row>
    <row r="34" spans="1:45" s="80" customFormat="1" ht="33.75" customHeight="1" x14ac:dyDescent="0.25">
      <c r="A34" s="2428"/>
      <c r="B34" s="2429"/>
      <c r="C34" s="1719"/>
      <c r="D34" s="831"/>
      <c r="E34" s="3363"/>
      <c r="F34" s="3363"/>
      <c r="G34" s="2920"/>
      <c r="H34" s="3366"/>
      <c r="I34" s="2901"/>
      <c r="J34" s="2897"/>
      <c r="K34" s="2901"/>
      <c r="L34" s="2897"/>
      <c r="M34" s="2901"/>
      <c r="N34" s="2897"/>
      <c r="O34" s="2901"/>
      <c r="P34" s="2901"/>
      <c r="Q34" s="2897"/>
      <c r="R34" s="3362"/>
      <c r="S34" s="2890"/>
      <c r="T34" s="2897"/>
      <c r="U34" s="3357"/>
      <c r="V34" s="342" t="s">
        <v>1098</v>
      </c>
      <c r="W34" s="838">
        <f>2000000+1000000</f>
        <v>3000000</v>
      </c>
      <c r="X34" s="833" t="s">
        <v>1099</v>
      </c>
      <c r="Y34" s="3373"/>
      <c r="Z34" s="3067"/>
      <c r="AA34" s="3389"/>
      <c r="AB34" s="3355"/>
      <c r="AC34" s="3355"/>
      <c r="AD34" s="3355"/>
      <c r="AE34" s="3355"/>
      <c r="AF34" s="3355"/>
      <c r="AG34" s="3355"/>
      <c r="AH34" s="3355"/>
      <c r="AI34" s="3355"/>
      <c r="AJ34" s="3355"/>
      <c r="AK34" s="3355"/>
      <c r="AL34" s="3355"/>
      <c r="AM34" s="3355"/>
      <c r="AN34" s="3355"/>
      <c r="AO34" s="3355"/>
      <c r="AP34" s="2879"/>
      <c r="AQ34" s="3374"/>
      <c r="AR34" s="3374"/>
      <c r="AS34" s="2879"/>
    </row>
    <row r="35" spans="1:45" s="80" customFormat="1" ht="33.75" customHeight="1" x14ac:dyDescent="0.25">
      <c r="A35" s="2428"/>
      <c r="B35" s="2429"/>
      <c r="C35" s="1719"/>
      <c r="D35" s="831"/>
      <c r="E35" s="3363"/>
      <c r="F35" s="3363"/>
      <c r="G35" s="2920"/>
      <c r="H35" s="3366"/>
      <c r="I35" s="2901"/>
      <c r="J35" s="2897"/>
      <c r="K35" s="2901"/>
      <c r="L35" s="2897"/>
      <c r="M35" s="2901"/>
      <c r="N35" s="2897"/>
      <c r="O35" s="2901"/>
      <c r="P35" s="2901"/>
      <c r="Q35" s="2897"/>
      <c r="R35" s="3362"/>
      <c r="S35" s="2890"/>
      <c r="T35" s="2897"/>
      <c r="U35" s="3357"/>
      <c r="V35" s="342" t="s">
        <v>1100</v>
      </c>
      <c r="W35" s="838">
        <v>4000000</v>
      </c>
      <c r="X35" s="833" t="s">
        <v>1101</v>
      </c>
      <c r="Y35" s="3373"/>
      <c r="Z35" s="3067"/>
      <c r="AA35" s="3389"/>
      <c r="AB35" s="3355"/>
      <c r="AC35" s="3355"/>
      <c r="AD35" s="3355"/>
      <c r="AE35" s="3355"/>
      <c r="AF35" s="3355"/>
      <c r="AG35" s="3355"/>
      <c r="AH35" s="3355"/>
      <c r="AI35" s="3355"/>
      <c r="AJ35" s="3355"/>
      <c r="AK35" s="3355"/>
      <c r="AL35" s="3355"/>
      <c r="AM35" s="3355"/>
      <c r="AN35" s="3355"/>
      <c r="AO35" s="3355"/>
      <c r="AP35" s="2879"/>
      <c r="AQ35" s="3374"/>
      <c r="AR35" s="3374"/>
      <c r="AS35" s="2879"/>
    </row>
    <row r="36" spans="1:45" s="80" customFormat="1" ht="33.75" customHeight="1" x14ac:dyDescent="0.25">
      <c r="A36" s="2428"/>
      <c r="B36" s="2429"/>
      <c r="C36" s="1719"/>
      <c r="D36" s="831"/>
      <c r="E36" s="3363"/>
      <c r="F36" s="3363"/>
      <c r="G36" s="2920"/>
      <c r="H36" s="3366"/>
      <c r="I36" s="2901"/>
      <c r="J36" s="2897"/>
      <c r="K36" s="2901"/>
      <c r="L36" s="2897"/>
      <c r="M36" s="2901"/>
      <c r="N36" s="2897"/>
      <c r="O36" s="2901"/>
      <c r="P36" s="2901"/>
      <c r="Q36" s="2897"/>
      <c r="R36" s="3362"/>
      <c r="S36" s="2890"/>
      <c r="T36" s="2897"/>
      <c r="U36" s="3357"/>
      <c r="V36" s="342" t="s">
        <v>1102</v>
      </c>
      <c r="W36" s="838">
        <v>3000000</v>
      </c>
      <c r="X36" s="833" t="s">
        <v>1103</v>
      </c>
      <c r="Y36" s="3373"/>
      <c r="Z36" s="3067"/>
      <c r="AA36" s="3389"/>
      <c r="AB36" s="3355"/>
      <c r="AC36" s="3355"/>
      <c r="AD36" s="3355"/>
      <c r="AE36" s="3355"/>
      <c r="AF36" s="3355"/>
      <c r="AG36" s="3355"/>
      <c r="AH36" s="3355"/>
      <c r="AI36" s="3355"/>
      <c r="AJ36" s="3355"/>
      <c r="AK36" s="3355"/>
      <c r="AL36" s="3355"/>
      <c r="AM36" s="3355"/>
      <c r="AN36" s="3355"/>
      <c r="AO36" s="3355"/>
      <c r="AP36" s="2879"/>
      <c r="AQ36" s="3374"/>
      <c r="AR36" s="3374"/>
      <c r="AS36" s="2879"/>
    </row>
    <row r="37" spans="1:45" s="80" customFormat="1" ht="130.5" customHeight="1" x14ac:dyDescent="0.25">
      <c r="A37" s="2428"/>
      <c r="B37" s="2429"/>
      <c r="C37" s="1719"/>
      <c r="D37" s="831"/>
      <c r="E37" s="3363"/>
      <c r="F37" s="3363"/>
      <c r="G37" s="1749" t="s">
        <v>62</v>
      </c>
      <c r="H37" s="1789" t="s">
        <v>1104</v>
      </c>
      <c r="I37" s="1745">
        <v>4102035</v>
      </c>
      <c r="J37" s="1752" t="s">
        <v>173</v>
      </c>
      <c r="K37" s="1761" t="s">
        <v>1105</v>
      </c>
      <c r="L37" s="839" t="s">
        <v>1106</v>
      </c>
      <c r="M37" s="1761" t="s">
        <v>1107</v>
      </c>
      <c r="N37" s="839" t="s">
        <v>1108</v>
      </c>
      <c r="O37" s="1790">
        <v>1</v>
      </c>
      <c r="P37" s="3375" t="s">
        <v>1109</v>
      </c>
      <c r="Q37" s="3376" t="s">
        <v>1110</v>
      </c>
      <c r="R37" s="840">
        <f>SUM(W37)/S37</f>
        <v>0.12217973161857609</v>
      </c>
      <c r="S37" s="3378">
        <f>SUM(W37:W45)</f>
        <v>294647889</v>
      </c>
      <c r="T37" s="3380" t="s">
        <v>1111</v>
      </c>
      <c r="U37" s="3382" t="s">
        <v>1112</v>
      </c>
      <c r="V37" s="841" t="s">
        <v>1113</v>
      </c>
      <c r="W37" s="832">
        <v>36000000</v>
      </c>
      <c r="X37" s="833" t="s">
        <v>1114</v>
      </c>
      <c r="Y37" s="834">
        <v>20</v>
      </c>
      <c r="Z37" s="1708" t="s">
        <v>387</v>
      </c>
      <c r="AA37" s="3384">
        <v>15600</v>
      </c>
      <c r="AB37" s="3386">
        <v>14400</v>
      </c>
      <c r="AC37" s="3387">
        <v>25000</v>
      </c>
      <c r="AD37" s="3395">
        <v>3750</v>
      </c>
      <c r="AE37" s="3387">
        <v>1250</v>
      </c>
      <c r="AF37" s="3395" t="s">
        <v>294</v>
      </c>
      <c r="AG37" s="3387" t="s">
        <v>294</v>
      </c>
      <c r="AH37" s="3395" t="s">
        <v>294</v>
      </c>
      <c r="AI37" s="3387" t="s">
        <v>294</v>
      </c>
      <c r="AJ37" s="3395" t="s">
        <v>294</v>
      </c>
      <c r="AK37" s="3387" t="s">
        <v>294</v>
      </c>
      <c r="AL37" s="3395" t="s">
        <v>294</v>
      </c>
      <c r="AM37" s="3387" t="s">
        <v>294</v>
      </c>
      <c r="AN37" s="3395" t="s">
        <v>294</v>
      </c>
      <c r="AO37" s="3387" t="s">
        <v>294</v>
      </c>
      <c r="AP37" s="3400">
        <f>SUM(AC37:AO43)</f>
        <v>30000</v>
      </c>
      <c r="AQ37" s="3401">
        <v>44197</v>
      </c>
      <c r="AR37" s="3390">
        <v>44561</v>
      </c>
      <c r="AS37" s="2989" t="s">
        <v>1073</v>
      </c>
    </row>
    <row r="38" spans="1:45" s="80" customFormat="1" ht="69" customHeight="1" x14ac:dyDescent="0.25">
      <c r="A38" s="2428"/>
      <c r="B38" s="2429"/>
      <c r="C38" s="1719"/>
      <c r="D38" s="831"/>
      <c r="E38" s="3363"/>
      <c r="F38" s="3363"/>
      <c r="G38" s="2920" t="s">
        <v>62</v>
      </c>
      <c r="H38" s="3392" t="s">
        <v>1115</v>
      </c>
      <c r="I38" s="3393" t="s">
        <v>1116</v>
      </c>
      <c r="J38" s="2897" t="s">
        <v>1117</v>
      </c>
      <c r="K38" s="3394">
        <v>410204301</v>
      </c>
      <c r="L38" s="2897" t="s">
        <v>1118</v>
      </c>
      <c r="M38" s="3394">
        <v>410204301</v>
      </c>
      <c r="N38" s="2897" t="s">
        <v>1119</v>
      </c>
      <c r="O38" s="3394">
        <v>1</v>
      </c>
      <c r="P38" s="3363"/>
      <c r="Q38" s="3377"/>
      <c r="R38" s="2903">
        <f>SUM(W38:W45)/S37</f>
        <v>0.87782026838142391</v>
      </c>
      <c r="S38" s="3379"/>
      <c r="T38" s="3381"/>
      <c r="U38" s="3383"/>
      <c r="V38" s="843" t="s">
        <v>1120</v>
      </c>
      <c r="W38" s="832">
        <v>18193334</v>
      </c>
      <c r="X38" s="833" t="s">
        <v>1121</v>
      </c>
      <c r="Y38" s="834">
        <v>20</v>
      </c>
      <c r="Z38" s="1708" t="s">
        <v>387</v>
      </c>
      <c r="AA38" s="3384"/>
      <c r="AB38" s="3355"/>
      <c r="AC38" s="3387"/>
      <c r="AD38" s="3396"/>
      <c r="AE38" s="3387"/>
      <c r="AF38" s="3396"/>
      <c r="AG38" s="3387"/>
      <c r="AH38" s="3396"/>
      <c r="AI38" s="3387"/>
      <c r="AJ38" s="3396"/>
      <c r="AK38" s="3387"/>
      <c r="AL38" s="3396"/>
      <c r="AM38" s="3387"/>
      <c r="AN38" s="3396"/>
      <c r="AO38" s="3387"/>
      <c r="AP38" s="2997"/>
      <c r="AQ38" s="3401"/>
      <c r="AR38" s="3391"/>
      <c r="AS38" s="2989"/>
    </row>
    <row r="39" spans="1:45" s="80" customFormat="1" ht="97.5" customHeight="1" x14ac:dyDescent="0.25">
      <c r="A39" s="2428"/>
      <c r="B39" s="2429"/>
      <c r="C39" s="1719"/>
      <c r="D39" s="831"/>
      <c r="E39" s="3363"/>
      <c r="F39" s="3363"/>
      <c r="G39" s="2920"/>
      <c r="H39" s="3392"/>
      <c r="I39" s="3393"/>
      <c r="J39" s="2897"/>
      <c r="K39" s="3394"/>
      <c r="L39" s="2897"/>
      <c r="M39" s="3394"/>
      <c r="N39" s="2897"/>
      <c r="O39" s="3394"/>
      <c r="P39" s="3363"/>
      <c r="Q39" s="3377"/>
      <c r="R39" s="2903"/>
      <c r="S39" s="3379"/>
      <c r="T39" s="3381"/>
      <c r="U39" s="3383"/>
      <c r="V39" s="843" t="s">
        <v>1122</v>
      </c>
      <c r="W39" s="832">
        <v>28006666</v>
      </c>
      <c r="X39" s="833" t="s">
        <v>1121</v>
      </c>
      <c r="Y39" s="834">
        <v>20</v>
      </c>
      <c r="Z39" s="1708" t="s">
        <v>387</v>
      </c>
      <c r="AA39" s="3384"/>
      <c r="AB39" s="3355"/>
      <c r="AC39" s="3387"/>
      <c r="AD39" s="3396"/>
      <c r="AE39" s="3387"/>
      <c r="AF39" s="3396"/>
      <c r="AG39" s="3387"/>
      <c r="AH39" s="3396"/>
      <c r="AI39" s="3387"/>
      <c r="AJ39" s="3396"/>
      <c r="AK39" s="3387"/>
      <c r="AL39" s="3396"/>
      <c r="AM39" s="3387"/>
      <c r="AN39" s="3396"/>
      <c r="AO39" s="3387"/>
      <c r="AP39" s="2997"/>
      <c r="AQ39" s="3401"/>
      <c r="AR39" s="3391"/>
      <c r="AS39" s="2989"/>
    </row>
    <row r="40" spans="1:45" s="80" customFormat="1" ht="71.25" customHeight="1" x14ac:dyDescent="0.25">
      <c r="A40" s="2428"/>
      <c r="B40" s="2429"/>
      <c r="C40" s="1719"/>
      <c r="D40" s="831"/>
      <c r="E40" s="3363"/>
      <c r="F40" s="3363"/>
      <c r="G40" s="2920"/>
      <c r="H40" s="3392"/>
      <c r="I40" s="3393"/>
      <c r="J40" s="2897"/>
      <c r="K40" s="3394"/>
      <c r="L40" s="2897"/>
      <c r="M40" s="3394"/>
      <c r="N40" s="2897"/>
      <c r="O40" s="3394"/>
      <c r="P40" s="3363"/>
      <c r="Q40" s="3377"/>
      <c r="R40" s="2903"/>
      <c r="S40" s="3379"/>
      <c r="T40" s="3381"/>
      <c r="U40" s="3383"/>
      <c r="V40" s="3397" t="s">
        <v>1123</v>
      </c>
      <c r="W40" s="832">
        <v>107000000</v>
      </c>
      <c r="X40" s="833" t="s">
        <v>1121</v>
      </c>
      <c r="Y40" s="834">
        <v>20</v>
      </c>
      <c r="Z40" s="1708" t="s">
        <v>387</v>
      </c>
      <c r="AA40" s="3384"/>
      <c r="AB40" s="3355"/>
      <c r="AC40" s="3387"/>
      <c r="AD40" s="3396"/>
      <c r="AE40" s="3387"/>
      <c r="AF40" s="3396"/>
      <c r="AG40" s="3387"/>
      <c r="AH40" s="3396"/>
      <c r="AI40" s="3387"/>
      <c r="AJ40" s="3396"/>
      <c r="AK40" s="3387"/>
      <c r="AL40" s="3396"/>
      <c r="AM40" s="3387"/>
      <c r="AN40" s="3396"/>
      <c r="AO40" s="3387"/>
      <c r="AP40" s="2997"/>
      <c r="AQ40" s="3401"/>
      <c r="AR40" s="3391"/>
      <c r="AS40" s="2989"/>
    </row>
    <row r="41" spans="1:45" s="80" customFormat="1" ht="71.25" customHeight="1" x14ac:dyDescent="0.25">
      <c r="A41" s="2428"/>
      <c r="B41" s="2429"/>
      <c r="C41" s="1719"/>
      <c r="D41" s="831"/>
      <c r="E41" s="3363"/>
      <c r="F41" s="3363"/>
      <c r="G41" s="2920"/>
      <c r="H41" s="3392"/>
      <c r="I41" s="3393"/>
      <c r="J41" s="2897"/>
      <c r="K41" s="3394"/>
      <c r="L41" s="2897"/>
      <c r="M41" s="3394"/>
      <c r="N41" s="2897"/>
      <c r="O41" s="3394"/>
      <c r="P41" s="3363"/>
      <c r="Q41" s="3377"/>
      <c r="R41" s="2903"/>
      <c r="S41" s="3379"/>
      <c r="T41" s="3381"/>
      <c r="U41" s="3383"/>
      <c r="V41" s="3398"/>
      <c r="W41" s="832">
        <v>54647889</v>
      </c>
      <c r="X41" s="833" t="s">
        <v>1124</v>
      </c>
      <c r="Y41" s="834">
        <v>88</v>
      </c>
      <c r="Z41" s="1708" t="s">
        <v>1075</v>
      </c>
      <c r="AA41" s="3384"/>
      <c r="AB41" s="3355"/>
      <c r="AC41" s="3387"/>
      <c r="AD41" s="3396"/>
      <c r="AE41" s="3387"/>
      <c r="AF41" s="3396"/>
      <c r="AG41" s="3387"/>
      <c r="AH41" s="3396"/>
      <c r="AI41" s="3387"/>
      <c r="AJ41" s="3396"/>
      <c r="AK41" s="3387"/>
      <c r="AL41" s="3396"/>
      <c r="AM41" s="3387"/>
      <c r="AN41" s="3396"/>
      <c r="AO41" s="3387"/>
      <c r="AP41" s="2997"/>
      <c r="AQ41" s="3401"/>
      <c r="AR41" s="3391"/>
      <c r="AS41" s="2989"/>
    </row>
    <row r="42" spans="1:45" s="80" customFormat="1" ht="87.75" customHeight="1" x14ac:dyDescent="0.25">
      <c r="A42" s="2428"/>
      <c r="B42" s="2429"/>
      <c r="C42" s="1719"/>
      <c r="D42" s="831"/>
      <c r="E42" s="3363"/>
      <c r="F42" s="3363"/>
      <c r="G42" s="2920"/>
      <c r="H42" s="3392"/>
      <c r="I42" s="3393"/>
      <c r="J42" s="2897"/>
      <c r="K42" s="3394"/>
      <c r="L42" s="2897"/>
      <c r="M42" s="3394"/>
      <c r="N42" s="2897"/>
      <c r="O42" s="3394"/>
      <c r="P42" s="3363"/>
      <c r="Q42" s="3377"/>
      <c r="R42" s="2903"/>
      <c r="S42" s="3379"/>
      <c r="T42" s="3381"/>
      <c r="U42" s="3383"/>
      <c r="V42" s="843" t="s">
        <v>1125</v>
      </c>
      <c r="W42" s="832">
        <v>30800000</v>
      </c>
      <c r="X42" s="833" t="s">
        <v>1121</v>
      </c>
      <c r="Y42" s="834">
        <v>20</v>
      </c>
      <c r="Z42" s="1708" t="s">
        <v>387</v>
      </c>
      <c r="AA42" s="3384"/>
      <c r="AB42" s="3355"/>
      <c r="AC42" s="3387"/>
      <c r="AD42" s="3396"/>
      <c r="AE42" s="3387"/>
      <c r="AF42" s="3396"/>
      <c r="AG42" s="3387"/>
      <c r="AH42" s="3396"/>
      <c r="AI42" s="3387"/>
      <c r="AJ42" s="3396"/>
      <c r="AK42" s="3387"/>
      <c r="AL42" s="3396"/>
      <c r="AM42" s="3387"/>
      <c r="AN42" s="3396"/>
      <c r="AO42" s="3387"/>
      <c r="AP42" s="2997"/>
      <c r="AQ42" s="3401"/>
      <c r="AR42" s="3391"/>
      <c r="AS42" s="2989"/>
    </row>
    <row r="43" spans="1:45" s="80" customFormat="1" ht="52.5" customHeight="1" x14ac:dyDescent="0.25">
      <c r="A43" s="2428"/>
      <c r="B43" s="2429"/>
      <c r="C43" s="1719"/>
      <c r="D43" s="831"/>
      <c r="E43" s="3363"/>
      <c r="F43" s="3363"/>
      <c r="G43" s="2920"/>
      <c r="H43" s="3392"/>
      <c r="I43" s="3393"/>
      <c r="J43" s="2897"/>
      <c r="K43" s="3394"/>
      <c r="L43" s="2897"/>
      <c r="M43" s="3394"/>
      <c r="N43" s="2897"/>
      <c r="O43" s="3394"/>
      <c r="P43" s="3363"/>
      <c r="Q43" s="3377"/>
      <c r="R43" s="2903"/>
      <c r="S43" s="3379"/>
      <c r="T43" s="3381"/>
      <c r="U43" s="3383"/>
      <c r="V43" s="844" t="s">
        <v>1126</v>
      </c>
      <c r="W43" s="845">
        <v>5000000</v>
      </c>
      <c r="X43" s="835" t="s">
        <v>1121</v>
      </c>
      <c r="Y43" s="834">
        <v>20</v>
      </c>
      <c r="Z43" s="1708" t="s">
        <v>387</v>
      </c>
      <c r="AA43" s="3384"/>
      <c r="AB43" s="3355"/>
      <c r="AC43" s="3387"/>
      <c r="AD43" s="3396"/>
      <c r="AE43" s="3387"/>
      <c r="AF43" s="3396"/>
      <c r="AG43" s="3387"/>
      <c r="AH43" s="3396"/>
      <c r="AI43" s="3387"/>
      <c r="AJ43" s="3396"/>
      <c r="AK43" s="3387"/>
      <c r="AL43" s="3396"/>
      <c r="AM43" s="3387"/>
      <c r="AN43" s="3396"/>
      <c r="AO43" s="3387"/>
      <c r="AP43" s="2997"/>
      <c r="AQ43" s="3401"/>
      <c r="AR43" s="3391"/>
      <c r="AS43" s="2989"/>
    </row>
    <row r="44" spans="1:45" s="80" customFormat="1" ht="44.25" customHeight="1" x14ac:dyDescent="0.25">
      <c r="A44" s="2428"/>
      <c r="B44" s="2429"/>
      <c r="C44" s="1719"/>
      <c r="D44" s="831"/>
      <c r="E44" s="3363"/>
      <c r="F44" s="3363"/>
      <c r="G44" s="2920"/>
      <c r="H44" s="3392"/>
      <c r="I44" s="3393"/>
      <c r="J44" s="2897"/>
      <c r="K44" s="3394"/>
      <c r="L44" s="2897"/>
      <c r="M44" s="3394"/>
      <c r="N44" s="2897"/>
      <c r="O44" s="3394"/>
      <c r="P44" s="3363"/>
      <c r="Q44" s="3377"/>
      <c r="R44" s="2903"/>
      <c r="S44" s="3379"/>
      <c r="T44" s="3381"/>
      <c r="U44" s="3383"/>
      <c r="V44" s="846" t="s">
        <v>1052</v>
      </c>
      <c r="W44" s="847">
        <v>8000000</v>
      </c>
      <c r="X44" s="833" t="s">
        <v>1127</v>
      </c>
      <c r="Y44" s="834">
        <v>20</v>
      </c>
      <c r="Z44" s="1708" t="s">
        <v>387</v>
      </c>
      <c r="AA44" s="3384"/>
      <c r="AB44" s="3355"/>
      <c r="AC44" s="3387"/>
      <c r="AD44" s="3396"/>
      <c r="AE44" s="3387"/>
      <c r="AF44" s="3396"/>
      <c r="AG44" s="3387"/>
      <c r="AH44" s="3396"/>
      <c r="AI44" s="3387"/>
      <c r="AJ44" s="3396"/>
      <c r="AK44" s="3387"/>
      <c r="AL44" s="3396"/>
      <c r="AM44" s="3387"/>
      <c r="AN44" s="3396"/>
      <c r="AO44" s="3387"/>
      <c r="AP44" s="2997"/>
      <c r="AQ44" s="3401"/>
      <c r="AR44" s="3391"/>
      <c r="AS44" s="2989"/>
    </row>
    <row r="45" spans="1:45" s="80" customFormat="1" ht="44.25" customHeight="1" x14ac:dyDescent="0.25">
      <c r="A45" s="2428"/>
      <c r="B45" s="2429"/>
      <c r="C45" s="1719"/>
      <c r="D45" s="831"/>
      <c r="E45" s="3363"/>
      <c r="F45" s="3363"/>
      <c r="G45" s="2920"/>
      <c r="H45" s="3392"/>
      <c r="I45" s="3393"/>
      <c r="J45" s="2897"/>
      <c r="K45" s="3394"/>
      <c r="L45" s="2897"/>
      <c r="M45" s="3394"/>
      <c r="N45" s="2897"/>
      <c r="O45" s="3394"/>
      <c r="P45" s="3363"/>
      <c r="Q45" s="3377"/>
      <c r="R45" s="2903"/>
      <c r="S45" s="3379"/>
      <c r="T45" s="3381"/>
      <c r="U45" s="3383"/>
      <c r="V45" s="846" t="s">
        <v>1128</v>
      </c>
      <c r="W45" s="847">
        <v>7000000</v>
      </c>
      <c r="X45" s="833" t="s">
        <v>1129</v>
      </c>
      <c r="Y45" s="834">
        <v>20</v>
      </c>
      <c r="Z45" s="1708" t="s">
        <v>387</v>
      </c>
      <c r="AA45" s="3385"/>
      <c r="AB45" s="3355"/>
      <c r="AC45" s="3388"/>
      <c r="AD45" s="3396"/>
      <c r="AE45" s="3388"/>
      <c r="AF45" s="3396"/>
      <c r="AG45" s="3388"/>
      <c r="AH45" s="3396"/>
      <c r="AI45" s="3388"/>
      <c r="AJ45" s="3396"/>
      <c r="AK45" s="3388"/>
      <c r="AL45" s="3396"/>
      <c r="AM45" s="3388"/>
      <c r="AN45" s="3396"/>
      <c r="AO45" s="3388"/>
      <c r="AP45" s="2997"/>
      <c r="AQ45" s="3402"/>
      <c r="AR45" s="3391"/>
      <c r="AS45" s="3073"/>
    </row>
    <row r="46" spans="1:45" s="80" customFormat="1" ht="48.75" customHeight="1" x14ac:dyDescent="0.25">
      <c r="A46" s="2428"/>
      <c r="B46" s="2429"/>
      <c r="C46" s="1719"/>
      <c r="D46" s="831"/>
      <c r="E46" s="3363"/>
      <c r="F46" s="3363"/>
      <c r="G46" s="2920" t="s">
        <v>62</v>
      </c>
      <c r="H46" s="3369" t="s">
        <v>1130</v>
      </c>
      <c r="I46" s="2868">
        <v>4102038</v>
      </c>
      <c r="J46" s="3369" t="s">
        <v>1131</v>
      </c>
      <c r="K46" s="3050" t="s">
        <v>62</v>
      </c>
      <c r="L46" s="2321" t="s">
        <v>1132</v>
      </c>
      <c r="M46" s="3050">
        <v>410203800</v>
      </c>
      <c r="N46" s="2321" t="s">
        <v>1133</v>
      </c>
      <c r="O46" s="3050">
        <v>1</v>
      </c>
      <c r="P46" s="3051" t="s">
        <v>1134</v>
      </c>
      <c r="Q46" s="2322" t="s">
        <v>1135</v>
      </c>
      <c r="R46" s="3150">
        <f>SUM(W46:W53)/S46</f>
        <v>1</v>
      </c>
      <c r="S46" s="2884">
        <f>SUM(W46:W53)</f>
        <v>210000000</v>
      </c>
      <c r="T46" s="2321" t="s">
        <v>1136</v>
      </c>
      <c r="U46" s="2295" t="s">
        <v>1059</v>
      </c>
      <c r="V46" s="1740" t="s">
        <v>1137</v>
      </c>
      <c r="W46" s="832">
        <f>30800000+17600000+33060000</f>
        <v>81460000</v>
      </c>
      <c r="X46" s="833" t="s">
        <v>1138</v>
      </c>
      <c r="Y46" s="3404">
        <v>20</v>
      </c>
      <c r="Z46" s="2350" t="s">
        <v>387</v>
      </c>
      <c r="AA46" s="3410">
        <v>550</v>
      </c>
      <c r="AB46" s="2077">
        <v>450</v>
      </c>
      <c r="AC46" s="2076" t="s">
        <v>294</v>
      </c>
      <c r="AD46" s="2077">
        <v>950</v>
      </c>
      <c r="AE46" s="2076">
        <v>50</v>
      </c>
      <c r="AF46" s="2077" t="s">
        <v>294</v>
      </c>
      <c r="AG46" s="2076" t="s">
        <v>294</v>
      </c>
      <c r="AH46" s="2077"/>
      <c r="AI46" s="2076"/>
      <c r="AJ46" s="2077"/>
      <c r="AK46" s="2076"/>
      <c r="AL46" s="2077"/>
      <c r="AM46" s="2076"/>
      <c r="AN46" s="2077"/>
      <c r="AO46" s="2076"/>
      <c r="AP46" s="2859">
        <f>SUM(AC46:AO53)</f>
        <v>1000</v>
      </c>
      <c r="AQ46" s="3408">
        <v>44197</v>
      </c>
      <c r="AR46" s="3372">
        <v>44561</v>
      </c>
      <c r="AS46" s="3102" t="s">
        <v>1139</v>
      </c>
    </row>
    <row r="47" spans="1:45" s="80" customFormat="1" ht="48.75" customHeight="1" x14ac:dyDescent="0.25">
      <c r="A47" s="2428"/>
      <c r="B47" s="2429"/>
      <c r="C47" s="1719"/>
      <c r="D47" s="831"/>
      <c r="E47" s="3363"/>
      <c r="F47" s="3363"/>
      <c r="G47" s="2920"/>
      <c r="H47" s="3369"/>
      <c r="I47" s="2901"/>
      <c r="J47" s="3369"/>
      <c r="K47" s="3050"/>
      <c r="L47" s="2321"/>
      <c r="M47" s="3050"/>
      <c r="N47" s="2321"/>
      <c r="O47" s="3050"/>
      <c r="P47" s="3067"/>
      <c r="Q47" s="2191"/>
      <c r="R47" s="3150"/>
      <c r="S47" s="2884"/>
      <c r="T47" s="2321"/>
      <c r="U47" s="2295"/>
      <c r="V47" s="1740" t="s">
        <v>1140</v>
      </c>
      <c r="W47" s="832">
        <f>30800000-8260000</f>
        <v>22540000</v>
      </c>
      <c r="X47" s="833" t="s">
        <v>1138</v>
      </c>
      <c r="Y47" s="3405"/>
      <c r="Z47" s="2350"/>
      <c r="AA47" s="3371"/>
      <c r="AB47" s="2077"/>
      <c r="AC47" s="2077"/>
      <c r="AD47" s="2077"/>
      <c r="AE47" s="2077"/>
      <c r="AF47" s="2077"/>
      <c r="AG47" s="2077"/>
      <c r="AH47" s="2077"/>
      <c r="AI47" s="2077"/>
      <c r="AJ47" s="2077"/>
      <c r="AK47" s="2077"/>
      <c r="AL47" s="2077"/>
      <c r="AM47" s="2077"/>
      <c r="AN47" s="2077"/>
      <c r="AO47" s="2077"/>
      <c r="AP47" s="2859"/>
      <c r="AQ47" s="3372"/>
      <c r="AR47" s="3372"/>
      <c r="AS47" s="2861"/>
    </row>
    <row r="48" spans="1:45" s="80" customFormat="1" ht="48.75" customHeight="1" x14ac:dyDescent="0.25">
      <c r="A48" s="2428"/>
      <c r="B48" s="2429"/>
      <c r="C48" s="1719"/>
      <c r="D48" s="831"/>
      <c r="E48" s="3363"/>
      <c r="F48" s="3363"/>
      <c r="G48" s="2920"/>
      <c r="H48" s="3369"/>
      <c r="I48" s="2901"/>
      <c r="J48" s="3369"/>
      <c r="K48" s="3050"/>
      <c r="L48" s="2321"/>
      <c r="M48" s="3050"/>
      <c r="N48" s="2321"/>
      <c r="O48" s="3050"/>
      <c r="P48" s="3067"/>
      <c r="Q48" s="2191"/>
      <c r="R48" s="3150"/>
      <c r="S48" s="2884"/>
      <c r="T48" s="2321"/>
      <c r="U48" s="2295"/>
      <c r="V48" s="1740" t="s">
        <v>1141</v>
      </c>
      <c r="W48" s="832">
        <f>57600000-17600000-16425000</f>
        <v>23575000</v>
      </c>
      <c r="X48" s="833" t="s">
        <v>1138</v>
      </c>
      <c r="Y48" s="3405"/>
      <c r="Z48" s="2350"/>
      <c r="AA48" s="3371"/>
      <c r="AB48" s="2077"/>
      <c r="AC48" s="2077"/>
      <c r="AD48" s="2077"/>
      <c r="AE48" s="2077"/>
      <c r="AF48" s="2077"/>
      <c r="AG48" s="2077"/>
      <c r="AH48" s="2077"/>
      <c r="AI48" s="2077"/>
      <c r="AJ48" s="2077"/>
      <c r="AK48" s="2077"/>
      <c r="AL48" s="2077"/>
      <c r="AM48" s="2077"/>
      <c r="AN48" s="2077"/>
      <c r="AO48" s="2077"/>
      <c r="AP48" s="2859"/>
      <c r="AQ48" s="3372"/>
      <c r="AR48" s="3372"/>
      <c r="AS48" s="2861"/>
    </row>
    <row r="49" spans="1:45" s="80" customFormat="1" ht="48.75" customHeight="1" x14ac:dyDescent="0.25">
      <c r="A49" s="2428"/>
      <c r="B49" s="2429"/>
      <c r="C49" s="1719"/>
      <c r="D49" s="831"/>
      <c r="E49" s="3363"/>
      <c r="F49" s="3363"/>
      <c r="G49" s="2920"/>
      <c r="H49" s="3369"/>
      <c r="I49" s="2901"/>
      <c r="J49" s="3369"/>
      <c r="K49" s="3050"/>
      <c r="L49" s="2321"/>
      <c r="M49" s="3050"/>
      <c r="N49" s="2321"/>
      <c r="O49" s="3050"/>
      <c r="P49" s="3067"/>
      <c r="Q49" s="2191"/>
      <c r="R49" s="3150"/>
      <c r="S49" s="2884"/>
      <c r="T49" s="2321"/>
      <c r="U49" s="2295"/>
      <c r="V49" s="1740" t="s">
        <v>1142</v>
      </c>
      <c r="W49" s="832">
        <f>30800000-8375000</f>
        <v>22425000</v>
      </c>
      <c r="X49" s="848" t="s">
        <v>1138</v>
      </c>
      <c r="Y49" s="3405"/>
      <c r="Z49" s="2350"/>
      <c r="AA49" s="3371"/>
      <c r="AB49" s="2077"/>
      <c r="AC49" s="2077"/>
      <c r="AD49" s="2077"/>
      <c r="AE49" s="2077"/>
      <c r="AF49" s="2077"/>
      <c r="AG49" s="2077"/>
      <c r="AH49" s="2077"/>
      <c r="AI49" s="2077"/>
      <c r="AJ49" s="2077"/>
      <c r="AK49" s="2077"/>
      <c r="AL49" s="2077"/>
      <c r="AM49" s="2077"/>
      <c r="AN49" s="2077"/>
      <c r="AO49" s="2077"/>
      <c r="AP49" s="2859"/>
      <c r="AQ49" s="3372"/>
      <c r="AR49" s="3372"/>
      <c r="AS49" s="2861"/>
    </row>
    <row r="50" spans="1:45" s="80" customFormat="1" ht="32.25" customHeight="1" x14ac:dyDescent="0.25">
      <c r="A50" s="2428"/>
      <c r="B50" s="2429"/>
      <c r="C50" s="1719"/>
      <c r="D50" s="831"/>
      <c r="E50" s="3363"/>
      <c r="F50" s="3363"/>
      <c r="G50" s="2920"/>
      <c r="H50" s="3369"/>
      <c r="I50" s="2901"/>
      <c r="J50" s="3369"/>
      <c r="K50" s="3050"/>
      <c r="L50" s="2321"/>
      <c r="M50" s="3050"/>
      <c r="N50" s="2321"/>
      <c r="O50" s="3050"/>
      <c r="P50" s="3067"/>
      <c r="Q50" s="2191"/>
      <c r="R50" s="3150"/>
      <c r="S50" s="2884"/>
      <c r="T50" s="2321"/>
      <c r="U50" s="2295"/>
      <c r="V50" s="1740" t="s">
        <v>1052</v>
      </c>
      <c r="W50" s="847">
        <v>10000000</v>
      </c>
      <c r="X50" s="849" t="s">
        <v>1143</v>
      </c>
      <c r="Y50" s="3405"/>
      <c r="Z50" s="2350"/>
      <c r="AA50" s="3371"/>
      <c r="AB50" s="2077"/>
      <c r="AC50" s="2077"/>
      <c r="AD50" s="2077"/>
      <c r="AE50" s="2077"/>
      <c r="AF50" s="2077"/>
      <c r="AG50" s="2077"/>
      <c r="AH50" s="2077"/>
      <c r="AI50" s="2077"/>
      <c r="AJ50" s="2077"/>
      <c r="AK50" s="2077"/>
      <c r="AL50" s="2077"/>
      <c r="AM50" s="2077"/>
      <c r="AN50" s="2077"/>
      <c r="AO50" s="2077"/>
      <c r="AP50" s="2859"/>
      <c r="AQ50" s="3372"/>
      <c r="AR50" s="3372"/>
      <c r="AS50" s="2861"/>
    </row>
    <row r="51" spans="1:45" s="80" customFormat="1" ht="32.25" customHeight="1" x14ac:dyDescent="0.25">
      <c r="A51" s="2428"/>
      <c r="B51" s="2429"/>
      <c r="C51" s="1719"/>
      <c r="D51" s="831"/>
      <c r="E51" s="3363"/>
      <c r="F51" s="3363"/>
      <c r="G51" s="2920"/>
      <c r="H51" s="3369"/>
      <c r="I51" s="2901"/>
      <c r="J51" s="3369"/>
      <c r="K51" s="3050"/>
      <c r="L51" s="2321"/>
      <c r="M51" s="3050"/>
      <c r="N51" s="2321"/>
      <c r="O51" s="3050"/>
      <c r="P51" s="3067"/>
      <c r="Q51" s="2191"/>
      <c r="R51" s="3150"/>
      <c r="S51" s="2884"/>
      <c r="T51" s="2321"/>
      <c r="U51" s="2295"/>
      <c r="V51" s="1740" t="s">
        <v>1128</v>
      </c>
      <c r="W51" s="847">
        <v>15000000</v>
      </c>
      <c r="X51" s="833" t="s">
        <v>1144</v>
      </c>
      <c r="Y51" s="3405"/>
      <c r="Z51" s="2350"/>
      <c r="AA51" s="3371"/>
      <c r="AB51" s="2077"/>
      <c r="AC51" s="2077"/>
      <c r="AD51" s="2077"/>
      <c r="AE51" s="2077"/>
      <c r="AF51" s="2077"/>
      <c r="AG51" s="2077"/>
      <c r="AH51" s="2077"/>
      <c r="AI51" s="2077"/>
      <c r="AJ51" s="2077"/>
      <c r="AK51" s="2077"/>
      <c r="AL51" s="2077"/>
      <c r="AM51" s="2077"/>
      <c r="AN51" s="2077"/>
      <c r="AO51" s="2077"/>
      <c r="AP51" s="2859"/>
      <c r="AQ51" s="3372"/>
      <c r="AR51" s="3372"/>
      <c r="AS51" s="2861"/>
    </row>
    <row r="52" spans="1:45" s="80" customFormat="1" ht="32.25" customHeight="1" x14ac:dyDescent="0.25">
      <c r="A52" s="2428"/>
      <c r="B52" s="2429"/>
      <c r="C52" s="1719"/>
      <c r="D52" s="831"/>
      <c r="E52" s="3363"/>
      <c r="F52" s="3363"/>
      <c r="G52" s="2920"/>
      <c r="H52" s="3369"/>
      <c r="I52" s="2901"/>
      <c r="J52" s="3369"/>
      <c r="K52" s="3050"/>
      <c r="L52" s="2321"/>
      <c r="M52" s="3050"/>
      <c r="N52" s="2321"/>
      <c r="O52" s="3050"/>
      <c r="P52" s="3067"/>
      <c r="Q52" s="2191"/>
      <c r="R52" s="3150"/>
      <c r="S52" s="2884"/>
      <c r="T52" s="2321"/>
      <c r="U52" s="2295"/>
      <c r="V52" s="1740" t="s">
        <v>1145</v>
      </c>
      <c r="W52" s="847">
        <v>15000000</v>
      </c>
      <c r="X52" s="848" t="s">
        <v>1146</v>
      </c>
      <c r="Y52" s="3405"/>
      <c r="Z52" s="2350"/>
      <c r="AA52" s="3371"/>
      <c r="AB52" s="2077"/>
      <c r="AC52" s="2077"/>
      <c r="AD52" s="2077"/>
      <c r="AE52" s="2077"/>
      <c r="AF52" s="2077"/>
      <c r="AG52" s="2077"/>
      <c r="AH52" s="2077"/>
      <c r="AI52" s="2077"/>
      <c r="AJ52" s="2077"/>
      <c r="AK52" s="2077"/>
      <c r="AL52" s="2077"/>
      <c r="AM52" s="2077"/>
      <c r="AN52" s="2077"/>
      <c r="AO52" s="2077"/>
      <c r="AP52" s="2859"/>
      <c r="AQ52" s="3372"/>
      <c r="AR52" s="3372"/>
      <c r="AS52" s="2861"/>
    </row>
    <row r="53" spans="1:45" s="80" customFormat="1" ht="32.25" customHeight="1" x14ac:dyDescent="0.25">
      <c r="A53" s="2428"/>
      <c r="B53" s="2429"/>
      <c r="C53" s="1719"/>
      <c r="D53" s="831"/>
      <c r="E53" s="3363"/>
      <c r="F53" s="3363"/>
      <c r="G53" s="2920"/>
      <c r="H53" s="3399"/>
      <c r="I53" s="2901"/>
      <c r="J53" s="3399"/>
      <c r="K53" s="3051"/>
      <c r="L53" s="2322"/>
      <c r="M53" s="3051"/>
      <c r="N53" s="2322"/>
      <c r="O53" s="3051"/>
      <c r="P53" s="3067"/>
      <c r="Q53" s="2191"/>
      <c r="R53" s="3104"/>
      <c r="S53" s="2885"/>
      <c r="T53" s="2322"/>
      <c r="U53" s="2296"/>
      <c r="V53" s="1740" t="s">
        <v>1147</v>
      </c>
      <c r="W53" s="832">
        <v>20000000</v>
      </c>
      <c r="X53" s="833" t="s">
        <v>1148</v>
      </c>
      <c r="Y53" s="3406"/>
      <c r="Z53" s="2350"/>
      <c r="AA53" s="3411"/>
      <c r="AB53" s="3403"/>
      <c r="AC53" s="3403"/>
      <c r="AD53" s="3403"/>
      <c r="AE53" s="3403"/>
      <c r="AF53" s="3403"/>
      <c r="AG53" s="3403"/>
      <c r="AH53" s="3403"/>
      <c r="AI53" s="3403"/>
      <c r="AJ53" s="3403"/>
      <c r="AK53" s="3403"/>
      <c r="AL53" s="3403"/>
      <c r="AM53" s="3403"/>
      <c r="AN53" s="3403"/>
      <c r="AO53" s="3403"/>
      <c r="AP53" s="2860"/>
      <c r="AQ53" s="3409"/>
      <c r="AR53" s="3409"/>
      <c r="AS53" s="2862"/>
    </row>
    <row r="54" spans="1:45" s="80" customFormat="1" ht="166.5" customHeight="1" x14ac:dyDescent="0.25">
      <c r="A54" s="2428"/>
      <c r="B54" s="2429"/>
      <c r="C54" s="1719"/>
      <c r="D54" s="831"/>
      <c r="E54" s="3363"/>
      <c r="F54" s="3363"/>
      <c r="G54" s="2920" t="s">
        <v>62</v>
      </c>
      <c r="H54" s="3407" t="s">
        <v>1149</v>
      </c>
      <c r="I54" s="2901">
        <v>4102042</v>
      </c>
      <c r="J54" s="3407" t="s">
        <v>1150</v>
      </c>
      <c r="K54" s="3049" t="s">
        <v>62</v>
      </c>
      <c r="L54" s="2320" t="s">
        <v>1151</v>
      </c>
      <c r="M54" s="3049">
        <v>410204200</v>
      </c>
      <c r="N54" s="2320" t="s">
        <v>1152</v>
      </c>
      <c r="O54" s="3049">
        <v>12</v>
      </c>
      <c r="P54" s="3067" t="s">
        <v>1153</v>
      </c>
      <c r="Q54" s="2191" t="s">
        <v>1154</v>
      </c>
      <c r="R54" s="3103">
        <f>SUM(W54:W56)/S54</f>
        <v>1</v>
      </c>
      <c r="S54" s="3412">
        <f>SUM(W54:W56)</f>
        <v>18000000</v>
      </c>
      <c r="T54" s="2294" t="s">
        <v>1155</v>
      </c>
      <c r="U54" s="2294" t="s">
        <v>1156</v>
      </c>
      <c r="V54" s="1740" t="s">
        <v>1157</v>
      </c>
      <c r="W54" s="832">
        <v>5000000</v>
      </c>
      <c r="X54" s="849" t="s">
        <v>1158</v>
      </c>
      <c r="Y54" s="3404">
        <v>20</v>
      </c>
      <c r="Z54" s="3067" t="s">
        <v>387</v>
      </c>
      <c r="AA54" s="3410">
        <v>2360</v>
      </c>
      <c r="AB54" s="2076">
        <v>2360</v>
      </c>
      <c r="AC54" s="2076">
        <v>480</v>
      </c>
      <c r="AD54" s="2076">
        <v>1500</v>
      </c>
      <c r="AE54" s="2076">
        <v>1540</v>
      </c>
      <c r="AF54" s="2076">
        <v>1000</v>
      </c>
      <c r="AG54" s="2076">
        <v>50</v>
      </c>
      <c r="AH54" s="2076">
        <v>50</v>
      </c>
      <c r="AI54" s="2076" t="s">
        <v>294</v>
      </c>
      <c r="AJ54" s="2076" t="s">
        <v>294</v>
      </c>
      <c r="AK54" s="2076" t="s">
        <v>294</v>
      </c>
      <c r="AL54" s="2076" t="s">
        <v>294</v>
      </c>
      <c r="AM54" s="2076">
        <v>50</v>
      </c>
      <c r="AN54" s="2076">
        <v>50</v>
      </c>
      <c r="AO54" s="2076" t="s">
        <v>294</v>
      </c>
      <c r="AP54" s="3102">
        <f>SUM(AC54:AO56)</f>
        <v>4720</v>
      </c>
      <c r="AQ54" s="3408">
        <v>44197</v>
      </c>
      <c r="AR54" s="3408">
        <v>44561</v>
      </c>
      <c r="AS54" s="3102" t="s">
        <v>1040</v>
      </c>
    </row>
    <row r="55" spans="1:45" s="80" customFormat="1" ht="86.25" customHeight="1" x14ac:dyDescent="0.25">
      <c r="A55" s="2428"/>
      <c r="B55" s="2429"/>
      <c r="C55" s="1719"/>
      <c r="D55" s="831"/>
      <c r="E55" s="3363"/>
      <c r="F55" s="3363"/>
      <c r="G55" s="2920"/>
      <c r="H55" s="3369"/>
      <c r="I55" s="2901"/>
      <c r="J55" s="3369"/>
      <c r="K55" s="3050"/>
      <c r="L55" s="2321"/>
      <c r="M55" s="3050"/>
      <c r="N55" s="2321"/>
      <c r="O55" s="3050"/>
      <c r="P55" s="3067"/>
      <c r="Q55" s="2191"/>
      <c r="R55" s="3150"/>
      <c r="S55" s="2884"/>
      <c r="T55" s="2295"/>
      <c r="U55" s="2295"/>
      <c r="V55" s="1740" t="s">
        <v>1159</v>
      </c>
      <c r="W55" s="832">
        <v>5000000</v>
      </c>
      <c r="X55" s="833" t="s">
        <v>1158</v>
      </c>
      <c r="Y55" s="3405"/>
      <c r="Z55" s="3067"/>
      <c r="AA55" s="3371"/>
      <c r="AB55" s="2077"/>
      <c r="AC55" s="2077"/>
      <c r="AD55" s="2077"/>
      <c r="AE55" s="2077"/>
      <c r="AF55" s="2077"/>
      <c r="AG55" s="2077"/>
      <c r="AH55" s="2077"/>
      <c r="AI55" s="2077"/>
      <c r="AJ55" s="2077"/>
      <c r="AK55" s="2077"/>
      <c r="AL55" s="2077"/>
      <c r="AM55" s="2077"/>
      <c r="AN55" s="2077"/>
      <c r="AO55" s="2077"/>
      <c r="AP55" s="2861"/>
      <c r="AQ55" s="3372"/>
      <c r="AR55" s="3372"/>
      <c r="AS55" s="2861"/>
    </row>
    <row r="56" spans="1:45" s="80" customFormat="1" ht="61.5" customHeight="1" x14ac:dyDescent="0.25">
      <c r="A56" s="2428"/>
      <c r="B56" s="2429"/>
      <c r="C56" s="1719"/>
      <c r="D56" s="831"/>
      <c r="E56" s="3363"/>
      <c r="F56" s="3363"/>
      <c r="G56" s="2920"/>
      <c r="H56" s="3399"/>
      <c r="I56" s="2901"/>
      <c r="J56" s="3399"/>
      <c r="K56" s="3051"/>
      <c r="L56" s="2322"/>
      <c r="M56" s="3051"/>
      <c r="N56" s="2322"/>
      <c r="O56" s="3051"/>
      <c r="P56" s="3067"/>
      <c r="Q56" s="2191"/>
      <c r="R56" s="3104"/>
      <c r="S56" s="2885"/>
      <c r="T56" s="2296"/>
      <c r="U56" s="2296"/>
      <c r="V56" s="1740" t="s">
        <v>1048</v>
      </c>
      <c r="W56" s="832">
        <v>8000000</v>
      </c>
      <c r="X56" s="833" t="s">
        <v>1160</v>
      </c>
      <c r="Y56" s="3406"/>
      <c r="Z56" s="3067"/>
      <c r="AA56" s="3411"/>
      <c r="AB56" s="3403"/>
      <c r="AC56" s="3403"/>
      <c r="AD56" s="3403"/>
      <c r="AE56" s="3403"/>
      <c r="AF56" s="3403"/>
      <c r="AG56" s="3403"/>
      <c r="AH56" s="3403"/>
      <c r="AI56" s="3403"/>
      <c r="AJ56" s="3403"/>
      <c r="AK56" s="3403"/>
      <c r="AL56" s="3403"/>
      <c r="AM56" s="3403"/>
      <c r="AN56" s="3403"/>
      <c r="AO56" s="3403"/>
      <c r="AP56" s="2862"/>
      <c r="AQ56" s="3409"/>
      <c r="AR56" s="3409"/>
      <c r="AS56" s="2862"/>
    </row>
    <row r="57" spans="1:45" s="80" customFormat="1" ht="53.25" customHeight="1" x14ac:dyDescent="0.25">
      <c r="A57" s="2428"/>
      <c r="B57" s="2429"/>
      <c r="C57" s="1719"/>
      <c r="D57" s="831"/>
      <c r="E57" s="3363"/>
      <c r="F57" s="3363"/>
      <c r="G57" s="2920" t="s">
        <v>62</v>
      </c>
      <c r="H57" s="3407" t="s">
        <v>1161</v>
      </c>
      <c r="I57" s="2901">
        <v>4102001</v>
      </c>
      <c r="J57" s="3407" t="s">
        <v>1162</v>
      </c>
      <c r="K57" s="3049" t="s">
        <v>62</v>
      </c>
      <c r="L57" s="2320" t="s">
        <v>1163</v>
      </c>
      <c r="M57" s="3049">
        <v>410200100</v>
      </c>
      <c r="N57" s="2320" t="s">
        <v>1079</v>
      </c>
      <c r="O57" s="3049">
        <v>1</v>
      </c>
      <c r="P57" s="3067" t="s">
        <v>1164</v>
      </c>
      <c r="Q57" s="2191" t="s">
        <v>1165</v>
      </c>
      <c r="R57" s="3103">
        <f>SUM(W57:W59)/S57</f>
        <v>0.39227223693243113</v>
      </c>
      <c r="S57" s="3412">
        <f>SUM(W57:W61)</f>
        <v>50985000</v>
      </c>
      <c r="T57" s="2320" t="s">
        <v>1166</v>
      </c>
      <c r="U57" s="2294" t="s">
        <v>1167</v>
      </c>
      <c r="V57" s="1740" t="s">
        <v>1168</v>
      </c>
      <c r="W57" s="832">
        <f>5000000-2000000</f>
        <v>3000000</v>
      </c>
      <c r="X57" s="833" t="s">
        <v>1169</v>
      </c>
      <c r="Y57" s="852">
        <v>20</v>
      </c>
      <c r="Z57" s="1736" t="s">
        <v>387</v>
      </c>
      <c r="AA57" s="3410">
        <v>260</v>
      </c>
      <c r="AB57" s="2076">
        <v>240</v>
      </c>
      <c r="AC57" s="2076">
        <v>125</v>
      </c>
      <c r="AD57" s="2076">
        <v>250</v>
      </c>
      <c r="AE57" s="2076">
        <v>125</v>
      </c>
      <c r="AF57" s="2076" t="s">
        <v>294</v>
      </c>
      <c r="AG57" s="2076" t="s">
        <v>294</v>
      </c>
      <c r="AH57" s="2076" t="s">
        <v>294</v>
      </c>
      <c r="AI57" s="2076" t="s">
        <v>294</v>
      </c>
      <c r="AJ57" s="2076" t="s">
        <v>294</v>
      </c>
      <c r="AK57" s="2076" t="s">
        <v>294</v>
      </c>
      <c r="AL57" s="2076" t="s">
        <v>294</v>
      </c>
      <c r="AM57" s="2076" t="s">
        <v>294</v>
      </c>
      <c r="AN57" s="2076" t="s">
        <v>294</v>
      </c>
      <c r="AO57" s="2076" t="s">
        <v>294</v>
      </c>
      <c r="AP57" s="3102">
        <f>SUM(AC57:AO61)</f>
        <v>500</v>
      </c>
      <c r="AQ57" s="3408">
        <v>44197</v>
      </c>
      <c r="AR57" s="3408">
        <v>44561</v>
      </c>
      <c r="AS57" s="3102" t="s">
        <v>1073</v>
      </c>
    </row>
    <row r="58" spans="1:45" s="80" customFormat="1" ht="81" customHeight="1" x14ac:dyDescent="0.25">
      <c r="A58" s="2428"/>
      <c r="B58" s="2429"/>
      <c r="C58" s="1719"/>
      <c r="D58" s="831"/>
      <c r="E58" s="3363"/>
      <c r="F58" s="3363"/>
      <c r="G58" s="2920"/>
      <c r="H58" s="3369"/>
      <c r="I58" s="2901"/>
      <c r="J58" s="3369"/>
      <c r="K58" s="3050"/>
      <c r="L58" s="2321"/>
      <c r="M58" s="3050"/>
      <c r="N58" s="2321"/>
      <c r="O58" s="3050"/>
      <c r="P58" s="3067"/>
      <c r="Q58" s="2191"/>
      <c r="R58" s="3150"/>
      <c r="S58" s="2884"/>
      <c r="T58" s="2321"/>
      <c r="U58" s="2295"/>
      <c r="V58" s="1740" t="s">
        <v>1170</v>
      </c>
      <c r="W58" s="832">
        <f>5000000-2343000</f>
        <v>2657000</v>
      </c>
      <c r="X58" s="833" t="s">
        <v>1169</v>
      </c>
      <c r="Y58" s="852">
        <v>20</v>
      </c>
      <c r="Z58" s="1736" t="s">
        <v>387</v>
      </c>
      <c r="AA58" s="3371"/>
      <c r="AB58" s="2077"/>
      <c r="AC58" s="2077"/>
      <c r="AD58" s="2077"/>
      <c r="AE58" s="2077"/>
      <c r="AF58" s="2077"/>
      <c r="AG58" s="2077"/>
      <c r="AH58" s="2077"/>
      <c r="AI58" s="2077"/>
      <c r="AJ58" s="2077"/>
      <c r="AK58" s="2077"/>
      <c r="AL58" s="2077"/>
      <c r="AM58" s="2077"/>
      <c r="AN58" s="2077"/>
      <c r="AO58" s="2077"/>
      <c r="AP58" s="2861"/>
      <c r="AQ58" s="3372"/>
      <c r="AR58" s="3372"/>
      <c r="AS58" s="2861"/>
    </row>
    <row r="59" spans="1:45" s="80" customFormat="1" ht="80.25" customHeight="1" x14ac:dyDescent="0.25">
      <c r="A59" s="2428"/>
      <c r="B59" s="2429"/>
      <c r="C59" s="1719"/>
      <c r="D59" s="831"/>
      <c r="E59" s="3363"/>
      <c r="F59" s="3363"/>
      <c r="G59" s="2920"/>
      <c r="H59" s="3399"/>
      <c r="I59" s="2901"/>
      <c r="J59" s="3399"/>
      <c r="K59" s="3051"/>
      <c r="L59" s="2322"/>
      <c r="M59" s="3051"/>
      <c r="N59" s="2322"/>
      <c r="O59" s="3051"/>
      <c r="P59" s="3067"/>
      <c r="Q59" s="2191"/>
      <c r="R59" s="3150"/>
      <c r="S59" s="2884"/>
      <c r="T59" s="2321"/>
      <c r="U59" s="2295"/>
      <c r="V59" s="2154" t="s">
        <v>1171</v>
      </c>
      <c r="W59" s="832">
        <f>10000000+4343000</f>
        <v>14343000</v>
      </c>
      <c r="X59" s="833" t="s">
        <v>1169</v>
      </c>
      <c r="Y59" s="852">
        <v>20</v>
      </c>
      <c r="Z59" s="1736" t="s">
        <v>387</v>
      </c>
      <c r="AA59" s="3371"/>
      <c r="AB59" s="2077"/>
      <c r="AC59" s="2077"/>
      <c r="AD59" s="2077"/>
      <c r="AE59" s="2077"/>
      <c r="AF59" s="2077"/>
      <c r="AG59" s="2077"/>
      <c r="AH59" s="2077"/>
      <c r="AI59" s="2077"/>
      <c r="AJ59" s="2077"/>
      <c r="AK59" s="2077"/>
      <c r="AL59" s="2077"/>
      <c r="AM59" s="2077"/>
      <c r="AN59" s="2077"/>
      <c r="AO59" s="2077"/>
      <c r="AP59" s="2861"/>
      <c r="AQ59" s="3372"/>
      <c r="AR59" s="3372"/>
      <c r="AS59" s="2861"/>
    </row>
    <row r="60" spans="1:45" s="80" customFormat="1" ht="80.25" customHeight="1" x14ac:dyDescent="0.25">
      <c r="A60" s="2428"/>
      <c r="B60" s="2429"/>
      <c r="C60" s="1719"/>
      <c r="D60" s="831"/>
      <c r="E60" s="3363"/>
      <c r="F60" s="3363"/>
      <c r="G60" s="1749"/>
      <c r="H60" s="1789"/>
      <c r="I60" s="1747"/>
      <c r="J60" s="1751"/>
      <c r="K60" s="1761"/>
      <c r="L60" s="1743"/>
      <c r="M60" s="1761"/>
      <c r="N60" s="1751"/>
      <c r="O60" s="1761"/>
      <c r="P60" s="3067"/>
      <c r="Q60" s="2191"/>
      <c r="R60" s="3104"/>
      <c r="S60" s="2884"/>
      <c r="T60" s="2321"/>
      <c r="U60" s="2295"/>
      <c r="V60" s="2129"/>
      <c r="W60" s="832">
        <v>12985000</v>
      </c>
      <c r="X60" s="833" t="s">
        <v>1172</v>
      </c>
      <c r="Y60" s="852">
        <v>88</v>
      </c>
      <c r="Z60" s="1736" t="s">
        <v>1075</v>
      </c>
      <c r="AA60" s="3371"/>
      <c r="AB60" s="2077"/>
      <c r="AC60" s="2077"/>
      <c r="AD60" s="2077"/>
      <c r="AE60" s="2077"/>
      <c r="AF60" s="2077"/>
      <c r="AG60" s="2077"/>
      <c r="AH60" s="2077"/>
      <c r="AI60" s="2077"/>
      <c r="AJ60" s="2077"/>
      <c r="AK60" s="2077"/>
      <c r="AL60" s="2077"/>
      <c r="AM60" s="2077"/>
      <c r="AN60" s="2077"/>
      <c r="AO60" s="2077"/>
      <c r="AP60" s="2861"/>
      <c r="AQ60" s="3372"/>
      <c r="AR60" s="3372"/>
      <c r="AS60" s="2861"/>
    </row>
    <row r="61" spans="1:45" s="80" customFormat="1" ht="154.5" customHeight="1" x14ac:dyDescent="0.25">
      <c r="A61" s="2428"/>
      <c r="B61" s="2429"/>
      <c r="C61" s="1719"/>
      <c r="D61" s="831"/>
      <c r="E61" s="3363"/>
      <c r="F61" s="3363"/>
      <c r="G61" s="853">
        <v>4102022</v>
      </c>
      <c r="H61" s="1788" t="s">
        <v>1173</v>
      </c>
      <c r="I61" s="1747">
        <v>4102046</v>
      </c>
      <c r="J61" s="855" t="s">
        <v>1174</v>
      </c>
      <c r="K61" s="1760">
        <v>410204600</v>
      </c>
      <c r="L61" s="1737" t="s">
        <v>1175</v>
      </c>
      <c r="M61" s="1760">
        <v>410204600</v>
      </c>
      <c r="N61" s="855" t="s">
        <v>1176</v>
      </c>
      <c r="O61" s="1760">
        <v>16</v>
      </c>
      <c r="P61" s="3067"/>
      <c r="Q61" s="2191"/>
      <c r="R61" s="1763">
        <f>SUM(W61)/S57</f>
        <v>0.35304501323918802</v>
      </c>
      <c r="S61" s="2885"/>
      <c r="T61" s="2322"/>
      <c r="U61" s="2296"/>
      <c r="V61" s="1740" t="s">
        <v>1177</v>
      </c>
      <c r="W61" s="832">
        <v>18000000</v>
      </c>
      <c r="X61" s="833" t="s">
        <v>1178</v>
      </c>
      <c r="Y61" s="852">
        <v>20</v>
      </c>
      <c r="Z61" s="1736" t="s">
        <v>387</v>
      </c>
      <c r="AA61" s="3411"/>
      <c r="AB61" s="3403"/>
      <c r="AC61" s="3403"/>
      <c r="AD61" s="3403"/>
      <c r="AE61" s="3403"/>
      <c r="AF61" s="3403"/>
      <c r="AG61" s="3403"/>
      <c r="AH61" s="3403"/>
      <c r="AI61" s="3403"/>
      <c r="AJ61" s="3403"/>
      <c r="AK61" s="3403"/>
      <c r="AL61" s="3403"/>
      <c r="AM61" s="3403"/>
      <c r="AN61" s="3403"/>
      <c r="AO61" s="3403"/>
      <c r="AP61" s="2862"/>
      <c r="AQ61" s="3409"/>
      <c r="AR61" s="3409"/>
      <c r="AS61" s="2862"/>
    </row>
    <row r="62" spans="1:45" s="80" customFormat="1" ht="66" customHeight="1" x14ac:dyDescent="0.25">
      <c r="A62" s="2428"/>
      <c r="B62" s="2429"/>
      <c r="C62" s="1719"/>
      <c r="D62" s="831"/>
      <c r="E62" s="3363"/>
      <c r="F62" s="3363"/>
      <c r="G62" s="2920">
        <v>4102038</v>
      </c>
      <c r="H62" s="3407" t="s">
        <v>1179</v>
      </c>
      <c r="I62" s="2901">
        <v>4102038</v>
      </c>
      <c r="J62" s="3407" t="s">
        <v>1179</v>
      </c>
      <c r="K62" s="3049">
        <v>410203800</v>
      </c>
      <c r="L62" s="2320" t="s">
        <v>1133</v>
      </c>
      <c r="M62" s="3049">
        <v>410203800</v>
      </c>
      <c r="N62" s="2320" t="s">
        <v>1133</v>
      </c>
      <c r="O62" s="3049">
        <v>10</v>
      </c>
      <c r="P62" s="3049" t="s">
        <v>1180</v>
      </c>
      <c r="Q62" s="2320" t="s">
        <v>1181</v>
      </c>
      <c r="R62" s="3103">
        <f>SUM(W62:W66)/S62</f>
        <v>1</v>
      </c>
      <c r="S62" s="3412">
        <f>SUM(W62:W66)</f>
        <v>37000000</v>
      </c>
      <c r="T62" s="2294" t="s">
        <v>1182</v>
      </c>
      <c r="U62" s="2294" t="s">
        <v>1183</v>
      </c>
      <c r="V62" s="856" t="s">
        <v>1184</v>
      </c>
      <c r="W62" s="857">
        <v>18000000</v>
      </c>
      <c r="X62" s="833" t="s">
        <v>1185</v>
      </c>
      <c r="Y62" s="3404">
        <v>20</v>
      </c>
      <c r="Z62" s="2350" t="s">
        <v>387</v>
      </c>
      <c r="AA62" s="3087"/>
      <c r="AB62" s="3102">
        <v>10</v>
      </c>
      <c r="AC62" s="3102"/>
      <c r="AD62" s="3102">
        <v>10</v>
      </c>
      <c r="AE62" s="3102"/>
      <c r="AF62" s="3102"/>
      <c r="AG62" s="3102"/>
      <c r="AH62" s="3102"/>
      <c r="AI62" s="3102"/>
      <c r="AJ62" s="3102"/>
      <c r="AK62" s="3102"/>
      <c r="AL62" s="3102"/>
      <c r="AM62" s="3102"/>
      <c r="AN62" s="3102"/>
      <c r="AO62" s="3102"/>
      <c r="AP62" s="3102">
        <f>SUM(AD62:AO66)</f>
        <v>10</v>
      </c>
      <c r="AQ62" s="3408">
        <v>44197</v>
      </c>
      <c r="AR62" s="3408">
        <v>44561</v>
      </c>
      <c r="AS62" s="3102" t="s">
        <v>1139</v>
      </c>
    </row>
    <row r="63" spans="1:45" s="80" customFormat="1" ht="71.25" customHeight="1" x14ac:dyDescent="0.25">
      <c r="A63" s="2428"/>
      <c r="B63" s="2429"/>
      <c r="C63" s="1719"/>
      <c r="D63" s="831"/>
      <c r="E63" s="3363"/>
      <c r="F63" s="3363"/>
      <c r="G63" s="2920"/>
      <c r="H63" s="3369"/>
      <c r="I63" s="2901"/>
      <c r="J63" s="3369"/>
      <c r="K63" s="3050"/>
      <c r="L63" s="2321"/>
      <c r="M63" s="3050"/>
      <c r="N63" s="2321"/>
      <c r="O63" s="3050"/>
      <c r="P63" s="3050"/>
      <c r="Q63" s="2321"/>
      <c r="R63" s="3150"/>
      <c r="S63" s="2884"/>
      <c r="T63" s="2295"/>
      <c r="U63" s="2295"/>
      <c r="V63" s="856" t="s">
        <v>1186</v>
      </c>
      <c r="W63" s="857">
        <v>4000000</v>
      </c>
      <c r="X63" s="833" t="s">
        <v>1185</v>
      </c>
      <c r="Y63" s="3405"/>
      <c r="Z63" s="2350"/>
      <c r="AA63" s="3413"/>
      <c r="AB63" s="2861"/>
      <c r="AC63" s="2861"/>
      <c r="AD63" s="2861"/>
      <c r="AE63" s="2861"/>
      <c r="AF63" s="2861"/>
      <c r="AG63" s="2861"/>
      <c r="AH63" s="2861"/>
      <c r="AI63" s="2861"/>
      <c r="AJ63" s="2861"/>
      <c r="AK63" s="2861"/>
      <c r="AL63" s="2861"/>
      <c r="AM63" s="2861"/>
      <c r="AN63" s="2861"/>
      <c r="AO63" s="2861"/>
      <c r="AP63" s="2861"/>
      <c r="AQ63" s="3372"/>
      <c r="AR63" s="3372"/>
      <c r="AS63" s="2861"/>
    </row>
    <row r="64" spans="1:45" s="80" customFormat="1" ht="60" customHeight="1" x14ac:dyDescent="0.25">
      <c r="A64" s="2428"/>
      <c r="B64" s="2429"/>
      <c r="C64" s="1719"/>
      <c r="D64" s="831"/>
      <c r="E64" s="3363"/>
      <c r="F64" s="3363"/>
      <c r="G64" s="2920"/>
      <c r="H64" s="3369"/>
      <c r="I64" s="2901"/>
      <c r="J64" s="3369"/>
      <c r="K64" s="3050"/>
      <c r="L64" s="2321"/>
      <c r="M64" s="3050"/>
      <c r="N64" s="2321"/>
      <c r="O64" s="3050"/>
      <c r="P64" s="3050"/>
      <c r="Q64" s="2321"/>
      <c r="R64" s="3150"/>
      <c r="S64" s="2884"/>
      <c r="T64" s="2295"/>
      <c r="U64" s="2295"/>
      <c r="V64" s="856" t="s">
        <v>1187</v>
      </c>
      <c r="W64" s="857">
        <v>8000000</v>
      </c>
      <c r="X64" s="833" t="s">
        <v>1185</v>
      </c>
      <c r="Y64" s="3405"/>
      <c r="Z64" s="2350"/>
      <c r="AA64" s="3413"/>
      <c r="AB64" s="2861"/>
      <c r="AC64" s="2861"/>
      <c r="AD64" s="2861"/>
      <c r="AE64" s="2861"/>
      <c r="AF64" s="2861"/>
      <c r="AG64" s="2861"/>
      <c r="AH64" s="2861"/>
      <c r="AI64" s="2861"/>
      <c r="AJ64" s="2861"/>
      <c r="AK64" s="2861"/>
      <c r="AL64" s="2861"/>
      <c r="AM64" s="2861"/>
      <c r="AN64" s="2861"/>
      <c r="AO64" s="2861"/>
      <c r="AP64" s="2861"/>
      <c r="AQ64" s="3372"/>
      <c r="AR64" s="3372"/>
      <c r="AS64" s="2861"/>
    </row>
    <row r="65" spans="1:45" s="80" customFormat="1" ht="69.75" customHeight="1" x14ac:dyDescent="0.25">
      <c r="A65" s="2428"/>
      <c r="B65" s="2429"/>
      <c r="C65" s="1719"/>
      <c r="D65" s="831"/>
      <c r="E65" s="3363"/>
      <c r="F65" s="3363"/>
      <c r="G65" s="2920"/>
      <c r="H65" s="3369"/>
      <c r="I65" s="2901"/>
      <c r="J65" s="3369"/>
      <c r="K65" s="3050"/>
      <c r="L65" s="2321"/>
      <c r="M65" s="3050"/>
      <c r="N65" s="2321"/>
      <c r="O65" s="3050"/>
      <c r="P65" s="3050"/>
      <c r="Q65" s="2321"/>
      <c r="R65" s="3150"/>
      <c r="S65" s="2884"/>
      <c r="T65" s="2295"/>
      <c r="U65" s="2295"/>
      <c r="V65" s="856" t="s">
        <v>1188</v>
      </c>
      <c r="W65" s="857">
        <v>4000000</v>
      </c>
      <c r="X65" s="833" t="s">
        <v>1185</v>
      </c>
      <c r="Y65" s="3405"/>
      <c r="Z65" s="2350"/>
      <c r="AA65" s="3413"/>
      <c r="AB65" s="2861"/>
      <c r="AC65" s="2861"/>
      <c r="AD65" s="2861"/>
      <c r="AE65" s="2861"/>
      <c r="AF65" s="2861"/>
      <c r="AG65" s="2861"/>
      <c r="AH65" s="2861"/>
      <c r="AI65" s="2861"/>
      <c r="AJ65" s="2861"/>
      <c r="AK65" s="2861"/>
      <c r="AL65" s="2861"/>
      <c r="AM65" s="2861"/>
      <c r="AN65" s="2861"/>
      <c r="AO65" s="2861"/>
      <c r="AP65" s="2861"/>
      <c r="AQ65" s="3372"/>
      <c r="AR65" s="3372"/>
      <c r="AS65" s="2861"/>
    </row>
    <row r="66" spans="1:45" s="80" customFormat="1" ht="60" customHeight="1" x14ac:dyDescent="0.25">
      <c r="A66" s="2428"/>
      <c r="B66" s="2429"/>
      <c r="C66" s="1719"/>
      <c r="D66" s="831"/>
      <c r="E66" s="3363"/>
      <c r="F66" s="3365"/>
      <c r="G66" s="3368"/>
      <c r="H66" s="3369"/>
      <c r="I66" s="2866"/>
      <c r="J66" s="3369"/>
      <c r="K66" s="3050"/>
      <c r="L66" s="2321"/>
      <c r="M66" s="3050"/>
      <c r="N66" s="2321"/>
      <c r="O66" s="3050"/>
      <c r="P66" s="3050"/>
      <c r="Q66" s="2321"/>
      <c r="R66" s="3150"/>
      <c r="S66" s="2884"/>
      <c r="T66" s="2295"/>
      <c r="U66" s="2295"/>
      <c r="V66" s="858" t="s">
        <v>1189</v>
      </c>
      <c r="W66" s="859">
        <v>3000000</v>
      </c>
      <c r="X66" s="833" t="s">
        <v>1185</v>
      </c>
      <c r="Y66" s="3405"/>
      <c r="Z66" s="2350"/>
      <c r="AA66" s="3413"/>
      <c r="AB66" s="2861"/>
      <c r="AC66" s="2861"/>
      <c r="AD66" s="2861"/>
      <c r="AE66" s="2861"/>
      <c r="AF66" s="2861"/>
      <c r="AG66" s="2861"/>
      <c r="AH66" s="2861"/>
      <c r="AI66" s="2861"/>
      <c r="AJ66" s="2861"/>
      <c r="AK66" s="2861"/>
      <c r="AL66" s="2861"/>
      <c r="AM66" s="2861"/>
      <c r="AN66" s="2861"/>
      <c r="AO66" s="2861"/>
      <c r="AP66" s="2861"/>
      <c r="AQ66" s="3372"/>
      <c r="AR66" s="3372"/>
      <c r="AS66" s="2861"/>
    </row>
    <row r="67" spans="1:45" s="3" customFormat="1" ht="27" customHeight="1" x14ac:dyDescent="0.25">
      <c r="A67" s="2428"/>
      <c r="B67" s="2429"/>
      <c r="C67" s="1725"/>
      <c r="D67" s="1726"/>
      <c r="E67" s="411">
        <v>4103</v>
      </c>
      <c r="F67" s="828" t="s">
        <v>1190</v>
      </c>
      <c r="G67" s="860"/>
      <c r="H67" s="861"/>
      <c r="I67" s="860"/>
      <c r="J67" s="860"/>
      <c r="K67" s="860"/>
      <c r="L67" s="860"/>
      <c r="M67" s="862"/>
      <c r="N67" s="863"/>
      <c r="O67" s="812"/>
      <c r="P67" s="812"/>
      <c r="Q67" s="864"/>
      <c r="R67" s="813"/>
      <c r="S67" s="814"/>
      <c r="T67" s="864"/>
      <c r="U67" s="864"/>
      <c r="V67" s="864"/>
      <c r="W67" s="814"/>
      <c r="X67" s="538"/>
      <c r="Y67" s="816"/>
      <c r="Z67" s="206"/>
      <c r="AA67" s="812"/>
      <c r="AB67" s="812"/>
      <c r="AC67" s="812"/>
      <c r="AD67" s="812"/>
      <c r="AE67" s="812"/>
      <c r="AF67" s="812"/>
      <c r="AG67" s="812"/>
      <c r="AH67" s="812"/>
      <c r="AI67" s="812"/>
      <c r="AJ67" s="812"/>
      <c r="AK67" s="812"/>
      <c r="AL67" s="812"/>
      <c r="AM67" s="812"/>
      <c r="AN67" s="812"/>
      <c r="AO67" s="812"/>
      <c r="AP67" s="812"/>
      <c r="AQ67" s="817"/>
      <c r="AR67" s="817"/>
      <c r="AS67" s="818"/>
    </row>
    <row r="68" spans="1:45" s="80" customFormat="1" ht="172.5" customHeight="1" x14ac:dyDescent="0.25">
      <c r="A68" s="2428"/>
      <c r="B68" s="2429"/>
      <c r="C68" s="1719"/>
      <c r="D68" s="1720"/>
      <c r="E68" s="3414"/>
      <c r="F68" s="3414"/>
      <c r="G68" s="1747">
        <v>4103059</v>
      </c>
      <c r="H68" s="1789" t="s">
        <v>1191</v>
      </c>
      <c r="I68" s="1749">
        <v>4103059</v>
      </c>
      <c r="J68" s="1789" t="s">
        <v>1191</v>
      </c>
      <c r="K68" s="1761">
        <v>410305900</v>
      </c>
      <c r="L68" s="1743" t="s">
        <v>1192</v>
      </c>
      <c r="M68" s="1761">
        <v>410305900</v>
      </c>
      <c r="N68" s="1743" t="s">
        <v>1192</v>
      </c>
      <c r="O68" s="1761">
        <v>10</v>
      </c>
      <c r="P68" s="1762" t="s">
        <v>1193</v>
      </c>
      <c r="Q68" s="1738" t="s">
        <v>1194</v>
      </c>
      <c r="R68" s="1764">
        <f>SUM(W68)/S68</f>
        <v>1</v>
      </c>
      <c r="S68" s="1753">
        <f>SUM(W68)</f>
        <v>15000000</v>
      </c>
      <c r="T68" s="1743" t="s">
        <v>1195</v>
      </c>
      <c r="U68" s="1730" t="s">
        <v>1059</v>
      </c>
      <c r="V68" s="1740" t="s">
        <v>1196</v>
      </c>
      <c r="W68" s="832">
        <v>15000000</v>
      </c>
      <c r="X68" s="833" t="s">
        <v>1197</v>
      </c>
      <c r="Y68" s="1780">
        <v>20</v>
      </c>
      <c r="Z68" s="1767" t="s">
        <v>387</v>
      </c>
      <c r="AA68" s="1775">
        <v>4</v>
      </c>
      <c r="AB68" s="1775">
        <v>6</v>
      </c>
      <c r="AC68" s="1775" t="s">
        <v>294</v>
      </c>
      <c r="AD68" s="1775">
        <v>10</v>
      </c>
      <c r="AE68" s="1754"/>
      <c r="AF68" s="1754"/>
      <c r="AG68" s="1754"/>
      <c r="AH68" s="1754"/>
      <c r="AI68" s="1754"/>
      <c r="AJ68" s="1754"/>
      <c r="AK68" s="1754"/>
      <c r="AL68" s="1754"/>
      <c r="AM68" s="1754"/>
      <c r="AN68" s="1754"/>
      <c r="AO68" s="1754"/>
      <c r="AP68" s="1754">
        <f>SUM(AD68:AO68)</f>
        <v>10</v>
      </c>
      <c r="AQ68" s="1728">
        <v>44197</v>
      </c>
      <c r="AR68" s="1728">
        <v>44561</v>
      </c>
      <c r="AS68" s="1744" t="s">
        <v>1139</v>
      </c>
    </row>
    <row r="69" spans="1:45" s="80" customFormat="1" ht="127.5" customHeight="1" x14ac:dyDescent="0.25">
      <c r="A69" s="2428"/>
      <c r="B69" s="2429"/>
      <c r="C69" s="1719"/>
      <c r="D69" s="1720"/>
      <c r="E69" s="3414"/>
      <c r="F69" s="3414"/>
      <c r="G69" s="1747">
        <v>4103052</v>
      </c>
      <c r="H69" s="1788" t="s">
        <v>1198</v>
      </c>
      <c r="I69" s="1749">
        <v>4103052</v>
      </c>
      <c r="J69" s="1788" t="s">
        <v>1198</v>
      </c>
      <c r="K69" s="1760">
        <v>410305202</v>
      </c>
      <c r="L69" s="1737" t="s">
        <v>1199</v>
      </c>
      <c r="M69" s="1760">
        <v>410305202</v>
      </c>
      <c r="N69" s="1737" t="s">
        <v>1199</v>
      </c>
      <c r="O69" s="1760">
        <v>1</v>
      </c>
      <c r="P69" s="1767" t="s">
        <v>1200</v>
      </c>
      <c r="Q69" s="1737" t="s">
        <v>1201</v>
      </c>
      <c r="R69" s="1763">
        <f>SUM(W69)/S69</f>
        <v>1</v>
      </c>
      <c r="S69" s="1796">
        <f>SUM(W69)</f>
        <v>20000000</v>
      </c>
      <c r="T69" s="1737" t="s">
        <v>1202</v>
      </c>
      <c r="U69" s="1729" t="s">
        <v>1203</v>
      </c>
      <c r="V69" s="1735" t="s">
        <v>1204</v>
      </c>
      <c r="W69" s="1798">
        <v>20000000</v>
      </c>
      <c r="X69" s="76" t="s">
        <v>1205</v>
      </c>
      <c r="Y69" s="1797">
        <v>20</v>
      </c>
      <c r="Z69" s="1736" t="s">
        <v>387</v>
      </c>
      <c r="AA69" s="1769">
        <v>300</v>
      </c>
      <c r="AB69" s="1759">
        <v>300</v>
      </c>
      <c r="AC69" s="1759"/>
      <c r="AD69" s="1759"/>
      <c r="AE69" s="1759"/>
      <c r="AF69" s="1759"/>
      <c r="AG69" s="1759"/>
      <c r="AH69" s="1759"/>
      <c r="AI69" s="1759"/>
      <c r="AJ69" s="1759"/>
      <c r="AK69" s="1759"/>
      <c r="AL69" s="1759"/>
      <c r="AM69" s="1759"/>
      <c r="AN69" s="1759"/>
      <c r="AO69" s="1759"/>
      <c r="AP69" s="1759">
        <v>600</v>
      </c>
      <c r="AQ69" s="1795">
        <v>44197</v>
      </c>
      <c r="AR69" s="1795">
        <v>44561</v>
      </c>
      <c r="AS69" s="1759" t="s">
        <v>1206</v>
      </c>
    </row>
    <row r="70" spans="1:45" s="80" customFormat="1" ht="71.25" customHeight="1" x14ac:dyDescent="0.25">
      <c r="A70" s="2428"/>
      <c r="B70" s="2429"/>
      <c r="C70" s="1719"/>
      <c r="D70" s="1720"/>
      <c r="E70" s="3414"/>
      <c r="F70" s="3414"/>
      <c r="G70" s="2901">
        <v>4103050</v>
      </c>
      <c r="H70" s="3407" t="s">
        <v>1207</v>
      </c>
      <c r="I70" s="2920">
        <v>4103050</v>
      </c>
      <c r="J70" s="3407" t="s">
        <v>1207</v>
      </c>
      <c r="K70" s="3049">
        <v>410305001</v>
      </c>
      <c r="L70" s="2320" t="s">
        <v>1208</v>
      </c>
      <c r="M70" s="3049">
        <v>410305001</v>
      </c>
      <c r="N70" s="2320" t="s">
        <v>1208</v>
      </c>
      <c r="O70" s="3049">
        <v>12</v>
      </c>
      <c r="P70" s="3049" t="s">
        <v>1209</v>
      </c>
      <c r="Q70" s="2191" t="s">
        <v>1210</v>
      </c>
      <c r="R70" s="3103">
        <f>SUM(W70:W72)/S70</f>
        <v>1</v>
      </c>
      <c r="S70" s="3412">
        <f>SUM(W70:W72)</f>
        <v>25000000</v>
      </c>
      <c r="T70" s="2320" t="s">
        <v>1211</v>
      </c>
      <c r="U70" s="2294" t="s">
        <v>1156</v>
      </c>
      <c r="V70" s="2144" t="s">
        <v>1212</v>
      </c>
      <c r="W70" s="3418">
        <v>10000000</v>
      </c>
      <c r="X70" s="3419" t="s">
        <v>1213</v>
      </c>
      <c r="Y70" s="3404">
        <v>20</v>
      </c>
      <c r="Z70" s="2350" t="s">
        <v>387</v>
      </c>
      <c r="AA70" s="3410">
        <v>20</v>
      </c>
      <c r="AB70" s="2076" t="s">
        <v>294</v>
      </c>
      <c r="AC70" s="2076">
        <v>10</v>
      </c>
      <c r="AD70" s="2076" t="s">
        <v>294</v>
      </c>
      <c r="AE70" s="2076">
        <v>10</v>
      </c>
      <c r="AF70" s="3102"/>
      <c r="AG70" s="3102"/>
      <c r="AH70" s="3102"/>
      <c r="AI70" s="3102"/>
      <c r="AJ70" s="3102"/>
      <c r="AK70" s="3102"/>
      <c r="AL70" s="3102"/>
      <c r="AM70" s="3102"/>
      <c r="AN70" s="3102"/>
      <c r="AO70" s="3102"/>
      <c r="AP70" s="3102">
        <v>30</v>
      </c>
      <c r="AQ70" s="3408">
        <v>44197</v>
      </c>
      <c r="AR70" s="3408">
        <v>44561</v>
      </c>
      <c r="AS70" s="3102" t="s">
        <v>1040</v>
      </c>
    </row>
    <row r="71" spans="1:45" s="80" customFormat="1" ht="60.75" customHeight="1" x14ac:dyDescent="0.25">
      <c r="A71" s="2428"/>
      <c r="B71" s="2429"/>
      <c r="C71" s="1719"/>
      <c r="D71" s="1720"/>
      <c r="E71" s="3414"/>
      <c r="F71" s="3414"/>
      <c r="G71" s="2901"/>
      <c r="H71" s="3369"/>
      <c r="I71" s="2920"/>
      <c r="J71" s="3369"/>
      <c r="K71" s="3050"/>
      <c r="L71" s="2321"/>
      <c r="M71" s="3050"/>
      <c r="N71" s="2321"/>
      <c r="O71" s="3050"/>
      <c r="P71" s="3050"/>
      <c r="Q71" s="2191"/>
      <c r="R71" s="3150"/>
      <c r="S71" s="2884"/>
      <c r="T71" s="2321"/>
      <c r="U71" s="2295"/>
      <c r="V71" s="2146"/>
      <c r="W71" s="3418"/>
      <c r="X71" s="3420"/>
      <c r="Y71" s="3405"/>
      <c r="Z71" s="2350"/>
      <c r="AA71" s="3371"/>
      <c r="AB71" s="2077"/>
      <c r="AC71" s="2077"/>
      <c r="AD71" s="2077"/>
      <c r="AE71" s="2077"/>
      <c r="AF71" s="2861"/>
      <c r="AG71" s="2861"/>
      <c r="AH71" s="2861"/>
      <c r="AI71" s="2861"/>
      <c r="AJ71" s="2861"/>
      <c r="AK71" s="2861"/>
      <c r="AL71" s="2861"/>
      <c r="AM71" s="2861"/>
      <c r="AN71" s="2861"/>
      <c r="AO71" s="2861"/>
      <c r="AP71" s="2861"/>
      <c r="AQ71" s="3372"/>
      <c r="AR71" s="3372"/>
      <c r="AS71" s="2861"/>
    </row>
    <row r="72" spans="1:45" s="80" customFormat="1" ht="107.25" customHeight="1" x14ac:dyDescent="0.25">
      <c r="A72" s="2428"/>
      <c r="B72" s="2429"/>
      <c r="C72" s="1719"/>
      <c r="D72" s="1720"/>
      <c r="E72" s="3414"/>
      <c r="F72" s="3414"/>
      <c r="G72" s="2901"/>
      <c r="H72" s="3399"/>
      <c r="I72" s="2920"/>
      <c r="J72" s="3399"/>
      <c r="K72" s="3051"/>
      <c r="L72" s="2322"/>
      <c r="M72" s="3051"/>
      <c r="N72" s="2322"/>
      <c r="O72" s="3051"/>
      <c r="P72" s="3051"/>
      <c r="Q72" s="2191"/>
      <c r="R72" s="3104"/>
      <c r="S72" s="2885"/>
      <c r="T72" s="2322"/>
      <c r="U72" s="2296"/>
      <c r="V72" s="1740" t="s">
        <v>1214</v>
      </c>
      <c r="W72" s="832">
        <v>15000000</v>
      </c>
      <c r="X72" s="833" t="s">
        <v>1213</v>
      </c>
      <c r="Y72" s="3406"/>
      <c r="Z72" s="2350"/>
      <c r="AA72" s="3411"/>
      <c r="AB72" s="3403"/>
      <c r="AC72" s="3403"/>
      <c r="AD72" s="3403"/>
      <c r="AE72" s="3403"/>
      <c r="AF72" s="2862"/>
      <c r="AG72" s="2862"/>
      <c r="AH72" s="2862"/>
      <c r="AI72" s="2862"/>
      <c r="AJ72" s="2862"/>
      <c r="AK72" s="2862"/>
      <c r="AL72" s="2862"/>
      <c r="AM72" s="2862"/>
      <c r="AN72" s="2862"/>
      <c r="AO72" s="2862"/>
      <c r="AP72" s="2862"/>
      <c r="AQ72" s="3409"/>
      <c r="AR72" s="3409"/>
      <c r="AS72" s="2862"/>
    </row>
    <row r="73" spans="1:45" s="80" customFormat="1" ht="69" customHeight="1" x14ac:dyDescent="0.25">
      <c r="A73" s="2428"/>
      <c r="B73" s="2429"/>
      <c r="C73" s="1719"/>
      <c r="D73" s="1720"/>
      <c r="E73" s="3414"/>
      <c r="F73" s="3414"/>
      <c r="G73" s="2901">
        <v>4103058</v>
      </c>
      <c r="H73" s="3407" t="s">
        <v>1215</v>
      </c>
      <c r="I73" s="2866">
        <v>4103058</v>
      </c>
      <c r="J73" s="2875" t="s">
        <v>1215</v>
      </c>
      <c r="K73" s="3049">
        <v>410305800</v>
      </c>
      <c r="L73" s="2320" t="s">
        <v>1216</v>
      </c>
      <c r="M73" s="3049">
        <v>410305800</v>
      </c>
      <c r="N73" s="2320" t="s">
        <v>1216</v>
      </c>
      <c r="O73" s="3049">
        <v>2</v>
      </c>
      <c r="P73" s="3049" t="s">
        <v>1217</v>
      </c>
      <c r="Q73" s="2320" t="s">
        <v>1218</v>
      </c>
      <c r="R73" s="3103">
        <f>SUM(W73:W76)/S73</f>
        <v>1</v>
      </c>
      <c r="S73" s="3412">
        <f>SUM(W73:W76)</f>
        <v>75112368</v>
      </c>
      <c r="T73" s="2320" t="s">
        <v>1219</v>
      </c>
      <c r="U73" s="2294" t="s">
        <v>1156</v>
      </c>
      <c r="V73" s="1740" t="s">
        <v>1220</v>
      </c>
      <c r="W73" s="847">
        <f>18000000-3150000</f>
        <v>14850000</v>
      </c>
      <c r="X73" s="76" t="s">
        <v>1221</v>
      </c>
      <c r="Y73" s="852">
        <v>20</v>
      </c>
      <c r="Z73" s="1736" t="s">
        <v>387</v>
      </c>
      <c r="AA73" s="3421">
        <v>225</v>
      </c>
      <c r="AB73" s="3422">
        <v>225</v>
      </c>
      <c r="AC73" s="3422" t="s">
        <v>294</v>
      </c>
      <c r="AD73" s="3422">
        <v>70</v>
      </c>
      <c r="AE73" s="3422">
        <v>100</v>
      </c>
      <c r="AF73" s="2076">
        <v>50</v>
      </c>
      <c r="AG73" s="2076">
        <v>10</v>
      </c>
      <c r="AH73" s="2076">
        <v>10</v>
      </c>
      <c r="AI73" s="2076" t="s">
        <v>294</v>
      </c>
      <c r="AJ73" s="2076" t="s">
        <v>294</v>
      </c>
      <c r="AK73" s="2076" t="s">
        <v>294</v>
      </c>
      <c r="AL73" s="2076" t="s">
        <v>294</v>
      </c>
      <c r="AM73" s="2076" t="s">
        <v>294</v>
      </c>
      <c r="AN73" s="2076">
        <v>200</v>
      </c>
      <c r="AO73" s="2076">
        <v>10</v>
      </c>
      <c r="AP73" s="3102">
        <v>450</v>
      </c>
      <c r="AQ73" s="3408">
        <v>44197</v>
      </c>
      <c r="AR73" s="3408">
        <v>44561</v>
      </c>
      <c r="AS73" s="3102" t="s">
        <v>1222</v>
      </c>
    </row>
    <row r="74" spans="1:45" s="80" customFormat="1" ht="72" customHeight="1" x14ac:dyDescent="0.25">
      <c r="A74" s="2428"/>
      <c r="B74" s="2429"/>
      <c r="C74" s="1719"/>
      <c r="D74" s="1720"/>
      <c r="E74" s="3414"/>
      <c r="F74" s="3414"/>
      <c r="G74" s="2901"/>
      <c r="H74" s="3369"/>
      <c r="I74" s="2867"/>
      <c r="J74" s="2876"/>
      <c r="K74" s="3050"/>
      <c r="L74" s="2321"/>
      <c r="M74" s="3050"/>
      <c r="N74" s="2321"/>
      <c r="O74" s="3050"/>
      <c r="P74" s="3050"/>
      <c r="Q74" s="2321"/>
      <c r="R74" s="3150"/>
      <c r="S74" s="2884"/>
      <c r="T74" s="2321"/>
      <c r="U74" s="2295"/>
      <c r="V74" s="2144" t="s">
        <v>1223</v>
      </c>
      <c r="W74" s="847">
        <f>10000000-6000000</f>
        <v>4000000</v>
      </c>
      <c r="X74" s="76" t="s">
        <v>1221</v>
      </c>
      <c r="Y74" s="852">
        <v>20</v>
      </c>
      <c r="Z74" s="1736" t="s">
        <v>387</v>
      </c>
      <c r="AA74" s="3371"/>
      <c r="AB74" s="2077"/>
      <c r="AC74" s="2077"/>
      <c r="AD74" s="2077"/>
      <c r="AE74" s="2077"/>
      <c r="AF74" s="2077"/>
      <c r="AG74" s="2077"/>
      <c r="AH74" s="2077"/>
      <c r="AI74" s="2077"/>
      <c r="AJ74" s="2077"/>
      <c r="AK74" s="2077"/>
      <c r="AL74" s="2077"/>
      <c r="AM74" s="2077"/>
      <c r="AN74" s="2077"/>
      <c r="AO74" s="2077"/>
      <c r="AP74" s="2861"/>
      <c r="AQ74" s="3372"/>
      <c r="AR74" s="3372"/>
      <c r="AS74" s="2861"/>
    </row>
    <row r="75" spans="1:45" s="80" customFormat="1" ht="42.75" customHeight="1" x14ac:dyDescent="0.25">
      <c r="A75" s="2428"/>
      <c r="B75" s="2429"/>
      <c r="C75" s="1719"/>
      <c r="D75" s="1720"/>
      <c r="E75" s="3414"/>
      <c r="F75" s="3414"/>
      <c r="G75" s="2901"/>
      <c r="H75" s="3369"/>
      <c r="I75" s="2867"/>
      <c r="J75" s="2876"/>
      <c r="K75" s="3050"/>
      <c r="L75" s="2321"/>
      <c r="M75" s="3050"/>
      <c r="N75" s="2321"/>
      <c r="O75" s="3050"/>
      <c r="P75" s="3050"/>
      <c r="Q75" s="2321"/>
      <c r="R75" s="3150"/>
      <c r="S75" s="2884"/>
      <c r="T75" s="2321"/>
      <c r="U75" s="2295"/>
      <c r="V75" s="2146"/>
      <c r="W75" s="847">
        <v>47112368</v>
      </c>
      <c r="X75" s="76" t="s">
        <v>1224</v>
      </c>
      <c r="Y75" s="852">
        <v>88</v>
      </c>
      <c r="Z75" s="1736" t="s">
        <v>1075</v>
      </c>
      <c r="AA75" s="3371"/>
      <c r="AB75" s="2077"/>
      <c r="AC75" s="2077"/>
      <c r="AD75" s="2077"/>
      <c r="AE75" s="2077"/>
      <c r="AF75" s="2077"/>
      <c r="AG75" s="2077"/>
      <c r="AH75" s="2077"/>
      <c r="AI75" s="2077"/>
      <c r="AJ75" s="2077"/>
      <c r="AK75" s="2077"/>
      <c r="AL75" s="2077"/>
      <c r="AM75" s="2077"/>
      <c r="AN75" s="2077"/>
      <c r="AO75" s="2077"/>
      <c r="AP75" s="2861"/>
      <c r="AQ75" s="3372"/>
      <c r="AR75" s="3372"/>
      <c r="AS75" s="2861"/>
    </row>
    <row r="76" spans="1:45" s="80" customFormat="1" ht="104.25" customHeight="1" x14ac:dyDescent="0.25">
      <c r="A76" s="2428"/>
      <c r="B76" s="2429"/>
      <c r="C76" s="1719"/>
      <c r="D76" s="1720"/>
      <c r="E76" s="3414"/>
      <c r="F76" s="3414"/>
      <c r="G76" s="2901"/>
      <c r="H76" s="3369"/>
      <c r="I76" s="2867"/>
      <c r="J76" s="2876"/>
      <c r="K76" s="3050"/>
      <c r="L76" s="2321"/>
      <c r="M76" s="3050"/>
      <c r="N76" s="2321"/>
      <c r="O76" s="3050"/>
      <c r="P76" s="3050"/>
      <c r="Q76" s="2321"/>
      <c r="R76" s="3150"/>
      <c r="S76" s="2884"/>
      <c r="T76" s="2321"/>
      <c r="U76" s="2295"/>
      <c r="V76" s="1740" t="s">
        <v>1225</v>
      </c>
      <c r="W76" s="847">
        <v>9150000</v>
      </c>
      <c r="X76" s="76" t="s">
        <v>1226</v>
      </c>
      <c r="Y76" s="852">
        <v>20</v>
      </c>
      <c r="Z76" s="1736" t="s">
        <v>387</v>
      </c>
      <c r="AA76" s="3371"/>
      <c r="AB76" s="2077"/>
      <c r="AC76" s="2077"/>
      <c r="AD76" s="2077"/>
      <c r="AE76" s="2077"/>
      <c r="AF76" s="2077"/>
      <c r="AG76" s="2077"/>
      <c r="AH76" s="2077"/>
      <c r="AI76" s="2077"/>
      <c r="AJ76" s="2077"/>
      <c r="AK76" s="2077"/>
      <c r="AL76" s="2077"/>
      <c r="AM76" s="2077"/>
      <c r="AN76" s="2077"/>
      <c r="AO76" s="2077"/>
      <c r="AP76" s="2861"/>
      <c r="AQ76" s="3372"/>
      <c r="AR76" s="3372"/>
      <c r="AS76" s="2861"/>
    </row>
    <row r="77" spans="1:45" s="80" customFormat="1" ht="49.5" customHeight="1" x14ac:dyDescent="0.25">
      <c r="A77" s="2428"/>
      <c r="B77" s="2429"/>
      <c r="C77" s="1719"/>
      <c r="D77" s="1720"/>
      <c r="E77" s="3414"/>
      <c r="F77" s="3414"/>
      <c r="G77" s="2901" t="s">
        <v>62</v>
      </c>
      <c r="H77" s="3392" t="s">
        <v>1227</v>
      </c>
      <c r="I77" s="2901">
        <v>4103060</v>
      </c>
      <c r="J77" s="2897" t="s">
        <v>1228</v>
      </c>
      <c r="K77" s="2901" t="s">
        <v>62</v>
      </c>
      <c r="L77" s="2897" t="s">
        <v>1229</v>
      </c>
      <c r="M77" s="2901">
        <v>410306000</v>
      </c>
      <c r="N77" s="2897" t="s">
        <v>1230</v>
      </c>
      <c r="O77" s="2901">
        <v>5</v>
      </c>
      <c r="P77" s="2866" t="s">
        <v>1231</v>
      </c>
      <c r="Q77" s="2897" t="s">
        <v>1232</v>
      </c>
      <c r="R77" s="3423">
        <f>SUM(W77:W79)/S77</f>
        <v>0.57446808510638303</v>
      </c>
      <c r="S77" s="2890">
        <f>SUM(W77:W82)</f>
        <v>47000000</v>
      </c>
      <c r="T77" s="2891" t="s">
        <v>1233</v>
      </c>
      <c r="U77" s="3357" t="s">
        <v>1234</v>
      </c>
      <c r="V77" s="867" t="s">
        <v>1235</v>
      </c>
      <c r="W77" s="857">
        <f>10000000-1000000</f>
        <v>9000000</v>
      </c>
      <c r="X77" s="833" t="s">
        <v>1236</v>
      </c>
      <c r="Y77" s="3405">
        <v>20</v>
      </c>
      <c r="Z77" s="2350" t="s">
        <v>387</v>
      </c>
      <c r="AA77" s="3426">
        <v>1471</v>
      </c>
      <c r="AB77" s="3355">
        <v>1412</v>
      </c>
      <c r="AC77" s="3426" t="s">
        <v>294</v>
      </c>
      <c r="AD77" s="3355" t="s">
        <v>294</v>
      </c>
      <c r="AE77" s="3426" t="s">
        <v>294</v>
      </c>
      <c r="AF77" s="3355" t="s">
        <v>294</v>
      </c>
      <c r="AG77" s="3426">
        <v>2883</v>
      </c>
      <c r="AH77" s="3355" t="s">
        <v>294</v>
      </c>
      <c r="AI77" s="3426" t="s">
        <v>294</v>
      </c>
      <c r="AJ77" s="3355" t="s">
        <v>294</v>
      </c>
      <c r="AK77" s="3426" t="s">
        <v>294</v>
      </c>
      <c r="AL77" s="3355" t="s">
        <v>294</v>
      </c>
      <c r="AM77" s="3426" t="s">
        <v>294</v>
      </c>
      <c r="AN77" s="3355" t="s">
        <v>294</v>
      </c>
      <c r="AO77" s="3426" t="s">
        <v>294</v>
      </c>
      <c r="AP77" s="2879">
        <v>2883</v>
      </c>
      <c r="AQ77" s="3433">
        <v>44197</v>
      </c>
      <c r="AR77" s="3374">
        <v>44561</v>
      </c>
      <c r="AS77" s="3430" t="s">
        <v>1237</v>
      </c>
    </row>
    <row r="78" spans="1:45" s="80" customFormat="1" ht="46.5" customHeight="1" x14ac:dyDescent="0.25">
      <c r="A78" s="2428"/>
      <c r="B78" s="2429"/>
      <c r="C78" s="1719"/>
      <c r="D78" s="1720"/>
      <c r="E78" s="3414"/>
      <c r="F78" s="3414"/>
      <c r="G78" s="2901"/>
      <c r="H78" s="3392"/>
      <c r="I78" s="2901"/>
      <c r="J78" s="2897"/>
      <c r="K78" s="2901"/>
      <c r="L78" s="2897"/>
      <c r="M78" s="2901"/>
      <c r="N78" s="2897"/>
      <c r="O78" s="2901"/>
      <c r="P78" s="2867"/>
      <c r="Q78" s="2897"/>
      <c r="R78" s="3424"/>
      <c r="S78" s="2890"/>
      <c r="T78" s="2892"/>
      <c r="U78" s="3357"/>
      <c r="V78" s="867" t="s">
        <v>1238</v>
      </c>
      <c r="W78" s="857">
        <f>17000000-1000000</f>
        <v>16000000</v>
      </c>
      <c r="X78" s="833" t="s">
        <v>1236</v>
      </c>
      <c r="Y78" s="3405"/>
      <c r="Z78" s="2350"/>
      <c r="AA78" s="3384"/>
      <c r="AB78" s="3355"/>
      <c r="AC78" s="3384"/>
      <c r="AD78" s="3355"/>
      <c r="AE78" s="3384"/>
      <c r="AF78" s="3355"/>
      <c r="AG78" s="3384"/>
      <c r="AH78" s="3355"/>
      <c r="AI78" s="3384"/>
      <c r="AJ78" s="3355"/>
      <c r="AK78" s="3384"/>
      <c r="AL78" s="3355"/>
      <c r="AM78" s="3384"/>
      <c r="AN78" s="3355"/>
      <c r="AO78" s="3384"/>
      <c r="AP78" s="2879"/>
      <c r="AQ78" s="3434"/>
      <c r="AR78" s="3374"/>
      <c r="AS78" s="3431"/>
    </row>
    <row r="79" spans="1:45" s="80" customFormat="1" ht="46.5" customHeight="1" x14ac:dyDescent="0.25">
      <c r="A79" s="2428"/>
      <c r="B79" s="2429"/>
      <c r="C79" s="1719"/>
      <c r="D79" s="1720"/>
      <c r="E79" s="3414"/>
      <c r="F79" s="3414"/>
      <c r="G79" s="2901"/>
      <c r="H79" s="3392"/>
      <c r="I79" s="2901"/>
      <c r="J79" s="2897"/>
      <c r="K79" s="2901"/>
      <c r="L79" s="2897"/>
      <c r="M79" s="2901"/>
      <c r="N79" s="2897"/>
      <c r="O79" s="2901"/>
      <c r="P79" s="2867"/>
      <c r="Q79" s="2897"/>
      <c r="R79" s="3425"/>
      <c r="S79" s="2890"/>
      <c r="T79" s="2892"/>
      <c r="U79" s="3357"/>
      <c r="V79" s="867" t="s">
        <v>1239</v>
      </c>
      <c r="W79" s="857">
        <v>2000000</v>
      </c>
      <c r="X79" s="833" t="s">
        <v>1240</v>
      </c>
      <c r="Y79" s="3405"/>
      <c r="Z79" s="2350"/>
      <c r="AA79" s="3384"/>
      <c r="AB79" s="3355"/>
      <c r="AC79" s="3384"/>
      <c r="AD79" s="3355"/>
      <c r="AE79" s="3384"/>
      <c r="AF79" s="3355"/>
      <c r="AG79" s="3384"/>
      <c r="AH79" s="3355"/>
      <c r="AI79" s="3384"/>
      <c r="AJ79" s="3355"/>
      <c r="AK79" s="3384"/>
      <c r="AL79" s="3355"/>
      <c r="AM79" s="3384"/>
      <c r="AN79" s="3355"/>
      <c r="AO79" s="3384"/>
      <c r="AP79" s="2879"/>
      <c r="AQ79" s="3434"/>
      <c r="AR79" s="3374"/>
      <c r="AS79" s="3431"/>
    </row>
    <row r="80" spans="1:45" s="80" customFormat="1" ht="54.75" customHeight="1" x14ac:dyDescent="0.25">
      <c r="A80" s="2428"/>
      <c r="B80" s="2429"/>
      <c r="C80" s="1719"/>
      <c r="D80" s="1720"/>
      <c r="E80" s="3414"/>
      <c r="F80" s="3414"/>
      <c r="G80" s="2901" t="s">
        <v>62</v>
      </c>
      <c r="H80" s="2929" t="s">
        <v>1241</v>
      </c>
      <c r="I80" s="2901">
        <v>4103060</v>
      </c>
      <c r="J80" s="2897" t="s">
        <v>1228</v>
      </c>
      <c r="K80" s="2901" t="s">
        <v>62</v>
      </c>
      <c r="L80" s="2891" t="s">
        <v>1242</v>
      </c>
      <c r="M80" s="2901">
        <v>410306000</v>
      </c>
      <c r="N80" s="2897" t="s">
        <v>1230</v>
      </c>
      <c r="O80" s="2901">
        <v>2</v>
      </c>
      <c r="P80" s="2867"/>
      <c r="Q80" s="2897"/>
      <c r="R80" s="3423">
        <f>SUM(W80:W82)/S77</f>
        <v>0.42553191489361702</v>
      </c>
      <c r="S80" s="2890"/>
      <c r="T80" s="2892"/>
      <c r="U80" s="3357"/>
      <c r="V80" s="867" t="s">
        <v>1243</v>
      </c>
      <c r="W80" s="857">
        <f>10000000-1000000</f>
        <v>9000000</v>
      </c>
      <c r="X80" s="833" t="s">
        <v>1244</v>
      </c>
      <c r="Y80" s="3405"/>
      <c r="Z80" s="2350"/>
      <c r="AA80" s="3384"/>
      <c r="AB80" s="3355"/>
      <c r="AC80" s="3384"/>
      <c r="AD80" s="3355"/>
      <c r="AE80" s="3384"/>
      <c r="AF80" s="3355"/>
      <c r="AG80" s="3384"/>
      <c r="AH80" s="3355"/>
      <c r="AI80" s="3384"/>
      <c r="AJ80" s="3355"/>
      <c r="AK80" s="3384"/>
      <c r="AL80" s="3355"/>
      <c r="AM80" s="3384"/>
      <c r="AN80" s="3355"/>
      <c r="AO80" s="3384"/>
      <c r="AP80" s="2879"/>
      <c r="AQ80" s="3434"/>
      <c r="AR80" s="3374"/>
      <c r="AS80" s="3431"/>
    </row>
    <row r="81" spans="1:45" s="80" customFormat="1" ht="54.75" customHeight="1" x14ac:dyDescent="0.25">
      <c r="A81" s="2428"/>
      <c r="B81" s="2429"/>
      <c r="C81" s="1719"/>
      <c r="D81" s="1720"/>
      <c r="E81" s="3414"/>
      <c r="F81" s="3414"/>
      <c r="G81" s="2901"/>
      <c r="H81" s="2930"/>
      <c r="I81" s="2901"/>
      <c r="J81" s="2897"/>
      <c r="K81" s="2901"/>
      <c r="L81" s="2892"/>
      <c r="M81" s="2901"/>
      <c r="N81" s="2897"/>
      <c r="O81" s="2901"/>
      <c r="P81" s="2867"/>
      <c r="Q81" s="2897"/>
      <c r="R81" s="3424"/>
      <c r="S81" s="2890"/>
      <c r="T81" s="2892"/>
      <c r="U81" s="3357"/>
      <c r="V81" s="867" t="s">
        <v>1245</v>
      </c>
      <c r="W81" s="857">
        <f>10000000-1000000</f>
        <v>9000000</v>
      </c>
      <c r="X81" s="833" t="s">
        <v>1244</v>
      </c>
      <c r="Y81" s="3405"/>
      <c r="Z81" s="2350"/>
      <c r="AA81" s="3384"/>
      <c r="AB81" s="3355"/>
      <c r="AC81" s="3384"/>
      <c r="AD81" s="3355"/>
      <c r="AE81" s="3384"/>
      <c r="AF81" s="3355"/>
      <c r="AG81" s="3384"/>
      <c r="AH81" s="3355"/>
      <c r="AI81" s="3384"/>
      <c r="AJ81" s="3355"/>
      <c r="AK81" s="3384"/>
      <c r="AL81" s="3355"/>
      <c r="AM81" s="3384"/>
      <c r="AN81" s="3355"/>
      <c r="AO81" s="3384"/>
      <c r="AP81" s="2879"/>
      <c r="AQ81" s="3434"/>
      <c r="AR81" s="3374"/>
      <c r="AS81" s="3431"/>
    </row>
    <row r="82" spans="1:45" s="80" customFormat="1" ht="54.75" customHeight="1" x14ac:dyDescent="0.25">
      <c r="A82" s="2428"/>
      <c r="B82" s="2429"/>
      <c r="C82" s="1719"/>
      <c r="D82" s="1720"/>
      <c r="E82" s="3414"/>
      <c r="F82" s="3414"/>
      <c r="G82" s="2901"/>
      <c r="H82" s="3415"/>
      <c r="I82" s="2901"/>
      <c r="J82" s="2897"/>
      <c r="K82" s="2901"/>
      <c r="L82" s="2893"/>
      <c r="M82" s="2901"/>
      <c r="N82" s="2897"/>
      <c r="O82" s="2901"/>
      <c r="P82" s="2868"/>
      <c r="Q82" s="2897"/>
      <c r="R82" s="3425"/>
      <c r="S82" s="2890"/>
      <c r="T82" s="2893"/>
      <c r="U82" s="3357"/>
      <c r="V82" s="867" t="s">
        <v>1239</v>
      </c>
      <c r="W82" s="847">
        <v>2000000</v>
      </c>
      <c r="X82" s="833" t="s">
        <v>1246</v>
      </c>
      <c r="Y82" s="3405"/>
      <c r="Z82" s="2350"/>
      <c r="AA82" s="3427"/>
      <c r="AB82" s="3355"/>
      <c r="AC82" s="3427"/>
      <c r="AD82" s="3355"/>
      <c r="AE82" s="3427"/>
      <c r="AF82" s="3355"/>
      <c r="AG82" s="3427"/>
      <c r="AH82" s="3355"/>
      <c r="AI82" s="3427"/>
      <c r="AJ82" s="3355"/>
      <c r="AK82" s="3427"/>
      <c r="AL82" s="3355"/>
      <c r="AM82" s="3427"/>
      <c r="AN82" s="3355"/>
      <c r="AO82" s="3427"/>
      <c r="AP82" s="2879"/>
      <c r="AQ82" s="3435"/>
      <c r="AR82" s="3374"/>
      <c r="AS82" s="3432"/>
    </row>
    <row r="83" spans="1:45" s="80" customFormat="1" ht="74.25" customHeight="1" x14ac:dyDescent="0.25">
      <c r="A83" s="2428"/>
      <c r="B83" s="2429"/>
      <c r="C83" s="1719"/>
      <c r="D83" s="1720"/>
      <c r="E83" s="3414"/>
      <c r="F83" s="3414"/>
      <c r="G83" s="2901" t="s">
        <v>62</v>
      </c>
      <c r="H83" s="3415" t="s">
        <v>1247</v>
      </c>
      <c r="I83" s="3416">
        <v>4103052</v>
      </c>
      <c r="J83" s="2893" t="s">
        <v>1198</v>
      </c>
      <c r="K83" s="3428" t="s">
        <v>62</v>
      </c>
      <c r="L83" s="2893" t="s">
        <v>1248</v>
      </c>
      <c r="M83" s="3428">
        <v>410305202</v>
      </c>
      <c r="N83" s="2893" t="s">
        <v>1199</v>
      </c>
      <c r="O83" s="3428">
        <v>1</v>
      </c>
      <c r="P83" s="2868" t="s">
        <v>1249</v>
      </c>
      <c r="Q83" s="2910" t="s">
        <v>1250</v>
      </c>
      <c r="R83" s="3425">
        <f>SUM(W83:W88)/S83</f>
        <v>1</v>
      </c>
      <c r="S83" s="3437">
        <f>SUM(W83:W88)</f>
        <v>51681346</v>
      </c>
      <c r="T83" s="2893" t="s">
        <v>1251</v>
      </c>
      <c r="U83" s="3415" t="s">
        <v>1252</v>
      </c>
      <c r="V83" s="2305" t="s">
        <v>1253</v>
      </c>
      <c r="W83" s="837">
        <v>34500000</v>
      </c>
      <c r="X83" s="76" t="s">
        <v>1254</v>
      </c>
      <c r="Y83" s="852">
        <v>20</v>
      </c>
      <c r="Z83" s="1736" t="s">
        <v>387</v>
      </c>
      <c r="AA83" s="3427">
        <v>3152</v>
      </c>
      <c r="AB83" s="3386">
        <v>2908</v>
      </c>
      <c r="AC83" s="3427" t="s">
        <v>294</v>
      </c>
      <c r="AD83" s="3386" t="s">
        <v>294</v>
      </c>
      <c r="AE83" s="3427" t="s">
        <v>294</v>
      </c>
      <c r="AF83" s="3386" t="s">
        <v>294</v>
      </c>
      <c r="AG83" s="3427" t="s">
        <v>294</v>
      </c>
      <c r="AH83" s="3386">
        <v>6060</v>
      </c>
      <c r="AI83" s="3444"/>
      <c r="AJ83" s="2878"/>
      <c r="AK83" s="3444"/>
      <c r="AL83" s="2878"/>
      <c r="AM83" s="3444"/>
      <c r="AN83" s="2878"/>
      <c r="AO83" s="3444"/>
      <c r="AP83" s="2878">
        <v>6060</v>
      </c>
      <c r="AQ83" s="3435">
        <v>44197</v>
      </c>
      <c r="AR83" s="3446">
        <v>44561</v>
      </c>
      <c r="AS83" s="3430" t="s">
        <v>1237</v>
      </c>
    </row>
    <row r="84" spans="1:45" s="80" customFormat="1" ht="74.25" customHeight="1" x14ac:dyDescent="0.25">
      <c r="A84" s="2428"/>
      <c r="B84" s="2429"/>
      <c r="C84" s="1719"/>
      <c r="D84" s="1720"/>
      <c r="E84" s="3414"/>
      <c r="F84" s="3414"/>
      <c r="G84" s="2901"/>
      <c r="H84" s="3415"/>
      <c r="I84" s="3416"/>
      <c r="J84" s="2893"/>
      <c r="K84" s="3428"/>
      <c r="L84" s="2893"/>
      <c r="M84" s="3428"/>
      <c r="N84" s="2893"/>
      <c r="O84" s="3428"/>
      <c r="P84" s="2868"/>
      <c r="Q84" s="2910"/>
      <c r="R84" s="3425"/>
      <c r="S84" s="3437"/>
      <c r="T84" s="2893"/>
      <c r="U84" s="3415"/>
      <c r="V84" s="2305"/>
      <c r="W84" s="837">
        <v>10000000</v>
      </c>
      <c r="X84" s="76" t="s">
        <v>1255</v>
      </c>
      <c r="Y84" s="852">
        <v>88</v>
      </c>
      <c r="Z84" s="1736" t="s">
        <v>1075</v>
      </c>
      <c r="AA84" s="3427"/>
      <c r="AB84" s="3386"/>
      <c r="AC84" s="3427"/>
      <c r="AD84" s="3386"/>
      <c r="AE84" s="3427"/>
      <c r="AF84" s="3386"/>
      <c r="AG84" s="3427"/>
      <c r="AH84" s="3386"/>
      <c r="AI84" s="3444"/>
      <c r="AJ84" s="2878"/>
      <c r="AK84" s="3444"/>
      <c r="AL84" s="2878"/>
      <c r="AM84" s="3444"/>
      <c r="AN84" s="2878"/>
      <c r="AO84" s="3444"/>
      <c r="AP84" s="2878"/>
      <c r="AQ84" s="3435"/>
      <c r="AR84" s="3446"/>
      <c r="AS84" s="3431"/>
    </row>
    <row r="85" spans="1:45" s="80" customFormat="1" ht="46.5" customHeight="1" x14ac:dyDescent="0.25">
      <c r="A85" s="2428"/>
      <c r="B85" s="2429"/>
      <c r="C85" s="1719"/>
      <c r="D85" s="1720"/>
      <c r="E85" s="3414"/>
      <c r="F85" s="3414"/>
      <c r="G85" s="2901"/>
      <c r="H85" s="3392"/>
      <c r="I85" s="3393"/>
      <c r="J85" s="2897"/>
      <c r="K85" s="3394"/>
      <c r="L85" s="2897"/>
      <c r="M85" s="3394"/>
      <c r="N85" s="2897"/>
      <c r="O85" s="3394"/>
      <c r="P85" s="2901"/>
      <c r="Q85" s="3436"/>
      <c r="R85" s="3362"/>
      <c r="S85" s="3438"/>
      <c r="T85" s="2897"/>
      <c r="U85" s="3392"/>
      <c r="V85" s="1735" t="s">
        <v>1126</v>
      </c>
      <c r="W85" s="837">
        <v>1000000</v>
      </c>
      <c r="X85" s="76" t="s">
        <v>1254</v>
      </c>
      <c r="Y85" s="852">
        <v>20</v>
      </c>
      <c r="Z85" s="1736" t="s">
        <v>387</v>
      </c>
      <c r="AA85" s="3356"/>
      <c r="AB85" s="3355"/>
      <c r="AC85" s="3356"/>
      <c r="AD85" s="3355"/>
      <c r="AE85" s="3356"/>
      <c r="AF85" s="3355"/>
      <c r="AG85" s="3356"/>
      <c r="AH85" s="3355"/>
      <c r="AI85" s="3359"/>
      <c r="AJ85" s="2879"/>
      <c r="AK85" s="3359"/>
      <c r="AL85" s="2879"/>
      <c r="AM85" s="3359"/>
      <c r="AN85" s="2879"/>
      <c r="AO85" s="3359"/>
      <c r="AP85" s="2879"/>
      <c r="AQ85" s="3445"/>
      <c r="AR85" s="3374"/>
      <c r="AS85" s="3431"/>
    </row>
    <row r="86" spans="1:45" s="80" customFormat="1" ht="69.75" customHeight="1" x14ac:dyDescent="0.25">
      <c r="A86" s="2428"/>
      <c r="B86" s="2429"/>
      <c r="C86" s="1719"/>
      <c r="D86" s="1720"/>
      <c r="E86" s="1746"/>
      <c r="F86" s="1746"/>
      <c r="G86" s="2901"/>
      <c r="H86" s="3392"/>
      <c r="I86" s="3393"/>
      <c r="J86" s="2897"/>
      <c r="K86" s="3394"/>
      <c r="L86" s="2897"/>
      <c r="M86" s="3394"/>
      <c r="N86" s="2897"/>
      <c r="O86" s="3394"/>
      <c r="P86" s="2901"/>
      <c r="Q86" s="3436"/>
      <c r="R86" s="3362"/>
      <c r="S86" s="3438"/>
      <c r="T86" s="2897"/>
      <c r="U86" s="3436"/>
      <c r="V86" s="1735" t="s">
        <v>1052</v>
      </c>
      <c r="W86" s="1792">
        <v>3500000</v>
      </c>
      <c r="X86" s="76" t="s">
        <v>1256</v>
      </c>
      <c r="Y86" s="852">
        <v>20</v>
      </c>
      <c r="Z86" s="1736" t="s">
        <v>387</v>
      </c>
      <c r="AA86" s="3356"/>
      <c r="AB86" s="3355"/>
      <c r="AC86" s="3356"/>
      <c r="AD86" s="3355"/>
      <c r="AE86" s="3356"/>
      <c r="AF86" s="3355"/>
      <c r="AG86" s="3356"/>
      <c r="AH86" s="3355"/>
      <c r="AI86" s="3359"/>
      <c r="AJ86" s="2879"/>
      <c r="AK86" s="3359"/>
      <c r="AL86" s="2879"/>
      <c r="AM86" s="3359"/>
      <c r="AN86" s="2879"/>
      <c r="AO86" s="3359"/>
      <c r="AP86" s="2879"/>
      <c r="AQ86" s="3445"/>
      <c r="AR86" s="3374"/>
      <c r="AS86" s="3431"/>
    </row>
    <row r="87" spans="1:45" s="80" customFormat="1" ht="69.75" customHeight="1" x14ac:dyDescent="0.25">
      <c r="A87" s="2428"/>
      <c r="B87" s="2429"/>
      <c r="C87" s="1719"/>
      <c r="D87" s="1720"/>
      <c r="E87" s="1746"/>
      <c r="F87" s="1746"/>
      <c r="G87" s="2866"/>
      <c r="H87" s="2929"/>
      <c r="I87" s="3417"/>
      <c r="J87" s="2891"/>
      <c r="K87" s="3429"/>
      <c r="L87" s="2891"/>
      <c r="M87" s="3429"/>
      <c r="N87" s="2891"/>
      <c r="O87" s="3394"/>
      <c r="P87" s="2901"/>
      <c r="Q87" s="3436"/>
      <c r="R87" s="3362"/>
      <c r="S87" s="3438"/>
      <c r="T87" s="2897"/>
      <c r="U87" s="3436"/>
      <c r="V87" s="2305" t="s">
        <v>1257</v>
      </c>
      <c r="W87" s="1792">
        <v>1000000</v>
      </c>
      <c r="X87" s="76" t="s">
        <v>1258</v>
      </c>
      <c r="Y87" s="852">
        <v>20</v>
      </c>
      <c r="Z87" s="1736" t="s">
        <v>387</v>
      </c>
      <c r="AA87" s="3356"/>
      <c r="AB87" s="3355"/>
      <c r="AC87" s="3356"/>
      <c r="AD87" s="3355"/>
      <c r="AE87" s="3356"/>
      <c r="AF87" s="3355"/>
      <c r="AG87" s="3356"/>
      <c r="AH87" s="3355"/>
      <c r="AI87" s="3359"/>
      <c r="AJ87" s="2879"/>
      <c r="AK87" s="3359"/>
      <c r="AL87" s="2879"/>
      <c r="AM87" s="3359"/>
      <c r="AN87" s="2879"/>
      <c r="AO87" s="3359"/>
      <c r="AP87" s="2879"/>
      <c r="AQ87" s="3445"/>
      <c r="AR87" s="3374"/>
      <c r="AS87" s="3431"/>
    </row>
    <row r="88" spans="1:45" s="80" customFormat="1" ht="69.75" customHeight="1" x14ac:dyDescent="0.25">
      <c r="A88" s="2428"/>
      <c r="B88" s="2429"/>
      <c r="C88" s="1719"/>
      <c r="D88" s="1720"/>
      <c r="E88" s="1746"/>
      <c r="F88" s="1746"/>
      <c r="G88" s="2866"/>
      <c r="H88" s="2929"/>
      <c r="I88" s="3417"/>
      <c r="J88" s="2891"/>
      <c r="K88" s="3429"/>
      <c r="L88" s="2891"/>
      <c r="M88" s="3429"/>
      <c r="N88" s="2891"/>
      <c r="O88" s="3394"/>
      <c r="P88" s="2901"/>
      <c r="Q88" s="3436"/>
      <c r="R88" s="3362"/>
      <c r="S88" s="3438"/>
      <c r="T88" s="2897"/>
      <c r="U88" s="3436"/>
      <c r="V88" s="2305"/>
      <c r="W88" s="1792">
        <v>1681346</v>
      </c>
      <c r="X88" s="76" t="s">
        <v>1259</v>
      </c>
      <c r="Y88" s="852">
        <v>88</v>
      </c>
      <c r="Z88" s="1736" t="s">
        <v>1075</v>
      </c>
      <c r="AA88" s="3356"/>
      <c r="AB88" s="3355"/>
      <c r="AC88" s="3356"/>
      <c r="AD88" s="3355"/>
      <c r="AE88" s="3356"/>
      <c r="AF88" s="3355"/>
      <c r="AG88" s="3356"/>
      <c r="AH88" s="3355"/>
      <c r="AI88" s="3359"/>
      <c r="AJ88" s="2879"/>
      <c r="AK88" s="3359"/>
      <c r="AL88" s="2879"/>
      <c r="AM88" s="3359"/>
      <c r="AN88" s="2879"/>
      <c r="AO88" s="3359"/>
      <c r="AP88" s="2879"/>
      <c r="AQ88" s="3445"/>
      <c r="AR88" s="3374"/>
      <c r="AS88" s="3432"/>
    </row>
    <row r="89" spans="1:45" s="3" customFormat="1" ht="27" customHeight="1" x14ac:dyDescent="0.25">
      <c r="A89" s="2428"/>
      <c r="B89" s="2429"/>
      <c r="C89" s="1725"/>
      <c r="D89" s="1726"/>
      <c r="E89" s="389">
        <v>4104</v>
      </c>
      <c r="F89" s="1771" t="s">
        <v>1260</v>
      </c>
      <c r="G89" s="1772"/>
      <c r="H89" s="861"/>
      <c r="I89" s="1772"/>
      <c r="J89" s="861"/>
      <c r="K89" s="1772"/>
      <c r="L89" s="861"/>
      <c r="M89" s="871"/>
      <c r="N89" s="872"/>
      <c r="O89" s="827"/>
      <c r="P89" s="538"/>
      <c r="Q89" s="574"/>
      <c r="R89" s="784"/>
      <c r="S89" s="873"/>
      <c r="T89" s="874"/>
      <c r="U89" s="874"/>
      <c r="V89" s="874"/>
      <c r="W89" s="873"/>
      <c r="X89" s="875" t="s">
        <v>1028</v>
      </c>
      <c r="Y89" s="787"/>
      <c r="Z89" s="206"/>
      <c r="AA89" s="876"/>
      <c r="AB89" s="876"/>
      <c r="AC89" s="876"/>
      <c r="AD89" s="876"/>
      <c r="AE89" s="876"/>
      <c r="AF89" s="876"/>
      <c r="AG89" s="876"/>
      <c r="AH89" s="876"/>
      <c r="AI89" s="876"/>
      <c r="AJ89" s="876"/>
      <c r="AK89" s="876"/>
      <c r="AL89" s="876"/>
      <c r="AM89" s="876"/>
      <c r="AN89" s="876"/>
      <c r="AO89" s="876"/>
      <c r="AP89" s="876"/>
      <c r="AQ89" s="877"/>
      <c r="AR89" s="877"/>
      <c r="AS89" s="878"/>
    </row>
    <row r="90" spans="1:45" s="80" customFormat="1" ht="96" customHeight="1" x14ac:dyDescent="0.25">
      <c r="A90" s="2428"/>
      <c r="B90" s="2429"/>
      <c r="C90" s="1719"/>
      <c r="D90" s="1720"/>
      <c r="E90" s="3414"/>
      <c r="F90" s="3414"/>
      <c r="G90" s="1747">
        <v>4104035</v>
      </c>
      <c r="H90" s="1750" t="s">
        <v>1261</v>
      </c>
      <c r="I90" s="1793">
        <v>4104020</v>
      </c>
      <c r="J90" s="1750" t="s">
        <v>1261</v>
      </c>
      <c r="K90" s="1747">
        <v>410403500</v>
      </c>
      <c r="L90" s="1750" t="s">
        <v>1262</v>
      </c>
      <c r="M90" s="1747">
        <v>410402000</v>
      </c>
      <c r="N90" s="1748" t="s">
        <v>1263</v>
      </c>
      <c r="O90" s="1747">
        <v>50</v>
      </c>
      <c r="P90" s="3363" t="s">
        <v>1264</v>
      </c>
      <c r="Q90" s="3439" t="s">
        <v>1265</v>
      </c>
      <c r="R90" s="1782">
        <f>W90/S90</f>
        <v>0.66085423197492166</v>
      </c>
      <c r="S90" s="3440">
        <f>SUM(W90:W97)</f>
        <v>102080000</v>
      </c>
      <c r="T90" s="3443" t="s">
        <v>1266</v>
      </c>
      <c r="U90" s="2145" t="s">
        <v>1267</v>
      </c>
      <c r="V90" s="879" t="s">
        <v>1268</v>
      </c>
      <c r="W90" s="794">
        <v>67460000</v>
      </c>
      <c r="X90" s="1707" t="s">
        <v>1269</v>
      </c>
      <c r="Y90" s="852">
        <v>20</v>
      </c>
      <c r="Z90" s="1736" t="s">
        <v>387</v>
      </c>
      <c r="AA90" s="3413">
        <v>500</v>
      </c>
      <c r="AB90" s="2861">
        <v>500</v>
      </c>
      <c r="AC90" s="2355"/>
      <c r="AD90" s="2861"/>
      <c r="AE90" s="2861"/>
      <c r="AF90" s="2861"/>
      <c r="AG90" s="2861"/>
      <c r="AH90" s="2861"/>
      <c r="AI90" s="2861"/>
      <c r="AJ90" s="2355"/>
      <c r="AK90" s="2355"/>
      <c r="AL90" s="2355"/>
      <c r="AM90" s="2355"/>
      <c r="AN90" s="2355">
        <v>1000</v>
      </c>
      <c r="AO90" s="2861"/>
      <c r="AP90" s="2355">
        <v>1000</v>
      </c>
      <c r="AQ90" s="3090">
        <v>44197</v>
      </c>
      <c r="AR90" s="3090">
        <v>44561</v>
      </c>
      <c r="AS90" s="2355" t="s">
        <v>1222</v>
      </c>
    </row>
    <row r="91" spans="1:45" s="3" customFormat="1" ht="33.75" customHeight="1" x14ac:dyDescent="0.25">
      <c r="A91" s="2428"/>
      <c r="B91" s="2429"/>
      <c r="C91" s="1725"/>
      <c r="D91" s="1726"/>
      <c r="E91" s="3414"/>
      <c r="F91" s="3414"/>
      <c r="G91" s="3365">
        <v>4104035</v>
      </c>
      <c r="H91" s="3448" t="s">
        <v>1261</v>
      </c>
      <c r="I91" s="3363">
        <v>4104020</v>
      </c>
      <c r="J91" s="3451" t="s">
        <v>1261</v>
      </c>
      <c r="K91" s="2901" t="s">
        <v>62</v>
      </c>
      <c r="L91" s="3439" t="s">
        <v>1270</v>
      </c>
      <c r="M91" s="3363">
        <v>410402000</v>
      </c>
      <c r="N91" s="3439" t="s">
        <v>1263</v>
      </c>
      <c r="O91" s="3365">
        <v>12</v>
      </c>
      <c r="P91" s="3363"/>
      <c r="Q91" s="3439"/>
      <c r="R91" s="3452">
        <f>SUM(W91:W96)/S90</f>
        <v>0.29467084639498431</v>
      </c>
      <c r="S91" s="3440"/>
      <c r="T91" s="3443"/>
      <c r="U91" s="2145"/>
      <c r="V91" s="2144" t="s">
        <v>1271</v>
      </c>
      <c r="W91" s="832">
        <v>2000000</v>
      </c>
      <c r="X91" s="76" t="s">
        <v>1272</v>
      </c>
      <c r="Y91" s="834">
        <v>88</v>
      </c>
      <c r="Z91" s="1708" t="s">
        <v>1075</v>
      </c>
      <c r="AA91" s="3413"/>
      <c r="AB91" s="2861"/>
      <c r="AC91" s="2355"/>
      <c r="AD91" s="2861"/>
      <c r="AE91" s="2861"/>
      <c r="AF91" s="2861"/>
      <c r="AG91" s="2861"/>
      <c r="AH91" s="2861"/>
      <c r="AI91" s="2861"/>
      <c r="AJ91" s="2355"/>
      <c r="AK91" s="2355"/>
      <c r="AL91" s="2355"/>
      <c r="AM91" s="2355"/>
      <c r="AN91" s="2355"/>
      <c r="AO91" s="2861"/>
      <c r="AP91" s="2355"/>
      <c r="AQ91" s="3090"/>
      <c r="AR91" s="3090"/>
      <c r="AS91" s="2355"/>
    </row>
    <row r="92" spans="1:45" s="3" customFormat="1" ht="42.75" customHeight="1" x14ac:dyDescent="0.25">
      <c r="A92" s="2428"/>
      <c r="B92" s="2429"/>
      <c r="C92" s="1725"/>
      <c r="D92" s="1726"/>
      <c r="E92" s="3414"/>
      <c r="F92" s="3414"/>
      <c r="G92" s="3447"/>
      <c r="H92" s="3449"/>
      <c r="I92" s="3363"/>
      <c r="J92" s="3451"/>
      <c r="K92" s="2901"/>
      <c r="L92" s="3439"/>
      <c r="M92" s="3363"/>
      <c r="N92" s="3439"/>
      <c r="O92" s="3447"/>
      <c r="P92" s="3363"/>
      <c r="Q92" s="3439"/>
      <c r="R92" s="3453"/>
      <c r="S92" s="3440"/>
      <c r="T92" s="3443"/>
      <c r="U92" s="2145"/>
      <c r="V92" s="2146"/>
      <c r="W92" s="832">
        <v>12000000</v>
      </c>
      <c r="X92" s="76" t="s">
        <v>1269</v>
      </c>
      <c r="Y92" s="834">
        <v>20</v>
      </c>
      <c r="Z92" s="1708" t="s">
        <v>387</v>
      </c>
      <c r="AA92" s="3413"/>
      <c r="AB92" s="2861"/>
      <c r="AC92" s="2355"/>
      <c r="AD92" s="2861"/>
      <c r="AE92" s="2861"/>
      <c r="AF92" s="2861"/>
      <c r="AG92" s="2861"/>
      <c r="AH92" s="2861"/>
      <c r="AI92" s="2861"/>
      <c r="AJ92" s="2355"/>
      <c r="AK92" s="2355"/>
      <c r="AL92" s="2355"/>
      <c r="AM92" s="2355"/>
      <c r="AN92" s="2355"/>
      <c r="AO92" s="2861"/>
      <c r="AP92" s="2355"/>
      <c r="AQ92" s="3090"/>
      <c r="AR92" s="3090"/>
      <c r="AS92" s="2355"/>
    </row>
    <row r="93" spans="1:45" s="3" customFormat="1" ht="33.75" customHeight="1" x14ac:dyDescent="0.25">
      <c r="A93" s="2428"/>
      <c r="B93" s="2429"/>
      <c r="C93" s="1725"/>
      <c r="D93" s="1726"/>
      <c r="E93" s="3414"/>
      <c r="F93" s="3414"/>
      <c r="G93" s="3447"/>
      <c r="H93" s="3449"/>
      <c r="I93" s="3363"/>
      <c r="J93" s="3451"/>
      <c r="K93" s="2901"/>
      <c r="L93" s="3439"/>
      <c r="M93" s="3363"/>
      <c r="N93" s="3439"/>
      <c r="O93" s="3447"/>
      <c r="P93" s="3363"/>
      <c r="Q93" s="3439"/>
      <c r="R93" s="3453"/>
      <c r="S93" s="3440"/>
      <c r="T93" s="3443"/>
      <c r="U93" s="2145"/>
      <c r="V93" s="2144" t="s">
        <v>1273</v>
      </c>
      <c r="W93" s="832">
        <v>2000000</v>
      </c>
      <c r="X93" s="76" t="s">
        <v>1272</v>
      </c>
      <c r="Y93" s="834">
        <v>88</v>
      </c>
      <c r="Z93" s="1708" t="s">
        <v>1075</v>
      </c>
      <c r="AA93" s="3413"/>
      <c r="AB93" s="2861"/>
      <c r="AC93" s="2355"/>
      <c r="AD93" s="2861"/>
      <c r="AE93" s="2861"/>
      <c r="AF93" s="2861"/>
      <c r="AG93" s="2861"/>
      <c r="AH93" s="2861"/>
      <c r="AI93" s="2861"/>
      <c r="AJ93" s="2355"/>
      <c r="AK93" s="2355"/>
      <c r="AL93" s="2355"/>
      <c r="AM93" s="2355"/>
      <c r="AN93" s="2355"/>
      <c r="AO93" s="2861"/>
      <c r="AP93" s="2355"/>
      <c r="AQ93" s="3090"/>
      <c r="AR93" s="3090"/>
      <c r="AS93" s="2355"/>
    </row>
    <row r="94" spans="1:45" s="3" customFormat="1" ht="34.5" customHeight="1" x14ac:dyDescent="0.25">
      <c r="A94" s="2428"/>
      <c r="B94" s="2429"/>
      <c r="C94" s="1725"/>
      <c r="D94" s="1726"/>
      <c r="E94" s="3414"/>
      <c r="F94" s="3414"/>
      <c r="G94" s="3447"/>
      <c r="H94" s="3449"/>
      <c r="I94" s="3363"/>
      <c r="J94" s="3451"/>
      <c r="K94" s="2901"/>
      <c r="L94" s="3439"/>
      <c r="M94" s="3363"/>
      <c r="N94" s="3439"/>
      <c r="O94" s="3447"/>
      <c r="P94" s="3363"/>
      <c r="Q94" s="3439"/>
      <c r="R94" s="3453"/>
      <c r="S94" s="3441"/>
      <c r="T94" s="3443"/>
      <c r="U94" s="2145"/>
      <c r="V94" s="2146"/>
      <c r="W94" s="832">
        <v>12000000</v>
      </c>
      <c r="X94" s="76" t="s">
        <v>1269</v>
      </c>
      <c r="Y94" s="834">
        <v>20</v>
      </c>
      <c r="Z94" s="1708" t="s">
        <v>387</v>
      </c>
      <c r="AA94" s="3413"/>
      <c r="AB94" s="2861"/>
      <c r="AC94" s="2355"/>
      <c r="AD94" s="2861"/>
      <c r="AE94" s="2861"/>
      <c r="AF94" s="2861"/>
      <c r="AG94" s="2861"/>
      <c r="AH94" s="2861"/>
      <c r="AI94" s="2861"/>
      <c r="AJ94" s="2355"/>
      <c r="AK94" s="2355"/>
      <c r="AL94" s="2355"/>
      <c r="AM94" s="2355"/>
      <c r="AN94" s="2355"/>
      <c r="AO94" s="2861"/>
      <c r="AP94" s="2355"/>
      <c r="AQ94" s="3090"/>
      <c r="AR94" s="3090"/>
      <c r="AS94" s="2355"/>
    </row>
    <row r="95" spans="1:45" s="3" customFormat="1" ht="34.5" customHeight="1" x14ac:dyDescent="0.25">
      <c r="A95" s="2428"/>
      <c r="B95" s="2429"/>
      <c r="C95" s="1725"/>
      <c r="D95" s="1726"/>
      <c r="E95" s="3414"/>
      <c r="F95" s="3414"/>
      <c r="G95" s="3447"/>
      <c r="H95" s="3449"/>
      <c r="I95" s="3363"/>
      <c r="J95" s="3451"/>
      <c r="K95" s="2901"/>
      <c r="L95" s="3439"/>
      <c r="M95" s="3363"/>
      <c r="N95" s="3439"/>
      <c r="O95" s="3447"/>
      <c r="P95" s="3363"/>
      <c r="Q95" s="3439"/>
      <c r="R95" s="3453"/>
      <c r="S95" s="3441"/>
      <c r="T95" s="3443"/>
      <c r="U95" s="2145"/>
      <c r="V95" s="1718" t="s">
        <v>1126</v>
      </c>
      <c r="W95" s="832">
        <v>2000000</v>
      </c>
      <c r="X95" s="76" t="s">
        <v>1269</v>
      </c>
      <c r="Y95" s="834">
        <v>20</v>
      </c>
      <c r="Z95" s="1708" t="s">
        <v>387</v>
      </c>
      <c r="AA95" s="3413"/>
      <c r="AB95" s="2861"/>
      <c r="AC95" s="2355"/>
      <c r="AD95" s="2861"/>
      <c r="AE95" s="2861"/>
      <c r="AF95" s="2861"/>
      <c r="AG95" s="2861"/>
      <c r="AH95" s="2861"/>
      <c r="AI95" s="2861"/>
      <c r="AJ95" s="2355"/>
      <c r="AK95" s="2355"/>
      <c r="AL95" s="2355"/>
      <c r="AM95" s="2355"/>
      <c r="AN95" s="2355"/>
      <c r="AO95" s="2861"/>
      <c r="AP95" s="2355"/>
      <c r="AQ95" s="3090"/>
      <c r="AR95" s="3090"/>
      <c r="AS95" s="2355"/>
    </row>
    <row r="96" spans="1:45" s="3" customFormat="1" ht="42.75" customHeight="1" x14ac:dyDescent="0.25">
      <c r="A96" s="2428"/>
      <c r="B96" s="2429"/>
      <c r="C96" s="1725"/>
      <c r="D96" s="1726"/>
      <c r="E96" s="3414"/>
      <c r="F96" s="3414"/>
      <c r="G96" s="3447"/>
      <c r="H96" s="3449"/>
      <c r="I96" s="3363"/>
      <c r="J96" s="3451"/>
      <c r="K96" s="2901"/>
      <c r="L96" s="3439"/>
      <c r="M96" s="3363"/>
      <c r="N96" s="3439"/>
      <c r="O96" s="3447"/>
      <c r="P96" s="3363"/>
      <c r="Q96" s="3439"/>
      <c r="R96" s="3453"/>
      <c r="S96" s="3441"/>
      <c r="T96" s="3443"/>
      <c r="U96" s="2145"/>
      <c r="V96" s="2144" t="s">
        <v>1274</v>
      </c>
      <c r="W96" s="832">
        <v>80000</v>
      </c>
      <c r="X96" s="76" t="s">
        <v>1272</v>
      </c>
      <c r="Y96" s="834">
        <v>88</v>
      </c>
      <c r="Z96" s="1708" t="s">
        <v>1075</v>
      </c>
      <c r="AA96" s="3413"/>
      <c r="AB96" s="2861"/>
      <c r="AC96" s="2355"/>
      <c r="AD96" s="2861"/>
      <c r="AE96" s="2861"/>
      <c r="AF96" s="2861"/>
      <c r="AG96" s="2861"/>
      <c r="AH96" s="2861"/>
      <c r="AI96" s="2861"/>
      <c r="AJ96" s="2355"/>
      <c r="AK96" s="2355"/>
      <c r="AL96" s="2355"/>
      <c r="AM96" s="2355"/>
      <c r="AN96" s="2355"/>
      <c r="AO96" s="2861"/>
      <c r="AP96" s="2355"/>
      <c r="AQ96" s="3090"/>
      <c r="AR96" s="3090"/>
      <c r="AS96" s="2355"/>
    </row>
    <row r="97" spans="1:45" s="3" customFormat="1" ht="41.25" customHeight="1" x14ac:dyDescent="0.25">
      <c r="A97" s="2428"/>
      <c r="B97" s="2429"/>
      <c r="C97" s="1725"/>
      <c r="D97" s="1726"/>
      <c r="E97" s="3414"/>
      <c r="F97" s="3414"/>
      <c r="G97" s="3375"/>
      <c r="H97" s="3450"/>
      <c r="I97" s="3363"/>
      <c r="J97" s="3451"/>
      <c r="K97" s="2901"/>
      <c r="L97" s="3439"/>
      <c r="M97" s="3363"/>
      <c r="N97" s="3439"/>
      <c r="O97" s="3375"/>
      <c r="P97" s="3363"/>
      <c r="Q97" s="3439"/>
      <c r="R97" s="3454"/>
      <c r="S97" s="3442"/>
      <c r="T97" s="3443"/>
      <c r="U97" s="2145"/>
      <c r="V97" s="2146"/>
      <c r="W97" s="832">
        <v>4540000</v>
      </c>
      <c r="X97" s="76" t="s">
        <v>1269</v>
      </c>
      <c r="Y97" s="834">
        <v>20</v>
      </c>
      <c r="Z97" s="1708" t="s">
        <v>387</v>
      </c>
      <c r="AA97" s="3413"/>
      <c r="AB97" s="2861"/>
      <c r="AC97" s="2355"/>
      <c r="AD97" s="2861"/>
      <c r="AE97" s="2861"/>
      <c r="AF97" s="2861"/>
      <c r="AG97" s="2861"/>
      <c r="AH97" s="2861"/>
      <c r="AI97" s="2861"/>
      <c r="AJ97" s="2355"/>
      <c r="AK97" s="2355"/>
      <c r="AL97" s="2355"/>
      <c r="AM97" s="2355"/>
      <c r="AN97" s="2355"/>
      <c r="AO97" s="2861"/>
      <c r="AP97" s="2355"/>
      <c r="AQ97" s="3090"/>
      <c r="AR97" s="3090"/>
      <c r="AS97" s="2355"/>
    </row>
    <row r="98" spans="1:45" s="80" customFormat="1" ht="69" customHeight="1" x14ac:dyDescent="0.25">
      <c r="A98" s="2428"/>
      <c r="B98" s="2429"/>
      <c r="C98" s="1719"/>
      <c r="D98" s="1720"/>
      <c r="E98" s="3414"/>
      <c r="F98" s="3414"/>
      <c r="G98" s="2901">
        <v>4104026</v>
      </c>
      <c r="H98" s="3392" t="s">
        <v>1275</v>
      </c>
      <c r="I98" s="3416">
        <v>4104027</v>
      </c>
      <c r="J98" s="2893" t="s">
        <v>1276</v>
      </c>
      <c r="K98" s="3428" t="s">
        <v>62</v>
      </c>
      <c r="L98" s="2893" t="s">
        <v>1277</v>
      </c>
      <c r="M98" s="3428">
        <v>410402700</v>
      </c>
      <c r="N98" s="2893" t="s">
        <v>1278</v>
      </c>
      <c r="O98" s="3428">
        <v>12</v>
      </c>
      <c r="P98" s="2868" t="s">
        <v>1279</v>
      </c>
      <c r="Q98" s="2910" t="s">
        <v>1280</v>
      </c>
      <c r="R98" s="2902">
        <v>1</v>
      </c>
      <c r="S98" s="3438">
        <f>SUM(W98:W100)</f>
        <v>35000000</v>
      </c>
      <c r="T98" s="2897" t="s">
        <v>1281</v>
      </c>
      <c r="U98" s="3458" t="s">
        <v>1282</v>
      </c>
      <c r="V98" s="880" t="s">
        <v>1283</v>
      </c>
      <c r="W98" s="832">
        <v>28762098</v>
      </c>
      <c r="X98" s="76" t="s">
        <v>1284</v>
      </c>
      <c r="Y98" s="3444">
        <v>20</v>
      </c>
      <c r="Z98" s="2350" t="s">
        <v>387</v>
      </c>
      <c r="AA98" s="3389">
        <v>120</v>
      </c>
      <c r="AB98" s="3355">
        <v>180</v>
      </c>
      <c r="AC98" s="2879"/>
      <c r="AD98" s="2879"/>
      <c r="AE98" s="2879"/>
      <c r="AF98" s="2879"/>
      <c r="AG98" s="2879"/>
      <c r="AH98" s="2879"/>
      <c r="AI98" s="2879"/>
      <c r="AJ98" s="2879"/>
      <c r="AK98" s="2879"/>
      <c r="AL98" s="2879"/>
      <c r="AM98" s="2879"/>
      <c r="AN98" s="2879"/>
      <c r="AO98" s="2879"/>
      <c r="AP98" s="2879">
        <v>300</v>
      </c>
      <c r="AQ98" s="3374">
        <v>44197</v>
      </c>
      <c r="AR98" s="3374">
        <v>44561</v>
      </c>
      <c r="AS98" s="2879" t="s">
        <v>1206</v>
      </c>
    </row>
    <row r="99" spans="1:45" s="80" customFormat="1" ht="69" customHeight="1" x14ac:dyDescent="0.25">
      <c r="A99" s="2428"/>
      <c r="B99" s="2429"/>
      <c r="C99" s="1719"/>
      <c r="D99" s="1720"/>
      <c r="E99" s="3414"/>
      <c r="F99" s="3414"/>
      <c r="G99" s="2901"/>
      <c r="H99" s="3392"/>
      <c r="I99" s="3416"/>
      <c r="J99" s="2893"/>
      <c r="K99" s="3428"/>
      <c r="L99" s="2893"/>
      <c r="M99" s="3428"/>
      <c r="N99" s="2893"/>
      <c r="O99" s="3428"/>
      <c r="P99" s="2868"/>
      <c r="Q99" s="2910"/>
      <c r="R99" s="2902"/>
      <c r="S99" s="3438"/>
      <c r="T99" s="2897"/>
      <c r="U99" s="3458"/>
      <c r="V99" s="1735" t="s">
        <v>1126</v>
      </c>
      <c r="W99" s="832">
        <v>87902</v>
      </c>
      <c r="X99" s="76" t="s">
        <v>1284</v>
      </c>
      <c r="Y99" s="3444"/>
      <c r="Z99" s="2350"/>
      <c r="AA99" s="3389"/>
      <c r="AB99" s="3355"/>
      <c r="AC99" s="2879"/>
      <c r="AD99" s="2879"/>
      <c r="AE99" s="2879"/>
      <c r="AF99" s="2879"/>
      <c r="AG99" s="2879"/>
      <c r="AH99" s="2879"/>
      <c r="AI99" s="2879"/>
      <c r="AJ99" s="2879"/>
      <c r="AK99" s="2879"/>
      <c r="AL99" s="2879"/>
      <c r="AM99" s="2879"/>
      <c r="AN99" s="2879"/>
      <c r="AO99" s="2879"/>
      <c r="AP99" s="2879"/>
      <c r="AQ99" s="3374"/>
      <c r="AR99" s="3374"/>
      <c r="AS99" s="2879"/>
    </row>
    <row r="100" spans="1:45" s="80" customFormat="1" ht="52.5" customHeight="1" x14ac:dyDescent="0.25">
      <c r="A100" s="2428"/>
      <c r="B100" s="2429"/>
      <c r="C100" s="1719"/>
      <c r="D100" s="1720"/>
      <c r="E100" s="3414"/>
      <c r="F100" s="3414"/>
      <c r="G100" s="2901"/>
      <c r="H100" s="3392"/>
      <c r="I100" s="3393"/>
      <c r="J100" s="2897"/>
      <c r="K100" s="3394"/>
      <c r="L100" s="2897"/>
      <c r="M100" s="3394"/>
      <c r="N100" s="2897"/>
      <c r="O100" s="3394"/>
      <c r="P100" s="2901"/>
      <c r="Q100" s="3436"/>
      <c r="R100" s="2903"/>
      <c r="S100" s="3438"/>
      <c r="T100" s="2897"/>
      <c r="U100" s="3458"/>
      <c r="V100" s="1735" t="s">
        <v>1052</v>
      </c>
      <c r="W100" s="832">
        <v>6150000</v>
      </c>
      <c r="X100" s="76" t="s">
        <v>1285</v>
      </c>
      <c r="Y100" s="3359"/>
      <c r="Z100" s="2350"/>
      <c r="AA100" s="3389"/>
      <c r="AB100" s="3355"/>
      <c r="AC100" s="2879"/>
      <c r="AD100" s="2879"/>
      <c r="AE100" s="2879"/>
      <c r="AF100" s="2879"/>
      <c r="AG100" s="2879"/>
      <c r="AH100" s="2879"/>
      <c r="AI100" s="2879"/>
      <c r="AJ100" s="2879"/>
      <c r="AK100" s="2879"/>
      <c r="AL100" s="2879"/>
      <c r="AM100" s="2879"/>
      <c r="AN100" s="2879"/>
      <c r="AO100" s="2879"/>
      <c r="AP100" s="2879"/>
      <c r="AQ100" s="3374"/>
      <c r="AR100" s="3374"/>
      <c r="AS100" s="2879"/>
    </row>
    <row r="101" spans="1:45" s="80" customFormat="1" ht="68.25" customHeight="1" x14ac:dyDescent="0.25">
      <c r="A101" s="2428"/>
      <c r="B101" s="2429"/>
      <c r="C101" s="1719"/>
      <c r="D101" s="1720"/>
      <c r="E101" s="3414"/>
      <c r="F101" s="3414"/>
      <c r="G101" s="2901">
        <v>4104015</v>
      </c>
      <c r="H101" s="3415" t="s">
        <v>1286</v>
      </c>
      <c r="I101" s="2868">
        <v>4104015</v>
      </c>
      <c r="J101" s="3415" t="s">
        <v>1287</v>
      </c>
      <c r="K101" s="2868">
        <v>410401500</v>
      </c>
      <c r="L101" s="3455" t="s">
        <v>1288</v>
      </c>
      <c r="M101" s="2868">
        <v>410401500</v>
      </c>
      <c r="N101" s="3455" t="s">
        <v>1289</v>
      </c>
      <c r="O101" s="2868">
        <v>7500</v>
      </c>
      <c r="P101" s="2868" t="s">
        <v>1290</v>
      </c>
      <c r="Q101" s="2893" t="s">
        <v>1291</v>
      </c>
      <c r="R101" s="3462">
        <f>SUM(W101:W105)/S101</f>
        <v>4.8898739184447234E-3</v>
      </c>
      <c r="S101" s="2890">
        <f>SUM(W101:W143)</f>
        <v>4090085007.0099993</v>
      </c>
      <c r="T101" s="2897" t="s">
        <v>1292</v>
      </c>
      <c r="U101" s="3357" t="s">
        <v>1293</v>
      </c>
      <c r="V101" s="1801" t="s">
        <v>1294</v>
      </c>
      <c r="W101" s="837">
        <v>4000000</v>
      </c>
      <c r="X101" s="833" t="s">
        <v>1295</v>
      </c>
      <c r="Y101" s="3472">
        <v>20</v>
      </c>
      <c r="Z101" s="3067" t="s">
        <v>387</v>
      </c>
      <c r="AA101" s="3371">
        <v>3500</v>
      </c>
      <c r="AB101" s="2077">
        <v>4000</v>
      </c>
      <c r="AC101" s="2077" t="s">
        <v>294</v>
      </c>
      <c r="AD101" s="2077" t="s">
        <v>294</v>
      </c>
      <c r="AE101" s="2077" t="s">
        <v>294</v>
      </c>
      <c r="AF101" s="2077">
        <v>7500</v>
      </c>
      <c r="AG101" s="2861"/>
      <c r="AH101" s="2861"/>
      <c r="AI101" s="2861"/>
      <c r="AJ101" s="2861"/>
      <c r="AK101" s="2861"/>
      <c r="AL101" s="2861"/>
      <c r="AM101" s="3471"/>
      <c r="AN101" s="3471"/>
      <c r="AO101" s="3471"/>
      <c r="AP101" s="2861">
        <v>7500</v>
      </c>
      <c r="AQ101" s="3372">
        <v>44197</v>
      </c>
      <c r="AR101" s="3372">
        <v>44561</v>
      </c>
      <c r="AS101" s="2861" t="s">
        <v>1222</v>
      </c>
    </row>
    <row r="102" spans="1:45" s="80" customFormat="1" ht="38.25" customHeight="1" x14ac:dyDescent="0.25">
      <c r="A102" s="2428"/>
      <c r="B102" s="2429"/>
      <c r="C102" s="1719"/>
      <c r="D102" s="1720"/>
      <c r="E102" s="3414"/>
      <c r="F102" s="3414"/>
      <c r="G102" s="2901"/>
      <c r="H102" s="3392"/>
      <c r="I102" s="2901"/>
      <c r="J102" s="3392"/>
      <c r="K102" s="2901"/>
      <c r="L102" s="3456"/>
      <c r="M102" s="2901"/>
      <c r="N102" s="3456"/>
      <c r="O102" s="2901"/>
      <c r="P102" s="2901"/>
      <c r="Q102" s="2897"/>
      <c r="R102" s="3463"/>
      <c r="S102" s="2890"/>
      <c r="T102" s="2897"/>
      <c r="U102" s="3357"/>
      <c r="V102" s="1801" t="s">
        <v>1296</v>
      </c>
      <c r="W102" s="837">
        <v>1000000</v>
      </c>
      <c r="X102" s="833" t="s">
        <v>1295</v>
      </c>
      <c r="Y102" s="3473"/>
      <c r="Z102" s="3067"/>
      <c r="AA102" s="3371"/>
      <c r="AB102" s="2077"/>
      <c r="AC102" s="2077"/>
      <c r="AD102" s="2077"/>
      <c r="AE102" s="2077"/>
      <c r="AF102" s="2077"/>
      <c r="AG102" s="2861"/>
      <c r="AH102" s="2861"/>
      <c r="AI102" s="2861"/>
      <c r="AJ102" s="2861"/>
      <c r="AK102" s="2861"/>
      <c r="AL102" s="2861"/>
      <c r="AM102" s="3471"/>
      <c r="AN102" s="3471"/>
      <c r="AO102" s="3471"/>
      <c r="AP102" s="2861"/>
      <c r="AQ102" s="3372"/>
      <c r="AR102" s="3372"/>
      <c r="AS102" s="2861"/>
    </row>
    <row r="103" spans="1:45" s="80" customFormat="1" ht="58.5" customHeight="1" x14ac:dyDescent="0.25">
      <c r="A103" s="2428"/>
      <c r="B103" s="2429"/>
      <c r="C103" s="1719"/>
      <c r="D103" s="1720"/>
      <c r="E103" s="3414"/>
      <c r="F103" s="3414"/>
      <c r="G103" s="2901"/>
      <c r="H103" s="3392"/>
      <c r="I103" s="2901"/>
      <c r="J103" s="3392"/>
      <c r="K103" s="2901"/>
      <c r="L103" s="3456"/>
      <c r="M103" s="2901"/>
      <c r="N103" s="3456"/>
      <c r="O103" s="2901"/>
      <c r="P103" s="2901"/>
      <c r="Q103" s="2897"/>
      <c r="R103" s="3463"/>
      <c r="S103" s="2890"/>
      <c r="T103" s="2897"/>
      <c r="U103" s="3357"/>
      <c r="V103" s="1801" t="s">
        <v>1297</v>
      </c>
      <c r="W103" s="837">
        <v>10000000</v>
      </c>
      <c r="X103" s="833" t="s">
        <v>1295</v>
      </c>
      <c r="Y103" s="3473"/>
      <c r="Z103" s="3067"/>
      <c r="AA103" s="3371"/>
      <c r="AB103" s="2077"/>
      <c r="AC103" s="2077"/>
      <c r="AD103" s="2077"/>
      <c r="AE103" s="2077"/>
      <c r="AF103" s="2077"/>
      <c r="AG103" s="2861"/>
      <c r="AH103" s="2861"/>
      <c r="AI103" s="2861"/>
      <c r="AJ103" s="2861"/>
      <c r="AK103" s="2861"/>
      <c r="AL103" s="2861"/>
      <c r="AM103" s="3471"/>
      <c r="AN103" s="3471"/>
      <c r="AO103" s="3471"/>
      <c r="AP103" s="2861"/>
      <c r="AQ103" s="3372"/>
      <c r="AR103" s="3372"/>
      <c r="AS103" s="2861"/>
    </row>
    <row r="104" spans="1:45" s="80" customFormat="1" ht="69.75" customHeight="1" x14ac:dyDescent="0.25">
      <c r="A104" s="2428"/>
      <c r="B104" s="2429"/>
      <c r="C104" s="1719"/>
      <c r="D104" s="1720"/>
      <c r="E104" s="3414"/>
      <c r="F104" s="3414"/>
      <c r="G104" s="2901"/>
      <c r="H104" s="3392"/>
      <c r="I104" s="2901"/>
      <c r="J104" s="3392"/>
      <c r="K104" s="2901"/>
      <c r="L104" s="3456"/>
      <c r="M104" s="2901"/>
      <c r="N104" s="3456"/>
      <c r="O104" s="2901"/>
      <c r="P104" s="2901"/>
      <c r="Q104" s="2897"/>
      <c r="R104" s="3463"/>
      <c r="S104" s="2890"/>
      <c r="T104" s="2897"/>
      <c r="U104" s="3357"/>
      <c r="V104" s="1801" t="s">
        <v>1298</v>
      </c>
      <c r="W104" s="837">
        <v>4000000</v>
      </c>
      <c r="X104" s="833" t="s">
        <v>1295</v>
      </c>
      <c r="Y104" s="3473"/>
      <c r="Z104" s="3067"/>
      <c r="AA104" s="3371"/>
      <c r="AB104" s="2077"/>
      <c r="AC104" s="2077"/>
      <c r="AD104" s="2077"/>
      <c r="AE104" s="2077"/>
      <c r="AF104" s="2077"/>
      <c r="AG104" s="2861"/>
      <c r="AH104" s="2861"/>
      <c r="AI104" s="2861"/>
      <c r="AJ104" s="2861"/>
      <c r="AK104" s="2861"/>
      <c r="AL104" s="2861"/>
      <c r="AM104" s="3471"/>
      <c r="AN104" s="3471"/>
      <c r="AO104" s="3471"/>
      <c r="AP104" s="2861"/>
      <c r="AQ104" s="3372"/>
      <c r="AR104" s="3372"/>
      <c r="AS104" s="2861"/>
    </row>
    <row r="105" spans="1:45" s="80" customFormat="1" ht="36" customHeight="1" x14ac:dyDescent="0.25">
      <c r="A105" s="2428"/>
      <c r="B105" s="2429"/>
      <c r="C105" s="1719"/>
      <c r="D105" s="1720"/>
      <c r="E105" s="3414"/>
      <c r="F105" s="3414"/>
      <c r="G105" s="2901"/>
      <c r="H105" s="3392"/>
      <c r="I105" s="2901"/>
      <c r="J105" s="2929"/>
      <c r="K105" s="2866"/>
      <c r="L105" s="3457"/>
      <c r="M105" s="2866"/>
      <c r="N105" s="3457"/>
      <c r="O105" s="2901"/>
      <c r="P105" s="2901"/>
      <c r="Q105" s="2897"/>
      <c r="R105" s="3463"/>
      <c r="S105" s="2890"/>
      <c r="T105" s="2897"/>
      <c r="U105" s="3357"/>
      <c r="V105" s="1801" t="s">
        <v>1299</v>
      </c>
      <c r="W105" s="837">
        <v>1000000</v>
      </c>
      <c r="X105" s="833" t="s">
        <v>1300</v>
      </c>
      <c r="Y105" s="3474"/>
      <c r="Z105" s="3067"/>
      <c r="AA105" s="3371"/>
      <c r="AB105" s="2077"/>
      <c r="AC105" s="2077"/>
      <c r="AD105" s="2077"/>
      <c r="AE105" s="2077"/>
      <c r="AF105" s="2077"/>
      <c r="AG105" s="2861"/>
      <c r="AH105" s="2861"/>
      <c r="AI105" s="2861"/>
      <c r="AJ105" s="2861"/>
      <c r="AK105" s="2861"/>
      <c r="AL105" s="2861"/>
      <c r="AM105" s="3471"/>
      <c r="AN105" s="3471"/>
      <c r="AO105" s="3471"/>
      <c r="AP105" s="2861"/>
      <c r="AQ105" s="3372"/>
      <c r="AR105" s="3372"/>
      <c r="AS105" s="2861"/>
    </row>
    <row r="106" spans="1:45" s="80" customFormat="1" ht="36" customHeight="1" x14ac:dyDescent="0.25">
      <c r="A106" s="2428"/>
      <c r="B106" s="2429"/>
      <c r="C106" s="1719"/>
      <c r="D106" s="1720"/>
      <c r="E106" s="3414"/>
      <c r="F106" s="3414"/>
      <c r="G106" s="2901" t="s">
        <v>62</v>
      </c>
      <c r="H106" s="3407" t="s">
        <v>1301</v>
      </c>
      <c r="I106" s="3417">
        <v>4104008</v>
      </c>
      <c r="J106" s="2320" t="s">
        <v>1302</v>
      </c>
      <c r="K106" s="3099" t="s">
        <v>62</v>
      </c>
      <c r="L106" s="2320" t="s">
        <v>1303</v>
      </c>
      <c r="M106" s="3049">
        <v>410400800</v>
      </c>
      <c r="N106" s="3407" t="s">
        <v>1304</v>
      </c>
      <c r="O106" s="3464">
        <v>12</v>
      </c>
      <c r="P106" s="2901"/>
      <c r="Q106" s="2897"/>
      <c r="R106" s="3467">
        <f>SUM(W106:W143)/S101</f>
        <v>0.99511012608155525</v>
      </c>
      <c r="S106" s="2890"/>
      <c r="T106" s="2897"/>
      <c r="U106" s="3357"/>
      <c r="V106" s="3459" t="s">
        <v>1305</v>
      </c>
      <c r="W106" s="881">
        <f>56207020.87</f>
        <v>56207020.869999997</v>
      </c>
      <c r="X106" s="835" t="s">
        <v>1306</v>
      </c>
      <c r="Y106" s="882">
        <v>6</v>
      </c>
      <c r="Z106" s="883" t="s">
        <v>1307</v>
      </c>
      <c r="AA106" s="3371"/>
      <c r="AB106" s="2077"/>
      <c r="AC106" s="2077"/>
      <c r="AD106" s="2077"/>
      <c r="AE106" s="2077"/>
      <c r="AF106" s="2077"/>
      <c r="AG106" s="2861"/>
      <c r="AH106" s="2861"/>
      <c r="AI106" s="2861"/>
      <c r="AJ106" s="2861"/>
      <c r="AK106" s="2861"/>
      <c r="AL106" s="2861"/>
      <c r="AM106" s="3471"/>
      <c r="AN106" s="3471"/>
      <c r="AO106" s="3471"/>
      <c r="AP106" s="2861"/>
      <c r="AQ106" s="3372"/>
      <c r="AR106" s="3372"/>
      <c r="AS106" s="2861"/>
    </row>
    <row r="107" spans="1:45" s="80" customFormat="1" ht="36" customHeight="1" x14ac:dyDescent="0.25">
      <c r="A107" s="2428"/>
      <c r="B107" s="2429"/>
      <c r="C107" s="1719"/>
      <c r="D107" s="1720"/>
      <c r="E107" s="3414"/>
      <c r="F107" s="3414"/>
      <c r="G107" s="2901"/>
      <c r="H107" s="3369"/>
      <c r="I107" s="3476"/>
      <c r="J107" s="2321"/>
      <c r="K107" s="3470"/>
      <c r="L107" s="2321"/>
      <c r="M107" s="3050"/>
      <c r="N107" s="3369"/>
      <c r="O107" s="3465"/>
      <c r="P107" s="2901"/>
      <c r="Q107" s="2897"/>
      <c r="R107" s="3468"/>
      <c r="S107" s="2890"/>
      <c r="T107" s="2897"/>
      <c r="U107" s="3357"/>
      <c r="V107" s="3460"/>
      <c r="W107" s="881">
        <v>8567750.0500000007</v>
      </c>
      <c r="X107" s="835" t="s">
        <v>1308</v>
      </c>
      <c r="Y107" s="885">
        <v>84</v>
      </c>
      <c r="Z107" s="883" t="s">
        <v>1309</v>
      </c>
      <c r="AA107" s="3371"/>
      <c r="AB107" s="2077"/>
      <c r="AC107" s="2077"/>
      <c r="AD107" s="2077"/>
      <c r="AE107" s="2077"/>
      <c r="AF107" s="2077"/>
      <c r="AG107" s="2861"/>
      <c r="AH107" s="2861"/>
      <c r="AI107" s="2861"/>
      <c r="AJ107" s="2861"/>
      <c r="AK107" s="2861"/>
      <c r="AL107" s="2861"/>
      <c r="AM107" s="3471"/>
      <c r="AN107" s="3471"/>
      <c r="AO107" s="3471"/>
      <c r="AP107" s="2861"/>
      <c r="AQ107" s="3372"/>
      <c r="AR107" s="3372"/>
      <c r="AS107" s="2861"/>
    </row>
    <row r="108" spans="1:45" s="80" customFormat="1" ht="36" customHeight="1" x14ac:dyDescent="0.25">
      <c r="A108" s="2428"/>
      <c r="B108" s="2429"/>
      <c r="C108" s="1719"/>
      <c r="D108" s="1720"/>
      <c r="E108" s="3414"/>
      <c r="F108" s="3414"/>
      <c r="G108" s="2901"/>
      <c r="H108" s="3369"/>
      <c r="I108" s="3476"/>
      <c r="J108" s="2321"/>
      <c r="K108" s="3470"/>
      <c r="L108" s="2321"/>
      <c r="M108" s="3050"/>
      <c r="N108" s="3369"/>
      <c r="O108" s="3465"/>
      <c r="P108" s="2901"/>
      <c r="Q108" s="2897"/>
      <c r="R108" s="3468"/>
      <c r="S108" s="2890"/>
      <c r="T108" s="2897"/>
      <c r="U108" s="3357"/>
      <c r="V108" s="3460"/>
      <c r="W108" s="857">
        <v>352625342.08999997</v>
      </c>
      <c r="X108" s="835" t="s">
        <v>1310</v>
      </c>
      <c r="Y108" s="882">
        <v>6</v>
      </c>
      <c r="Z108" s="883" t="s">
        <v>1307</v>
      </c>
      <c r="AA108" s="3371"/>
      <c r="AB108" s="2077"/>
      <c r="AC108" s="2077"/>
      <c r="AD108" s="2077"/>
      <c r="AE108" s="2077"/>
      <c r="AF108" s="2077"/>
      <c r="AG108" s="2861"/>
      <c r="AH108" s="2861"/>
      <c r="AI108" s="2861"/>
      <c r="AJ108" s="2861"/>
      <c r="AK108" s="2861"/>
      <c r="AL108" s="2861"/>
      <c r="AM108" s="3471"/>
      <c r="AN108" s="3471"/>
      <c r="AO108" s="3471"/>
      <c r="AP108" s="2861"/>
      <c r="AQ108" s="3372"/>
      <c r="AR108" s="3372"/>
      <c r="AS108" s="2861"/>
    </row>
    <row r="109" spans="1:45" s="80" customFormat="1" ht="36" customHeight="1" x14ac:dyDescent="0.25">
      <c r="A109" s="2428"/>
      <c r="B109" s="2429"/>
      <c r="C109" s="1719"/>
      <c r="D109" s="1720"/>
      <c r="E109" s="3414"/>
      <c r="F109" s="3414"/>
      <c r="G109" s="2901"/>
      <c r="H109" s="3369"/>
      <c r="I109" s="3476"/>
      <c r="J109" s="2321"/>
      <c r="K109" s="3470"/>
      <c r="L109" s="2321"/>
      <c r="M109" s="3050"/>
      <c r="N109" s="3369"/>
      <c r="O109" s="3465"/>
      <c r="P109" s="2901"/>
      <c r="Q109" s="2897"/>
      <c r="R109" s="3468"/>
      <c r="S109" s="2890"/>
      <c r="T109" s="2897"/>
      <c r="U109" s="3357"/>
      <c r="V109" s="3460"/>
      <c r="W109" s="857">
        <f>55552185.73+0.05</f>
        <v>55552185.779999994</v>
      </c>
      <c r="X109" s="835" t="s">
        <v>1311</v>
      </c>
      <c r="Y109" s="885">
        <v>84</v>
      </c>
      <c r="Z109" s="883" t="s">
        <v>1309</v>
      </c>
      <c r="AA109" s="3371"/>
      <c r="AB109" s="2077"/>
      <c r="AC109" s="2077"/>
      <c r="AD109" s="2077"/>
      <c r="AE109" s="2077"/>
      <c r="AF109" s="2077"/>
      <c r="AG109" s="2861"/>
      <c r="AH109" s="2861"/>
      <c r="AI109" s="2861"/>
      <c r="AJ109" s="2861"/>
      <c r="AK109" s="2861"/>
      <c r="AL109" s="2861"/>
      <c r="AM109" s="3471"/>
      <c r="AN109" s="3471"/>
      <c r="AO109" s="3471"/>
      <c r="AP109" s="2861"/>
      <c r="AQ109" s="3372"/>
      <c r="AR109" s="3372"/>
      <c r="AS109" s="2861"/>
    </row>
    <row r="110" spans="1:45" s="80" customFormat="1" ht="36" customHeight="1" x14ac:dyDescent="0.25">
      <c r="A110" s="2428"/>
      <c r="B110" s="2429"/>
      <c r="C110" s="1719"/>
      <c r="D110" s="1720"/>
      <c r="E110" s="3414"/>
      <c r="F110" s="3414"/>
      <c r="G110" s="2901"/>
      <c r="H110" s="3369"/>
      <c r="I110" s="3476"/>
      <c r="J110" s="2321"/>
      <c r="K110" s="3470"/>
      <c r="L110" s="2321"/>
      <c r="M110" s="3050"/>
      <c r="N110" s="3369"/>
      <c r="O110" s="3465"/>
      <c r="P110" s="2901"/>
      <c r="Q110" s="2897"/>
      <c r="R110" s="3468"/>
      <c r="S110" s="2890"/>
      <c r="T110" s="2897"/>
      <c r="U110" s="3357"/>
      <c r="V110" s="3460"/>
      <c r="W110" s="857">
        <v>28690491.449999999</v>
      </c>
      <c r="X110" s="835" t="s">
        <v>1312</v>
      </c>
      <c r="Y110" s="882">
        <v>6</v>
      </c>
      <c r="Z110" s="883" t="s">
        <v>1307</v>
      </c>
      <c r="AA110" s="3371"/>
      <c r="AB110" s="2077"/>
      <c r="AC110" s="2077"/>
      <c r="AD110" s="2077"/>
      <c r="AE110" s="2077"/>
      <c r="AF110" s="2077"/>
      <c r="AG110" s="2861"/>
      <c r="AH110" s="2861"/>
      <c r="AI110" s="2861"/>
      <c r="AJ110" s="2861"/>
      <c r="AK110" s="2861"/>
      <c r="AL110" s="2861"/>
      <c r="AM110" s="3471"/>
      <c r="AN110" s="3471"/>
      <c r="AO110" s="3471"/>
      <c r="AP110" s="2861"/>
      <c r="AQ110" s="3372"/>
      <c r="AR110" s="3372"/>
      <c r="AS110" s="2861"/>
    </row>
    <row r="111" spans="1:45" s="80" customFormat="1" ht="36" customHeight="1" x14ac:dyDescent="0.25">
      <c r="A111" s="2428"/>
      <c r="B111" s="2429"/>
      <c r="C111" s="1719"/>
      <c r="D111" s="1720"/>
      <c r="E111" s="3414"/>
      <c r="F111" s="3414"/>
      <c r="G111" s="2901"/>
      <c r="H111" s="3369"/>
      <c r="I111" s="3476"/>
      <c r="J111" s="2321"/>
      <c r="K111" s="3470"/>
      <c r="L111" s="2321"/>
      <c r="M111" s="3050"/>
      <c r="N111" s="3369"/>
      <c r="O111" s="3465"/>
      <c r="P111" s="2901"/>
      <c r="Q111" s="2897"/>
      <c r="R111" s="3468"/>
      <c r="S111" s="2890"/>
      <c r="T111" s="2897"/>
      <c r="U111" s="3357"/>
      <c r="V111" s="3460"/>
      <c r="W111" s="857">
        <v>4422064.54</v>
      </c>
      <c r="X111" s="835" t="s">
        <v>1313</v>
      </c>
      <c r="Y111" s="885">
        <v>84</v>
      </c>
      <c r="Z111" s="883" t="s">
        <v>1309</v>
      </c>
      <c r="AA111" s="3371"/>
      <c r="AB111" s="2077"/>
      <c r="AC111" s="2077"/>
      <c r="AD111" s="2077"/>
      <c r="AE111" s="2077"/>
      <c r="AF111" s="2077"/>
      <c r="AG111" s="2861"/>
      <c r="AH111" s="2861"/>
      <c r="AI111" s="2861"/>
      <c r="AJ111" s="2861"/>
      <c r="AK111" s="2861"/>
      <c r="AL111" s="2861"/>
      <c r="AM111" s="3471"/>
      <c r="AN111" s="3471"/>
      <c r="AO111" s="3471"/>
      <c r="AP111" s="2861"/>
      <c r="AQ111" s="3372"/>
      <c r="AR111" s="3372"/>
      <c r="AS111" s="2861"/>
    </row>
    <row r="112" spans="1:45" s="80" customFormat="1" ht="36" customHeight="1" x14ac:dyDescent="0.25">
      <c r="A112" s="2428"/>
      <c r="B112" s="2429"/>
      <c r="C112" s="1719"/>
      <c r="D112" s="1720"/>
      <c r="E112" s="3414"/>
      <c r="F112" s="3414"/>
      <c r="G112" s="2901"/>
      <c r="H112" s="3369"/>
      <c r="I112" s="3476"/>
      <c r="J112" s="2321"/>
      <c r="K112" s="3470"/>
      <c r="L112" s="2321"/>
      <c r="M112" s="3050"/>
      <c r="N112" s="3369"/>
      <c r="O112" s="3465"/>
      <c r="P112" s="2901"/>
      <c r="Q112" s="2897"/>
      <c r="R112" s="3468"/>
      <c r="S112" s="2890"/>
      <c r="T112" s="2897"/>
      <c r="U112" s="3357"/>
      <c r="V112" s="3460"/>
      <c r="W112" s="857">
        <f>75779173.57</f>
        <v>75779173.569999993</v>
      </c>
      <c r="X112" s="835" t="s">
        <v>1314</v>
      </c>
      <c r="Y112" s="882">
        <v>6</v>
      </c>
      <c r="Z112" s="883" t="s">
        <v>1307</v>
      </c>
      <c r="AA112" s="3371"/>
      <c r="AB112" s="2077"/>
      <c r="AC112" s="2077"/>
      <c r="AD112" s="2077"/>
      <c r="AE112" s="2077"/>
      <c r="AF112" s="2077"/>
      <c r="AG112" s="2861"/>
      <c r="AH112" s="2861"/>
      <c r="AI112" s="2861"/>
      <c r="AJ112" s="2861"/>
      <c r="AK112" s="2861"/>
      <c r="AL112" s="2861"/>
      <c r="AM112" s="3471"/>
      <c r="AN112" s="3471"/>
      <c r="AO112" s="3471"/>
      <c r="AP112" s="2861"/>
      <c r="AQ112" s="3372"/>
      <c r="AR112" s="3372"/>
      <c r="AS112" s="2861"/>
    </row>
    <row r="113" spans="1:45" s="80" customFormat="1" ht="36" customHeight="1" x14ac:dyDescent="0.25">
      <c r="A113" s="2428"/>
      <c r="B113" s="2429"/>
      <c r="C113" s="1719"/>
      <c r="D113" s="1720"/>
      <c r="E113" s="3414"/>
      <c r="F113" s="3414"/>
      <c r="G113" s="2901"/>
      <c r="H113" s="3369"/>
      <c r="I113" s="3476"/>
      <c r="J113" s="2321"/>
      <c r="K113" s="3470"/>
      <c r="L113" s="2321"/>
      <c r="M113" s="3050"/>
      <c r="N113" s="3369"/>
      <c r="O113" s="3465"/>
      <c r="P113" s="2901"/>
      <c r="Q113" s="2897"/>
      <c r="R113" s="3468"/>
      <c r="S113" s="2890"/>
      <c r="T113" s="2897"/>
      <c r="U113" s="3357"/>
      <c r="V113" s="3460"/>
      <c r="W113" s="857">
        <v>11607919.42</v>
      </c>
      <c r="X113" s="835" t="s">
        <v>1315</v>
      </c>
      <c r="Y113" s="885">
        <v>84</v>
      </c>
      <c r="Z113" s="883" t="s">
        <v>1309</v>
      </c>
      <c r="AA113" s="3371"/>
      <c r="AB113" s="2077"/>
      <c r="AC113" s="2077"/>
      <c r="AD113" s="2077"/>
      <c r="AE113" s="2077"/>
      <c r="AF113" s="2077"/>
      <c r="AG113" s="2861"/>
      <c r="AH113" s="2861"/>
      <c r="AI113" s="2861"/>
      <c r="AJ113" s="2861"/>
      <c r="AK113" s="2861"/>
      <c r="AL113" s="2861"/>
      <c r="AM113" s="3471"/>
      <c r="AN113" s="3471"/>
      <c r="AO113" s="3471"/>
      <c r="AP113" s="2861"/>
      <c r="AQ113" s="3372"/>
      <c r="AR113" s="3372"/>
      <c r="AS113" s="2861"/>
    </row>
    <row r="114" spans="1:45" s="80" customFormat="1" ht="36" customHeight="1" x14ac:dyDescent="0.25">
      <c r="A114" s="2428"/>
      <c r="B114" s="2429"/>
      <c r="C114" s="1719"/>
      <c r="D114" s="1720"/>
      <c r="E114" s="3414"/>
      <c r="F114" s="3414"/>
      <c r="G114" s="2901"/>
      <c r="H114" s="3369"/>
      <c r="I114" s="3476"/>
      <c r="J114" s="2321"/>
      <c r="K114" s="3470"/>
      <c r="L114" s="2321"/>
      <c r="M114" s="3050"/>
      <c r="N114" s="3369"/>
      <c r="O114" s="3465"/>
      <c r="P114" s="2901"/>
      <c r="Q114" s="2897"/>
      <c r="R114" s="3468"/>
      <c r="S114" s="2890"/>
      <c r="T114" s="2897"/>
      <c r="U114" s="3357"/>
      <c r="V114" s="3460"/>
      <c r="W114" s="857">
        <v>23311024.300000001</v>
      </c>
      <c r="X114" s="835" t="s">
        <v>1316</v>
      </c>
      <c r="Y114" s="882">
        <v>6</v>
      </c>
      <c r="Z114" s="883" t="s">
        <v>1307</v>
      </c>
      <c r="AA114" s="3371"/>
      <c r="AB114" s="2077"/>
      <c r="AC114" s="2077"/>
      <c r="AD114" s="2077"/>
      <c r="AE114" s="2077"/>
      <c r="AF114" s="2077"/>
      <c r="AG114" s="2861"/>
      <c r="AH114" s="2861"/>
      <c r="AI114" s="2861"/>
      <c r="AJ114" s="2861"/>
      <c r="AK114" s="2861"/>
      <c r="AL114" s="2861"/>
      <c r="AM114" s="3471"/>
      <c r="AN114" s="3471"/>
      <c r="AO114" s="3471"/>
      <c r="AP114" s="2861"/>
      <c r="AQ114" s="3372"/>
      <c r="AR114" s="3372"/>
      <c r="AS114" s="2861"/>
    </row>
    <row r="115" spans="1:45" s="80" customFormat="1" ht="36" customHeight="1" x14ac:dyDescent="0.25">
      <c r="A115" s="2428"/>
      <c r="B115" s="2429"/>
      <c r="C115" s="1719"/>
      <c r="D115" s="1720"/>
      <c r="E115" s="3414"/>
      <c r="F115" s="3414"/>
      <c r="G115" s="2901"/>
      <c r="H115" s="3369"/>
      <c r="I115" s="3476"/>
      <c r="J115" s="2321"/>
      <c r="K115" s="3470"/>
      <c r="L115" s="2321"/>
      <c r="M115" s="3050"/>
      <c r="N115" s="3369"/>
      <c r="O115" s="3465"/>
      <c r="P115" s="2901"/>
      <c r="Q115" s="2897"/>
      <c r="R115" s="3468"/>
      <c r="S115" s="2890"/>
      <c r="T115" s="2897"/>
      <c r="U115" s="3357"/>
      <c r="V115" s="3460"/>
      <c r="W115" s="857">
        <v>3592927.44</v>
      </c>
      <c r="X115" s="835" t="s">
        <v>1317</v>
      </c>
      <c r="Y115" s="885">
        <v>84</v>
      </c>
      <c r="Z115" s="883" t="s">
        <v>1309</v>
      </c>
      <c r="AA115" s="3371"/>
      <c r="AB115" s="2077"/>
      <c r="AC115" s="2077"/>
      <c r="AD115" s="2077"/>
      <c r="AE115" s="2077"/>
      <c r="AF115" s="2077"/>
      <c r="AG115" s="2861"/>
      <c r="AH115" s="2861"/>
      <c r="AI115" s="2861"/>
      <c r="AJ115" s="2861"/>
      <c r="AK115" s="2861"/>
      <c r="AL115" s="2861"/>
      <c r="AM115" s="3471"/>
      <c r="AN115" s="3471"/>
      <c r="AO115" s="3471"/>
      <c r="AP115" s="2861"/>
      <c r="AQ115" s="3372"/>
      <c r="AR115" s="3372"/>
      <c r="AS115" s="2861"/>
    </row>
    <row r="116" spans="1:45" s="80" customFormat="1" ht="36" customHeight="1" x14ac:dyDescent="0.25">
      <c r="A116" s="2428"/>
      <c r="B116" s="2429"/>
      <c r="C116" s="1719"/>
      <c r="D116" s="1720"/>
      <c r="E116" s="3414"/>
      <c r="F116" s="3414"/>
      <c r="G116" s="2901"/>
      <c r="H116" s="3369"/>
      <c r="I116" s="3476"/>
      <c r="J116" s="2321"/>
      <c r="K116" s="3470"/>
      <c r="L116" s="2321"/>
      <c r="M116" s="3050"/>
      <c r="N116" s="3369"/>
      <c r="O116" s="3465"/>
      <c r="P116" s="2901"/>
      <c r="Q116" s="2897"/>
      <c r="R116" s="3468"/>
      <c r="S116" s="2890"/>
      <c r="T116" s="2897"/>
      <c r="U116" s="3357"/>
      <c r="V116" s="3460"/>
      <c r="W116" s="857">
        <v>162290857.18000001</v>
      </c>
      <c r="X116" s="835" t="s">
        <v>1318</v>
      </c>
      <c r="Y116" s="882">
        <v>6</v>
      </c>
      <c r="Z116" s="883" t="s">
        <v>1307</v>
      </c>
      <c r="AA116" s="3371"/>
      <c r="AB116" s="2077"/>
      <c r="AC116" s="2077"/>
      <c r="AD116" s="2077"/>
      <c r="AE116" s="2077"/>
      <c r="AF116" s="2077"/>
      <c r="AG116" s="2861"/>
      <c r="AH116" s="2861"/>
      <c r="AI116" s="2861"/>
      <c r="AJ116" s="2861"/>
      <c r="AK116" s="2861"/>
      <c r="AL116" s="2861"/>
      <c r="AM116" s="3471"/>
      <c r="AN116" s="3471"/>
      <c r="AO116" s="3471"/>
      <c r="AP116" s="2861"/>
      <c r="AQ116" s="3372"/>
      <c r="AR116" s="3372"/>
      <c r="AS116" s="2861"/>
    </row>
    <row r="117" spans="1:45" s="80" customFormat="1" ht="36" customHeight="1" x14ac:dyDescent="0.25">
      <c r="A117" s="2428"/>
      <c r="B117" s="2429"/>
      <c r="C117" s="1719"/>
      <c r="D117" s="1720"/>
      <c r="E117" s="3414"/>
      <c r="F117" s="3414"/>
      <c r="G117" s="2901"/>
      <c r="H117" s="3369"/>
      <c r="I117" s="3476"/>
      <c r="J117" s="2321"/>
      <c r="K117" s="3470"/>
      <c r="L117" s="2321"/>
      <c r="M117" s="3050"/>
      <c r="N117" s="3369"/>
      <c r="O117" s="3465"/>
      <c r="P117" s="2901"/>
      <c r="Q117" s="2897"/>
      <c r="R117" s="3468"/>
      <c r="S117" s="2890"/>
      <c r="T117" s="2897"/>
      <c r="U117" s="3357"/>
      <c r="V117" s="3460"/>
      <c r="W117" s="857">
        <v>24874113.039999999</v>
      </c>
      <c r="X117" s="835" t="s">
        <v>1319</v>
      </c>
      <c r="Y117" s="885">
        <v>84</v>
      </c>
      <c r="Z117" s="883" t="s">
        <v>1309</v>
      </c>
      <c r="AA117" s="3371"/>
      <c r="AB117" s="2077"/>
      <c r="AC117" s="2077"/>
      <c r="AD117" s="2077"/>
      <c r="AE117" s="2077"/>
      <c r="AF117" s="2077"/>
      <c r="AG117" s="2861"/>
      <c r="AH117" s="2861"/>
      <c r="AI117" s="2861"/>
      <c r="AJ117" s="2861"/>
      <c r="AK117" s="2861"/>
      <c r="AL117" s="2861"/>
      <c r="AM117" s="3471"/>
      <c r="AN117" s="3471"/>
      <c r="AO117" s="3471"/>
      <c r="AP117" s="2861"/>
      <c r="AQ117" s="3372"/>
      <c r="AR117" s="3372"/>
      <c r="AS117" s="2861"/>
    </row>
    <row r="118" spans="1:45" s="80" customFormat="1" ht="36" customHeight="1" x14ac:dyDescent="0.25">
      <c r="A118" s="2428"/>
      <c r="B118" s="2429"/>
      <c r="C118" s="1719"/>
      <c r="D118" s="1720"/>
      <c r="E118" s="3414"/>
      <c r="F118" s="3414"/>
      <c r="G118" s="2901"/>
      <c r="H118" s="3369"/>
      <c r="I118" s="3476"/>
      <c r="J118" s="2321"/>
      <c r="K118" s="3470"/>
      <c r="L118" s="2321"/>
      <c r="M118" s="3050"/>
      <c r="N118" s="3369"/>
      <c r="O118" s="3465"/>
      <c r="P118" s="2901"/>
      <c r="Q118" s="2897"/>
      <c r="R118" s="3468"/>
      <c r="S118" s="2890"/>
      <c r="T118" s="2897"/>
      <c r="U118" s="3357"/>
      <c r="V118" s="3460"/>
      <c r="W118" s="857">
        <v>117569276.95</v>
      </c>
      <c r="X118" s="835" t="s">
        <v>1320</v>
      </c>
      <c r="Y118" s="882">
        <v>6</v>
      </c>
      <c r="Z118" s="883" t="s">
        <v>1307</v>
      </c>
      <c r="AA118" s="3371"/>
      <c r="AB118" s="2077"/>
      <c r="AC118" s="2077"/>
      <c r="AD118" s="2077"/>
      <c r="AE118" s="2077"/>
      <c r="AF118" s="2077"/>
      <c r="AG118" s="2861"/>
      <c r="AH118" s="2861"/>
      <c r="AI118" s="2861"/>
      <c r="AJ118" s="2861"/>
      <c r="AK118" s="2861"/>
      <c r="AL118" s="2861"/>
      <c r="AM118" s="3471"/>
      <c r="AN118" s="3471"/>
      <c r="AO118" s="3471"/>
      <c r="AP118" s="2861"/>
      <c r="AQ118" s="3372"/>
      <c r="AR118" s="3372"/>
      <c r="AS118" s="2861"/>
    </row>
    <row r="119" spans="1:45" s="80" customFormat="1" ht="36" customHeight="1" x14ac:dyDescent="0.25">
      <c r="A119" s="2428"/>
      <c r="B119" s="2429"/>
      <c r="C119" s="1719"/>
      <c r="D119" s="1720"/>
      <c r="E119" s="3414"/>
      <c r="F119" s="3414"/>
      <c r="G119" s="2901"/>
      <c r="H119" s="3369"/>
      <c r="I119" s="3476"/>
      <c r="J119" s="2321"/>
      <c r="K119" s="3470"/>
      <c r="L119" s="2321"/>
      <c r="M119" s="3050"/>
      <c r="N119" s="3369"/>
      <c r="O119" s="3465"/>
      <c r="P119" s="2901"/>
      <c r="Q119" s="2897"/>
      <c r="R119" s="3468"/>
      <c r="S119" s="2890"/>
      <c r="T119" s="2897"/>
      <c r="U119" s="3357"/>
      <c r="V119" s="3460"/>
      <c r="W119" s="857">
        <v>17964637.190000001</v>
      </c>
      <c r="X119" s="835" t="s">
        <v>1321</v>
      </c>
      <c r="Y119" s="885">
        <v>84</v>
      </c>
      <c r="Z119" s="883" t="s">
        <v>1309</v>
      </c>
      <c r="AA119" s="3371"/>
      <c r="AB119" s="2077"/>
      <c r="AC119" s="2077"/>
      <c r="AD119" s="2077"/>
      <c r="AE119" s="2077"/>
      <c r="AF119" s="2077"/>
      <c r="AG119" s="2861"/>
      <c r="AH119" s="2861"/>
      <c r="AI119" s="2861"/>
      <c r="AJ119" s="2861"/>
      <c r="AK119" s="2861"/>
      <c r="AL119" s="2861"/>
      <c r="AM119" s="3471"/>
      <c r="AN119" s="3471"/>
      <c r="AO119" s="3471"/>
      <c r="AP119" s="2861"/>
      <c r="AQ119" s="3372"/>
      <c r="AR119" s="3372"/>
      <c r="AS119" s="2861"/>
    </row>
    <row r="120" spans="1:45" s="80" customFormat="1" ht="36" customHeight="1" x14ac:dyDescent="0.25">
      <c r="A120" s="2428"/>
      <c r="B120" s="2429"/>
      <c r="C120" s="1719"/>
      <c r="D120" s="1720"/>
      <c r="E120" s="3414"/>
      <c r="F120" s="3414"/>
      <c r="G120" s="2901"/>
      <c r="H120" s="3369"/>
      <c r="I120" s="3476"/>
      <c r="J120" s="2321"/>
      <c r="K120" s="3470"/>
      <c r="L120" s="2321"/>
      <c r="M120" s="3050"/>
      <c r="N120" s="3369"/>
      <c r="O120" s="3465"/>
      <c r="P120" s="2901"/>
      <c r="Q120" s="2897"/>
      <c r="R120" s="3468"/>
      <c r="S120" s="2890"/>
      <c r="T120" s="2897"/>
      <c r="U120" s="3357"/>
      <c r="V120" s="3460"/>
      <c r="W120" s="857">
        <v>62760450.049999997</v>
      </c>
      <c r="X120" s="835" t="s">
        <v>1322</v>
      </c>
      <c r="Y120" s="882">
        <v>6</v>
      </c>
      <c r="Z120" s="883" t="s">
        <v>1307</v>
      </c>
      <c r="AA120" s="3371"/>
      <c r="AB120" s="2077"/>
      <c r="AC120" s="2077"/>
      <c r="AD120" s="2077"/>
      <c r="AE120" s="2077"/>
      <c r="AF120" s="2077"/>
      <c r="AG120" s="2861"/>
      <c r="AH120" s="2861"/>
      <c r="AI120" s="2861"/>
      <c r="AJ120" s="2861"/>
      <c r="AK120" s="2861"/>
      <c r="AL120" s="2861"/>
      <c r="AM120" s="3471"/>
      <c r="AN120" s="3471"/>
      <c r="AO120" s="3471"/>
      <c r="AP120" s="2861"/>
      <c r="AQ120" s="3372"/>
      <c r="AR120" s="3372"/>
      <c r="AS120" s="2861"/>
    </row>
    <row r="121" spans="1:45" s="80" customFormat="1" ht="36" customHeight="1" x14ac:dyDescent="0.25">
      <c r="A121" s="2428"/>
      <c r="B121" s="2429"/>
      <c r="C121" s="1719"/>
      <c r="D121" s="1720"/>
      <c r="E121" s="3414"/>
      <c r="F121" s="3414"/>
      <c r="G121" s="2901"/>
      <c r="H121" s="3369"/>
      <c r="I121" s="3476"/>
      <c r="J121" s="2321"/>
      <c r="K121" s="3470"/>
      <c r="L121" s="2321"/>
      <c r="M121" s="3050"/>
      <c r="N121" s="3369"/>
      <c r="O121" s="3465"/>
      <c r="P121" s="2901"/>
      <c r="Q121" s="2897"/>
      <c r="R121" s="3468"/>
      <c r="S121" s="2890"/>
      <c r="T121" s="2897"/>
      <c r="U121" s="3357"/>
      <c r="V121" s="3460"/>
      <c r="W121" s="857">
        <v>9396887.1400000006</v>
      </c>
      <c r="X121" s="835" t="s">
        <v>1323</v>
      </c>
      <c r="Y121" s="885">
        <v>84</v>
      </c>
      <c r="Z121" s="883" t="s">
        <v>1309</v>
      </c>
      <c r="AA121" s="3371"/>
      <c r="AB121" s="2077"/>
      <c r="AC121" s="2077"/>
      <c r="AD121" s="2077"/>
      <c r="AE121" s="2077"/>
      <c r="AF121" s="2077"/>
      <c r="AG121" s="2861"/>
      <c r="AH121" s="2861"/>
      <c r="AI121" s="2861"/>
      <c r="AJ121" s="2861"/>
      <c r="AK121" s="2861"/>
      <c r="AL121" s="2861"/>
      <c r="AM121" s="3471"/>
      <c r="AN121" s="3471"/>
      <c r="AO121" s="3471"/>
      <c r="AP121" s="2861"/>
      <c r="AQ121" s="3372"/>
      <c r="AR121" s="3372"/>
      <c r="AS121" s="2861"/>
    </row>
    <row r="122" spans="1:45" s="798" customFormat="1" ht="36" customHeight="1" x14ac:dyDescent="0.25">
      <c r="A122" s="2428"/>
      <c r="B122" s="2429"/>
      <c r="D122" s="886"/>
      <c r="E122" s="3414"/>
      <c r="F122" s="3414"/>
      <c r="G122" s="2901"/>
      <c r="H122" s="3369"/>
      <c r="I122" s="3476"/>
      <c r="J122" s="2321"/>
      <c r="K122" s="3470"/>
      <c r="L122" s="2321"/>
      <c r="M122" s="3050"/>
      <c r="N122" s="3369"/>
      <c r="O122" s="3465"/>
      <c r="P122" s="2901"/>
      <c r="Q122" s="2897"/>
      <c r="R122" s="3468"/>
      <c r="S122" s="2890"/>
      <c r="T122" s="2897"/>
      <c r="U122" s="3357"/>
      <c r="V122" s="3460"/>
      <c r="W122" s="857">
        <v>28690491.449999999</v>
      </c>
      <c r="X122" s="835" t="s">
        <v>1324</v>
      </c>
      <c r="Y122" s="882">
        <v>6</v>
      </c>
      <c r="Z122" s="883" t="s">
        <v>1307</v>
      </c>
      <c r="AA122" s="3371"/>
      <c r="AB122" s="2077"/>
      <c r="AC122" s="2077"/>
      <c r="AD122" s="2077"/>
      <c r="AE122" s="2077"/>
      <c r="AF122" s="2077"/>
      <c r="AG122" s="2861"/>
      <c r="AH122" s="2861"/>
      <c r="AI122" s="2861"/>
      <c r="AJ122" s="2861"/>
      <c r="AK122" s="2861"/>
      <c r="AL122" s="2861"/>
      <c r="AM122" s="3471"/>
      <c r="AN122" s="3471"/>
      <c r="AO122" s="3471"/>
      <c r="AP122" s="2861"/>
      <c r="AQ122" s="3372"/>
      <c r="AR122" s="3372"/>
      <c r="AS122" s="2861"/>
    </row>
    <row r="123" spans="1:45" s="798" customFormat="1" ht="36" customHeight="1" x14ac:dyDescent="0.25">
      <c r="A123" s="2428"/>
      <c r="B123" s="2429"/>
      <c r="D123" s="886"/>
      <c r="E123" s="3414"/>
      <c r="F123" s="3414"/>
      <c r="G123" s="2901"/>
      <c r="H123" s="3369"/>
      <c r="I123" s="3476"/>
      <c r="J123" s="2321"/>
      <c r="K123" s="3470"/>
      <c r="L123" s="2321"/>
      <c r="M123" s="3050"/>
      <c r="N123" s="3369"/>
      <c r="O123" s="3465"/>
      <c r="P123" s="2901"/>
      <c r="Q123" s="2897"/>
      <c r="R123" s="3468"/>
      <c r="S123" s="2890"/>
      <c r="T123" s="2897"/>
      <c r="U123" s="3357"/>
      <c r="V123" s="3460"/>
      <c r="W123" s="857">
        <v>4698443.57</v>
      </c>
      <c r="X123" s="835" t="s">
        <v>1325</v>
      </c>
      <c r="Y123" s="885">
        <v>84</v>
      </c>
      <c r="Z123" s="883" t="s">
        <v>1309</v>
      </c>
      <c r="AA123" s="3371"/>
      <c r="AB123" s="2077"/>
      <c r="AC123" s="2077"/>
      <c r="AD123" s="2077"/>
      <c r="AE123" s="2077"/>
      <c r="AF123" s="2077"/>
      <c r="AG123" s="2861"/>
      <c r="AH123" s="2861"/>
      <c r="AI123" s="2861"/>
      <c r="AJ123" s="2861"/>
      <c r="AK123" s="2861"/>
      <c r="AL123" s="2861"/>
      <c r="AM123" s="3471"/>
      <c r="AN123" s="3471"/>
      <c r="AO123" s="3471"/>
      <c r="AP123" s="2861"/>
      <c r="AQ123" s="3372"/>
      <c r="AR123" s="3372"/>
      <c r="AS123" s="2861"/>
    </row>
    <row r="124" spans="1:45" s="798" customFormat="1" ht="36" customHeight="1" x14ac:dyDescent="0.25">
      <c r="A124" s="2428"/>
      <c r="B124" s="2429"/>
      <c r="D124" s="886"/>
      <c r="E124" s="3414"/>
      <c r="F124" s="3414"/>
      <c r="G124" s="2901"/>
      <c r="H124" s="3369"/>
      <c r="I124" s="3476"/>
      <c r="J124" s="2321"/>
      <c r="K124" s="3470"/>
      <c r="L124" s="2321"/>
      <c r="M124" s="3050"/>
      <c r="N124" s="3369"/>
      <c r="O124" s="3465"/>
      <c r="P124" s="2901"/>
      <c r="Q124" s="2897"/>
      <c r="R124" s="3468"/>
      <c r="S124" s="2890"/>
      <c r="T124" s="2897"/>
      <c r="U124" s="3357"/>
      <c r="V124" s="3460"/>
      <c r="W124" s="857">
        <v>48841979.460000001</v>
      </c>
      <c r="X124" s="835" t="s">
        <v>1326</v>
      </c>
      <c r="Y124" s="882">
        <v>6</v>
      </c>
      <c r="Z124" s="883" t="s">
        <v>1307</v>
      </c>
      <c r="AA124" s="3371"/>
      <c r="AB124" s="2077"/>
      <c r="AC124" s="2077"/>
      <c r="AD124" s="2077"/>
      <c r="AE124" s="2077"/>
      <c r="AF124" s="2077"/>
      <c r="AG124" s="2861"/>
      <c r="AH124" s="2861"/>
      <c r="AI124" s="2861"/>
      <c r="AJ124" s="2861"/>
      <c r="AK124" s="2861"/>
      <c r="AL124" s="2861"/>
      <c r="AM124" s="3471"/>
      <c r="AN124" s="3471"/>
      <c r="AO124" s="3471"/>
      <c r="AP124" s="2861"/>
      <c r="AQ124" s="3372"/>
      <c r="AR124" s="3372"/>
      <c r="AS124" s="2861"/>
    </row>
    <row r="125" spans="1:45" s="798" customFormat="1" ht="36" customHeight="1" x14ac:dyDescent="0.25">
      <c r="A125" s="2428"/>
      <c r="B125" s="2429"/>
      <c r="D125" s="886"/>
      <c r="E125" s="3414"/>
      <c r="F125" s="3414"/>
      <c r="G125" s="2901"/>
      <c r="H125" s="3369"/>
      <c r="I125" s="3476"/>
      <c r="J125" s="2321"/>
      <c r="K125" s="3470"/>
      <c r="L125" s="2321"/>
      <c r="M125" s="3050"/>
      <c r="N125" s="3369"/>
      <c r="O125" s="3465"/>
      <c r="P125" s="2901"/>
      <c r="Q125" s="2897"/>
      <c r="R125" s="3468"/>
      <c r="S125" s="2890"/>
      <c r="T125" s="2897"/>
      <c r="U125" s="3357"/>
      <c r="V125" s="3460"/>
      <c r="W125" s="857">
        <v>7462233.9100000001</v>
      </c>
      <c r="X125" s="835" t="s">
        <v>1327</v>
      </c>
      <c r="Y125" s="885">
        <v>84</v>
      </c>
      <c r="Z125" s="883" t="s">
        <v>1309</v>
      </c>
      <c r="AA125" s="3371"/>
      <c r="AB125" s="2077"/>
      <c r="AC125" s="2077"/>
      <c r="AD125" s="2077"/>
      <c r="AE125" s="2077"/>
      <c r="AF125" s="2077"/>
      <c r="AG125" s="2861"/>
      <c r="AH125" s="2861"/>
      <c r="AI125" s="2861"/>
      <c r="AJ125" s="2861"/>
      <c r="AK125" s="2861"/>
      <c r="AL125" s="2861"/>
      <c r="AM125" s="3471"/>
      <c r="AN125" s="3471"/>
      <c r="AO125" s="3471"/>
      <c r="AP125" s="2861"/>
      <c r="AQ125" s="3372"/>
      <c r="AR125" s="3372"/>
      <c r="AS125" s="2861"/>
    </row>
    <row r="126" spans="1:45" s="798" customFormat="1" ht="36" customHeight="1" x14ac:dyDescent="0.25">
      <c r="A126" s="2428"/>
      <c r="B126" s="2429"/>
      <c r="D126" s="886"/>
      <c r="E126" s="3414"/>
      <c r="F126" s="3414"/>
      <c r="G126" s="2901"/>
      <c r="H126" s="3369"/>
      <c r="I126" s="3476"/>
      <c r="J126" s="2321"/>
      <c r="K126" s="3470"/>
      <c r="L126" s="2321"/>
      <c r="M126" s="3050"/>
      <c r="N126" s="3369"/>
      <c r="O126" s="3465"/>
      <c r="P126" s="2901"/>
      <c r="Q126" s="2897"/>
      <c r="R126" s="3468"/>
      <c r="S126" s="2890"/>
      <c r="T126" s="2897"/>
      <c r="U126" s="3357"/>
      <c r="V126" s="3460"/>
      <c r="W126" s="857">
        <v>28690491.449999999</v>
      </c>
      <c r="X126" s="835" t="s">
        <v>1328</v>
      </c>
      <c r="Y126" s="882">
        <v>6</v>
      </c>
      <c r="Z126" s="883" t="s">
        <v>1307</v>
      </c>
      <c r="AA126" s="3371"/>
      <c r="AB126" s="2077"/>
      <c r="AC126" s="2077"/>
      <c r="AD126" s="2077"/>
      <c r="AE126" s="2077"/>
      <c r="AF126" s="2077"/>
      <c r="AG126" s="2861"/>
      <c r="AH126" s="2861"/>
      <c r="AI126" s="2861"/>
      <c r="AJ126" s="2861"/>
      <c r="AK126" s="2861"/>
      <c r="AL126" s="2861"/>
      <c r="AM126" s="3471"/>
      <c r="AN126" s="3471"/>
      <c r="AO126" s="3471"/>
      <c r="AP126" s="2861"/>
      <c r="AQ126" s="3372"/>
      <c r="AR126" s="3372"/>
      <c r="AS126" s="2861"/>
    </row>
    <row r="127" spans="1:45" s="798" customFormat="1" ht="36" customHeight="1" x14ac:dyDescent="0.25">
      <c r="A127" s="2428"/>
      <c r="B127" s="2429"/>
      <c r="D127" s="886"/>
      <c r="E127" s="3414"/>
      <c r="F127" s="3414"/>
      <c r="G127" s="2901"/>
      <c r="H127" s="3369"/>
      <c r="I127" s="3476"/>
      <c r="J127" s="2321"/>
      <c r="K127" s="3470"/>
      <c r="L127" s="2321"/>
      <c r="M127" s="3050"/>
      <c r="N127" s="3369"/>
      <c r="O127" s="3465"/>
      <c r="P127" s="2901"/>
      <c r="Q127" s="2897"/>
      <c r="R127" s="3468"/>
      <c r="S127" s="2890"/>
      <c r="T127" s="2897"/>
      <c r="U127" s="3357"/>
      <c r="V127" s="3460"/>
      <c r="W127" s="857">
        <v>4422064.54</v>
      </c>
      <c r="X127" s="835" t="s">
        <v>1329</v>
      </c>
      <c r="Y127" s="885">
        <v>84</v>
      </c>
      <c r="Z127" s="883" t="s">
        <v>1309</v>
      </c>
      <c r="AA127" s="3371"/>
      <c r="AB127" s="2077"/>
      <c r="AC127" s="2077"/>
      <c r="AD127" s="2077"/>
      <c r="AE127" s="2077"/>
      <c r="AF127" s="2077"/>
      <c r="AG127" s="2861"/>
      <c r="AH127" s="2861"/>
      <c r="AI127" s="2861"/>
      <c r="AJ127" s="2861"/>
      <c r="AK127" s="2861"/>
      <c r="AL127" s="2861"/>
      <c r="AM127" s="3471"/>
      <c r="AN127" s="3471"/>
      <c r="AO127" s="3471"/>
      <c r="AP127" s="2861"/>
      <c r="AQ127" s="3372"/>
      <c r="AR127" s="3372"/>
      <c r="AS127" s="2861"/>
    </row>
    <row r="128" spans="1:45" s="798" customFormat="1" ht="36" customHeight="1" x14ac:dyDescent="0.25">
      <c r="A128" s="2428"/>
      <c r="B128" s="2429"/>
      <c r="D128" s="886"/>
      <c r="E128" s="3414"/>
      <c r="F128" s="3414"/>
      <c r="G128" s="2901"/>
      <c r="H128" s="3369"/>
      <c r="I128" s="3476"/>
      <c r="J128" s="2321"/>
      <c r="K128" s="3470"/>
      <c r="L128" s="2321"/>
      <c r="M128" s="3050"/>
      <c r="N128" s="3369"/>
      <c r="O128" s="3465"/>
      <c r="P128" s="2901"/>
      <c r="Q128" s="2897"/>
      <c r="R128" s="3468"/>
      <c r="S128" s="2890"/>
      <c r="T128" s="2897"/>
      <c r="U128" s="3357"/>
      <c r="V128" s="3460"/>
      <c r="W128" s="857">
        <v>68891918.120000005</v>
      </c>
      <c r="X128" s="835" t="s">
        <v>1330</v>
      </c>
      <c r="Y128" s="882">
        <v>6</v>
      </c>
      <c r="Z128" s="883" t="s">
        <v>1307</v>
      </c>
      <c r="AA128" s="3371"/>
      <c r="AB128" s="2077"/>
      <c r="AC128" s="2077"/>
      <c r="AD128" s="2077"/>
      <c r="AE128" s="2077"/>
      <c r="AF128" s="2077"/>
      <c r="AG128" s="2861"/>
      <c r="AH128" s="2861"/>
      <c r="AI128" s="2861"/>
      <c r="AJ128" s="2861"/>
      <c r="AK128" s="2861"/>
      <c r="AL128" s="2861"/>
      <c r="AM128" s="3471"/>
      <c r="AN128" s="3471"/>
      <c r="AO128" s="3471"/>
      <c r="AP128" s="2861"/>
      <c r="AQ128" s="3372"/>
      <c r="AR128" s="3372"/>
      <c r="AS128" s="2861"/>
    </row>
    <row r="129" spans="1:65" s="80" customFormat="1" ht="45" customHeight="1" x14ac:dyDescent="0.25">
      <c r="A129" s="2428"/>
      <c r="B129" s="2429"/>
      <c r="C129" s="1719"/>
      <c r="D129" s="1720"/>
      <c r="E129" s="3414"/>
      <c r="F129" s="3414"/>
      <c r="G129" s="2901"/>
      <c r="H129" s="3369"/>
      <c r="I129" s="3476"/>
      <c r="J129" s="2321"/>
      <c r="K129" s="3470"/>
      <c r="L129" s="2321"/>
      <c r="M129" s="3050"/>
      <c r="N129" s="3369"/>
      <c r="O129" s="3465"/>
      <c r="P129" s="2901"/>
      <c r="Q129" s="2897"/>
      <c r="R129" s="3468"/>
      <c r="S129" s="2890"/>
      <c r="T129" s="2897"/>
      <c r="U129" s="3357"/>
      <c r="V129" s="3461"/>
      <c r="W129" s="857">
        <f>10502403.31</f>
        <v>10502403.310000001</v>
      </c>
      <c r="X129" s="835" t="s">
        <v>1331</v>
      </c>
      <c r="Y129" s="885">
        <v>84</v>
      </c>
      <c r="Z129" s="883" t="s">
        <v>1309</v>
      </c>
      <c r="AA129" s="3371"/>
      <c r="AB129" s="2077"/>
      <c r="AC129" s="2077"/>
      <c r="AD129" s="2077"/>
      <c r="AE129" s="2077"/>
      <c r="AF129" s="2077"/>
      <c r="AG129" s="2861"/>
      <c r="AH129" s="2861"/>
      <c r="AI129" s="2861"/>
      <c r="AJ129" s="2861"/>
      <c r="AK129" s="2861"/>
      <c r="AL129" s="2861"/>
      <c r="AM129" s="3471"/>
      <c r="AN129" s="3471"/>
      <c r="AO129" s="3471"/>
      <c r="AP129" s="2861"/>
      <c r="AQ129" s="3372"/>
      <c r="AR129" s="3372"/>
      <c r="AS129" s="2861"/>
    </row>
    <row r="130" spans="1:65" s="80" customFormat="1" ht="45" customHeight="1" x14ac:dyDescent="0.25">
      <c r="A130" s="2428"/>
      <c r="B130" s="2429"/>
      <c r="C130" s="1719"/>
      <c r="D130" s="1720"/>
      <c r="E130" s="3414"/>
      <c r="F130" s="3414"/>
      <c r="G130" s="2866"/>
      <c r="H130" s="3369"/>
      <c r="I130" s="3476"/>
      <c r="J130" s="2321"/>
      <c r="K130" s="3470"/>
      <c r="L130" s="2321"/>
      <c r="M130" s="3050"/>
      <c r="N130" s="3369"/>
      <c r="O130" s="3465"/>
      <c r="P130" s="2901"/>
      <c r="Q130" s="2897"/>
      <c r="R130" s="3468"/>
      <c r="S130" s="2890"/>
      <c r="T130" s="2897"/>
      <c r="U130" s="3357"/>
      <c r="V130" s="3448" t="s">
        <v>1332</v>
      </c>
      <c r="W130" s="881">
        <v>566146094.99000001</v>
      </c>
      <c r="X130" s="835" t="s">
        <v>1306</v>
      </c>
      <c r="Y130" s="882">
        <v>6</v>
      </c>
      <c r="Z130" s="883" t="s">
        <v>1307</v>
      </c>
      <c r="AA130" s="3371"/>
      <c r="AB130" s="2077"/>
      <c r="AC130" s="2077"/>
      <c r="AD130" s="2077"/>
      <c r="AE130" s="2077"/>
      <c r="AF130" s="2077"/>
      <c r="AG130" s="2861"/>
      <c r="AH130" s="2861"/>
      <c r="AI130" s="2861"/>
      <c r="AJ130" s="2861"/>
      <c r="AK130" s="2861"/>
      <c r="AL130" s="2861"/>
      <c r="AM130" s="3471"/>
      <c r="AN130" s="3471"/>
      <c r="AO130" s="3471"/>
      <c r="AP130" s="2861"/>
      <c r="AQ130" s="3372"/>
      <c r="AR130" s="3372"/>
      <c r="AS130" s="2861"/>
    </row>
    <row r="131" spans="1:65" s="80" customFormat="1" ht="45" customHeight="1" x14ac:dyDescent="0.25">
      <c r="A131" s="2428"/>
      <c r="B131" s="2429"/>
      <c r="C131" s="1719"/>
      <c r="D131" s="1720"/>
      <c r="E131" s="3414"/>
      <c r="F131" s="3414"/>
      <c r="G131" s="2866"/>
      <c r="H131" s="3369"/>
      <c r="I131" s="3476"/>
      <c r="J131" s="2321"/>
      <c r="K131" s="3470"/>
      <c r="L131" s="2321"/>
      <c r="M131" s="3050"/>
      <c r="N131" s="3369"/>
      <c r="O131" s="3465"/>
      <c r="P131" s="2901"/>
      <c r="Q131" s="2897"/>
      <c r="R131" s="3468"/>
      <c r="S131" s="2890"/>
      <c r="T131" s="2897"/>
      <c r="U131" s="3357"/>
      <c r="V131" s="3449"/>
      <c r="W131" s="857">
        <v>86298796.060000002</v>
      </c>
      <c r="X131" s="835" t="s">
        <v>1308</v>
      </c>
      <c r="Y131" s="885">
        <v>84</v>
      </c>
      <c r="Z131" s="883" t="s">
        <v>1309</v>
      </c>
      <c r="AA131" s="3371"/>
      <c r="AB131" s="2077"/>
      <c r="AC131" s="2077"/>
      <c r="AD131" s="2077"/>
      <c r="AE131" s="2077"/>
      <c r="AF131" s="2077"/>
      <c r="AG131" s="2861"/>
      <c r="AH131" s="2861"/>
      <c r="AI131" s="2861"/>
      <c r="AJ131" s="2861"/>
      <c r="AK131" s="2861"/>
      <c r="AL131" s="2861"/>
      <c r="AM131" s="3471"/>
      <c r="AN131" s="3471"/>
      <c r="AO131" s="3471"/>
      <c r="AP131" s="2861"/>
      <c r="AQ131" s="3372"/>
      <c r="AR131" s="3372"/>
      <c r="AS131" s="2861"/>
    </row>
    <row r="132" spans="1:65" s="80" customFormat="1" ht="45" customHeight="1" x14ac:dyDescent="0.25">
      <c r="A132" s="2428"/>
      <c r="B132" s="2429"/>
      <c r="C132" s="1719"/>
      <c r="D132" s="1720"/>
      <c r="E132" s="3414"/>
      <c r="F132" s="3414"/>
      <c r="G132" s="2866"/>
      <c r="H132" s="3369"/>
      <c r="I132" s="3476"/>
      <c r="J132" s="2321"/>
      <c r="K132" s="3470"/>
      <c r="L132" s="2321"/>
      <c r="M132" s="3050"/>
      <c r="N132" s="3369"/>
      <c r="O132" s="3465"/>
      <c r="P132" s="2901"/>
      <c r="Q132" s="2897"/>
      <c r="R132" s="3468"/>
      <c r="S132" s="2890"/>
      <c r="T132" s="2897"/>
      <c r="U132" s="3357"/>
      <c r="V132" s="3449"/>
      <c r="W132" s="857">
        <v>647613993.74000001</v>
      </c>
      <c r="X132" s="835" t="s">
        <v>1310</v>
      </c>
      <c r="Y132" s="882">
        <v>6</v>
      </c>
      <c r="Z132" s="883" t="s">
        <v>1307</v>
      </c>
      <c r="AA132" s="3371"/>
      <c r="AB132" s="2077"/>
      <c r="AC132" s="2077"/>
      <c r="AD132" s="2077"/>
      <c r="AE132" s="2077"/>
      <c r="AF132" s="2077"/>
      <c r="AG132" s="2861"/>
      <c r="AH132" s="2861"/>
      <c r="AI132" s="2861"/>
      <c r="AJ132" s="2861"/>
      <c r="AK132" s="2861"/>
      <c r="AL132" s="2861"/>
      <c r="AM132" s="3471"/>
      <c r="AN132" s="3471"/>
      <c r="AO132" s="3471"/>
      <c r="AP132" s="2861"/>
      <c r="AQ132" s="3372"/>
      <c r="AR132" s="3372"/>
      <c r="AS132" s="2861"/>
    </row>
    <row r="133" spans="1:65" s="80" customFormat="1" ht="45" customHeight="1" x14ac:dyDescent="0.25">
      <c r="A133" s="2428"/>
      <c r="B133" s="2429"/>
      <c r="C133" s="1719"/>
      <c r="D133" s="1720"/>
      <c r="E133" s="3414"/>
      <c r="F133" s="3414"/>
      <c r="G133" s="2866"/>
      <c r="H133" s="3369"/>
      <c r="I133" s="3476"/>
      <c r="J133" s="2321"/>
      <c r="K133" s="3470"/>
      <c r="L133" s="2321"/>
      <c r="M133" s="3050"/>
      <c r="N133" s="3369"/>
      <c r="O133" s="3465"/>
      <c r="P133" s="2901"/>
      <c r="Q133" s="2897"/>
      <c r="R133" s="3468"/>
      <c r="S133" s="2890"/>
      <c r="T133" s="2897"/>
      <c r="U133" s="3357"/>
      <c r="V133" s="3449"/>
      <c r="W133" s="857">
        <v>102024354.47</v>
      </c>
      <c r="X133" s="835" t="s">
        <v>1311</v>
      </c>
      <c r="Y133" s="885">
        <v>84</v>
      </c>
      <c r="Z133" s="883" t="s">
        <v>1309</v>
      </c>
      <c r="AA133" s="3371"/>
      <c r="AB133" s="2077"/>
      <c r="AC133" s="2077"/>
      <c r="AD133" s="2077"/>
      <c r="AE133" s="2077"/>
      <c r="AF133" s="2077"/>
      <c r="AG133" s="2861"/>
      <c r="AH133" s="2861"/>
      <c r="AI133" s="2861"/>
      <c r="AJ133" s="2861"/>
      <c r="AK133" s="2861"/>
      <c r="AL133" s="2861"/>
      <c r="AM133" s="3471"/>
      <c r="AN133" s="3471"/>
      <c r="AO133" s="3471"/>
      <c r="AP133" s="2861"/>
      <c r="AQ133" s="3372"/>
      <c r="AR133" s="3372"/>
      <c r="AS133" s="2861"/>
    </row>
    <row r="134" spans="1:65" s="80" customFormat="1" ht="45" customHeight="1" x14ac:dyDescent="0.25">
      <c r="A134" s="2428"/>
      <c r="B134" s="2429"/>
      <c r="C134" s="1719"/>
      <c r="D134" s="1720"/>
      <c r="E134" s="3414"/>
      <c r="F134" s="3414"/>
      <c r="G134" s="2866"/>
      <c r="H134" s="3369"/>
      <c r="I134" s="3476"/>
      <c r="J134" s="2321"/>
      <c r="K134" s="3470"/>
      <c r="L134" s="2321"/>
      <c r="M134" s="3050"/>
      <c r="N134" s="3369"/>
      <c r="O134" s="3465"/>
      <c r="P134" s="2901"/>
      <c r="Q134" s="2897"/>
      <c r="R134" s="3468"/>
      <c r="S134" s="2890"/>
      <c r="T134" s="2897"/>
      <c r="U134" s="3357"/>
      <c r="V134" s="3449"/>
      <c r="W134" s="881">
        <v>77621028.480000004</v>
      </c>
      <c r="X134" s="835" t="s">
        <v>1314</v>
      </c>
      <c r="Y134" s="882">
        <v>6</v>
      </c>
      <c r="Z134" s="883" t="s">
        <v>1307</v>
      </c>
      <c r="AA134" s="3371"/>
      <c r="AB134" s="2077"/>
      <c r="AC134" s="2077"/>
      <c r="AD134" s="2077"/>
      <c r="AE134" s="2077"/>
      <c r="AF134" s="2077"/>
      <c r="AG134" s="2861"/>
      <c r="AH134" s="2861"/>
      <c r="AI134" s="2861"/>
      <c r="AJ134" s="2861"/>
      <c r="AK134" s="2861"/>
      <c r="AL134" s="2861"/>
      <c r="AM134" s="3471"/>
      <c r="AN134" s="3471"/>
      <c r="AO134" s="3471"/>
      <c r="AP134" s="2861"/>
      <c r="AQ134" s="3372"/>
      <c r="AR134" s="3372"/>
      <c r="AS134" s="2861"/>
    </row>
    <row r="135" spans="1:65" s="80" customFormat="1" ht="45" customHeight="1" x14ac:dyDescent="0.25">
      <c r="A135" s="2428"/>
      <c r="B135" s="2429"/>
      <c r="C135" s="1719"/>
      <c r="D135" s="1720"/>
      <c r="E135" s="3414"/>
      <c r="F135" s="3414"/>
      <c r="G135" s="2866"/>
      <c r="H135" s="3369"/>
      <c r="I135" s="3476"/>
      <c r="J135" s="2321"/>
      <c r="K135" s="3470"/>
      <c r="L135" s="2321"/>
      <c r="M135" s="3050"/>
      <c r="N135" s="3369"/>
      <c r="O135" s="3465"/>
      <c r="P135" s="2901"/>
      <c r="Q135" s="2897"/>
      <c r="R135" s="3468"/>
      <c r="S135" s="2890"/>
      <c r="T135" s="2897"/>
      <c r="U135" s="3357"/>
      <c r="V135" s="3449"/>
      <c r="W135" s="881">
        <v>11890056.35</v>
      </c>
      <c r="X135" s="835" t="s">
        <v>1315</v>
      </c>
      <c r="Y135" s="885">
        <v>84</v>
      </c>
      <c r="Z135" s="883" t="s">
        <v>1309</v>
      </c>
      <c r="AA135" s="3371"/>
      <c r="AB135" s="2077"/>
      <c r="AC135" s="2077"/>
      <c r="AD135" s="2077"/>
      <c r="AE135" s="2077"/>
      <c r="AF135" s="2077"/>
      <c r="AG135" s="2861"/>
      <c r="AH135" s="2861"/>
      <c r="AI135" s="2861"/>
      <c r="AJ135" s="2861"/>
      <c r="AK135" s="2861"/>
      <c r="AL135" s="2861"/>
      <c r="AM135" s="3471"/>
      <c r="AN135" s="3471"/>
      <c r="AO135" s="3471"/>
      <c r="AP135" s="2861"/>
      <c r="AQ135" s="3372"/>
      <c r="AR135" s="3372"/>
      <c r="AS135" s="2861"/>
    </row>
    <row r="136" spans="1:65" s="80" customFormat="1" ht="45" customHeight="1" x14ac:dyDescent="0.25">
      <c r="A136" s="2428"/>
      <c r="B136" s="2429"/>
      <c r="C136" s="1719"/>
      <c r="D136" s="1720"/>
      <c r="E136" s="3414"/>
      <c r="F136" s="3414"/>
      <c r="G136" s="2866"/>
      <c r="H136" s="3369"/>
      <c r="I136" s="3476"/>
      <c r="J136" s="2321"/>
      <c r="K136" s="3470"/>
      <c r="L136" s="2321"/>
      <c r="M136" s="3050"/>
      <c r="N136" s="3369"/>
      <c r="O136" s="3465"/>
      <c r="P136" s="2901"/>
      <c r="Q136" s="2897"/>
      <c r="R136" s="3468"/>
      <c r="S136" s="2890"/>
      <c r="T136" s="2897"/>
      <c r="U136" s="3357"/>
      <c r="V136" s="3449"/>
      <c r="W136" s="881">
        <f>137635783.34</f>
        <v>137635783.34</v>
      </c>
      <c r="X136" s="835" t="s">
        <v>1318</v>
      </c>
      <c r="Y136" s="882">
        <v>6</v>
      </c>
      <c r="Z136" s="883" t="s">
        <v>1307</v>
      </c>
      <c r="AA136" s="3371"/>
      <c r="AB136" s="2077"/>
      <c r="AC136" s="2077"/>
      <c r="AD136" s="2077"/>
      <c r="AE136" s="2077"/>
      <c r="AF136" s="2077"/>
      <c r="AG136" s="2861"/>
      <c r="AH136" s="2861"/>
      <c r="AI136" s="2861"/>
      <c r="AJ136" s="2861"/>
      <c r="AK136" s="2861"/>
      <c r="AL136" s="2861"/>
      <c r="AM136" s="3471"/>
      <c r="AN136" s="3471"/>
      <c r="AO136" s="3471"/>
      <c r="AP136" s="2861"/>
      <c r="AQ136" s="3372"/>
      <c r="AR136" s="3372"/>
      <c r="AS136" s="2861"/>
    </row>
    <row r="137" spans="1:65" s="80" customFormat="1" ht="45" customHeight="1" x14ac:dyDescent="0.25">
      <c r="A137" s="2428"/>
      <c r="B137" s="2429"/>
      <c r="C137" s="1719"/>
      <c r="D137" s="1720"/>
      <c r="E137" s="3414"/>
      <c r="F137" s="3414"/>
      <c r="G137" s="2866"/>
      <c r="H137" s="3369"/>
      <c r="I137" s="3476"/>
      <c r="J137" s="2321"/>
      <c r="K137" s="3470"/>
      <c r="L137" s="2321"/>
      <c r="M137" s="3050"/>
      <c r="N137" s="3369"/>
      <c r="O137" s="3465"/>
      <c r="P137" s="2901"/>
      <c r="Q137" s="2897"/>
      <c r="R137" s="3468"/>
      <c r="S137" s="2890"/>
      <c r="T137" s="2897"/>
      <c r="U137" s="3357"/>
      <c r="V137" s="3449"/>
      <c r="W137" s="857">
        <v>21095261.260000002</v>
      </c>
      <c r="X137" s="835" t="s">
        <v>1319</v>
      </c>
      <c r="Y137" s="885">
        <v>84</v>
      </c>
      <c r="Z137" s="883" t="s">
        <v>1309</v>
      </c>
      <c r="AA137" s="3371"/>
      <c r="AB137" s="2077"/>
      <c r="AC137" s="2077"/>
      <c r="AD137" s="2077"/>
      <c r="AE137" s="2077"/>
      <c r="AF137" s="2077"/>
      <c r="AG137" s="2861"/>
      <c r="AH137" s="2861"/>
      <c r="AI137" s="2861"/>
      <c r="AJ137" s="2861"/>
      <c r="AK137" s="2861"/>
      <c r="AL137" s="2861"/>
      <c r="AM137" s="3471"/>
      <c r="AN137" s="3471"/>
      <c r="AO137" s="3471"/>
      <c r="AP137" s="2861"/>
      <c r="AQ137" s="3372"/>
      <c r="AR137" s="3372"/>
      <c r="AS137" s="2861"/>
    </row>
    <row r="138" spans="1:65" s="80" customFormat="1" ht="45" customHeight="1" x14ac:dyDescent="0.25">
      <c r="A138" s="2428"/>
      <c r="B138" s="2429"/>
      <c r="C138" s="1719"/>
      <c r="D138" s="1720"/>
      <c r="E138" s="3414"/>
      <c r="F138" s="3414"/>
      <c r="G138" s="2866"/>
      <c r="H138" s="3369"/>
      <c r="I138" s="3476"/>
      <c r="J138" s="2321"/>
      <c r="K138" s="3470"/>
      <c r="L138" s="2321"/>
      <c r="M138" s="3050"/>
      <c r="N138" s="3369"/>
      <c r="O138" s="3465"/>
      <c r="P138" s="2901"/>
      <c r="Q138" s="2897"/>
      <c r="R138" s="3468"/>
      <c r="S138" s="2890"/>
      <c r="T138" s="2897"/>
      <c r="U138" s="3357"/>
      <c r="V138" s="3449"/>
      <c r="W138" s="857">
        <v>288665881</v>
      </c>
      <c r="X138" s="835" t="s">
        <v>1320</v>
      </c>
      <c r="Y138" s="882">
        <v>6</v>
      </c>
      <c r="Z138" s="883" t="s">
        <v>1307</v>
      </c>
      <c r="AA138" s="3371"/>
      <c r="AB138" s="2077"/>
      <c r="AC138" s="2077"/>
      <c r="AD138" s="2077"/>
      <c r="AE138" s="2077"/>
      <c r="AF138" s="2077"/>
      <c r="AG138" s="2861"/>
      <c r="AH138" s="2861"/>
      <c r="AI138" s="2861"/>
      <c r="AJ138" s="2861"/>
      <c r="AK138" s="2861"/>
      <c r="AL138" s="2861"/>
      <c r="AM138" s="3471"/>
      <c r="AN138" s="3471"/>
      <c r="AO138" s="3471"/>
      <c r="AP138" s="2861"/>
      <c r="AQ138" s="3372"/>
      <c r="AR138" s="3372"/>
      <c r="AS138" s="2861"/>
    </row>
    <row r="139" spans="1:65" s="80" customFormat="1" ht="45" customHeight="1" x14ac:dyDescent="0.25">
      <c r="A139" s="2428"/>
      <c r="B139" s="2429"/>
      <c r="C139" s="1719"/>
      <c r="D139" s="1720"/>
      <c r="E139" s="3414"/>
      <c r="F139" s="3414"/>
      <c r="G139" s="2866"/>
      <c r="H139" s="3369"/>
      <c r="I139" s="3476"/>
      <c r="J139" s="2321"/>
      <c r="K139" s="3470"/>
      <c r="L139" s="2321"/>
      <c r="M139" s="3050"/>
      <c r="N139" s="3369"/>
      <c r="O139" s="3465"/>
      <c r="P139" s="2901"/>
      <c r="Q139" s="2897"/>
      <c r="R139" s="3468"/>
      <c r="S139" s="2890"/>
      <c r="T139" s="2897"/>
      <c r="U139" s="3357"/>
      <c r="V139" s="3449"/>
      <c r="W139" s="857">
        <v>44108273.539999999</v>
      </c>
      <c r="X139" s="835" t="s">
        <v>1321</v>
      </c>
      <c r="Y139" s="885">
        <v>84</v>
      </c>
      <c r="Z139" s="883" t="s">
        <v>1309</v>
      </c>
      <c r="AA139" s="3371"/>
      <c r="AB139" s="2077"/>
      <c r="AC139" s="2077"/>
      <c r="AD139" s="2077"/>
      <c r="AE139" s="2077"/>
      <c r="AF139" s="2077"/>
      <c r="AG139" s="2861"/>
      <c r="AH139" s="2861"/>
      <c r="AI139" s="2861"/>
      <c r="AJ139" s="2861"/>
      <c r="AK139" s="2861"/>
      <c r="AL139" s="2861"/>
      <c r="AM139" s="3471"/>
      <c r="AN139" s="3471"/>
      <c r="AO139" s="3471"/>
      <c r="AP139" s="2861"/>
      <c r="AQ139" s="3372"/>
      <c r="AR139" s="3372"/>
      <c r="AS139" s="2861"/>
    </row>
    <row r="140" spans="1:65" s="80" customFormat="1" ht="45" customHeight="1" x14ac:dyDescent="0.25">
      <c r="A140" s="2428"/>
      <c r="B140" s="2429"/>
      <c r="C140" s="1719"/>
      <c r="D140" s="1720"/>
      <c r="E140" s="3414"/>
      <c r="F140" s="3414"/>
      <c r="G140" s="2866"/>
      <c r="H140" s="3369"/>
      <c r="I140" s="3476"/>
      <c r="J140" s="2321"/>
      <c r="K140" s="3470"/>
      <c r="L140" s="2321"/>
      <c r="M140" s="3050"/>
      <c r="N140" s="3369"/>
      <c r="O140" s="3465"/>
      <c r="P140" s="2901"/>
      <c r="Q140" s="2897"/>
      <c r="R140" s="3468"/>
      <c r="S140" s="2890"/>
      <c r="T140" s="2897"/>
      <c r="U140" s="3357"/>
      <c r="V140" s="3449"/>
      <c r="W140" s="881">
        <f>125521066.79</f>
        <v>125521066.79000001</v>
      </c>
      <c r="X140" s="835" t="s">
        <v>1326</v>
      </c>
      <c r="Y140" s="882">
        <v>6</v>
      </c>
      <c r="Z140" s="883" t="s">
        <v>1307</v>
      </c>
      <c r="AA140" s="3371"/>
      <c r="AB140" s="2077"/>
      <c r="AC140" s="2077"/>
      <c r="AD140" s="2077"/>
      <c r="AE140" s="2077"/>
      <c r="AF140" s="2077"/>
      <c r="AG140" s="2861"/>
      <c r="AH140" s="2861"/>
      <c r="AI140" s="2861"/>
      <c r="AJ140" s="2861"/>
      <c r="AK140" s="2861"/>
      <c r="AL140" s="2861"/>
      <c r="AM140" s="3471"/>
      <c r="AN140" s="3471"/>
      <c r="AO140" s="3471"/>
      <c r="AP140" s="2861"/>
      <c r="AQ140" s="3372"/>
      <c r="AR140" s="3372"/>
      <c r="AS140" s="2861"/>
    </row>
    <row r="141" spans="1:65" s="80" customFormat="1" ht="45" customHeight="1" x14ac:dyDescent="0.25">
      <c r="A141" s="2428"/>
      <c r="B141" s="2429"/>
      <c r="C141" s="1719"/>
      <c r="D141" s="1720"/>
      <c r="E141" s="3414"/>
      <c r="F141" s="3414"/>
      <c r="G141" s="2866"/>
      <c r="H141" s="3369"/>
      <c r="I141" s="3476"/>
      <c r="J141" s="2321"/>
      <c r="K141" s="3470"/>
      <c r="L141" s="2321"/>
      <c r="M141" s="3050"/>
      <c r="N141" s="3369"/>
      <c r="O141" s="3465"/>
      <c r="P141" s="2901"/>
      <c r="Q141" s="2897"/>
      <c r="R141" s="3468"/>
      <c r="S141" s="2890"/>
      <c r="T141" s="2897"/>
      <c r="U141" s="3357"/>
      <c r="V141" s="3449"/>
      <c r="W141" s="881">
        <v>19177510.239999998</v>
      </c>
      <c r="X141" s="835" t="s">
        <v>1327</v>
      </c>
      <c r="Y141" s="885">
        <v>84</v>
      </c>
      <c r="Z141" s="883" t="s">
        <v>1309</v>
      </c>
      <c r="AA141" s="3371"/>
      <c r="AB141" s="2077"/>
      <c r="AC141" s="2077"/>
      <c r="AD141" s="2077"/>
      <c r="AE141" s="2077"/>
      <c r="AF141" s="2077"/>
      <c r="AG141" s="2861"/>
      <c r="AH141" s="2861"/>
      <c r="AI141" s="2861"/>
      <c r="AJ141" s="2861"/>
      <c r="AK141" s="2861"/>
      <c r="AL141" s="2861"/>
      <c r="AM141" s="3471"/>
      <c r="AN141" s="3471"/>
      <c r="AO141" s="3471"/>
      <c r="AP141" s="2861"/>
      <c r="AQ141" s="3372"/>
      <c r="AR141" s="3372"/>
      <c r="AS141" s="2861"/>
    </row>
    <row r="142" spans="1:65" s="80" customFormat="1" ht="45" customHeight="1" x14ac:dyDescent="0.25">
      <c r="A142" s="2428"/>
      <c r="B142" s="2429"/>
      <c r="C142" s="1719"/>
      <c r="D142" s="1720"/>
      <c r="E142" s="3414"/>
      <c r="F142" s="3414"/>
      <c r="G142" s="2866"/>
      <c r="H142" s="3369"/>
      <c r="I142" s="3476"/>
      <c r="J142" s="2321"/>
      <c r="K142" s="3470"/>
      <c r="L142" s="2321"/>
      <c r="M142" s="3050"/>
      <c r="N142" s="3369"/>
      <c r="O142" s="3465"/>
      <c r="P142" s="2901"/>
      <c r="Q142" s="2897"/>
      <c r="R142" s="3468"/>
      <c r="S142" s="2890"/>
      <c r="T142" s="2897"/>
      <c r="U142" s="3357"/>
      <c r="V142" s="3449"/>
      <c r="W142" s="881">
        <f>628987208.72</f>
        <v>628987208.72000003</v>
      </c>
      <c r="X142" s="835" t="s">
        <v>1330</v>
      </c>
      <c r="Y142" s="882">
        <v>6</v>
      </c>
      <c r="Z142" s="883" t="s">
        <v>1307</v>
      </c>
      <c r="AA142" s="3371"/>
      <c r="AB142" s="2077"/>
      <c r="AC142" s="2077"/>
      <c r="AD142" s="2077"/>
      <c r="AE142" s="2077"/>
      <c r="AF142" s="2077"/>
      <c r="AG142" s="2861"/>
      <c r="AH142" s="2861"/>
      <c r="AI142" s="2861"/>
      <c r="AJ142" s="2861"/>
      <c r="AK142" s="2861"/>
      <c r="AL142" s="2861"/>
      <c r="AM142" s="3471"/>
      <c r="AN142" s="3471"/>
      <c r="AO142" s="3471"/>
      <c r="AP142" s="2861"/>
      <c r="AQ142" s="3372"/>
      <c r="AR142" s="3372"/>
      <c r="AS142" s="2861"/>
    </row>
    <row r="143" spans="1:65" s="80" customFormat="1" ht="57" customHeight="1" x14ac:dyDescent="0.25">
      <c r="A143" s="2430"/>
      <c r="B143" s="2429"/>
      <c r="C143" s="1719"/>
      <c r="D143" s="1720"/>
      <c r="E143" s="3414"/>
      <c r="F143" s="3414"/>
      <c r="G143" s="2866"/>
      <c r="H143" s="3399"/>
      <c r="I143" s="3416"/>
      <c r="J143" s="2322"/>
      <c r="K143" s="3101"/>
      <c r="L143" s="2322"/>
      <c r="M143" s="3051"/>
      <c r="N143" s="3399"/>
      <c r="O143" s="3466"/>
      <c r="P143" s="2901"/>
      <c r="Q143" s="2897"/>
      <c r="R143" s="3469"/>
      <c r="S143" s="2890"/>
      <c r="T143" s="2897"/>
      <c r="U143" s="3357"/>
      <c r="V143" s="3450"/>
      <c r="W143" s="881">
        <v>95887551.159999996</v>
      </c>
      <c r="X143" s="835" t="s">
        <v>1331</v>
      </c>
      <c r="Y143" s="885">
        <v>84</v>
      </c>
      <c r="Z143" s="883" t="s">
        <v>1309</v>
      </c>
      <c r="AA143" s="3371"/>
      <c r="AB143" s="2077"/>
      <c r="AC143" s="2077"/>
      <c r="AD143" s="2077"/>
      <c r="AE143" s="2077"/>
      <c r="AF143" s="2077"/>
      <c r="AG143" s="2861"/>
      <c r="AH143" s="2861"/>
      <c r="AI143" s="2861"/>
      <c r="AJ143" s="2861"/>
      <c r="AK143" s="2861"/>
      <c r="AL143" s="2861"/>
      <c r="AM143" s="3471"/>
      <c r="AN143" s="3471"/>
      <c r="AO143" s="3471"/>
      <c r="AP143" s="2861"/>
      <c r="AQ143" s="3372"/>
      <c r="AR143" s="3372"/>
      <c r="AS143" s="2861"/>
    </row>
    <row r="144" spans="1:65" ht="27" customHeight="1" x14ac:dyDescent="0.25">
      <c r="A144" s="887">
        <v>2</v>
      </c>
      <c r="B144" s="3475" t="s">
        <v>1333</v>
      </c>
      <c r="C144" s="3047"/>
      <c r="D144" s="3047"/>
      <c r="E144" s="3047"/>
      <c r="F144" s="3047"/>
      <c r="G144" s="3047"/>
      <c r="H144" s="375"/>
      <c r="I144" s="375"/>
      <c r="J144" s="26"/>
      <c r="K144" s="888"/>
      <c r="L144" s="888"/>
      <c r="M144" s="888"/>
      <c r="N144" s="889"/>
      <c r="O144" s="888"/>
      <c r="P144" s="888"/>
      <c r="Q144" s="889"/>
      <c r="R144" s="890"/>
      <c r="S144" s="891"/>
      <c r="T144" s="889"/>
      <c r="U144" s="889"/>
      <c r="V144" s="889"/>
      <c r="W144" s="891"/>
      <c r="X144" s="892"/>
      <c r="Y144" s="893"/>
      <c r="Z144" s="303"/>
      <c r="AA144" s="892"/>
      <c r="AB144" s="892"/>
      <c r="AC144" s="892"/>
      <c r="AD144" s="892"/>
      <c r="AE144" s="892"/>
      <c r="AF144" s="892"/>
      <c r="AG144" s="892"/>
      <c r="AH144" s="892"/>
      <c r="AI144" s="892"/>
      <c r="AJ144" s="892"/>
      <c r="AK144" s="892"/>
      <c r="AL144" s="892"/>
      <c r="AM144" s="892"/>
      <c r="AN144" s="892"/>
      <c r="AO144" s="892"/>
      <c r="AP144" s="892"/>
      <c r="AQ144" s="894"/>
      <c r="AR144" s="894"/>
      <c r="AS144" s="895"/>
      <c r="AT144" s="3"/>
      <c r="AU144" s="3"/>
      <c r="AV144" s="3"/>
      <c r="AW144" s="3"/>
      <c r="AX144" s="3"/>
      <c r="AY144" s="3"/>
      <c r="AZ144" s="3"/>
      <c r="BA144" s="3"/>
      <c r="BB144" s="3"/>
      <c r="BC144" s="3"/>
      <c r="BD144" s="3"/>
      <c r="BE144" s="3"/>
      <c r="BF144" s="3"/>
      <c r="BG144" s="3"/>
      <c r="BH144" s="3"/>
      <c r="BI144" s="3"/>
      <c r="BJ144" s="3"/>
      <c r="BK144" s="3"/>
      <c r="BL144" s="3"/>
      <c r="BM144" s="3"/>
    </row>
    <row r="145" spans="1:65" s="80" customFormat="1" ht="27" customHeight="1" x14ac:dyDescent="0.25">
      <c r="A145" s="1733"/>
      <c r="B145" s="1734"/>
      <c r="C145" s="896">
        <v>17</v>
      </c>
      <c r="D145" s="2924" t="s">
        <v>684</v>
      </c>
      <c r="E145" s="2925"/>
      <c r="F145" s="2925"/>
      <c r="G145" s="2925"/>
      <c r="H145" s="2925"/>
      <c r="I145" s="2925"/>
      <c r="J145" s="2925"/>
      <c r="K145" s="314"/>
      <c r="L145" s="314"/>
      <c r="M145" s="314"/>
      <c r="N145" s="315"/>
      <c r="O145" s="314"/>
      <c r="P145" s="314"/>
      <c r="Q145" s="315"/>
      <c r="R145" s="443"/>
      <c r="S145" s="897"/>
      <c r="T145" s="315"/>
      <c r="U145" s="315"/>
      <c r="V145" s="315"/>
      <c r="W145" s="897"/>
      <c r="X145" s="314"/>
      <c r="Y145" s="446"/>
      <c r="Z145" s="316"/>
      <c r="AA145" s="314"/>
      <c r="AB145" s="314"/>
      <c r="AC145" s="314"/>
      <c r="AD145" s="314"/>
      <c r="AE145" s="314"/>
      <c r="AF145" s="314"/>
      <c r="AG145" s="314"/>
      <c r="AH145" s="314"/>
      <c r="AI145" s="314"/>
      <c r="AJ145" s="314"/>
      <c r="AK145" s="314"/>
      <c r="AL145" s="314"/>
      <c r="AM145" s="314"/>
      <c r="AN145" s="314"/>
      <c r="AO145" s="314"/>
      <c r="AP145" s="314"/>
      <c r="AQ145" s="447"/>
      <c r="AR145" s="447"/>
      <c r="AS145" s="898"/>
    </row>
    <row r="146" spans="1:65" s="3" customFormat="1" ht="27" customHeight="1" x14ac:dyDescent="0.25">
      <c r="A146" s="1802"/>
      <c r="B146" s="899"/>
      <c r="C146" s="900"/>
      <c r="D146" s="901"/>
      <c r="E146" s="411">
        <v>1702</v>
      </c>
      <c r="F146" s="1771" t="s">
        <v>1334</v>
      </c>
      <c r="G146" s="1772"/>
      <c r="H146" s="1772"/>
      <c r="I146" s="1772"/>
      <c r="J146" s="1772"/>
      <c r="K146" s="1772"/>
      <c r="L146" s="1772"/>
      <c r="M146" s="871"/>
      <c r="N146" s="872"/>
      <c r="O146" s="389"/>
      <c r="P146" s="389"/>
      <c r="Q146" s="391"/>
      <c r="R146" s="813"/>
      <c r="S146" s="814"/>
      <c r="T146" s="864"/>
      <c r="U146" s="864"/>
      <c r="V146" s="864"/>
      <c r="W146" s="814"/>
      <c r="X146" s="902"/>
      <c r="Y146" s="816"/>
      <c r="Z146" s="206"/>
      <c r="AA146" s="812"/>
      <c r="AB146" s="812"/>
      <c r="AC146" s="812"/>
      <c r="AD146" s="812"/>
      <c r="AE146" s="812"/>
      <c r="AF146" s="812"/>
      <c r="AG146" s="812"/>
      <c r="AH146" s="812"/>
      <c r="AI146" s="812"/>
      <c r="AJ146" s="812"/>
      <c r="AK146" s="812"/>
      <c r="AL146" s="812"/>
      <c r="AM146" s="812"/>
      <c r="AN146" s="812"/>
      <c r="AO146" s="812"/>
      <c r="AP146" s="812"/>
      <c r="AQ146" s="817"/>
      <c r="AR146" s="817"/>
      <c r="AS146" s="818"/>
    </row>
    <row r="147" spans="1:65" s="3" customFormat="1" ht="105.75" customHeight="1" x14ac:dyDescent="0.25">
      <c r="A147" s="1802"/>
      <c r="B147" s="899"/>
      <c r="C147" s="1802"/>
      <c r="D147" s="1803"/>
      <c r="E147" s="3414"/>
      <c r="F147" s="3414"/>
      <c r="G147" s="3363">
        <v>1702011</v>
      </c>
      <c r="H147" s="3443" t="s">
        <v>1335</v>
      </c>
      <c r="I147" s="3363">
        <v>1702011</v>
      </c>
      <c r="J147" s="3443" t="s">
        <v>1335</v>
      </c>
      <c r="K147" s="2128" t="s">
        <v>1336</v>
      </c>
      <c r="L147" s="2145" t="s">
        <v>1337</v>
      </c>
      <c r="M147" s="2128" t="s">
        <v>1336</v>
      </c>
      <c r="N147" s="2145" t="s">
        <v>1337</v>
      </c>
      <c r="O147" s="2128">
        <v>4</v>
      </c>
      <c r="P147" s="2128" t="s">
        <v>1338</v>
      </c>
      <c r="Q147" s="2145" t="s">
        <v>1339</v>
      </c>
      <c r="R147" s="3082">
        <f>SUM(W147:W148)/S147</f>
        <v>1</v>
      </c>
      <c r="S147" s="3477">
        <f>SUM(W147:W148)</f>
        <v>18000000</v>
      </c>
      <c r="T147" s="2145" t="s">
        <v>1340</v>
      </c>
      <c r="U147" s="2384" t="s">
        <v>1341</v>
      </c>
      <c r="V147" s="1740" t="s">
        <v>1342</v>
      </c>
      <c r="W147" s="832">
        <v>10000000</v>
      </c>
      <c r="X147" s="1781" t="s">
        <v>1343</v>
      </c>
      <c r="Y147" s="3478">
        <v>20</v>
      </c>
      <c r="Z147" s="2108" t="s">
        <v>387</v>
      </c>
      <c r="AA147" s="3371">
        <v>1000</v>
      </c>
      <c r="AB147" s="2077" t="s">
        <v>294</v>
      </c>
      <c r="AC147" s="2077" t="s">
        <v>294</v>
      </c>
      <c r="AD147" s="3479" t="s">
        <v>294</v>
      </c>
      <c r="AE147" s="3479">
        <v>1000</v>
      </c>
      <c r="AF147" s="2355"/>
      <c r="AG147" s="2355"/>
      <c r="AH147" s="2355"/>
      <c r="AI147" s="2355"/>
      <c r="AJ147" s="2355"/>
      <c r="AK147" s="2355"/>
      <c r="AL147" s="2355"/>
      <c r="AM147" s="2355"/>
      <c r="AN147" s="2355"/>
      <c r="AO147" s="2355"/>
      <c r="AP147" s="2355">
        <v>1000</v>
      </c>
      <c r="AQ147" s="3090">
        <v>44197</v>
      </c>
      <c r="AR147" s="3090">
        <v>44561</v>
      </c>
      <c r="AS147" s="2355" t="s">
        <v>1344</v>
      </c>
    </row>
    <row r="148" spans="1:65" s="3" customFormat="1" ht="108.75" customHeight="1" x14ac:dyDescent="0.25">
      <c r="A148" s="1802"/>
      <c r="B148" s="899"/>
      <c r="C148" s="903"/>
      <c r="D148" s="1803"/>
      <c r="E148" s="3414"/>
      <c r="F148" s="3414"/>
      <c r="G148" s="3365"/>
      <c r="H148" s="3443"/>
      <c r="I148" s="3365"/>
      <c r="J148" s="3443"/>
      <c r="K148" s="2128"/>
      <c r="L148" s="2145"/>
      <c r="M148" s="2128"/>
      <c r="N148" s="2145"/>
      <c r="O148" s="2128"/>
      <c r="P148" s="2128"/>
      <c r="Q148" s="2145"/>
      <c r="R148" s="3082"/>
      <c r="S148" s="3477"/>
      <c r="T148" s="2145"/>
      <c r="U148" s="2384"/>
      <c r="V148" s="1739" t="s">
        <v>1345</v>
      </c>
      <c r="W148" s="819">
        <v>8000000</v>
      </c>
      <c r="X148" s="1781" t="s">
        <v>1343</v>
      </c>
      <c r="Y148" s="3478"/>
      <c r="Z148" s="2108"/>
      <c r="AA148" s="3371"/>
      <c r="AB148" s="2077"/>
      <c r="AC148" s="2077"/>
      <c r="AD148" s="3479"/>
      <c r="AE148" s="3479"/>
      <c r="AF148" s="2355"/>
      <c r="AG148" s="2355"/>
      <c r="AH148" s="2355"/>
      <c r="AI148" s="2355"/>
      <c r="AJ148" s="2355"/>
      <c r="AK148" s="2355"/>
      <c r="AL148" s="2355"/>
      <c r="AM148" s="2355"/>
      <c r="AN148" s="2355"/>
      <c r="AO148" s="2355"/>
      <c r="AP148" s="2355"/>
      <c r="AQ148" s="3090"/>
      <c r="AR148" s="3090"/>
      <c r="AS148" s="2355"/>
    </row>
    <row r="149" spans="1:65" s="3" customFormat="1" ht="27.75" customHeight="1" x14ac:dyDescent="0.25">
      <c r="A149" s="1802"/>
      <c r="B149" s="899"/>
      <c r="C149" s="904">
        <v>36</v>
      </c>
      <c r="D149" s="905" t="s">
        <v>1346</v>
      </c>
      <c r="E149" s="906"/>
      <c r="F149" s="906"/>
      <c r="G149" s="906"/>
      <c r="H149" s="907"/>
      <c r="I149" s="906"/>
      <c r="J149" s="908"/>
      <c r="K149" s="537"/>
      <c r="L149" s="908"/>
      <c r="M149" s="537"/>
      <c r="N149" s="908"/>
      <c r="O149" s="537"/>
      <c r="P149" s="537"/>
      <c r="Q149" s="908"/>
      <c r="R149" s="820"/>
      <c r="S149" s="821"/>
      <c r="T149" s="908"/>
      <c r="U149" s="909"/>
      <c r="V149" s="908"/>
      <c r="W149" s="821"/>
      <c r="X149" s="808"/>
      <c r="Y149" s="823"/>
      <c r="Z149" s="470"/>
      <c r="AA149" s="824"/>
      <c r="AB149" s="824"/>
      <c r="AC149" s="824"/>
      <c r="AD149" s="824"/>
      <c r="AE149" s="824"/>
      <c r="AF149" s="823"/>
      <c r="AG149" s="823"/>
      <c r="AH149" s="823"/>
      <c r="AI149" s="823"/>
      <c r="AJ149" s="823"/>
      <c r="AK149" s="823"/>
      <c r="AL149" s="823"/>
      <c r="AM149" s="823"/>
      <c r="AN149" s="823"/>
      <c r="AO149" s="823"/>
      <c r="AP149" s="823"/>
      <c r="AQ149" s="910"/>
      <c r="AR149" s="910"/>
      <c r="AS149" s="911"/>
    </row>
    <row r="150" spans="1:65" s="3" customFormat="1" ht="27" customHeight="1" x14ac:dyDescent="0.25">
      <c r="A150" s="1802"/>
      <c r="B150" s="899"/>
      <c r="C150" s="900"/>
      <c r="D150" s="901"/>
      <c r="E150" s="912">
        <v>3604</v>
      </c>
      <c r="F150" s="828" t="s">
        <v>1347</v>
      </c>
      <c r="G150" s="860"/>
      <c r="H150" s="861"/>
      <c r="I150" s="860"/>
      <c r="J150" s="861"/>
      <c r="K150" s="860"/>
      <c r="L150" s="861"/>
      <c r="M150" s="860"/>
      <c r="N150" s="861"/>
      <c r="O150" s="389"/>
      <c r="P150" s="389"/>
      <c r="Q150" s="391"/>
      <c r="R150" s="813"/>
      <c r="S150" s="814"/>
      <c r="T150" s="864"/>
      <c r="U150" s="864"/>
      <c r="V150" s="864"/>
      <c r="W150" s="814"/>
      <c r="X150" s="902"/>
      <c r="Y150" s="65"/>
      <c r="Z150" s="206"/>
      <c r="AA150" s="812"/>
      <c r="AB150" s="812"/>
      <c r="AC150" s="812"/>
      <c r="AD150" s="812"/>
      <c r="AE150" s="812"/>
      <c r="AF150" s="812"/>
      <c r="AG150" s="812"/>
      <c r="AH150" s="812"/>
      <c r="AI150" s="812"/>
      <c r="AJ150" s="812"/>
      <c r="AK150" s="812"/>
      <c r="AL150" s="812"/>
      <c r="AM150" s="812"/>
      <c r="AN150" s="812"/>
      <c r="AO150" s="812"/>
      <c r="AP150" s="812"/>
      <c r="AQ150" s="817"/>
      <c r="AR150" s="817"/>
      <c r="AS150" s="818"/>
    </row>
    <row r="151" spans="1:65" s="3" customFormat="1" ht="66.75" customHeight="1" x14ac:dyDescent="0.25">
      <c r="A151" s="1802"/>
      <c r="B151" s="899"/>
      <c r="C151" s="1802"/>
      <c r="D151" s="1803"/>
      <c r="E151" s="3414"/>
      <c r="F151" s="3414"/>
      <c r="G151" s="3363">
        <v>3604006</v>
      </c>
      <c r="H151" s="3376" t="s">
        <v>1348</v>
      </c>
      <c r="I151" s="3363">
        <v>3604006</v>
      </c>
      <c r="J151" s="3376" t="s">
        <v>1348</v>
      </c>
      <c r="K151" s="3055" t="s">
        <v>1349</v>
      </c>
      <c r="L151" s="2145" t="s">
        <v>1350</v>
      </c>
      <c r="M151" s="3055" t="s">
        <v>1349</v>
      </c>
      <c r="N151" s="2145" t="s">
        <v>1350</v>
      </c>
      <c r="O151" s="2128">
        <v>200</v>
      </c>
      <c r="P151" s="2128" t="s">
        <v>1351</v>
      </c>
      <c r="Q151" s="2145" t="s">
        <v>1352</v>
      </c>
      <c r="R151" s="3082">
        <f>SUM(W151:W155)/S151</f>
        <v>1</v>
      </c>
      <c r="S151" s="3477">
        <f>SUM(W151:W155)</f>
        <v>38195000</v>
      </c>
      <c r="T151" s="2145" t="s">
        <v>1353</v>
      </c>
      <c r="U151" s="2145" t="s">
        <v>1112</v>
      </c>
      <c r="V151" s="3484" t="s">
        <v>1354</v>
      </c>
      <c r="W151" s="832">
        <v>1000000</v>
      </c>
      <c r="X151" s="913" t="s">
        <v>1355</v>
      </c>
      <c r="Y151" s="834">
        <v>20</v>
      </c>
      <c r="Z151" s="1708" t="s">
        <v>387</v>
      </c>
      <c r="AA151" s="3485">
        <v>104</v>
      </c>
      <c r="AB151" s="2027">
        <v>96</v>
      </c>
      <c r="AC151" s="3479">
        <v>25</v>
      </c>
      <c r="AD151" s="3479">
        <v>50</v>
      </c>
      <c r="AE151" s="3479">
        <v>125</v>
      </c>
      <c r="AF151" s="2355"/>
      <c r="AG151" s="2355"/>
      <c r="AH151" s="2355"/>
      <c r="AI151" s="2355"/>
      <c r="AJ151" s="2355"/>
      <c r="AK151" s="2355"/>
      <c r="AL151" s="2355"/>
      <c r="AM151" s="2355"/>
      <c r="AN151" s="2355"/>
      <c r="AO151" s="2355"/>
      <c r="AP151" s="2355">
        <v>200</v>
      </c>
      <c r="AQ151" s="3090">
        <v>44197</v>
      </c>
      <c r="AR151" s="3090">
        <v>44561</v>
      </c>
      <c r="AS151" s="2355" t="s">
        <v>1356</v>
      </c>
    </row>
    <row r="152" spans="1:65" s="3" customFormat="1" ht="66.75" customHeight="1" x14ac:dyDescent="0.25">
      <c r="A152" s="1802"/>
      <c r="B152" s="899"/>
      <c r="C152" s="1802"/>
      <c r="D152" s="1803"/>
      <c r="E152" s="3414"/>
      <c r="F152" s="3414"/>
      <c r="G152" s="3363"/>
      <c r="H152" s="3376"/>
      <c r="I152" s="3363"/>
      <c r="J152" s="3376"/>
      <c r="K152" s="3055"/>
      <c r="L152" s="2145"/>
      <c r="M152" s="3055"/>
      <c r="N152" s="2145"/>
      <c r="O152" s="2128"/>
      <c r="P152" s="2128"/>
      <c r="Q152" s="2145"/>
      <c r="R152" s="3082"/>
      <c r="S152" s="3477"/>
      <c r="T152" s="2145"/>
      <c r="U152" s="2145"/>
      <c r="V152" s="2146"/>
      <c r="W152" s="832">
        <v>20195000</v>
      </c>
      <c r="X152" s="913" t="s">
        <v>1357</v>
      </c>
      <c r="Y152" s="834">
        <v>88</v>
      </c>
      <c r="Z152" s="1708" t="s">
        <v>1075</v>
      </c>
      <c r="AA152" s="3485"/>
      <c r="AB152" s="2027"/>
      <c r="AC152" s="3479"/>
      <c r="AD152" s="3479"/>
      <c r="AE152" s="3479"/>
      <c r="AF152" s="2355"/>
      <c r="AG152" s="2355"/>
      <c r="AH152" s="2355"/>
      <c r="AI152" s="2355"/>
      <c r="AJ152" s="2355"/>
      <c r="AK152" s="2355"/>
      <c r="AL152" s="2355"/>
      <c r="AM152" s="2355"/>
      <c r="AN152" s="2355"/>
      <c r="AO152" s="2355"/>
      <c r="AP152" s="2355"/>
      <c r="AQ152" s="3090"/>
      <c r="AR152" s="3090"/>
      <c r="AS152" s="2355"/>
    </row>
    <row r="153" spans="1:65" s="3" customFormat="1" ht="100.5" customHeight="1" x14ac:dyDescent="0.25">
      <c r="A153" s="1802"/>
      <c r="B153" s="899"/>
      <c r="C153" s="1802"/>
      <c r="D153" s="1803"/>
      <c r="E153" s="3414"/>
      <c r="F153" s="3414"/>
      <c r="G153" s="3363"/>
      <c r="H153" s="3451"/>
      <c r="I153" s="3363"/>
      <c r="J153" s="3451"/>
      <c r="K153" s="3055"/>
      <c r="L153" s="2145"/>
      <c r="M153" s="3055"/>
      <c r="N153" s="2145"/>
      <c r="O153" s="2128"/>
      <c r="P153" s="2128"/>
      <c r="Q153" s="2145"/>
      <c r="R153" s="3082"/>
      <c r="S153" s="3477"/>
      <c r="T153" s="2145"/>
      <c r="U153" s="2145"/>
      <c r="V153" s="1740" t="s">
        <v>1358</v>
      </c>
      <c r="W153" s="832">
        <v>6000000</v>
      </c>
      <c r="X153" s="913" t="s">
        <v>1355</v>
      </c>
      <c r="Y153" s="834">
        <v>20</v>
      </c>
      <c r="Z153" s="1708" t="s">
        <v>387</v>
      </c>
      <c r="AA153" s="3485"/>
      <c r="AB153" s="2027"/>
      <c r="AC153" s="3479"/>
      <c r="AD153" s="3479"/>
      <c r="AE153" s="3479"/>
      <c r="AF153" s="2355"/>
      <c r="AG153" s="2355"/>
      <c r="AH153" s="2355"/>
      <c r="AI153" s="2355"/>
      <c r="AJ153" s="2355"/>
      <c r="AK153" s="2355"/>
      <c r="AL153" s="2355"/>
      <c r="AM153" s="2355"/>
      <c r="AN153" s="2355"/>
      <c r="AO153" s="2355"/>
      <c r="AP153" s="2355"/>
      <c r="AQ153" s="3090"/>
      <c r="AR153" s="3090"/>
      <c r="AS153" s="2355"/>
    </row>
    <row r="154" spans="1:65" s="3" customFormat="1" ht="77.25" customHeight="1" x14ac:dyDescent="0.25">
      <c r="A154" s="1802"/>
      <c r="B154" s="899"/>
      <c r="C154" s="1802"/>
      <c r="D154" s="1803"/>
      <c r="E154" s="3414"/>
      <c r="F154" s="3414"/>
      <c r="G154" s="3363"/>
      <c r="H154" s="3451"/>
      <c r="I154" s="3363"/>
      <c r="J154" s="3451"/>
      <c r="K154" s="3055"/>
      <c r="L154" s="2145"/>
      <c r="M154" s="3055"/>
      <c r="N154" s="2145"/>
      <c r="O154" s="2128"/>
      <c r="P154" s="2128"/>
      <c r="Q154" s="2145"/>
      <c r="R154" s="3082"/>
      <c r="S154" s="3477"/>
      <c r="T154" s="2145"/>
      <c r="U154" s="2145"/>
      <c r="V154" s="1740" t="s">
        <v>1359</v>
      </c>
      <c r="W154" s="832">
        <v>2000000</v>
      </c>
      <c r="X154" s="913" t="s">
        <v>1355</v>
      </c>
      <c r="Y154" s="834">
        <v>20</v>
      </c>
      <c r="Z154" s="1708" t="s">
        <v>387</v>
      </c>
      <c r="AA154" s="3485"/>
      <c r="AB154" s="2027"/>
      <c r="AC154" s="3479"/>
      <c r="AD154" s="3479"/>
      <c r="AE154" s="3479"/>
      <c r="AF154" s="2355"/>
      <c r="AG154" s="2355"/>
      <c r="AH154" s="2355"/>
      <c r="AI154" s="2355"/>
      <c r="AJ154" s="2355"/>
      <c r="AK154" s="2355"/>
      <c r="AL154" s="2355"/>
      <c r="AM154" s="2355"/>
      <c r="AN154" s="2355"/>
      <c r="AO154" s="2355"/>
      <c r="AP154" s="2355"/>
      <c r="AQ154" s="3090"/>
      <c r="AR154" s="3090"/>
      <c r="AS154" s="2355"/>
    </row>
    <row r="155" spans="1:65" s="3" customFormat="1" ht="45.75" customHeight="1" x14ac:dyDescent="0.25">
      <c r="A155" s="903"/>
      <c r="B155" s="899"/>
      <c r="C155" s="1802"/>
      <c r="D155" s="1803"/>
      <c r="E155" s="3414"/>
      <c r="F155" s="3414"/>
      <c r="G155" s="3365"/>
      <c r="H155" s="3480"/>
      <c r="I155" s="3365"/>
      <c r="J155" s="3480"/>
      <c r="K155" s="3055"/>
      <c r="L155" s="2145"/>
      <c r="M155" s="3055"/>
      <c r="N155" s="2145"/>
      <c r="O155" s="2128"/>
      <c r="P155" s="2128"/>
      <c r="Q155" s="2145"/>
      <c r="R155" s="3082"/>
      <c r="S155" s="3477"/>
      <c r="T155" s="2145"/>
      <c r="U155" s="2145"/>
      <c r="V155" s="1739" t="s">
        <v>1360</v>
      </c>
      <c r="W155" s="819">
        <v>9000000</v>
      </c>
      <c r="X155" s="913" t="s">
        <v>1355</v>
      </c>
      <c r="Y155" s="834">
        <v>20</v>
      </c>
      <c r="Z155" s="1708" t="s">
        <v>387</v>
      </c>
      <c r="AA155" s="3485"/>
      <c r="AB155" s="2027"/>
      <c r="AC155" s="3479"/>
      <c r="AD155" s="3479"/>
      <c r="AE155" s="3479"/>
      <c r="AF155" s="2355"/>
      <c r="AG155" s="2355"/>
      <c r="AH155" s="2355"/>
      <c r="AI155" s="2355"/>
      <c r="AJ155" s="2355"/>
      <c r="AK155" s="2355"/>
      <c r="AL155" s="2355"/>
      <c r="AM155" s="2355"/>
      <c r="AN155" s="2355"/>
      <c r="AO155" s="2355"/>
      <c r="AP155" s="2355"/>
      <c r="AQ155" s="3090"/>
      <c r="AR155" s="3090"/>
      <c r="AS155" s="2355"/>
    </row>
    <row r="156" spans="1:65" ht="24.75" customHeight="1" x14ac:dyDescent="0.25">
      <c r="A156" s="567">
        <v>4</v>
      </c>
      <c r="B156" s="3475" t="s">
        <v>1361</v>
      </c>
      <c r="C156" s="3047"/>
      <c r="D156" s="3047"/>
      <c r="E156" s="3047"/>
      <c r="F156" s="3047"/>
      <c r="G156" s="3047"/>
      <c r="H156" s="374"/>
      <c r="I156" s="892"/>
      <c r="J156" s="914"/>
      <c r="K156" s="892"/>
      <c r="L156" s="914"/>
      <c r="M156" s="892"/>
      <c r="N156" s="914"/>
      <c r="O156" s="892"/>
      <c r="P156" s="892"/>
      <c r="Q156" s="914"/>
      <c r="R156" s="915"/>
      <c r="S156" s="916"/>
      <c r="T156" s="914"/>
      <c r="U156" s="914"/>
      <c r="V156" s="914"/>
      <c r="W156" s="916"/>
      <c r="X156" s="888"/>
      <c r="Y156" s="917"/>
      <c r="Z156" s="303"/>
      <c r="AA156" s="892"/>
      <c r="AB156" s="892"/>
      <c r="AC156" s="892"/>
      <c r="AD156" s="892"/>
      <c r="AE156" s="892"/>
      <c r="AF156" s="892"/>
      <c r="AG156" s="892"/>
      <c r="AH156" s="892"/>
      <c r="AI156" s="892"/>
      <c r="AJ156" s="892"/>
      <c r="AK156" s="892"/>
      <c r="AL156" s="892"/>
      <c r="AM156" s="892"/>
      <c r="AN156" s="892"/>
      <c r="AO156" s="892"/>
      <c r="AP156" s="892"/>
      <c r="AQ156" s="894"/>
      <c r="AR156" s="894"/>
      <c r="AS156" s="895"/>
      <c r="AT156" s="3"/>
      <c r="AU156" s="3"/>
      <c r="AV156" s="3"/>
      <c r="AW156" s="3"/>
      <c r="AX156" s="3"/>
      <c r="AY156" s="3"/>
      <c r="AZ156" s="3"/>
      <c r="BA156" s="3"/>
      <c r="BB156" s="3"/>
      <c r="BC156" s="3"/>
      <c r="BD156" s="3"/>
      <c r="BE156" s="3"/>
      <c r="BF156" s="3"/>
      <c r="BG156" s="3"/>
      <c r="BH156" s="3"/>
      <c r="BI156" s="3"/>
      <c r="BJ156" s="3"/>
      <c r="BK156" s="3"/>
      <c r="BL156" s="3"/>
      <c r="BM156" s="3"/>
    </row>
    <row r="157" spans="1:65" s="80" customFormat="1" ht="24.75" customHeight="1" x14ac:dyDescent="0.25">
      <c r="A157" s="1733"/>
      <c r="B157" s="918"/>
      <c r="C157" s="919">
        <v>45</v>
      </c>
      <c r="D157" s="3481" t="s">
        <v>1362</v>
      </c>
      <c r="E157" s="3482"/>
      <c r="F157" s="3483"/>
      <c r="G157" s="3483"/>
      <c r="H157" s="920"/>
      <c r="I157" s="314"/>
      <c r="J157" s="315"/>
      <c r="K157" s="314"/>
      <c r="L157" s="315"/>
      <c r="M157" s="314"/>
      <c r="N157" s="315"/>
      <c r="O157" s="314"/>
      <c r="P157" s="314"/>
      <c r="Q157" s="315"/>
      <c r="R157" s="443"/>
      <c r="S157" s="897"/>
      <c r="T157" s="315"/>
      <c r="U157" s="315"/>
      <c r="V157" s="315"/>
      <c r="W157" s="897"/>
      <c r="X157" s="314"/>
      <c r="Y157" s="446"/>
      <c r="Z157" s="316"/>
      <c r="AA157" s="314"/>
      <c r="AB157" s="314"/>
      <c r="AC157" s="314"/>
      <c r="AD157" s="314"/>
      <c r="AE157" s="314"/>
      <c r="AF157" s="314"/>
      <c r="AG157" s="314"/>
      <c r="AH157" s="314"/>
      <c r="AI157" s="314"/>
      <c r="AJ157" s="314"/>
      <c r="AK157" s="314"/>
      <c r="AL157" s="314"/>
      <c r="AM157" s="314"/>
      <c r="AN157" s="314"/>
      <c r="AO157" s="314"/>
      <c r="AP157" s="314"/>
      <c r="AQ157" s="447"/>
      <c r="AR157" s="447"/>
      <c r="AS157" s="898"/>
    </row>
    <row r="158" spans="1:65" s="3" customFormat="1" ht="27" customHeight="1" x14ac:dyDescent="0.25">
      <c r="A158" s="1802"/>
      <c r="B158" s="899"/>
      <c r="C158" s="1802"/>
      <c r="D158" s="1803"/>
      <c r="E158" s="921">
        <v>4502</v>
      </c>
      <c r="F158" s="1771" t="s">
        <v>362</v>
      </c>
      <c r="G158" s="1772"/>
      <c r="H158" s="922"/>
      <c r="I158" s="923"/>
      <c r="J158" s="922"/>
      <c r="K158" s="871"/>
      <c r="L158" s="872"/>
      <c r="M158" s="389"/>
      <c r="N158" s="924"/>
      <c r="O158" s="389"/>
      <c r="P158" s="389"/>
      <c r="Q158" s="391"/>
      <c r="R158" s="389"/>
      <c r="S158" s="925"/>
      <c r="T158" s="864"/>
      <c r="U158" s="864"/>
      <c r="V158" s="864"/>
      <c r="W158" s="814"/>
      <c r="X158" s="902"/>
      <c r="Y158" s="816"/>
      <c r="Z158" s="206"/>
      <c r="AA158" s="812"/>
      <c r="AB158" s="812"/>
      <c r="AC158" s="812"/>
      <c r="AD158" s="812"/>
      <c r="AE158" s="812"/>
      <c r="AF158" s="812"/>
      <c r="AG158" s="812"/>
      <c r="AH158" s="812"/>
      <c r="AI158" s="812"/>
      <c r="AJ158" s="812"/>
      <c r="AK158" s="812"/>
      <c r="AL158" s="812"/>
      <c r="AM158" s="812"/>
      <c r="AN158" s="812"/>
      <c r="AO158" s="812"/>
      <c r="AP158" s="812"/>
      <c r="AQ158" s="817"/>
      <c r="AR158" s="817"/>
      <c r="AS158" s="818"/>
    </row>
    <row r="159" spans="1:65" s="3" customFormat="1" ht="239.25" customHeight="1" x14ac:dyDescent="0.25">
      <c r="A159" s="1802"/>
      <c r="B159" s="899"/>
      <c r="C159" s="1802"/>
      <c r="D159" s="1803"/>
      <c r="E159" s="1784"/>
      <c r="F159" s="1768"/>
      <c r="G159" s="1715">
        <v>4502001</v>
      </c>
      <c r="H159" s="1717" t="s">
        <v>123</v>
      </c>
      <c r="I159" s="1715">
        <v>4502001</v>
      </c>
      <c r="J159" s="1717" t="s">
        <v>123</v>
      </c>
      <c r="K159" s="1715" t="s">
        <v>1363</v>
      </c>
      <c r="L159" s="1717" t="s">
        <v>1364</v>
      </c>
      <c r="M159" s="1715">
        <v>450200108</v>
      </c>
      <c r="N159" s="1717" t="s">
        <v>1365</v>
      </c>
      <c r="O159" s="1715">
        <v>1</v>
      </c>
      <c r="P159" s="1715" t="s">
        <v>1366</v>
      </c>
      <c r="Q159" s="1717" t="s">
        <v>1367</v>
      </c>
      <c r="R159" s="1766">
        <f>W159/S159</f>
        <v>1</v>
      </c>
      <c r="S159" s="1778">
        <f>SUM(W159)</f>
        <v>18000000</v>
      </c>
      <c r="T159" s="1717" t="s">
        <v>1368</v>
      </c>
      <c r="U159" s="1742" t="s">
        <v>1112</v>
      </c>
      <c r="V159" s="1740" t="s">
        <v>1369</v>
      </c>
      <c r="W159" s="832">
        <v>18000000</v>
      </c>
      <c r="X159" s="833" t="s">
        <v>1370</v>
      </c>
      <c r="Y159" s="1779">
        <v>20</v>
      </c>
      <c r="Z159" s="1709" t="s">
        <v>387</v>
      </c>
      <c r="AA159" s="1776">
        <v>400</v>
      </c>
      <c r="AB159" s="1754"/>
      <c r="AC159" s="1732"/>
      <c r="AD159" s="1732"/>
      <c r="AE159" s="1732">
        <v>400</v>
      </c>
      <c r="AF159" s="1732"/>
      <c r="AG159" s="1732"/>
      <c r="AH159" s="1732"/>
      <c r="AI159" s="1732"/>
      <c r="AJ159" s="1732"/>
      <c r="AK159" s="1732"/>
      <c r="AL159" s="1732"/>
      <c r="AM159" s="1732"/>
      <c r="AN159" s="1732"/>
      <c r="AO159" s="1732"/>
      <c r="AP159" s="1732">
        <v>400</v>
      </c>
      <c r="AQ159" s="1755">
        <v>44197</v>
      </c>
      <c r="AR159" s="1755">
        <v>44561</v>
      </c>
      <c r="AS159" s="1756" t="str">
        <f>$AS$147</f>
        <v>VALENTINA LÓPEZ MADRID- JEFE DE LA MUJE RY LA EQUIDAD</v>
      </c>
    </row>
    <row r="160" spans="1:65" s="3" customFormat="1" ht="57.75" customHeight="1" x14ac:dyDescent="0.25">
      <c r="A160" s="1802"/>
      <c r="B160" s="899"/>
      <c r="C160" s="1802"/>
      <c r="D160" s="1803"/>
      <c r="E160" s="1784"/>
      <c r="F160" s="1784"/>
      <c r="G160" s="3363" t="s">
        <v>62</v>
      </c>
      <c r="H160" s="3439" t="s">
        <v>1371</v>
      </c>
      <c r="I160" s="3363">
        <v>4502038</v>
      </c>
      <c r="J160" s="3439" t="s">
        <v>1372</v>
      </c>
      <c r="K160" s="3363" t="s">
        <v>62</v>
      </c>
      <c r="L160" s="3439" t="s">
        <v>1373</v>
      </c>
      <c r="M160" s="3363">
        <v>450203800</v>
      </c>
      <c r="N160" s="3439" t="s">
        <v>1374</v>
      </c>
      <c r="O160" s="3363">
        <v>1</v>
      </c>
      <c r="P160" s="3363" t="s">
        <v>1375</v>
      </c>
      <c r="Q160" s="3439" t="s">
        <v>1376</v>
      </c>
      <c r="R160" s="3486">
        <f>SUM(W160:W166)/S160</f>
        <v>1</v>
      </c>
      <c r="S160" s="3487">
        <f>SUM(W160:W166)</f>
        <v>77000000</v>
      </c>
      <c r="T160" s="3439" t="s">
        <v>1377</v>
      </c>
      <c r="U160" s="3439" t="s">
        <v>1378</v>
      </c>
      <c r="V160" s="927" t="s">
        <v>1379</v>
      </c>
      <c r="W160" s="928">
        <v>24690000</v>
      </c>
      <c r="X160" s="833" t="s">
        <v>1380</v>
      </c>
      <c r="Y160" s="3154">
        <v>20</v>
      </c>
      <c r="Z160" s="2108" t="s">
        <v>387</v>
      </c>
      <c r="AA160" s="3356">
        <v>3200</v>
      </c>
      <c r="AB160" s="3355" t="s">
        <v>294</v>
      </c>
      <c r="AC160" s="3356">
        <v>500</v>
      </c>
      <c r="AD160" s="3355">
        <v>1500</v>
      </c>
      <c r="AE160" s="3356">
        <v>900</v>
      </c>
      <c r="AF160" s="3355">
        <v>235</v>
      </c>
      <c r="AG160" s="3356">
        <v>15</v>
      </c>
      <c r="AH160" s="3355">
        <v>15</v>
      </c>
      <c r="AI160" s="3356" t="s">
        <v>294</v>
      </c>
      <c r="AJ160" s="3355" t="s">
        <v>294</v>
      </c>
      <c r="AK160" s="3356" t="s">
        <v>294</v>
      </c>
      <c r="AL160" s="3355" t="s">
        <v>294</v>
      </c>
      <c r="AM160" s="3356">
        <v>10</v>
      </c>
      <c r="AN160" s="3355">
        <v>15</v>
      </c>
      <c r="AO160" s="3356">
        <v>10</v>
      </c>
      <c r="AP160" s="2879">
        <f>SUM(AC160:AO164)</f>
        <v>3200</v>
      </c>
      <c r="AQ160" s="3488">
        <v>44197</v>
      </c>
      <c r="AR160" s="3391">
        <v>44561</v>
      </c>
      <c r="AS160" s="2189" t="s">
        <v>1344</v>
      </c>
    </row>
    <row r="161" spans="1:45" s="3" customFormat="1" ht="73.5" customHeight="1" x14ac:dyDescent="0.25">
      <c r="A161" s="1802"/>
      <c r="B161" s="899"/>
      <c r="C161" s="1802"/>
      <c r="D161" s="1803"/>
      <c r="E161" s="1784"/>
      <c r="F161" s="1784"/>
      <c r="G161" s="3363"/>
      <c r="H161" s="3439"/>
      <c r="I161" s="3363"/>
      <c r="J161" s="3439"/>
      <c r="K161" s="3363"/>
      <c r="L161" s="3439"/>
      <c r="M161" s="3363"/>
      <c r="N161" s="3439"/>
      <c r="O161" s="3363"/>
      <c r="P161" s="3363"/>
      <c r="Q161" s="3439"/>
      <c r="R161" s="3486"/>
      <c r="S161" s="3487"/>
      <c r="T161" s="3439"/>
      <c r="U161" s="3439"/>
      <c r="V161" s="927" t="s">
        <v>1381</v>
      </c>
      <c r="W161" s="928">
        <v>15400000</v>
      </c>
      <c r="X161" s="833" t="s">
        <v>1380</v>
      </c>
      <c r="Y161" s="3154"/>
      <c r="Z161" s="2108"/>
      <c r="AA161" s="3356"/>
      <c r="AB161" s="3355"/>
      <c r="AC161" s="3356"/>
      <c r="AD161" s="3355"/>
      <c r="AE161" s="3356"/>
      <c r="AF161" s="3355"/>
      <c r="AG161" s="3356"/>
      <c r="AH161" s="3355"/>
      <c r="AI161" s="3356"/>
      <c r="AJ161" s="3355"/>
      <c r="AK161" s="3356"/>
      <c r="AL161" s="3355"/>
      <c r="AM161" s="3356"/>
      <c r="AN161" s="3355"/>
      <c r="AO161" s="3356"/>
      <c r="AP161" s="2879"/>
      <c r="AQ161" s="3488"/>
      <c r="AR161" s="3391"/>
      <c r="AS161" s="2189"/>
    </row>
    <row r="162" spans="1:45" s="3" customFormat="1" ht="42" customHeight="1" x14ac:dyDescent="0.25">
      <c r="A162" s="1802"/>
      <c r="B162" s="899"/>
      <c r="C162" s="1802"/>
      <c r="D162" s="1803"/>
      <c r="E162" s="1784"/>
      <c r="F162" s="1784"/>
      <c r="G162" s="3363"/>
      <c r="H162" s="3439"/>
      <c r="I162" s="3363"/>
      <c r="J162" s="3439"/>
      <c r="K162" s="3363"/>
      <c r="L162" s="3439"/>
      <c r="M162" s="3363"/>
      <c r="N162" s="3439"/>
      <c r="O162" s="3363"/>
      <c r="P162" s="3363"/>
      <c r="Q162" s="3439"/>
      <c r="R162" s="3486"/>
      <c r="S162" s="3487"/>
      <c r="T162" s="3439"/>
      <c r="U162" s="3439"/>
      <c r="V162" s="927" t="s">
        <v>1048</v>
      </c>
      <c r="W162" s="928">
        <v>2400000</v>
      </c>
      <c r="X162" s="833" t="s">
        <v>1382</v>
      </c>
      <c r="Y162" s="3154"/>
      <c r="Z162" s="2108"/>
      <c r="AA162" s="3356"/>
      <c r="AB162" s="3355"/>
      <c r="AC162" s="3356"/>
      <c r="AD162" s="3355"/>
      <c r="AE162" s="3356"/>
      <c r="AF162" s="3355"/>
      <c r="AG162" s="3356"/>
      <c r="AH162" s="3355"/>
      <c r="AI162" s="3356"/>
      <c r="AJ162" s="3355"/>
      <c r="AK162" s="3356"/>
      <c r="AL162" s="3355"/>
      <c r="AM162" s="3356"/>
      <c r="AN162" s="3355"/>
      <c r="AO162" s="3356"/>
      <c r="AP162" s="2879"/>
      <c r="AQ162" s="3488"/>
      <c r="AR162" s="3391"/>
      <c r="AS162" s="2189"/>
    </row>
    <row r="163" spans="1:45" s="3" customFormat="1" ht="55.5" customHeight="1" x14ac:dyDescent="0.25">
      <c r="A163" s="1802"/>
      <c r="B163" s="899"/>
      <c r="C163" s="1802"/>
      <c r="D163" s="1803"/>
      <c r="E163" s="1784"/>
      <c r="F163" s="1784"/>
      <c r="G163" s="3363"/>
      <c r="H163" s="3439"/>
      <c r="I163" s="3363"/>
      <c r="J163" s="3439"/>
      <c r="K163" s="3363"/>
      <c r="L163" s="3439"/>
      <c r="M163" s="3363"/>
      <c r="N163" s="3439"/>
      <c r="O163" s="3363"/>
      <c r="P163" s="3363"/>
      <c r="Q163" s="3439"/>
      <c r="R163" s="3486"/>
      <c r="S163" s="3487"/>
      <c r="T163" s="3439"/>
      <c r="U163" s="3439"/>
      <c r="V163" s="927" t="s">
        <v>1383</v>
      </c>
      <c r="W163" s="928">
        <v>24510000</v>
      </c>
      <c r="X163" s="833" t="s">
        <v>1380</v>
      </c>
      <c r="Y163" s="3154"/>
      <c r="Z163" s="2108"/>
      <c r="AA163" s="3356"/>
      <c r="AB163" s="3355"/>
      <c r="AC163" s="3356"/>
      <c r="AD163" s="3355"/>
      <c r="AE163" s="3356"/>
      <c r="AF163" s="3355"/>
      <c r="AG163" s="3356"/>
      <c r="AH163" s="3355"/>
      <c r="AI163" s="3356"/>
      <c r="AJ163" s="3355"/>
      <c r="AK163" s="3356"/>
      <c r="AL163" s="3355"/>
      <c r="AM163" s="3356"/>
      <c r="AN163" s="3355"/>
      <c r="AO163" s="3356"/>
      <c r="AP163" s="2879"/>
      <c r="AQ163" s="3488"/>
      <c r="AR163" s="3391"/>
      <c r="AS163" s="2189"/>
    </row>
    <row r="164" spans="1:45" s="3" customFormat="1" ht="61.5" customHeight="1" x14ac:dyDescent="0.25">
      <c r="A164" s="1802"/>
      <c r="B164" s="899"/>
      <c r="C164" s="1802"/>
      <c r="D164" s="1803"/>
      <c r="E164" s="1784"/>
      <c r="F164" s="1784"/>
      <c r="G164" s="3363"/>
      <c r="H164" s="3439"/>
      <c r="I164" s="3363"/>
      <c r="J164" s="3439"/>
      <c r="K164" s="3363"/>
      <c r="L164" s="3439"/>
      <c r="M164" s="3363"/>
      <c r="N164" s="3439"/>
      <c r="O164" s="3363"/>
      <c r="P164" s="3363"/>
      <c r="Q164" s="3439"/>
      <c r="R164" s="3486"/>
      <c r="S164" s="3487"/>
      <c r="T164" s="3439"/>
      <c r="U164" s="3439"/>
      <c r="V164" s="927" t="s">
        <v>1384</v>
      </c>
      <c r="W164" s="928">
        <v>0</v>
      </c>
      <c r="X164" s="833" t="s">
        <v>1380</v>
      </c>
      <c r="Y164" s="3154"/>
      <c r="Z164" s="2108"/>
      <c r="AA164" s="3356"/>
      <c r="AB164" s="3355"/>
      <c r="AC164" s="3356"/>
      <c r="AD164" s="3355"/>
      <c r="AE164" s="3356"/>
      <c r="AF164" s="3355"/>
      <c r="AG164" s="3356"/>
      <c r="AH164" s="3355"/>
      <c r="AI164" s="3356"/>
      <c r="AJ164" s="3355"/>
      <c r="AK164" s="3356"/>
      <c r="AL164" s="3355"/>
      <c r="AM164" s="3356"/>
      <c r="AN164" s="3355"/>
      <c r="AO164" s="3356"/>
      <c r="AP164" s="2879"/>
      <c r="AQ164" s="3488"/>
      <c r="AR164" s="3391"/>
      <c r="AS164" s="2189"/>
    </row>
    <row r="165" spans="1:45" s="3" customFormat="1" ht="36.75" customHeight="1" x14ac:dyDescent="0.25">
      <c r="A165" s="1802"/>
      <c r="B165" s="899"/>
      <c r="C165" s="1802"/>
      <c r="D165" s="1803"/>
      <c r="E165" s="1784"/>
      <c r="F165" s="1784"/>
      <c r="G165" s="3363"/>
      <c r="H165" s="3439"/>
      <c r="I165" s="3363"/>
      <c r="J165" s="3439"/>
      <c r="K165" s="3363"/>
      <c r="L165" s="3439"/>
      <c r="M165" s="3363"/>
      <c r="N165" s="3439"/>
      <c r="O165" s="3363"/>
      <c r="P165" s="3363"/>
      <c r="Q165" s="3439"/>
      <c r="R165" s="3486"/>
      <c r="S165" s="3487"/>
      <c r="T165" s="3439"/>
      <c r="U165" s="3439"/>
      <c r="V165" s="846" t="s">
        <v>1052</v>
      </c>
      <c r="W165" s="847">
        <v>5000000</v>
      </c>
      <c r="X165" s="833" t="s">
        <v>1385</v>
      </c>
      <c r="Y165" s="3154"/>
      <c r="Z165" s="2108"/>
      <c r="AA165" s="3356"/>
      <c r="AB165" s="3355"/>
      <c r="AC165" s="3356"/>
      <c r="AD165" s="3355"/>
      <c r="AE165" s="3356"/>
      <c r="AF165" s="3355"/>
      <c r="AG165" s="3356"/>
      <c r="AH165" s="3355"/>
      <c r="AI165" s="3356"/>
      <c r="AJ165" s="3355"/>
      <c r="AK165" s="3356"/>
      <c r="AL165" s="3355"/>
      <c r="AM165" s="3356"/>
      <c r="AN165" s="3355"/>
      <c r="AO165" s="3356"/>
      <c r="AP165" s="2879"/>
      <c r="AQ165" s="3488"/>
      <c r="AR165" s="3391"/>
      <c r="AS165" s="2189"/>
    </row>
    <row r="166" spans="1:45" s="3" customFormat="1" ht="33.75" customHeight="1" x14ac:dyDescent="0.25">
      <c r="A166" s="1802"/>
      <c r="B166" s="899"/>
      <c r="C166" s="1802"/>
      <c r="D166" s="1803"/>
      <c r="E166" s="1784"/>
      <c r="F166" s="1784"/>
      <c r="G166" s="3363"/>
      <c r="H166" s="3439"/>
      <c r="I166" s="3363"/>
      <c r="J166" s="3439"/>
      <c r="K166" s="3363"/>
      <c r="L166" s="3439"/>
      <c r="M166" s="3363"/>
      <c r="N166" s="3439"/>
      <c r="O166" s="3363"/>
      <c r="P166" s="3363"/>
      <c r="Q166" s="3439"/>
      <c r="R166" s="3486"/>
      <c r="S166" s="3487"/>
      <c r="T166" s="3439"/>
      <c r="U166" s="3439"/>
      <c r="V166" s="846" t="s">
        <v>1098</v>
      </c>
      <c r="W166" s="847">
        <v>5000000</v>
      </c>
      <c r="X166" s="833" t="s">
        <v>1386</v>
      </c>
      <c r="Y166" s="3154"/>
      <c r="Z166" s="2108"/>
      <c r="AA166" s="3356"/>
      <c r="AB166" s="3355"/>
      <c r="AC166" s="3356"/>
      <c r="AD166" s="3355"/>
      <c r="AE166" s="3356"/>
      <c r="AF166" s="3355"/>
      <c r="AG166" s="3356"/>
      <c r="AH166" s="3355"/>
      <c r="AI166" s="3356"/>
      <c r="AJ166" s="3355"/>
      <c r="AK166" s="3356"/>
      <c r="AL166" s="3355"/>
      <c r="AM166" s="3356"/>
      <c r="AN166" s="3355"/>
      <c r="AO166" s="3356"/>
      <c r="AP166" s="2879"/>
      <c r="AQ166" s="3488"/>
      <c r="AR166" s="3391"/>
      <c r="AS166" s="2189"/>
    </row>
    <row r="167" spans="1:45" s="80" customFormat="1" ht="61.5" customHeight="1" x14ac:dyDescent="0.25">
      <c r="A167" s="1719"/>
      <c r="B167" s="831"/>
      <c r="C167" s="1719"/>
      <c r="D167" s="1720"/>
      <c r="E167" s="1746"/>
      <c r="F167" s="1746"/>
      <c r="G167" s="2868" t="s">
        <v>62</v>
      </c>
      <c r="H167" s="2893" t="s">
        <v>1387</v>
      </c>
      <c r="I167" s="2868">
        <v>4502038</v>
      </c>
      <c r="J167" s="2893" t="s">
        <v>1372</v>
      </c>
      <c r="K167" s="2868" t="s">
        <v>62</v>
      </c>
      <c r="L167" s="2893" t="s">
        <v>1388</v>
      </c>
      <c r="M167" s="2868">
        <v>450203800</v>
      </c>
      <c r="N167" s="2893" t="s">
        <v>1389</v>
      </c>
      <c r="O167" s="2868">
        <v>1</v>
      </c>
      <c r="P167" s="2868" t="s">
        <v>1390</v>
      </c>
      <c r="Q167" s="2893" t="s">
        <v>1391</v>
      </c>
      <c r="R167" s="3425">
        <f>SUM(W167:W174)/S167</f>
        <v>1</v>
      </c>
      <c r="S167" s="2889">
        <f>SUM(W167:W174)</f>
        <v>90000000</v>
      </c>
      <c r="T167" s="3489" t="s">
        <v>1392</v>
      </c>
      <c r="U167" s="2874" t="s">
        <v>1393</v>
      </c>
      <c r="V167" s="867" t="s">
        <v>1394</v>
      </c>
      <c r="W167" s="832">
        <v>22270000</v>
      </c>
      <c r="X167" s="833" t="s">
        <v>1395</v>
      </c>
      <c r="Y167" s="3444">
        <v>20</v>
      </c>
      <c r="Z167" s="2350" t="s">
        <v>387</v>
      </c>
      <c r="AA167" s="3491">
        <v>121</v>
      </c>
      <c r="AB167" s="3386">
        <v>176</v>
      </c>
      <c r="AC167" s="3386" t="s">
        <v>294</v>
      </c>
      <c r="AD167" s="3386">
        <v>171</v>
      </c>
      <c r="AE167" s="3386">
        <v>121</v>
      </c>
      <c r="AF167" s="3386">
        <v>5</v>
      </c>
      <c r="AG167" s="3386" t="s">
        <v>294</v>
      </c>
      <c r="AH167" s="2878"/>
      <c r="AI167" s="2878"/>
      <c r="AJ167" s="2878"/>
      <c r="AK167" s="2878"/>
      <c r="AL167" s="2878"/>
      <c r="AM167" s="2878"/>
      <c r="AN167" s="2878"/>
      <c r="AO167" s="2878"/>
      <c r="AP167" s="2878">
        <v>297</v>
      </c>
      <c r="AQ167" s="3446">
        <v>44197</v>
      </c>
      <c r="AR167" s="3446">
        <v>44561</v>
      </c>
      <c r="AS167" s="2878" t="s">
        <v>1344</v>
      </c>
    </row>
    <row r="168" spans="1:45" s="80" customFormat="1" ht="61.5" customHeight="1" x14ac:dyDescent="0.25">
      <c r="A168" s="1719"/>
      <c r="B168" s="831"/>
      <c r="C168" s="1719"/>
      <c r="D168" s="1720"/>
      <c r="E168" s="1746"/>
      <c r="F168" s="1746"/>
      <c r="G168" s="2901"/>
      <c r="H168" s="2897"/>
      <c r="I168" s="2901"/>
      <c r="J168" s="2897"/>
      <c r="K168" s="2901"/>
      <c r="L168" s="2897"/>
      <c r="M168" s="2901"/>
      <c r="N168" s="2897"/>
      <c r="O168" s="2901"/>
      <c r="P168" s="2901"/>
      <c r="Q168" s="2897"/>
      <c r="R168" s="3362"/>
      <c r="S168" s="2890"/>
      <c r="T168" s="3489"/>
      <c r="U168" s="3357"/>
      <c r="V168" s="867" t="s">
        <v>1396</v>
      </c>
      <c r="W168" s="832">
        <v>15000000</v>
      </c>
      <c r="X168" s="833" t="s">
        <v>1395</v>
      </c>
      <c r="Y168" s="3359"/>
      <c r="Z168" s="2350"/>
      <c r="AA168" s="3389"/>
      <c r="AB168" s="3355"/>
      <c r="AC168" s="3355"/>
      <c r="AD168" s="3355"/>
      <c r="AE168" s="3355"/>
      <c r="AF168" s="3355"/>
      <c r="AG168" s="3355"/>
      <c r="AH168" s="2879"/>
      <c r="AI168" s="2879"/>
      <c r="AJ168" s="2879"/>
      <c r="AK168" s="2879"/>
      <c r="AL168" s="2879"/>
      <c r="AM168" s="2879"/>
      <c r="AN168" s="2879"/>
      <c r="AO168" s="2879"/>
      <c r="AP168" s="2879"/>
      <c r="AQ168" s="3374"/>
      <c r="AR168" s="3374"/>
      <c r="AS168" s="2879"/>
    </row>
    <row r="169" spans="1:45" s="80" customFormat="1" ht="61.5" customHeight="1" x14ac:dyDescent="0.25">
      <c r="A169" s="1719"/>
      <c r="B169" s="831"/>
      <c r="C169" s="1719"/>
      <c r="D169" s="1720"/>
      <c r="E169" s="1746"/>
      <c r="F169" s="1746"/>
      <c r="G169" s="2901"/>
      <c r="H169" s="2897"/>
      <c r="I169" s="2901"/>
      <c r="J169" s="2897"/>
      <c r="K169" s="2901"/>
      <c r="L169" s="2897"/>
      <c r="M169" s="2901"/>
      <c r="N169" s="2897"/>
      <c r="O169" s="2901"/>
      <c r="P169" s="2901"/>
      <c r="Q169" s="2897"/>
      <c r="R169" s="3362"/>
      <c r="S169" s="2890"/>
      <c r="T169" s="3489"/>
      <c r="U169" s="3357"/>
      <c r="V169" s="867" t="s">
        <v>1397</v>
      </c>
      <c r="W169" s="832">
        <v>16730000</v>
      </c>
      <c r="X169" s="833" t="s">
        <v>1395</v>
      </c>
      <c r="Y169" s="3359"/>
      <c r="Z169" s="2350"/>
      <c r="AA169" s="3389"/>
      <c r="AB169" s="3355"/>
      <c r="AC169" s="3355"/>
      <c r="AD169" s="3355"/>
      <c r="AE169" s="3355"/>
      <c r="AF169" s="3355"/>
      <c r="AG169" s="3355"/>
      <c r="AH169" s="2879"/>
      <c r="AI169" s="2879"/>
      <c r="AJ169" s="2879"/>
      <c r="AK169" s="2879"/>
      <c r="AL169" s="2879"/>
      <c r="AM169" s="2879"/>
      <c r="AN169" s="2879"/>
      <c r="AO169" s="2879"/>
      <c r="AP169" s="2879"/>
      <c r="AQ169" s="3374"/>
      <c r="AR169" s="3374"/>
      <c r="AS169" s="2879"/>
    </row>
    <row r="170" spans="1:45" s="80" customFormat="1" ht="81.75" customHeight="1" x14ac:dyDescent="0.25">
      <c r="A170" s="1719"/>
      <c r="B170" s="831"/>
      <c r="C170" s="1719"/>
      <c r="D170" s="1720"/>
      <c r="E170" s="1746"/>
      <c r="F170" s="1746"/>
      <c r="G170" s="2901"/>
      <c r="H170" s="2897"/>
      <c r="I170" s="2901"/>
      <c r="J170" s="2897"/>
      <c r="K170" s="2901"/>
      <c r="L170" s="2897"/>
      <c r="M170" s="2901"/>
      <c r="N170" s="2897"/>
      <c r="O170" s="2901"/>
      <c r="P170" s="2901"/>
      <c r="Q170" s="2897"/>
      <c r="R170" s="3362"/>
      <c r="S170" s="2890"/>
      <c r="T170" s="3489"/>
      <c r="U170" s="3357"/>
      <c r="V170" s="867" t="s">
        <v>1398</v>
      </c>
      <c r="W170" s="832">
        <v>17000000</v>
      </c>
      <c r="X170" s="833" t="s">
        <v>1395</v>
      </c>
      <c r="Y170" s="3359"/>
      <c r="Z170" s="2350"/>
      <c r="AA170" s="3389"/>
      <c r="AB170" s="3355"/>
      <c r="AC170" s="3355"/>
      <c r="AD170" s="3355"/>
      <c r="AE170" s="3355"/>
      <c r="AF170" s="3355"/>
      <c r="AG170" s="3355"/>
      <c r="AH170" s="2879"/>
      <c r="AI170" s="2879"/>
      <c r="AJ170" s="2879"/>
      <c r="AK170" s="2879"/>
      <c r="AL170" s="2879"/>
      <c r="AM170" s="2879"/>
      <c r="AN170" s="2879"/>
      <c r="AO170" s="2879"/>
      <c r="AP170" s="2879"/>
      <c r="AQ170" s="3374"/>
      <c r="AR170" s="3374"/>
      <c r="AS170" s="2879"/>
    </row>
    <row r="171" spans="1:45" s="80" customFormat="1" ht="93.75" customHeight="1" x14ac:dyDescent="0.25">
      <c r="A171" s="1719"/>
      <c r="B171" s="831"/>
      <c r="C171" s="1719"/>
      <c r="D171" s="1720"/>
      <c r="E171" s="1746"/>
      <c r="F171" s="1746"/>
      <c r="G171" s="2901"/>
      <c r="H171" s="2897"/>
      <c r="I171" s="2901"/>
      <c r="J171" s="2897"/>
      <c r="K171" s="2901"/>
      <c r="L171" s="2897"/>
      <c r="M171" s="2901"/>
      <c r="N171" s="2897"/>
      <c r="O171" s="2901"/>
      <c r="P171" s="2901"/>
      <c r="Q171" s="2897"/>
      <c r="R171" s="3362"/>
      <c r="S171" s="2890"/>
      <c r="T171" s="3489"/>
      <c r="U171" s="3357"/>
      <c r="V171" s="867" t="s">
        <v>1399</v>
      </c>
      <c r="W171" s="832">
        <v>12000000</v>
      </c>
      <c r="X171" s="833" t="s">
        <v>1395</v>
      </c>
      <c r="Y171" s="3359"/>
      <c r="Z171" s="2350"/>
      <c r="AA171" s="3389"/>
      <c r="AB171" s="3355"/>
      <c r="AC171" s="3355"/>
      <c r="AD171" s="3355"/>
      <c r="AE171" s="3355"/>
      <c r="AF171" s="3355"/>
      <c r="AG171" s="3355"/>
      <c r="AH171" s="2879"/>
      <c r="AI171" s="2879"/>
      <c r="AJ171" s="2879"/>
      <c r="AK171" s="2879"/>
      <c r="AL171" s="2879"/>
      <c r="AM171" s="2879"/>
      <c r="AN171" s="2879"/>
      <c r="AO171" s="2879"/>
      <c r="AP171" s="2879"/>
      <c r="AQ171" s="3374"/>
      <c r="AR171" s="3374"/>
      <c r="AS171" s="2879"/>
    </row>
    <row r="172" spans="1:45" s="80" customFormat="1" ht="41.25" customHeight="1" x14ac:dyDescent="0.25">
      <c r="A172" s="1719"/>
      <c r="B172" s="831"/>
      <c r="C172" s="1719"/>
      <c r="D172" s="1720"/>
      <c r="E172" s="1746"/>
      <c r="F172" s="1746"/>
      <c r="G172" s="2901"/>
      <c r="H172" s="2897"/>
      <c r="I172" s="2901"/>
      <c r="J172" s="2897"/>
      <c r="K172" s="2901"/>
      <c r="L172" s="2897"/>
      <c r="M172" s="2901"/>
      <c r="N172" s="2897"/>
      <c r="O172" s="2901"/>
      <c r="P172" s="2901"/>
      <c r="Q172" s="2897"/>
      <c r="R172" s="3362"/>
      <c r="S172" s="2890"/>
      <c r="T172" s="3489"/>
      <c r="U172" s="3357"/>
      <c r="V172" s="867" t="s">
        <v>1400</v>
      </c>
      <c r="W172" s="832">
        <v>3000000</v>
      </c>
      <c r="X172" s="833" t="s">
        <v>1401</v>
      </c>
      <c r="Y172" s="3359"/>
      <c r="Z172" s="2350"/>
      <c r="AA172" s="3389"/>
      <c r="AB172" s="3355"/>
      <c r="AC172" s="3355"/>
      <c r="AD172" s="3355"/>
      <c r="AE172" s="3355"/>
      <c r="AF172" s="3355"/>
      <c r="AG172" s="3355"/>
      <c r="AH172" s="2879"/>
      <c r="AI172" s="2879"/>
      <c r="AJ172" s="2879"/>
      <c r="AK172" s="2879"/>
      <c r="AL172" s="2879"/>
      <c r="AM172" s="2879"/>
      <c r="AN172" s="2879"/>
      <c r="AO172" s="2879"/>
      <c r="AP172" s="2879"/>
      <c r="AQ172" s="3374"/>
      <c r="AR172" s="3374"/>
      <c r="AS172" s="2879"/>
    </row>
    <row r="173" spans="1:45" s="80" customFormat="1" ht="41.25" customHeight="1" x14ac:dyDescent="0.25">
      <c r="A173" s="1719"/>
      <c r="B173" s="831"/>
      <c r="C173" s="1719"/>
      <c r="D173" s="1720"/>
      <c r="E173" s="1746"/>
      <c r="F173" s="1746"/>
      <c r="G173" s="2901"/>
      <c r="H173" s="2897"/>
      <c r="I173" s="2901"/>
      <c r="J173" s="2897"/>
      <c r="K173" s="2901"/>
      <c r="L173" s="2897"/>
      <c r="M173" s="2901"/>
      <c r="N173" s="2897"/>
      <c r="O173" s="2901"/>
      <c r="P173" s="2901"/>
      <c r="Q173" s="2897"/>
      <c r="R173" s="3362"/>
      <c r="S173" s="2890"/>
      <c r="T173" s="3489"/>
      <c r="U173" s="3357"/>
      <c r="V173" s="930" t="s">
        <v>1402</v>
      </c>
      <c r="W173" s="832">
        <v>2000000</v>
      </c>
      <c r="X173" s="833" t="s">
        <v>1403</v>
      </c>
      <c r="Y173" s="3359"/>
      <c r="Z173" s="2350"/>
      <c r="AA173" s="3389"/>
      <c r="AB173" s="3355"/>
      <c r="AC173" s="3355"/>
      <c r="AD173" s="3355"/>
      <c r="AE173" s="3355"/>
      <c r="AF173" s="3355"/>
      <c r="AG173" s="3355"/>
      <c r="AH173" s="2879"/>
      <c r="AI173" s="2879"/>
      <c r="AJ173" s="2879"/>
      <c r="AK173" s="2879"/>
      <c r="AL173" s="2879"/>
      <c r="AM173" s="2879"/>
      <c r="AN173" s="2879"/>
      <c r="AO173" s="2879"/>
      <c r="AP173" s="2879"/>
      <c r="AQ173" s="3374"/>
      <c r="AR173" s="3374"/>
      <c r="AS173" s="2879"/>
    </row>
    <row r="174" spans="1:45" s="80" customFormat="1" ht="41.25" customHeight="1" x14ac:dyDescent="0.25">
      <c r="A174" s="1719"/>
      <c r="B174" s="831"/>
      <c r="C174" s="1719"/>
      <c r="D174" s="1720"/>
      <c r="E174" s="1746"/>
      <c r="F174" s="1746"/>
      <c r="G174" s="2901"/>
      <c r="H174" s="2897"/>
      <c r="I174" s="2901"/>
      <c r="J174" s="2897"/>
      <c r="K174" s="2901"/>
      <c r="L174" s="2897"/>
      <c r="M174" s="2901"/>
      <c r="N174" s="2897"/>
      <c r="O174" s="2901"/>
      <c r="P174" s="2901"/>
      <c r="Q174" s="2897"/>
      <c r="R174" s="3362"/>
      <c r="S174" s="2890"/>
      <c r="T174" s="3490"/>
      <c r="U174" s="3357"/>
      <c r="V174" s="867" t="s">
        <v>1404</v>
      </c>
      <c r="W174" s="832">
        <v>2000000</v>
      </c>
      <c r="X174" s="833" t="s">
        <v>1405</v>
      </c>
      <c r="Y174" s="3359"/>
      <c r="Z174" s="2350"/>
      <c r="AA174" s="3389"/>
      <c r="AB174" s="3355"/>
      <c r="AC174" s="3355"/>
      <c r="AD174" s="3355"/>
      <c r="AE174" s="3355"/>
      <c r="AF174" s="3355"/>
      <c r="AG174" s="3355"/>
      <c r="AH174" s="2879"/>
      <c r="AI174" s="2879"/>
      <c r="AJ174" s="2879"/>
      <c r="AK174" s="2879"/>
      <c r="AL174" s="2879"/>
      <c r="AM174" s="2879"/>
      <c r="AN174" s="2879"/>
      <c r="AO174" s="2879"/>
      <c r="AP174" s="2879"/>
      <c r="AQ174" s="3374"/>
      <c r="AR174" s="3374"/>
      <c r="AS174" s="2879"/>
    </row>
    <row r="175" spans="1:45" s="80" customFormat="1" ht="62.25" customHeight="1" x14ac:dyDescent="0.25">
      <c r="A175" s="1719"/>
      <c r="B175" s="831"/>
      <c r="C175" s="1719"/>
      <c r="D175" s="1720"/>
      <c r="E175" s="1746"/>
      <c r="F175" s="1791"/>
      <c r="G175" s="3050">
        <v>4502024</v>
      </c>
      <c r="H175" s="2321" t="s">
        <v>1406</v>
      </c>
      <c r="I175" s="3050">
        <v>4502024</v>
      </c>
      <c r="J175" s="2321" t="s">
        <v>1406</v>
      </c>
      <c r="K175" s="3050" t="s">
        <v>62</v>
      </c>
      <c r="L175" s="2321" t="s">
        <v>1407</v>
      </c>
      <c r="M175" s="3050">
        <v>450202401</v>
      </c>
      <c r="N175" s="2321" t="s">
        <v>1408</v>
      </c>
      <c r="O175" s="3050">
        <v>1</v>
      </c>
      <c r="P175" s="3050" t="s">
        <v>1409</v>
      </c>
      <c r="Q175" s="2321" t="s">
        <v>1410</v>
      </c>
      <c r="R175" s="3150">
        <f>SUM(W175:W177)/S175</f>
        <v>1</v>
      </c>
      <c r="S175" s="2884">
        <f>SUM(W175:W177)</f>
        <v>33000000</v>
      </c>
      <c r="T175" s="2320" t="s">
        <v>1411</v>
      </c>
      <c r="U175" s="2295" t="s">
        <v>1341</v>
      </c>
      <c r="V175" s="1740" t="s">
        <v>1412</v>
      </c>
      <c r="W175" s="931">
        <v>20000000</v>
      </c>
      <c r="X175" s="833" t="s">
        <v>1413</v>
      </c>
      <c r="Y175" s="3405">
        <v>20</v>
      </c>
      <c r="Z175" s="2350" t="s">
        <v>387</v>
      </c>
      <c r="AA175" s="3371">
        <v>1667</v>
      </c>
      <c r="AB175" s="2077" t="s">
        <v>294</v>
      </c>
      <c r="AC175" s="2077" t="s">
        <v>294</v>
      </c>
      <c r="AD175" s="2077">
        <v>327</v>
      </c>
      <c r="AE175" s="2077">
        <v>920</v>
      </c>
      <c r="AF175" s="2077">
        <v>420</v>
      </c>
      <c r="AG175" s="2861"/>
      <c r="AH175" s="2861"/>
      <c r="AI175" s="2861"/>
      <c r="AJ175" s="2861"/>
      <c r="AK175" s="2861"/>
      <c r="AL175" s="2861"/>
      <c r="AM175" s="2861"/>
      <c r="AN175" s="2861"/>
      <c r="AO175" s="2861"/>
      <c r="AP175" s="2861">
        <v>1667</v>
      </c>
      <c r="AQ175" s="3372">
        <v>44197</v>
      </c>
      <c r="AR175" s="3372">
        <v>44561</v>
      </c>
      <c r="AS175" s="2861" t="s">
        <v>1344</v>
      </c>
    </row>
    <row r="176" spans="1:45" s="80" customFormat="1" ht="62.25" customHeight="1" x14ac:dyDescent="0.25">
      <c r="A176" s="1719"/>
      <c r="B176" s="831"/>
      <c r="C176" s="1719"/>
      <c r="D176" s="1720"/>
      <c r="E176" s="1746"/>
      <c r="F176" s="1791"/>
      <c r="G176" s="3050"/>
      <c r="H176" s="2321"/>
      <c r="I176" s="3050"/>
      <c r="J176" s="2321"/>
      <c r="K176" s="3050"/>
      <c r="L176" s="2321"/>
      <c r="M176" s="3050"/>
      <c r="N176" s="2321"/>
      <c r="O176" s="3050"/>
      <c r="P176" s="3050"/>
      <c r="Q176" s="2321"/>
      <c r="R176" s="3150"/>
      <c r="S176" s="2884"/>
      <c r="T176" s="2321"/>
      <c r="U176" s="2295"/>
      <c r="V176" s="1740" t="s">
        <v>1414</v>
      </c>
      <c r="W176" s="931">
        <v>6500000</v>
      </c>
      <c r="X176" s="833" t="s">
        <v>1413</v>
      </c>
      <c r="Y176" s="3405"/>
      <c r="Z176" s="2350"/>
      <c r="AA176" s="3371"/>
      <c r="AB176" s="2077"/>
      <c r="AC176" s="2077"/>
      <c r="AD176" s="2077"/>
      <c r="AE176" s="2077"/>
      <c r="AF176" s="2077"/>
      <c r="AG176" s="2861"/>
      <c r="AH176" s="2861"/>
      <c r="AI176" s="2861"/>
      <c r="AJ176" s="2861"/>
      <c r="AK176" s="2861"/>
      <c r="AL176" s="2861"/>
      <c r="AM176" s="2861"/>
      <c r="AN176" s="2861"/>
      <c r="AO176" s="2861"/>
      <c r="AP176" s="2861"/>
      <c r="AQ176" s="3372"/>
      <c r="AR176" s="3372"/>
      <c r="AS176" s="2861"/>
    </row>
    <row r="177" spans="1:45" s="80" customFormat="1" ht="62.25" customHeight="1" x14ac:dyDescent="0.25">
      <c r="A177" s="1719"/>
      <c r="B177" s="831"/>
      <c r="C177" s="1719"/>
      <c r="D177" s="1720"/>
      <c r="E177" s="1746"/>
      <c r="F177" s="1791"/>
      <c r="G177" s="3051"/>
      <c r="H177" s="2322"/>
      <c r="I177" s="3051"/>
      <c r="J177" s="2322"/>
      <c r="K177" s="3051"/>
      <c r="L177" s="2322"/>
      <c r="M177" s="3051"/>
      <c r="N177" s="2322"/>
      <c r="O177" s="3051"/>
      <c r="P177" s="3051"/>
      <c r="Q177" s="2322"/>
      <c r="R177" s="3104"/>
      <c r="S177" s="2885"/>
      <c r="T177" s="2322"/>
      <c r="U177" s="2296"/>
      <c r="V177" s="1740" t="s">
        <v>1415</v>
      </c>
      <c r="W177" s="931">
        <v>6500000</v>
      </c>
      <c r="X177" s="833" t="s">
        <v>1413</v>
      </c>
      <c r="Y177" s="3406"/>
      <c r="Z177" s="2350"/>
      <c r="AA177" s="3411"/>
      <c r="AB177" s="3403"/>
      <c r="AC177" s="3403"/>
      <c r="AD177" s="3403"/>
      <c r="AE177" s="3403"/>
      <c r="AF177" s="3403"/>
      <c r="AG177" s="2862"/>
      <c r="AH177" s="2862"/>
      <c r="AI177" s="2862"/>
      <c r="AJ177" s="2862"/>
      <c r="AK177" s="2862"/>
      <c r="AL177" s="2862"/>
      <c r="AM177" s="2862"/>
      <c r="AN177" s="2862"/>
      <c r="AO177" s="2862"/>
      <c r="AP177" s="2862"/>
      <c r="AQ177" s="3409"/>
      <c r="AR177" s="3409"/>
      <c r="AS177" s="2862"/>
    </row>
    <row r="178" spans="1:45" s="3" customFormat="1" ht="107.25" customHeight="1" x14ac:dyDescent="0.25">
      <c r="A178" s="1802"/>
      <c r="B178" s="899"/>
      <c r="C178" s="1802"/>
      <c r="D178" s="1803"/>
      <c r="E178" s="1784"/>
      <c r="F178" s="1768"/>
      <c r="G178" s="2154">
        <v>4502024</v>
      </c>
      <c r="H178" s="2144" t="s">
        <v>1406</v>
      </c>
      <c r="I178" s="2154">
        <v>4502024</v>
      </c>
      <c r="J178" s="2144" t="s">
        <v>1406</v>
      </c>
      <c r="K178" s="2154" t="s">
        <v>62</v>
      </c>
      <c r="L178" s="2144" t="s">
        <v>1416</v>
      </c>
      <c r="M178" s="2154">
        <v>450202401</v>
      </c>
      <c r="N178" s="2144" t="s">
        <v>1408</v>
      </c>
      <c r="O178" s="2154">
        <v>1</v>
      </c>
      <c r="P178" s="2154" t="s">
        <v>1417</v>
      </c>
      <c r="Q178" s="2144" t="s">
        <v>1416</v>
      </c>
      <c r="R178" s="3080">
        <f>SUM(W178:W180)/S178</f>
        <v>1</v>
      </c>
      <c r="S178" s="3492">
        <f>SUM(W178:W180)</f>
        <v>33000000</v>
      </c>
      <c r="T178" s="2383" t="s">
        <v>1418</v>
      </c>
      <c r="U178" s="2383" t="s">
        <v>1419</v>
      </c>
      <c r="V178" s="1740" t="s">
        <v>1420</v>
      </c>
      <c r="W178" s="931">
        <v>13000000</v>
      </c>
      <c r="X178" s="833" t="s">
        <v>1421</v>
      </c>
      <c r="Y178" s="3493">
        <v>20</v>
      </c>
      <c r="Z178" s="2108" t="s">
        <v>387</v>
      </c>
      <c r="AA178" s="3410">
        <v>856</v>
      </c>
      <c r="AB178" s="2076" t="s">
        <v>294</v>
      </c>
      <c r="AC178" s="2076" t="s">
        <v>294</v>
      </c>
      <c r="AD178" s="2076">
        <v>50</v>
      </c>
      <c r="AE178" s="2076">
        <v>560</v>
      </c>
      <c r="AF178" s="2076">
        <v>246</v>
      </c>
      <c r="AG178" s="2354"/>
      <c r="AH178" s="2354"/>
      <c r="AI178" s="2354"/>
      <c r="AJ178" s="2354"/>
      <c r="AK178" s="2354"/>
      <c r="AL178" s="2354"/>
      <c r="AM178" s="2354"/>
      <c r="AN178" s="2354"/>
      <c r="AO178" s="2354"/>
      <c r="AP178" s="2354">
        <f>SUM(AC178:AO180)</f>
        <v>856</v>
      </c>
      <c r="AQ178" s="3089">
        <v>44197</v>
      </c>
      <c r="AR178" s="3089">
        <v>44561</v>
      </c>
      <c r="AS178" s="2861" t="s">
        <v>1344</v>
      </c>
    </row>
    <row r="179" spans="1:45" s="3" customFormat="1" ht="76.5" customHeight="1" x14ac:dyDescent="0.25">
      <c r="A179" s="1802"/>
      <c r="B179" s="899"/>
      <c r="C179" s="1802"/>
      <c r="D179" s="1803"/>
      <c r="E179" s="1784"/>
      <c r="F179" s="1768"/>
      <c r="G179" s="2128"/>
      <c r="H179" s="2145"/>
      <c r="I179" s="2128"/>
      <c r="J179" s="2145"/>
      <c r="K179" s="2128"/>
      <c r="L179" s="2145"/>
      <c r="M179" s="2128"/>
      <c r="N179" s="2145"/>
      <c r="O179" s="2128"/>
      <c r="P179" s="2128"/>
      <c r="Q179" s="2145"/>
      <c r="R179" s="3082"/>
      <c r="S179" s="3477"/>
      <c r="T179" s="2384"/>
      <c r="U179" s="2384"/>
      <c r="V179" s="1740" t="s">
        <v>1422</v>
      </c>
      <c r="W179" s="832">
        <v>10000000</v>
      </c>
      <c r="X179" s="833" t="s">
        <v>1421</v>
      </c>
      <c r="Y179" s="3478"/>
      <c r="Z179" s="2108"/>
      <c r="AA179" s="3371"/>
      <c r="AB179" s="2077"/>
      <c r="AC179" s="2077"/>
      <c r="AD179" s="2077"/>
      <c r="AE179" s="2077"/>
      <c r="AF179" s="2077"/>
      <c r="AG179" s="2355"/>
      <c r="AH179" s="2355"/>
      <c r="AI179" s="2355"/>
      <c r="AJ179" s="2355"/>
      <c r="AK179" s="2355"/>
      <c r="AL179" s="2355"/>
      <c r="AM179" s="2355"/>
      <c r="AN179" s="2355"/>
      <c r="AO179" s="2355"/>
      <c r="AP179" s="2355"/>
      <c r="AQ179" s="3090"/>
      <c r="AR179" s="3090"/>
      <c r="AS179" s="2861"/>
    </row>
    <row r="180" spans="1:45" s="3" customFormat="1" ht="56.25" customHeight="1" x14ac:dyDescent="0.25">
      <c r="A180" s="1802"/>
      <c r="B180" s="899"/>
      <c r="C180" s="1802"/>
      <c r="D180" s="1803"/>
      <c r="E180" s="1784"/>
      <c r="F180" s="1768"/>
      <c r="G180" s="2128"/>
      <c r="H180" s="2145"/>
      <c r="I180" s="2128"/>
      <c r="J180" s="2145"/>
      <c r="K180" s="2128"/>
      <c r="L180" s="2145"/>
      <c r="M180" s="2128"/>
      <c r="N180" s="2145"/>
      <c r="O180" s="2128"/>
      <c r="P180" s="2128"/>
      <c r="Q180" s="2145"/>
      <c r="R180" s="3082"/>
      <c r="S180" s="3477"/>
      <c r="T180" s="2384"/>
      <c r="U180" s="2384"/>
      <c r="V180" s="1739" t="s">
        <v>1423</v>
      </c>
      <c r="W180" s="819">
        <v>10000000</v>
      </c>
      <c r="X180" s="833" t="s">
        <v>1421</v>
      </c>
      <c r="Y180" s="3478"/>
      <c r="Z180" s="2108"/>
      <c r="AA180" s="3371"/>
      <c r="AB180" s="2077"/>
      <c r="AC180" s="2077"/>
      <c r="AD180" s="2077"/>
      <c r="AE180" s="2077"/>
      <c r="AF180" s="2077"/>
      <c r="AG180" s="2355"/>
      <c r="AH180" s="2355"/>
      <c r="AI180" s="2355"/>
      <c r="AJ180" s="2355"/>
      <c r="AK180" s="2355"/>
      <c r="AL180" s="2355"/>
      <c r="AM180" s="2355"/>
      <c r="AN180" s="2355"/>
      <c r="AO180" s="2355"/>
      <c r="AP180" s="2355"/>
      <c r="AQ180" s="3090"/>
      <c r="AR180" s="3090"/>
      <c r="AS180" s="2862"/>
    </row>
    <row r="181" spans="1:45" s="3" customFormat="1" ht="25.5" customHeight="1" x14ac:dyDescent="0.25">
      <c r="A181" s="1802"/>
      <c r="B181" s="899"/>
      <c r="C181" s="1802"/>
      <c r="D181" s="1803"/>
      <c r="E181" s="921">
        <v>4599</v>
      </c>
      <c r="F181" s="3198" t="s">
        <v>1424</v>
      </c>
      <c r="G181" s="2813"/>
      <c r="H181" s="2813"/>
      <c r="I181" s="2813"/>
      <c r="J181" s="2813"/>
      <c r="K181" s="2813"/>
      <c r="L181" s="2813"/>
      <c r="M181" s="2813"/>
      <c r="N181" s="2813"/>
      <c r="O181" s="389"/>
      <c r="P181" s="389"/>
      <c r="Q181" s="392"/>
      <c r="R181" s="389"/>
      <c r="S181" s="932"/>
      <c r="T181" s="924"/>
      <c r="U181" s="924"/>
      <c r="V181" s="102"/>
      <c r="W181" s="933"/>
      <c r="X181" s="827"/>
      <c r="Y181" s="934"/>
      <c r="Z181" s="108"/>
      <c r="AA181" s="935"/>
      <c r="AB181" s="935"/>
      <c r="AC181" s="935"/>
      <c r="AD181" s="935"/>
      <c r="AE181" s="935"/>
      <c r="AF181" s="935"/>
      <c r="AG181" s="935"/>
      <c r="AH181" s="935"/>
      <c r="AI181" s="935"/>
      <c r="AJ181" s="935"/>
      <c r="AK181" s="935"/>
      <c r="AL181" s="935"/>
      <c r="AM181" s="935"/>
      <c r="AN181" s="935"/>
      <c r="AO181" s="935"/>
      <c r="AP181" s="935"/>
      <c r="AQ181" s="936"/>
      <c r="AR181" s="936"/>
      <c r="AS181" s="937"/>
    </row>
    <row r="182" spans="1:45" s="80" customFormat="1" ht="117.75" customHeight="1" x14ac:dyDescent="0.25">
      <c r="A182" s="1719"/>
      <c r="B182" s="831"/>
      <c r="C182" s="1719"/>
      <c r="D182" s="1720"/>
      <c r="E182" s="1746"/>
      <c r="F182" s="1791"/>
      <c r="G182" s="3050" t="s">
        <v>62</v>
      </c>
      <c r="H182" s="2321" t="s">
        <v>1425</v>
      </c>
      <c r="I182" s="3050" t="s">
        <v>1426</v>
      </c>
      <c r="J182" s="3494" t="s">
        <v>1427</v>
      </c>
      <c r="K182" s="3050" t="s">
        <v>62</v>
      </c>
      <c r="L182" s="2321" t="s">
        <v>1428</v>
      </c>
      <c r="M182" s="3050" t="s">
        <v>1429</v>
      </c>
      <c r="N182" s="3494" t="s">
        <v>1010</v>
      </c>
      <c r="O182" s="3050">
        <v>1</v>
      </c>
      <c r="P182" s="3050" t="s">
        <v>1430</v>
      </c>
      <c r="Q182" s="2321" t="s">
        <v>1431</v>
      </c>
      <c r="R182" s="3150">
        <f>SUM(W182:W183)/S182</f>
        <v>1</v>
      </c>
      <c r="S182" s="2884">
        <f>SUM(W182:W183)</f>
        <v>50000000</v>
      </c>
      <c r="T182" s="2295" t="s">
        <v>1432</v>
      </c>
      <c r="U182" s="2295" t="s">
        <v>1433</v>
      </c>
      <c r="V182" s="1740" t="s">
        <v>1434</v>
      </c>
      <c r="W182" s="832">
        <v>46040000</v>
      </c>
      <c r="X182" s="835" t="s">
        <v>1435</v>
      </c>
      <c r="Y182" s="3495">
        <v>20</v>
      </c>
      <c r="Z182" s="2350" t="s">
        <v>387</v>
      </c>
      <c r="AA182" s="3413">
        <v>3500</v>
      </c>
      <c r="AB182" s="2861">
        <v>4000</v>
      </c>
      <c r="AC182" s="2861"/>
      <c r="AD182" s="2861"/>
      <c r="AE182" s="2861"/>
      <c r="AF182" s="2861">
        <v>7500</v>
      </c>
      <c r="AG182" s="2861"/>
      <c r="AH182" s="2861"/>
      <c r="AI182" s="2861"/>
      <c r="AJ182" s="2861"/>
      <c r="AK182" s="2861"/>
      <c r="AL182" s="2861"/>
      <c r="AM182" s="2861"/>
      <c r="AN182" s="2861"/>
      <c r="AO182" s="2861"/>
      <c r="AP182" s="2861">
        <v>7500</v>
      </c>
      <c r="AQ182" s="3372">
        <v>44197</v>
      </c>
      <c r="AR182" s="3372">
        <v>44561</v>
      </c>
      <c r="AS182" s="2861" t="s">
        <v>1222</v>
      </c>
    </row>
    <row r="183" spans="1:45" s="80" customFormat="1" ht="99" customHeight="1" x14ac:dyDescent="0.25">
      <c r="A183" s="1719"/>
      <c r="B183" s="831"/>
      <c r="C183" s="1719"/>
      <c r="D183" s="1720"/>
      <c r="E183" s="1746"/>
      <c r="F183" s="1791"/>
      <c r="G183" s="3050"/>
      <c r="H183" s="2321"/>
      <c r="I183" s="3050"/>
      <c r="J183" s="2322"/>
      <c r="K183" s="3050"/>
      <c r="L183" s="2321"/>
      <c r="M183" s="3050"/>
      <c r="N183" s="2322"/>
      <c r="O183" s="3050"/>
      <c r="P183" s="3050"/>
      <c r="Q183" s="2321"/>
      <c r="R183" s="3150"/>
      <c r="S183" s="2884"/>
      <c r="T183" s="2295"/>
      <c r="U183" s="2295"/>
      <c r="V183" s="348" t="s">
        <v>1436</v>
      </c>
      <c r="W183" s="857">
        <v>3960000</v>
      </c>
      <c r="X183" s="835" t="s">
        <v>1435</v>
      </c>
      <c r="Y183" s="3496"/>
      <c r="Z183" s="2350"/>
      <c r="AA183" s="3413"/>
      <c r="AB183" s="2861"/>
      <c r="AC183" s="2861"/>
      <c r="AD183" s="2861"/>
      <c r="AE183" s="2861"/>
      <c r="AF183" s="2861"/>
      <c r="AG183" s="2861"/>
      <c r="AH183" s="2861"/>
      <c r="AI183" s="2861"/>
      <c r="AJ183" s="2861"/>
      <c r="AK183" s="2861"/>
      <c r="AL183" s="2861"/>
      <c r="AM183" s="2861"/>
      <c r="AN183" s="2861"/>
      <c r="AO183" s="2861"/>
      <c r="AP183" s="2861"/>
      <c r="AQ183" s="3372"/>
      <c r="AR183" s="3372"/>
      <c r="AS183" s="2861"/>
    </row>
    <row r="184" spans="1:45" s="3" customFormat="1" ht="319.5" customHeight="1" x14ac:dyDescent="0.25">
      <c r="A184" s="1802"/>
      <c r="B184" s="899"/>
      <c r="C184" s="1802"/>
      <c r="D184" s="1803"/>
      <c r="E184" s="1784"/>
      <c r="F184" s="1768"/>
      <c r="G184" s="1714" t="s">
        <v>62</v>
      </c>
      <c r="H184" s="1716" t="s">
        <v>1437</v>
      </c>
      <c r="I184" s="1714" t="s">
        <v>1426</v>
      </c>
      <c r="J184" s="1716" t="s">
        <v>1427</v>
      </c>
      <c r="K184" s="1714" t="s">
        <v>62</v>
      </c>
      <c r="L184" s="1716" t="s">
        <v>1438</v>
      </c>
      <c r="M184" s="1714" t="s">
        <v>1429</v>
      </c>
      <c r="N184" s="1716" t="s">
        <v>1010</v>
      </c>
      <c r="O184" s="1714">
        <v>1</v>
      </c>
      <c r="P184" s="1714" t="s">
        <v>1439</v>
      </c>
      <c r="Q184" s="1716" t="s">
        <v>1440</v>
      </c>
      <c r="R184" s="1765">
        <f>SUM(W184)/S184</f>
        <v>1</v>
      </c>
      <c r="S184" s="1777">
        <f>W184</f>
        <v>18000000</v>
      </c>
      <c r="T184" s="1716" t="s">
        <v>1377</v>
      </c>
      <c r="U184" s="1741" t="s">
        <v>1441</v>
      </c>
      <c r="V184" s="1740" t="s">
        <v>1442</v>
      </c>
      <c r="W184" s="832">
        <v>18000000</v>
      </c>
      <c r="X184" s="833" t="s">
        <v>1443</v>
      </c>
      <c r="Y184" s="938">
        <v>20</v>
      </c>
      <c r="Z184" s="1709" t="s">
        <v>387</v>
      </c>
      <c r="AA184" s="1774">
        <v>150</v>
      </c>
      <c r="AB184" s="1774" t="s">
        <v>294</v>
      </c>
      <c r="AC184" s="1774" t="s">
        <v>294</v>
      </c>
      <c r="AD184" s="1774" t="s">
        <v>294</v>
      </c>
      <c r="AE184" s="1774">
        <v>150</v>
      </c>
      <c r="AF184" s="1731"/>
      <c r="AG184" s="1731"/>
      <c r="AH184" s="1731"/>
      <c r="AI184" s="1731"/>
      <c r="AJ184" s="1731"/>
      <c r="AK184" s="1731"/>
      <c r="AL184" s="1731"/>
      <c r="AM184" s="1731"/>
      <c r="AN184" s="1731"/>
      <c r="AO184" s="1731"/>
      <c r="AP184" s="1731">
        <v>150</v>
      </c>
      <c r="AQ184" s="1757">
        <v>44197</v>
      </c>
      <c r="AR184" s="1757">
        <v>44561</v>
      </c>
      <c r="AS184" s="1758" t="str">
        <f>$AS$175</f>
        <v>VALENTINA LÓPEZ MADRID- JEFE DE LA MUJE RY LA EQUIDAD</v>
      </c>
    </row>
    <row r="185" spans="1:45" s="3" customFormat="1" ht="78.75" customHeight="1" x14ac:dyDescent="0.25">
      <c r="A185" s="1802"/>
      <c r="B185" s="899"/>
      <c r="C185" s="1802"/>
      <c r="D185" s="1803"/>
      <c r="E185" s="1784"/>
      <c r="F185" s="1768"/>
      <c r="G185" s="2109" t="s">
        <v>62</v>
      </c>
      <c r="H185" s="2305" t="s">
        <v>1444</v>
      </c>
      <c r="I185" s="2109" t="s">
        <v>1426</v>
      </c>
      <c r="J185" s="2305" t="s">
        <v>1427</v>
      </c>
      <c r="K185" s="2109" t="s">
        <v>62</v>
      </c>
      <c r="L185" s="2305" t="s">
        <v>1445</v>
      </c>
      <c r="M185" s="2109" t="s">
        <v>1429</v>
      </c>
      <c r="N185" s="2305" t="s">
        <v>1010</v>
      </c>
      <c r="O185" s="2109">
        <v>1</v>
      </c>
      <c r="P185" s="3049" t="s">
        <v>1446</v>
      </c>
      <c r="Q185" s="2305" t="s">
        <v>1447</v>
      </c>
      <c r="R185" s="3068">
        <f>SUM(W185:W191)/S185</f>
        <v>1</v>
      </c>
      <c r="S185" s="3497">
        <f>SUM(W185:W191)</f>
        <v>145894503</v>
      </c>
      <c r="T185" s="3498" t="s">
        <v>1448</v>
      </c>
      <c r="U185" s="2383" t="s">
        <v>1449</v>
      </c>
      <c r="V185" s="1773" t="s">
        <v>1450</v>
      </c>
      <c r="W185" s="1798">
        <v>16000000</v>
      </c>
      <c r="X185" s="76" t="s">
        <v>1451</v>
      </c>
      <c r="Y185" s="834">
        <v>20</v>
      </c>
      <c r="Z185" s="1708" t="s">
        <v>387</v>
      </c>
      <c r="AA185" s="3410">
        <v>2360</v>
      </c>
      <c r="AB185" s="2076">
        <v>2360</v>
      </c>
      <c r="AC185" s="3502">
        <v>1500</v>
      </c>
      <c r="AD185" s="3502">
        <v>480</v>
      </c>
      <c r="AE185" s="3502">
        <v>1500</v>
      </c>
      <c r="AF185" s="3502">
        <v>1200</v>
      </c>
      <c r="AG185" s="3502">
        <v>15</v>
      </c>
      <c r="AH185" s="3502">
        <v>15</v>
      </c>
      <c r="AI185" s="3502" t="s">
        <v>294</v>
      </c>
      <c r="AJ185" s="3502" t="s">
        <v>294</v>
      </c>
      <c r="AK185" s="3502" t="s">
        <v>294</v>
      </c>
      <c r="AL185" s="3502" t="s">
        <v>294</v>
      </c>
      <c r="AM185" s="3502" t="s">
        <v>294</v>
      </c>
      <c r="AN185" s="3502" t="s">
        <v>294</v>
      </c>
      <c r="AO185" s="3502">
        <v>10</v>
      </c>
      <c r="AP185" s="2354">
        <v>4720</v>
      </c>
      <c r="AQ185" s="3089">
        <v>44197</v>
      </c>
      <c r="AR185" s="3089">
        <v>44561</v>
      </c>
      <c r="AS185" s="2354" t="s">
        <v>1222</v>
      </c>
    </row>
    <row r="186" spans="1:45" s="3" customFormat="1" ht="78.75" customHeight="1" x14ac:dyDescent="0.25">
      <c r="A186" s="1802"/>
      <c r="B186" s="899"/>
      <c r="C186" s="1802"/>
      <c r="D186" s="1803"/>
      <c r="E186" s="1784"/>
      <c r="F186" s="1768"/>
      <c r="G186" s="2109"/>
      <c r="H186" s="2305"/>
      <c r="I186" s="2109"/>
      <c r="J186" s="2305"/>
      <c r="K186" s="2109"/>
      <c r="L186" s="2305"/>
      <c r="M186" s="2109"/>
      <c r="N186" s="2305"/>
      <c r="O186" s="2109"/>
      <c r="P186" s="3050"/>
      <c r="Q186" s="2305"/>
      <c r="R186" s="3068"/>
      <c r="S186" s="3082"/>
      <c r="T186" s="3499"/>
      <c r="U186" s="2384"/>
      <c r="V186" s="1773" t="s">
        <v>1452</v>
      </c>
      <c r="W186" s="1798">
        <v>47112368</v>
      </c>
      <c r="X186" s="76" t="s">
        <v>1453</v>
      </c>
      <c r="Y186" s="834">
        <v>88</v>
      </c>
      <c r="Z186" s="1708" t="s">
        <v>1075</v>
      </c>
      <c r="AA186" s="3371"/>
      <c r="AB186" s="2077"/>
      <c r="AC186" s="3479"/>
      <c r="AD186" s="3479"/>
      <c r="AE186" s="3479"/>
      <c r="AF186" s="3479"/>
      <c r="AG186" s="3479"/>
      <c r="AH186" s="3479"/>
      <c r="AI186" s="3479"/>
      <c r="AJ186" s="3479"/>
      <c r="AK186" s="3479"/>
      <c r="AL186" s="3479"/>
      <c r="AM186" s="3479"/>
      <c r="AN186" s="3479"/>
      <c r="AO186" s="3479"/>
      <c r="AP186" s="2355"/>
      <c r="AQ186" s="3090"/>
      <c r="AR186" s="3090"/>
      <c r="AS186" s="2355"/>
    </row>
    <row r="187" spans="1:45" s="3" customFormat="1" ht="101.25" customHeight="1" x14ac:dyDescent="0.25">
      <c r="A187" s="1802"/>
      <c r="B187" s="899"/>
      <c r="C187" s="1802"/>
      <c r="D187" s="1803"/>
      <c r="E187" s="1784"/>
      <c r="F187" s="1768"/>
      <c r="G187" s="2109"/>
      <c r="H187" s="2305"/>
      <c r="I187" s="2109"/>
      <c r="J187" s="2305"/>
      <c r="K187" s="2109"/>
      <c r="L187" s="2305"/>
      <c r="M187" s="2109"/>
      <c r="N187" s="2305"/>
      <c r="O187" s="2109"/>
      <c r="P187" s="3050"/>
      <c r="Q187" s="2305"/>
      <c r="R187" s="3068"/>
      <c r="S187" s="3082"/>
      <c r="T187" s="3499"/>
      <c r="U187" s="2384"/>
      <c r="V187" s="1773" t="s">
        <v>1454</v>
      </c>
      <c r="W187" s="1798">
        <v>10000000</v>
      </c>
      <c r="X187" s="76" t="s">
        <v>1451</v>
      </c>
      <c r="Y187" s="834">
        <v>20</v>
      </c>
      <c r="Z187" s="1708" t="s">
        <v>387</v>
      </c>
      <c r="AA187" s="3371"/>
      <c r="AB187" s="2077"/>
      <c r="AC187" s="3479"/>
      <c r="AD187" s="3479"/>
      <c r="AE187" s="3479"/>
      <c r="AF187" s="3479"/>
      <c r="AG187" s="3479"/>
      <c r="AH187" s="3479"/>
      <c r="AI187" s="3479"/>
      <c r="AJ187" s="3479"/>
      <c r="AK187" s="3479"/>
      <c r="AL187" s="3479"/>
      <c r="AM187" s="3479"/>
      <c r="AN187" s="3479"/>
      <c r="AO187" s="3479"/>
      <c r="AP187" s="2355"/>
      <c r="AQ187" s="3090"/>
      <c r="AR187" s="3090"/>
      <c r="AS187" s="2355"/>
    </row>
    <row r="188" spans="1:45" s="3" customFormat="1" ht="77.25" customHeight="1" x14ac:dyDescent="0.25">
      <c r="A188" s="903"/>
      <c r="B188" s="939"/>
      <c r="C188" s="903"/>
      <c r="D188" s="940"/>
      <c r="E188" s="1784"/>
      <c r="F188" s="1768"/>
      <c r="G188" s="2109"/>
      <c r="H188" s="2305"/>
      <c r="I188" s="2109"/>
      <c r="J188" s="2305"/>
      <c r="K188" s="2109"/>
      <c r="L188" s="2305"/>
      <c r="M188" s="2109"/>
      <c r="N188" s="2305"/>
      <c r="O188" s="2109"/>
      <c r="P188" s="3050"/>
      <c r="Q188" s="2305"/>
      <c r="R188" s="3068"/>
      <c r="S188" s="3082"/>
      <c r="T188" s="3499"/>
      <c r="U188" s="2384"/>
      <c r="V188" s="3504" t="s">
        <v>1455</v>
      </c>
      <c r="W188" s="1798">
        <v>10000000</v>
      </c>
      <c r="X188" s="76" t="s">
        <v>1451</v>
      </c>
      <c r="Y188" s="834">
        <v>20</v>
      </c>
      <c r="Z188" s="1708" t="s">
        <v>387</v>
      </c>
      <c r="AA188" s="3371"/>
      <c r="AB188" s="2077"/>
      <c r="AC188" s="3479"/>
      <c r="AD188" s="3479"/>
      <c r="AE188" s="3479"/>
      <c r="AF188" s="3479"/>
      <c r="AG188" s="3479"/>
      <c r="AH188" s="3479"/>
      <c r="AI188" s="3479"/>
      <c r="AJ188" s="3479"/>
      <c r="AK188" s="3479"/>
      <c r="AL188" s="3479"/>
      <c r="AM188" s="3479"/>
      <c r="AN188" s="3479"/>
      <c r="AO188" s="3479"/>
      <c r="AP188" s="2355"/>
      <c r="AQ188" s="3090"/>
      <c r="AR188" s="3090"/>
      <c r="AS188" s="2355"/>
    </row>
    <row r="189" spans="1:45" s="3" customFormat="1" ht="60.75" customHeight="1" x14ac:dyDescent="0.25">
      <c r="A189" s="899"/>
      <c r="B189" s="899"/>
      <c r="C189" s="899"/>
      <c r="D189" s="940"/>
      <c r="E189" s="1784"/>
      <c r="F189" s="1784"/>
      <c r="G189" s="2109"/>
      <c r="H189" s="2305"/>
      <c r="I189" s="2109"/>
      <c r="J189" s="2305"/>
      <c r="K189" s="2109"/>
      <c r="L189" s="2305"/>
      <c r="M189" s="2109"/>
      <c r="N189" s="2305"/>
      <c r="O189" s="2109"/>
      <c r="P189" s="3050"/>
      <c r="Q189" s="2305"/>
      <c r="R189" s="3068"/>
      <c r="S189" s="3082"/>
      <c r="T189" s="3499"/>
      <c r="U189" s="2384"/>
      <c r="V189" s="3504"/>
      <c r="W189" s="1798">
        <v>3080000</v>
      </c>
      <c r="X189" s="76" t="s">
        <v>1453</v>
      </c>
      <c r="Y189" s="834">
        <v>88</v>
      </c>
      <c r="Z189" s="1708" t="s">
        <v>1075</v>
      </c>
      <c r="AA189" s="1794"/>
      <c r="AB189" s="1794"/>
      <c r="AC189" s="1800"/>
      <c r="AD189" s="1800"/>
      <c r="AE189" s="1800"/>
      <c r="AF189" s="1800"/>
      <c r="AG189" s="1800"/>
      <c r="AH189" s="1800"/>
      <c r="AI189" s="1800"/>
      <c r="AJ189" s="1800"/>
      <c r="AK189" s="1800"/>
      <c r="AL189" s="1800"/>
      <c r="AM189" s="1800"/>
      <c r="AN189" s="1800"/>
      <c r="AO189" s="1800"/>
      <c r="AP189" s="1779"/>
      <c r="AQ189" s="1799"/>
      <c r="AR189" s="1799"/>
      <c r="AS189" s="1779"/>
    </row>
    <row r="190" spans="1:45" s="3" customFormat="1" ht="82.5" customHeight="1" x14ac:dyDescent="0.25">
      <c r="A190" s="899"/>
      <c r="B190" s="899"/>
      <c r="C190" s="899"/>
      <c r="D190" s="940"/>
      <c r="E190" s="1784"/>
      <c r="F190" s="1784"/>
      <c r="G190" s="2109"/>
      <c r="H190" s="2305"/>
      <c r="I190" s="2109"/>
      <c r="J190" s="2305"/>
      <c r="K190" s="2109"/>
      <c r="L190" s="2305"/>
      <c r="M190" s="2109"/>
      <c r="N190" s="2305"/>
      <c r="O190" s="2109"/>
      <c r="P190" s="3050"/>
      <c r="Q190" s="2305"/>
      <c r="R190" s="3068"/>
      <c r="S190" s="3082"/>
      <c r="T190" s="3499"/>
      <c r="U190" s="2384"/>
      <c r="V190" s="579" t="s">
        <v>1456</v>
      </c>
      <c r="W190" s="1798">
        <v>20195000</v>
      </c>
      <c r="X190" s="76" t="s">
        <v>1453</v>
      </c>
      <c r="Y190" s="834">
        <v>88</v>
      </c>
      <c r="Z190" s="1708" t="s">
        <v>1075</v>
      </c>
      <c r="AA190" s="1794"/>
      <c r="AB190" s="1794"/>
      <c r="AC190" s="1800"/>
      <c r="AD190" s="1800"/>
      <c r="AE190" s="1800"/>
      <c r="AF190" s="1800"/>
      <c r="AG190" s="1800"/>
      <c r="AH190" s="1800"/>
      <c r="AI190" s="1800"/>
      <c r="AJ190" s="1800"/>
      <c r="AK190" s="1800"/>
      <c r="AL190" s="1800"/>
      <c r="AM190" s="1800"/>
      <c r="AN190" s="1800"/>
      <c r="AO190" s="1800"/>
      <c r="AP190" s="1779"/>
      <c r="AQ190" s="1799"/>
      <c r="AR190" s="1799"/>
      <c r="AS190" s="1779"/>
    </row>
    <row r="191" spans="1:45" s="3" customFormat="1" ht="72" customHeight="1" x14ac:dyDescent="0.25">
      <c r="A191" s="899"/>
      <c r="B191" s="899"/>
      <c r="C191" s="899"/>
      <c r="D191" s="941"/>
      <c r="E191" s="1784"/>
      <c r="F191" s="1784"/>
      <c r="G191" s="2109"/>
      <c r="H191" s="2305"/>
      <c r="I191" s="2109"/>
      <c r="J191" s="2305"/>
      <c r="K191" s="2109"/>
      <c r="L191" s="2305"/>
      <c r="M191" s="2109"/>
      <c r="N191" s="2305"/>
      <c r="O191" s="2109"/>
      <c r="P191" s="3503"/>
      <c r="Q191" s="2305"/>
      <c r="R191" s="3068"/>
      <c r="S191" s="3082"/>
      <c r="T191" s="3500"/>
      <c r="U191" s="3501"/>
      <c r="V191" s="1786" t="s">
        <v>1457</v>
      </c>
      <c r="W191" s="1798">
        <v>39507135</v>
      </c>
      <c r="X191" s="76" t="s">
        <v>1453</v>
      </c>
      <c r="Y191" s="834">
        <v>88</v>
      </c>
      <c r="Z191" s="1708" t="s">
        <v>1075</v>
      </c>
      <c r="AA191" s="1794"/>
      <c r="AB191" s="1794"/>
      <c r="AC191" s="1800"/>
      <c r="AD191" s="1800"/>
      <c r="AE191" s="1800"/>
      <c r="AF191" s="1800"/>
      <c r="AG191" s="1800"/>
      <c r="AH191" s="1800"/>
      <c r="AI191" s="1800"/>
      <c r="AJ191" s="1800"/>
      <c r="AK191" s="1800"/>
      <c r="AL191" s="1800"/>
      <c r="AM191" s="1800"/>
      <c r="AN191" s="1800"/>
      <c r="AO191" s="1800"/>
      <c r="AP191" s="1779"/>
      <c r="AQ191" s="1799"/>
      <c r="AR191" s="1799"/>
      <c r="AS191" s="1779"/>
    </row>
    <row r="192" spans="1:45" s="3" customFormat="1" ht="27" customHeight="1" x14ac:dyDescent="0.25">
      <c r="A192" s="942"/>
      <c r="B192" s="943"/>
      <c r="C192" s="943"/>
      <c r="D192" s="943"/>
      <c r="E192" s="944"/>
      <c r="F192" s="944"/>
      <c r="G192" s="944"/>
      <c r="H192" s="944"/>
      <c r="I192" s="944"/>
      <c r="J192" s="944"/>
      <c r="K192" s="944"/>
      <c r="L192" s="944"/>
      <c r="M192" s="944"/>
      <c r="N192" s="944"/>
      <c r="O192" s="944"/>
      <c r="P192" s="944"/>
      <c r="Q192" s="944"/>
      <c r="R192" s="945"/>
      <c r="S192" s="125">
        <f>SUM(S9:S188)</f>
        <v>6018861113.0099993</v>
      </c>
      <c r="T192" s="944"/>
      <c r="U192" s="944"/>
      <c r="V192" s="120" t="s">
        <v>113</v>
      </c>
      <c r="W192" s="125">
        <f>SUM(W12:W191)</f>
        <v>6018861113.0099983</v>
      </c>
      <c r="X192" s="943"/>
      <c r="Y192" s="946"/>
      <c r="Z192" s="943"/>
      <c r="AA192" s="944"/>
      <c r="AB192" s="944"/>
      <c r="AC192" s="944"/>
      <c r="AD192" s="944"/>
      <c r="AE192" s="944"/>
      <c r="AF192" s="944"/>
      <c r="AG192" s="944"/>
      <c r="AH192" s="944"/>
      <c r="AI192" s="944"/>
      <c r="AJ192" s="944"/>
      <c r="AK192" s="944"/>
      <c r="AL192" s="944"/>
      <c r="AM192" s="944"/>
      <c r="AN192" s="944"/>
      <c r="AO192" s="944"/>
      <c r="AP192" s="944"/>
      <c r="AQ192" s="947"/>
      <c r="AR192" s="947"/>
      <c r="AS192" s="948"/>
    </row>
    <row r="193" spans="22:24" ht="27" customHeight="1" x14ac:dyDescent="0.25">
      <c r="V193" s="1706"/>
      <c r="W193" s="949"/>
      <c r="X193" s="949"/>
    </row>
    <row r="194" spans="22:24" ht="27" customHeight="1" x14ac:dyDescent="0.25">
      <c r="V194" s="1706"/>
      <c r="W194" s="949"/>
      <c r="X194" s="949"/>
    </row>
    <row r="196" spans="22:24" ht="27" customHeight="1" x14ac:dyDescent="0.25">
      <c r="V196" s="950"/>
    </row>
    <row r="198" spans="22:24" ht="27" customHeight="1" x14ac:dyDescent="0.25">
      <c r="V198" s="950"/>
    </row>
    <row r="199" spans="22:24" ht="27" customHeight="1" x14ac:dyDescent="0.25">
      <c r="V199" s="950"/>
    </row>
  </sheetData>
  <sheetProtection algorithmName="SHA-512" hashValue="AjrtGQG5erNHuLa5Io7pzKLFepCC+bUnEe6wa/VLODKR67arm/QGux3ZO902fDx1KClbL3g0Jd/vHf4LW5dT5A==" saltValue="hqlulqBq/objdk0oL9hjbg==" spinCount="100000" sheet="1" objects="1" scenarios="1"/>
  <mergeCells count="903">
    <mergeCell ref="AP185:AP188"/>
    <mergeCell ref="AQ185:AQ188"/>
    <mergeCell ref="AR185:AR188"/>
    <mergeCell ref="AS185:AS188"/>
    <mergeCell ref="V188:V189"/>
    <mergeCell ref="AJ185:AJ188"/>
    <mergeCell ref="AK185:AK188"/>
    <mergeCell ref="AL185:AL188"/>
    <mergeCell ref="AM185:AM188"/>
    <mergeCell ref="AN185:AN188"/>
    <mergeCell ref="AO185:AO188"/>
    <mergeCell ref="AD185:AD188"/>
    <mergeCell ref="AE185:AE188"/>
    <mergeCell ref="AF185:AF188"/>
    <mergeCell ref="AG185:AG188"/>
    <mergeCell ref="AH185:AH188"/>
    <mergeCell ref="AI185:AI188"/>
    <mergeCell ref="S185:S191"/>
    <mergeCell ref="T185:T191"/>
    <mergeCell ref="U185:U191"/>
    <mergeCell ref="AA185:AA188"/>
    <mergeCell ref="AB185:AB188"/>
    <mergeCell ref="AC185:AC188"/>
    <mergeCell ref="M185:M191"/>
    <mergeCell ref="N185:N191"/>
    <mergeCell ref="O185:O191"/>
    <mergeCell ref="P185:P191"/>
    <mergeCell ref="Q185:Q191"/>
    <mergeCell ref="R185:R191"/>
    <mergeCell ref="AP182:AP183"/>
    <mergeCell ref="AQ182:AQ183"/>
    <mergeCell ref="AR182:AR183"/>
    <mergeCell ref="AS182:AS183"/>
    <mergeCell ref="G185:G191"/>
    <mergeCell ref="H185:H191"/>
    <mergeCell ref="I185:I191"/>
    <mergeCell ref="J185:J191"/>
    <mergeCell ref="K185:K191"/>
    <mergeCell ref="L185:L191"/>
    <mergeCell ref="AJ182:AJ183"/>
    <mergeCell ref="AK182:AK183"/>
    <mergeCell ref="AL182:AL183"/>
    <mergeCell ref="AM182:AM183"/>
    <mergeCell ref="AN182:AN183"/>
    <mergeCell ref="AO182:AO183"/>
    <mergeCell ref="AD182:AD183"/>
    <mergeCell ref="AE182:AE183"/>
    <mergeCell ref="AF182:AF183"/>
    <mergeCell ref="AG182:AG183"/>
    <mergeCell ref="AH182:AH183"/>
    <mergeCell ref="AI182:AI183"/>
    <mergeCell ref="U182:U183"/>
    <mergeCell ref="Y182:Y183"/>
    <mergeCell ref="Z182:Z183"/>
    <mergeCell ref="AA182:AA183"/>
    <mergeCell ref="AB182:AB183"/>
    <mergeCell ref="AC182:AC183"/>
    <mergeCell ref="O182:O183"/>
    <mergeCell ref="P182:P183"/>
    <mergeCell ref="Q182:Q183"/>
    <mergeCell ref="R182:R183"/>
    <mergeCell ref="S182:S183"/>
    <mergeCell ref="T182:T183"/>
    <mergeCell ref="F181:N181"/>
    <mergeCell ref="G182:G183"/>
    <mergeCell ref="H182:H183"/>
    <mergeCell ref="I182:I183"/>
    <mergeCell ref="J182:J183"/>
    <mergeCell ref="K182:K183"/>
    <mergeCell ref="L182:L183"/>
    <mergeCell ref="M182:M183"/>
    <mergeCell ref="N182:N183"/>
    <mergeCell ref="AN178:AN180"/>
    <mergeCell ref="AO178:AO180"/>
    <mergeCell ref="AP178:AP180"/>
    <mergeCell ref="AQ178:AQ180"/>
    <mergeCell ref="AR178:AR180"/>
    <mergeCell ref="AS178:AS180"/>
    <mergeCell ref="AH178:AH180"/>
    <mergeCell ref="AI178:AI180"/>
    <mergeCell ref="AJ178:AJ180"/>
    <mergeCell ref="AK178:AK180"/>
    <mergeCell ref="AL178:AL180"/>
    <mergeCell ref="AM178:AM180"/>
    <mergeCell ref="AB178:AB180"/>
    <mergeCell ref="AC178:AC180"/>
    <mergeCell ref="AD178:AD180"/>
    <mergeCell ref="AE178:AE180"/>
    <mergeCell ref="AF178:AF180"/>
    <mergeCell ref="AG178:AG180"/>
    <mergeCell ref="S178:S180"/>
    <mergeCell ref="T178:T180"/>
    <mergeCell ref="U178:U180"/>
    <mergeCell ref="Y178:Y180"/>
    <mergeCell ref="Z178:Z180"/>
    <mergeCell ref="AA178:AA180"/>
    <mergeCell ref="M178:M180"/>
    <mergeCell ref="N178:N180"/>
    <mergeCell ref="O178:O180"/>
    <mergeCell ref="P178:P180"/>
    <mergeCell ref="Q178:Q180"/>
    <mergeCell ref="R178:R180"/>
    <mergeCell ref="G178:G180"/>
    <mergeCell ref="H178:H180"/>
    <mergeCell ref="I178:I180"/>
    <mergeCell ref="J178:J180"/>
    <mergeCell ref="K178:K180"/>
    <mergeCell ref="L178:L180"/>
    <mergeCell ref="AN175:AN177"/>
    <mergeCell ref="AO175:AO177"/>
    <mergeCell ref="AP175:AP177"/>
    <mergeCell ref="AQ175:AQ177"/>
    <mergeCell ref="AR175:AR177"/>
    <mergeCell ref="AS175:AS177"/>
    <mergeCell ref="AH175:AH177"/>
    <mergeCell ref="AI175:AI177"/>
    <mergeCell ref="AJ175:AJ177"/>
    <mergeCell ref="AK175:AK177"/>
    <mergeCell ref="AL175:AL177"/>
    <mergeCell ref="AM175:AM177"/>
    <mergeCell ref="AB175:AB177"/>
    <mergeCell ref="AC175:AC177"/>
    <mergeCell ref="AD175:AD177"/>
    <mergeCell ref="AE175:AE177"/>
    <mergeCell ref="AF175:AF177"/>
    <mergeCell ref="AG175:AG177"/>
    <mergeCell ref="S175:S177"/>
    <mergeCell ref="T175:T177"/>
    <mergeCell ref="U175:U177"/>
    <mergeCell ref="Y175:Y177"/>
    <mergeCell ref="Z175:Z177"/>
    <mergeCell ref="AA175:AA177"/>
    <mergeCell ref="M175:M177"/>
    <mergeCell ref="N175:N177"/>
    <mergeCell ref="O175:O177"/>
    <mergeCell ref="P175:P177"/>
    <mergeCell ref="Q175:Q177"/>
    <mergeCell ref="R175:R177"/>
    <mergeCell ref="G175:G177"/>
    <mergeCell ref="H175:H177"/>
    <mergeCell ref="I175:I177"/>
    <mergeCell ref="J175:J177"/>
    <mergeCell ref="K175:K177"/>
    <mergeCell ref="L175:L177"/>
    <mergeCell ref="AN167:AN174"/>
    <mergeCell ref="AO167:AO174"/>
    <mergeCell ref="AP167:AP174"/>
    <mergeCell ref="AQ167:AQ174"/>
    <mergeCell ref="AR167:AR174"/>
    <mergeCell ref="AS167:AS174"/>
    <mergeCell ref="AH167:AH174"/>
    <mergeCell ref="AI167:AI174"/>
    <mergeCell ref="AJ167:AJ174"/>
    <mergeCell ref="AK167:AK174"/>
    <mergeCell ref="AL167:AL174"/>
    <mergeCell ref="AM167:AM174"/>
    <mergeCell ref="AB167:AB174"/>
    <mergeCell ref="AC167:AC174"/>
    <mergeCell ref="AD167:AD174"/>
    <mergeCell ref="AE167:AE174"/>
    <mergeCell ref="AF167:AF174"/>
    <mergeCell ref="AG167:AG174"/>
    <mergeCell ref="S167:S174"/>
    <mergeCell ref="T167:T174"/>
    <mergeCell ref="U167:U174"/>
    <mergeCell ref="Y167:Y174"/>
    <mergeCell ref="Z167:Z174"/>
    <mergeCell ref="AA167:AA174"/>
    <mergeCell ref="M167:M174"/>
    <mergeCell ref="N167:N174"/>
    <mergeCell ref="O167:O174"/>
    <mergeCell ref="P167:P174"/>
    <mergeCell ref="Q167:Q174"/>
    <mergeCell ref="R167:R174"/>
    <mergeCell ref="G167:G174"/>
    <mergeCell ref="H167:H174"/>
    <mergeCell ref="I167:I174"/>
    <mergeCell ref="J167:J174"/>
    <mergeCell ref="K167:K174"/>
    <mergeCell ref="L167:L174"/>
    <mergeCell ref="AN160:AN166"/>
    <mergeCell ref="AO160:AO166"/>
    <mergeCell ref="AP160:AP166"/>
    <mergeCell ref="AQ160:AQ166"/>
    <mergeCell ref="AR160:AR166"/>
    <mergeCell ref="AS160:AS166"/>
    <mergeCell ref="AH160:AH166"/>
    <mergeCell ref="AI160:AI166"/>
    <mergeCell ref="AJ160:AJ166"/>
    <mergeCell ref="AK160:AK166"/>
    <mergeCell ref="AL160:AL166"/>
    <mergeCell ref="AM160:AM166"/>
    <mergeCell ref="AB160:AB166"/>
    <mergeCell ref="AC160:AC166"/>
    <mergeCell ref="AD160:AD166"/>
    <mergeCell ref="AE160:AE166"/>
    <mergeCell ref="AF160:AF166"/>
    <mergeCell ref="AG160:AG166"/>
    <mergeCell ref="S160:S166"/>
    <mergeCell ref="T160:T166"/>
    <mergeCell ref="U160:U166"/>
    <mergeCell ref="Y160:Y166"/>
    <mergeCell ref="Z160:Z166"/>
    <mergeCell ref="AA160:AA166"/>
    <mergeCell ref="M160:M166"/>
    <mergeCell ref="N160:N166"/>
    <mergeCell ref="O160:O166"/>
    <mergeCell ref="P160:P166"/>
    <mergeCell ref="Q160:Q166"/>
    <mergeCell ref="R160:R166"/>
    <mergeCell ref="G160:G166"/>
    <mergeCell ref="H160:H166"/>
    <mergeCell ref="I160:I166"/>
    <mergeCell ref="J160:J166"/>
    <mergeCell ref="K160:K166"/>
    <mergeCell ref="L160:L166"/>
    <mergeCell ref="AP151:AP155"/>
    <mergeCell ref="AQ151:AQ155"/>
    <mergeCell ref="AR151:AR155"/>
    <mergeCell ref="AS151:AS155"/>
    <mergeCell ref="B156:G156"/>
    <mergeCell ref="D157:G157"/>
    <mergeCell ref="AJ151:AJ155"/>
    <mergeCell ref="AK151:AK155"/>
    <mergeCell ref="AL151:AL155"/>
    <mergeCell ref="AM151:AM155"/>
    <mergeCell ref="AN151:AN155"/>
    <mergeCell ref="AO151:AO155"/>
    <mergeCell ref="AD151:AD155"/>
    <mergeCell ref="AE151:AE155"/>
    <mergeCell ref="AF151:AF155"/>
    <mergeCell ref="AG151:AG155"/>
    <mergeCell ref="AH151:AH155"/>
    <mergeCell ref="AI151:AI155"/>
    <mergeCell ref="T151:T155"/>
    <mergeCell ref="U151:U155"/>
    <mergeCell ref="V151:V152"/>
    <mergeCell ref="AA151:AA155"/>
    <mergeCell ref="AB151:AB155"/>
    <mergeCell ref="AC151:AC155"/>
    <mergeCell ref="N151:N155"/>
    <mergeCell ref="O151:O155"/>
    <mergeCell ref="P151:P155"/>
    <mergeCell ref="Q151:Q155"/>
    <mergeCell ref="R151:R155"/>
    <mergeCell ref="S151:S155"/>
    <mergeCell ref="AR147:AR148"/>
    <mergeCell ref="AS147:AS148"/>
    <mergeCell ref="E151:F155"/>
    <mergeCell ref="G151:G155"/>
    <mergeCell ref="H151:H155"/>
    <mergeCell ref="I151:I155"/>
    <mergeCell ref="J151:J155"/>
    <mergeCell ref="K151:K155"/>
    <mergeCell ref="L151:L155"/>
    <mergeCell ref="M151:M155"/>
    <mergeCell ref="AL147:AL148"/>
    <mergeCell ref="AM147:AM148"/>
    <mergeCell ref="AN147:AN148"/>
    <mergeCell ref="AO147:AO148"/>
    <mergeCell ref="AP147:AP148"/>
    <mergeCell ref="AQ147:AQ148"/>
    <mergeCell ref="AF147:AF148"/>
    <mergeCell ref="AG147:AG148"/>
    <mergeCell ref="AH147:AH148"/>
    <mergeCell ref="AI147:AI148"/>
    <mergeCell ref="AJ147:AJ148"/>
    <mergeCell ref="AK147:AK148"/>
    <mergeCell ref="Z147:Z148"/>
    <mergeCell ref="AA147:AA148"/>
    <mergeCell ref="AB147:AB148"/>
    <mergeCell ref="AC147:AC148"/>
    <mergeCell ref="AD147:AD148"/>
    <mergeCell ref="AE147:AE148"/>
    <mergeCell ref="Q147:Q148"/>
    <mergeCell ref="R147:R148"/>
    <mergeCell ref="S147:S148"/>
    <mergeCell ref="T147:T148"/>
    <mergeCell ref="U147:U148"/>
    <mergeCell ref="Y147:Y148"/>
    <mergeCell ref="K147:K148"/>
    <mergeCell ref="L147:L148"/>
    <mergeCell ref="M147:M148"/>
    <mergeCell ref="N147:N148"/>
    <mergeCell ref="O147:O148"/>
    <mergeCell ref="P147:P148"/>
    <mergeCell ref="B144:G144"/>
    <mergeCell ref="D145:J145"/>
    <mergeCell ref="E147:F148"/>
    <mergeCell ref="G147:G148"/>
    <mergeCell ref="H147:H148"/>
    <mergeCell ref="I147:I148"/>
    <mergeCell ref="J147:J148"/>
    <mergeCell ref="G106:G143"/>
    <mergeCell ref="H106:H143"/>
    <mergeCell ref="I106:I143"/>
    <mergeCell ref="J106:J143"/>
    <mergeCell ref="K106:K143"/>
    <mergeCell ref="L106:L143"/>
    <mergeCell ref="AN101:AN143"/>
    <mergeCell ref="AO101:AO143"/>
    <mergeCell ref="AP101:AP143"/>
    <mergeCell ref="AQ101:AQ143"/>
    <mergeCell ref="AR101:AR143"/>
    <mergeCell ref="AS101:AS143"/>
    <mergeCell ref="AH101:AH143"/>
    <mergeCell ref="AI101:AI143"/>
    <mergeCell ref="AJ101:AJ143"/>
    <mergeCell ref="AK101:AK143"/>
    <mergeCell ref="AL101:AL143"/>
    <mergeCell ref="AM101:AM143"/>
    <mergeCell ref="AB101:AB143"/>
    <mergeCell ref="AC101:AC143"/>
    <mergeCell ref="AD101:AD143"/>
    <mergeCell ref="AE101:AE143"/>
    <mergeCell ref="AF101:AF143"/>
    <mergeCell ref="AG101:AG143"/>
    <mergeCell ref="S101:S143"/>
    <mergeCell ref="T101:T143"/>
    <mergeCell ref="U101:U143"/>
    <mergeCell ref="Y101:Y105"/>
    <mergeCell ref="Z101:Z105"/>
    <mergeCell ref="AA101:AA143"/>
    <mergeCell ref="V106:V129"/>
    <mergeCell ref="V130:V143"/>
    <mergeCell ref="M101:M105"/>
    <mergeCell ref="N101:N105"/>
    <mergeCell ref="O101:O105"/>
    <mergeCell ref="P101:P143"/>
    <mergeCell ref="Q101:Q143"/>
    <mergeCell ref="R101:R105"/>
    <mergeCell ref="M106:M143"/>
    <mergeCell ref="N106:N143"/>
    <mergeCell ref="O106:O143"/>
    <mergeCell ref="R106:R143"/>
    <mergeCell ref="G101:G105"/>
    <mergeCell ref="H101:H105"/>
    <mergeCell ref="I101:I105"/>
    <mergeCell ref="J101:J105"/>
    <mergeCell ref="K101:K105"/>
    <mergeCell ref="L101:L105"/>
    <mergeCell ref="AN98:AN100"/>
    <mergeCell ref="AO98:AO100"/>
    <mergeCell ref="AP98:AP100"/>
    <mergeCell ref="AB98:AB100"/>
    <mergeCell ref="AC98:AC100"/>
    <mergeCell ref="AD98:AD100"/>
    <mergeCell ref="AE98:AE100"/>
    <mergeCell ref="AF98:AF100"/>
    <mergeCell ref="AG98:AG100"/>
    <mergeCell ref="S98:S100"/>
    <mergeCell ref="T98:T100"/>
    <mergeCell ref="U98:U100"/>
    <mergeCell ref="Y98:Y100"/>
    <mergeCell ref="Z98:Z100"/>
    <mergeCell ref="AA98:AA100"/>
    <mergeCell ref="M98:M100"/>
    <mergeCell ref="N98:N100"/>
    <mergeCell ref="O98:O100"/>
    <mergeCell ref="G98:G100"/>
    <mergeCell ref="H98:H100"/>
    <mergeCell ref="I98:I100"/>
    <mergeCell ref="J98:J100"/>
    <mergeCell ref="K98:K100"/>
    <mergeCell ref="L98:L100"/>
    <mergeCell ref="AQ98:AQ100"/>
    <mergeCell ref="AR98:AR100"/>
    <mergeCell ref="AS98:AS100"/>
    <mergeCell ref="AH98:AH100"/>
    <mergeCell ref="AI98:AI100"/>
    <mergeCell ref="AJ98:AJ100"/>
    <mergeCell ref="AK98:AK100"/>
    <mergeCell ref="AL98:AL100"/>
    <mergeCell ref="AM98:AM100"/>
    <mergeCell ref="O91:O97"/>
    <mergeCell ref="R91:R97"/>
    <mergeCell ref="V91:V92"/>
    <mergeCell ref="V93:V94"/>
    <mergeCell ref="V96:V97"/>
    <mergeCell ref="AO90:AO97"/>
    <mergeCell ref="P98:P100"/>
    <mergeCell ref="Q98:Q100"/>
    <mergeCell ref="R98:R100"/>
    <mergeCell ref="AP90:AP97"/>
    <mergeCell ref="AQ90:AQ97"/>
    <mergeCell ref="AR90:AR97"/>
    <mergeCell ref="AS90:AS97"/>
    <mergeCell ref="G91:G97"/>
    <mergeCell ref="H91:H97"/>
    <mergeCell ref="I91:I97"/>
    <mergeCell ref="J91:J97"/>
    <mergeCell ref="K91:K97"/>
    <mergeCell ref="AI90:AI97"/>
    <mergeCell ref="AJ90:AJ97"/>
    <mergeCell ref="AK90:AK97"/>
    <mergeCell ref="AL90:AL97"/>
    <mergeCell ref="AM90:AM97"/>
    <mergeCell ref="AN90:AN97"/>
    <mergeCell ref="AC90:AC97"/>
    <mergeCell ref="AD90:AD97"/>
    <mergeCell ref="AE90:AE97"/>
    <mergeCell ref="AF90:AF97"/>
    <mergeCell ref="AG90:AG97"/>
    <mergeCell ref="AH90:AH97"/>
    <mergeCell ref="L91:L97"/>
    <mergeCell ref="M91:M97"/>
    <mergeCell ref="N91:N97"/>
    <mergeCell ref="AS83:AS88"/>
    <mergeCell ref="V87:V88"/>
    <mergeCell ref="E90:F143"/>
    <mergeCell ref="P90:P97"/>
    <mergeCell ref="Q90:Q97"/>
    <mergeCell ref="S90:S97"/>
    <mergeCell ref="T90:T97"/>
    <mergeCell ref="U90:U97"/>
    <mergeCell ref="AA90:AA97"/>
    <mergeCell ref="AB90:AB97"/>
    <mergeCell ref="AM83:AM88"/>
    <mergeCell ref="AN83:AN88"/>
    <mergeCell ref="AO83:AO88"/>
    <mergeCell ref="AP83:AP88"/>
    <mergeCell ref="AQ83:AQ88"/>
    <mergeCell ref="AR83:AR88"/>
    <mergeCell ref="AG83:AG88"/>
    <mergeCell ref="AH83:AH88"/>
    <mergeCell ref="AI83:AI88"/>
    <mergeCell ref="AJ83:AJ88"/>
    <mergeCell ref="AK83:AK88"/>
    <mergeCell ref="AL83:AL88"/>
    <mergeCell ref="AA83:AA88"/>
    <mergeCell ref="AB83:AB88"/>
    <mergeCell ref="AD83:AD88"/>
    <mergeCell ref="AE83:AE88"/>
    <mergeCell ref="AF83:AF88"/>
    <mergeCell ref="Q83:Q88"/>
    <mergeCell ref="R83:R88"/>
    <mergeCell ref="S83:S88"/>
    <mergeCell ref="T83:T88"/>
    <mergeCell ref="U83:U88"/>
    <mergeCell ref="V83:V84"/>
    <mergeCell ref="L83:L88"/>
    <mergeCell ref="M83:M88"/>
    <mergeCell ref="N83:N88"/>
    <mergeCell ref="O83:O88"/>
    <mergeCell ref="P83:P88"/>
    <mergeCell ref="AS77:AS82"/>
    <mergeCell ref="G80:G82"/>
    <mergeCell ref="H80:H82"/>
    <mergeCell ref="I80:I82"/>
    <mergeCell ref="J80:J82"/>
    <mergeCell ref="K80:K82"/>
    <mergeCell ref="L80:L82"/>
    <mergeCell ref="M80:M82"/>
    <mergeCell ref="N80:N82"/>
    <mergeCell ref="O80:O82"/>
    <mergeCell ref="AM77:AM82"/>
    <mergeCell ref="AN77:AN82"/>
    <mergeCell ref="AO77:AO82"/>
    <mergeCell ref="AP77:AP82"/>
    <mergeCell ref="AQ77:AQ82"/>
    <mergeCell ref="AR77:AR82"/>
    <mergeCell ref="AG77:AG82"/>
    <mergeCell ref="AH77:AH82"/>
    <mergeCell ref="AC83:AC88"/>
    <mergeCell ref="AI77:AI82"/>
    <mergeCell ref="AJ77:AJ82"/>
    <mergeCell ref="AK77:AK82"/>
    <mergeCell ref="AL77:AL82"/>
    <mergeCell ref="AA77:AA82"/>
    <mergeCell ref="AB77:AB82"/>
    <mergeCell ref="AC77:AC82"/>
    <mergeCell ref="AD77:AD82"/>
    <mergeCell ref="AE77:AE82"/>
    <mergeCell ref="AF77:AF82"/>
    <mergeCell ref="R77:R79"/>
    <mergeCell ref="S77:S82"/>
    <mergeCell ref="T77:T82"/>
    <mergeCell ref="U77:U82"/>
    <mergeCell ref="Y77:Y82"/>
    <mergeCell ref="Z77:Z82"/>
    <mergeCell ref="R80:R82"/>
    <mergeCell ref="L77:L79"/>
    <mergeCell ref="M77:M79"/>
    <mergeCell ref="N77:N79"/>
    <mergeCell ref="O77:O79"/>
    <mergeCell ref="P77:P82"/>
    <mergeCell ref="Q77:Q82"/>
    <mergeCell ref="AP73:AP76"/>
    <mergeCell ref="AQ73:AQ76"/>
    <mergeCell ref="AR73:AR76"/>
    <mergeCell ref="AS73:AS76"/>
    <mergeCell ref="V74:V75"/>
    <mergeCell ref="G77:G79"/>
    <mergeCell ref="H77:H79"/>
    <mergeCell ref="I77:I79"/>
    <mergeCell ref="J77:J79"/>
    <mergeCell ref="K77:K79"/>
    <mergeCell ref="AJ73:AJ76"/>
    <mergeCell ref="AK73:AK76"/>
    <mergeCell ref="AL73:AL76"/>
    <mergeCell ref="AM73:AM76"/>
    <mergeCell ref="AN73:AN76"/>
    <mergeCell ref="AO73:AO76"/>
    <mergeCell ref="AD73:AD76"/>
    <mergeCell ref="AE73:AE76"/>
    <mergeCell ref="AF73:AF76"/>
    <mergeCell ref="AG73:AG76"/>
    <mergeCell ref="AH73:AH76"/>
    <mergeCell ref="AI73:AI76"/>
    <mergeCell ref="S73:S76"/>
    <mergeCell ref="T73:T76"/>
    <mergeCell ref="AA73:AA76"/>
    <mergeCell ref="AB73:AB76"/>
    <mergeCell ref="AC73:AC76"/>
    <mergeCell ref="M73:M76"/>
    <mergeCell ref="N73:N76"/>
    <mergeCell ref="O73:O76"/>
    <mergeCell ref="P73:P76"/>
    <mergeCell ref="Q73:Q76"/>
    <mergeCell ref="R73:R76"/>
    <mergeCell ref="AQ70:AQ72"/>
    <mergeCell ref="AR70:AR72"/>
    <mergeCell ref="AS70:AS72"/>
    <mergeCell ref="G73:G76"/>
    <mergeCell ref="H73:H76"/>
    <mergeCell ref="I73:I76"/>
    <mergeCell ref="J73:J76"/>
    <mergeCell ref="K73:K76"/>
    <mergeCell ref="L73:L76"/>
    <mergeCell ref="AJ70:AJ72"/>
    <mergeCell ref="AK70:AK72"/>
    <mergeCell ref="AL70:AL72"/>
    <mergeCell ref="AM70:AM72"/>
    <mergeCell ref="AN70:AN72"/>
    <mergeCell ref="AO70:AO72"/>
    <mergeCell ref="AD70:AD72"/>
    <mergeCell ref="AE70:AE72"/>
    <mergeCell ref="AF70:AF72"/>
    <mergeCell ref="AG70:AG72"/>
    <mergeCell ref="AH70:AH72"/>
    <mergeCell ref="AI70:AI72"/>
    <mergeCell ref="X70:X71"/>
    <mergeCell ref="Y70:Y72"/>
    <mergeCell ref="U73:U76"/>
    <mergeCell ref="E68:F85"/>
    <mergeCell ref="G70:G72"/>
    <mergeCell ref="H70:H72"/>
    <mergeCell ref="I70:I72"/>
    <mergeCell ref="J70:J72"/>
    <mergeCell ref="K70:K72"/>
    <mergeCell ref="G83:G88"/>
    <mergeCell ref="H83:H88"/>
    <mergeCell ref="I83:I88"/>
    <mergeCell ref="J83:J88"/>
    <mergeCell ref="K83:K88"/>
    <mergeCell ref="AS62:AS66"/>
    <mergeCell ref="AH62:AH66"/>
    <mergeCell ref="AI62:AI66"/>
    <mergeCell ref="AJ62:AJ66"/>
    <mergeCell ref="AK62:AK66"/>
    <mergeCell ref="AL62:AL66"/>
    <mergeCell ref="AM62:AM66"/>
    <mergeCell ref="L70:L72"/>
    <mergeCell ref="M70:M72"/>
    <mergeCell ref="N70:N72"/>
    <mergeCell ref="O70:O72"/>
    <mergeCell ref="P70:P72"/>
    <mergeCell ref="Q70:Q72"/>
    <mergeCell ref="Z70:Z72"/>
    <mergeCell ref="AA70:AA72"/>
    <mergeCell ref="AB70:AB72"/>
    <mergeCell ref="AC70:AC72"/>
    <mergeCell ref="R70:R72"/>
    <mergeCell ref="S70:S72"/>
    <mergeCell ref="T70:T72"/>
    <mergeCell ref="U70:U72"/>
    <mergeCell ref="V70:V71"/>
    <mergeCell ref="W70:W71"/>
    <mergeCell ref="AP70:AP72"/>
    <mergeCell ref="U62:U66"/>
    <mergeCell ref="Y62:Y66"/>
    <mergeCell ref="Z62:Z66"/>
    <mergeCell ref="AA62:AA66"/>
    <mergeCell ref="AN62:AN66"/>
    <mergeCell ref="AO62:AO66"/>
    <mergeCell ref="AP62:AP66"/>
    <mergeCell ref="AQ62:AQ66"/>
    <mergeCell ref="AR62:AR66"/>
    <mergeCell ref="M62:M66"/>
    <mergeCell ref="N62:N66"/>
    <mergeCell ref="O62:O66"/>
    <mergeCell ref="P62:P66"/>
    <mergeCell ref="Q62:Q66"/>
    <mergeCell ref="R62:R66"/>
    <mergeCell ref="AQ57:AQ61"/>
    <mergeCell ref="AR57:AR61"/>
    <mergeCell ref="AS57:AS61"/>
    <mergeCell ref="V59:V60"/>
    <mergeCell ref="AN57:AN61"/>
    <mergeCell ref="AO57:AO61"/>
    <mergeCell ref="AP57:AP61"/>
    <mergeCell ref="Q57:Q61"/>
    <mergeCell ref="R57:R60"/>
    <mergeCell ref="S57:S61"/>
    <mergeCell ref="AB62:AB66"/>
    <mergeCell ref="AC62:AC66"/>
    <mergeCell ref="AD62:AD66"/>
    <mergeCell ref="AE62:AE66"/>
    <mergeCell ref="AF62:AF66"/>
    <mergeCell ref="AG62:AG66"/>
    <mergeCell ref="S62:S66"/>
    <mergeCell ref="T62:T66"/>
    <mergeCell ref="G62:G66"/>
    <mergeCell ref="H62:H66"/>
    <mergeCell ref="I62:I66"/>
    <mergeCell ref="J62:J66"/>
    <mergeCell ref="K62:K66"/>
    <mergeCell ref="L62:L66"/>
    <mergeCell ref="AK57:AK61"/>
    <mergeCell ref="AL57:AL61"/>
    <mergeCell ref="AM57:AM61"/>
    <mergeCell ref="AE57:AE61"/>
    <mergeCell ref="AF57:AF61"/>
    <mergeCell ref="AG57:AG61"/>
    <mergeCell ref="AH57:AH61"/>
    <mergeCell ref="AI57:AI61"/>
    <mergeCell ref="AJ57:AJ61"/>
    <mergeCell ref="T57:T61"/>
    <mergeCell ref="U57:U61"/>
    <mergeCell ref="AA57:AA61"/>
    <mergeCell ref="AB57:AB61"/>
    <mergeCell ref="AC57:AC61"/>
    <mergeCell ref="AD57:AD61"/>
    <mergeCell ref="N57:N59"/>
    <mergeCell ref="O57:O59"/>
    <mergeCell ref="P57:P61"/>
    <mergeCell ref="AQ54:AQ56"/>
    <mergeCell ref="AR54:AR56"/>
    <mergeCell ref="AS54:AS56"/>
    <mergeCell ref="G57:G59"/>
    <mergeCell ref="H57:H59"/>
    <mergeCell ref="I57:I59"/>
    <mergeCell ref="J57:J59"/>
    <mergeCell ref="K57:K59"/>
    <mergeCell ref="L57:L59"/>
    <mergeCell ref="M57:M59"/>
    <mergeCell ref="AK54:AK56"/>
    <mergeCell ref="AL54:AL56"/>
    <mergeCell ref="AM54:AM56"/>
    <mergeCell ref="AN54:AN56"/>
    <mergeCell ref="AO54:AO56"/>
    <mergeCell ref="AP54:AP56"/>
    <mergeCell ref="AE54:AE56"/>
    <mergeCell ref="AF54:AF56"/>
    <mergeCell ref="AG54:AG56"/>
    <mergeCell ref="AH54:AH56"/>
    <mergeCell ref="AI54:AI56"/>
    <mergeCell ref="AJ54:AJ56"/>
    <mergeCell ref="Y54:Y56"/>
    <mergeCell ref="Z54:Z56"/>
    <mergeCell ref="AA46:AA53"/>
    <mergeCell ref="AB46:AB53"/>
    <mergeCell ref="AA54:AA56"/>
    <mergeCell ref="AB54:AB56"/>
    <mergeCell ref="AC54:AC56"/>
    <mergeCell ref="AD54:AD56"/>
    <mergeCell ref="P54:P56"/>
    <mergeCell ref="Q54:Q56"/>
    <mergeCell ref="R54:R56"/>
    <mergeCell ref="S54:S56"/>
    <mergeCell ref="T54:T56"/>
    <mergeCell ref="U54:U56"/>
    <mergeCell ref="Y46:Y53"/>
    <mergeCell ref="Z46:Z53"/>
    <mergeCell ref="AS46:AS53"/>
    <mergeCell ref="G54:G56"/>
    <mergeCell ref="H54:H56"/>
    <mergeCell ref="I54:I56"/>
    <mergeCell ref="J54:J56"/>
    <mergeCell ref="K54:K56"/>
    <mergeCell ref="L54:L56"/>
    <mergeCell ref="M54:M56"/>
    <mergeCell ref="N54:N56"/>
    <mergeCell ref="O54:O56"/>
    <mergeCell ref="AM46:AM53"/>
    <mergeCell ref="AN46:AN53"/>
    <mergeCell ref="AO46:AO53"/>
    <mergeCell ref="AP46:AP53"/>
    <mergeCell ref="AQ46:AQ53"/>
    <mergeCell ref="AR46:AR53"/>
    <mergeCell ref="AG46:AG53"/>
    <mergeCell ref="AH46:AH53"/>
    <mergeCell ref="AI46:AI53"/>
    <mergeCell ref="AJ46:AJ53"/>
    <mergeCell ref="AK46:AK53"/>
    <mergeCell ref="AL46:AL53"/>
    <mergeCell ref="G46:G53"/>
    <mergeCell ref="H46:H53"/>
    <mergeCell ref="I46:I53"/>
    <mergeCell ref="J46:J53"/>
    <mergeCell ref="K46:K53"/>
    <mergeCell ref="AP37:AP45"/>
    <mergeCell ref="AQ37:AQ45"/>
    <mergeCell ref="L46:L53"/>
    <mergeCell ref="M46:M53"/>
    <mergeCell ref="N46:N53"/>
    <mergeCell ref="O46:O53"/>
    <mergeCell ref="P46:P53"/>
    <mergeCell ref="Q46:Q53"/>
    <mergeCell ref="M38:M45"/>
    <mergeCell ref="N38:N45"/>
    <mergeCell ref="O38:O45"/>
    <mergeCell ref="AC46:AC53"/>
    <mergeCell ref="AD46:AD53"/>
    <mergeCell ref="AE46:AE53"/>
    <mergeCell ref="AF46:AF53"/>
    <mergeCell ref="R46:R53"/>
    <mergeCell ref="S46:S53"/>
    <mergeCell ref="T46:T53"/>
    <mergeCell ref="U46:U53"/>
    <mergeCell ref="AR37:AR45"/>
    <mergeCell ref="AS37:AS45"/>
    <mergeCell ref="G38:G45"/>
    <mergeCell ref="H38:H45"/>
    <mergeCell ref="I38:I45"/>
    <mergeCell ref="J38:J45"/>
    <mergeCell ref="K38:K45"/>
    <mergeCell ref="L38:L45"/>
    <mergeCell ref="AJ37:AJ45"/>
    <mergeCell ref="AK37:AK45"/>
    <mergeCell ref="AL37:AL45"/>
    <mergeCell ref="AM37:AM45"/>
    <mergeCell ref="AN37:AN45"/>
    <mergeCell ref="AO37:AO45"/>
    <mergeCell ref="AD37:AD45"/>
    <mergeCell ref="AE37:AE45"/>
    <mergeCell ref="AF37:AF45"/>
    <mergeCell ref="AG37:AG45"/>
    <mergeCell ref="AH37:AH45"/>
    <mergeCell ref="AI37:AI45"/>
    <mergeCell ref="R38:R45"/>
    <mergeCell ref="V40:V41"/>
    <mergeCell ref="AR31:AR36"/>
    <mergeCell ref="AS31:AS36"/>
    <mergeCell ref="P37:P45"/>
    <mergeCell ref="Q37:Q45"/>
    <mergeCell ref="S37:S45"/>
    <mergeCell ref="T37:T45"/>
    <mergeCell ref="U37:U45"/>
    <mergeCell ref="AA37:AA45"/>
    <mergeCell ref="AB37:AB45"/>
    <mergeCell ref="AC37:AC45"/>
    <mergeCell ref="AL31:AL36"/>
    <mergeCell ref="AM31:AM36"/>
    <mergeCell ref="AN31:AN36"/>
    <mergeCell ref="AO31:AO36"/>
    <mergeCell ref="AP31:AP36"/>
    <mergeCell ref="AQ31:AQ36"/>
    <mergeCell ref="AF31:AF36"/>
    <mergeCell ref="AG31:AG36"/>
    <mergeCell ref="AH31:AH36"/>
    <mergeCell ref="AI31:AI36"/>
    <mergeCell ref="AJ31:AJ36"/>
    <mergeCell ref="AK31:AK36"/>
    <mergeCell ref="Z31:Z36"/>
    <mergeCell ref="AA31:AA36"/>
    <mergeCell ref="AP25:AP30"/>
    <mergeCell ref="AQ25:AQ30"/>
    <mergeCell ref="AR25:AR30"/>
    <mergeCell ref="AC25:AC30"/>
    <mergeCell ref="V28:V29"/>
    <mergeCell ref="L25:L26"/>
    <mergeCell ref="M25:M26"/>
    <mergeCell ref="N25:N26"/>
    <mergeCell ref="P25:P30"/>
    <mergeCell ref="Q25:Q30"/>
    <mergeCell ref="S25:S30"/>
    <mergeCell ref="M27:M30"/>
    <mergeCell ref="N27:N30"/>
    <mergeCell ref="O27:O30"/>
    <mergeCell ref="R27:R30"/>
    <mergeCell ref="AH25:AH30"/>
    <mergeCell ref="AI25:AI30"/>
    <mergeCell ref="T25:T30"/>
    <mergeCell ref="U25:U30"/>
    <mergeCell ref="V25:V26"/>
    <mergeCell ref="AA25:AA30"/>
    <mergeCell ref="AB25:AB30"/>
    <mergeCell ref="K31:K36"/>
    <mergeCell ref="L31:L36"/>
    <mergeCell ref="M31:M36"/>
    <mergeCell ref="N31:N36"/>
    <mergeCell ref="O31:O36"/>
    <mergeCell ref="P31:P36"/>
    <mergeCell ref="AB31:AB36"/>
    <mergeCell ref="AC31:AC36"/>
    <mergeCell ref="AD31:AD36"/>
    <mergeCell ref="AE31:AE36"/>
    <mergeCell ref="Q31:Q36"/>
    <mergeCell ref="R31:R36"/>
    <mergeCell ref="S31:S36"/>
    <mergeCell ref="T31:T36"/>
    <mergeCell ref="U31:U36"/>
    <mergeCell ref="Y31:Y36"/>
    <mergeCell ref="I25:I26"/>
    <mergeCell ref="J25:J26"/>
    <mergeCell ref="K25:K26"/>
    <mergeCell ref="G31:G36"/>
    <mergeCell ref="H31:H36"/>
    <mergeCell ref="I31:I36"/>
    <mergeCell ref="J31:J36"/>
    <mergeCell ref="AS25:AS30"/>
    <mergeCell ref="G27:G30"/>
    <mergeCell ref="H27:H30"/>
    <mergeCell ref="I27:I30"/>
    <mergeCell ref="J27:J30"/>
    <mergeCell ref="K27:K30"/>
    <mergeCell ref="L27:L30"/>
    <mergeCell ref="AJ25:AJ30"/>
    <mergeCell ref="AK25:AK30"/>
    <mergeCell ref="AL25:AL30"/>
    <mergeCell ref="AM25:AM30"/>
    <mergeCell ref="AN25:AN30"/>
    <mergeCell ref="AO25:AO30"/>
    <mergeCell ref="AD25:AD30"/>
    <mergeCell ref="AE25:AE30"/>
    <mergeCell ref="AF25:AF30"/>
    <mergeCell ref="AG25:AG30"/>
    <mergeCell ref="AP12:AP19"/>
    <mergeCell ref="AQ12:AQ19"/>
    <mergeCell ref="AR12:AR19"/>
    <mergeCell ref="AC12:AC19"/>
    <mergeCell ref="O12:O14"/>
    <mergeCell ref="P12:P19"/>
    <mergeCell ref="Q12:Q19"/>
    <mergeCell ref="R12:R14"/>
    <mergeCell ref="S12:S19"/>
    <mergeCell ref="T12:T19"/>
    <mergeCell ref="AS12:AS19"/>
    <mergeCell ref="G15:G19"/>
    <mergeCell ref="H15:H19"/>
    <mergeCell ref="I15:I19"/>
    <mergeCell ref="J15:J19"/>
    <mergeCell ref="K15:K19"/>
    <mergeCell ref="L15:L19"/>
    <mergeCell ref="AJ12:AJ19"/>
    <mergeCell ref="AK12:AK19"/>
    <mergeCell ref="AL12:AL19"/>
    <mergeCell ref="AM12:AM19"/>
    <mergeCell ref="AN12:AN19"/>
    <mergeCell ref="AO12:AO19"/>
    <mergeCell ref="AD12:AD19"/>
    <mergeCell ref="AE12:AE19"/>
    <mergeCell ref="AF12:AF19"/>
    <mergeCell ref="AG12:AG19"/>
    <mergeCell ref="AH12:AH19"/>
    <mergeCell ref="AI12:AI19"/>
    <mergeCell ref="U12:U19"/>
    <mergeCell ref="Y12:Y19"/>
    <mergeCell ref="Z12:Z19"/>
    <mergeCell ref="AA12:AA19"/>
    <mergeCell ref="AB12:AB19"/>
    <mergeCell ref="B9:G9"/>
    <mergeCell ref="D10:I10"/>
    <mergeCell ref="A11:B143"/>
    <mergeCell ref="F11:L11"/>
    <mergeCell ref="E12:F14"/>
    <mergeCell ref="G12:G14"/>
    <mergeCell ref="H12:H14"/>
    <mergeCell ref="X7:Z7"/>
    <mergeCell ref="AA7:AB7"/>
    <mergeCell ref="M15:M19"/>
    <mergeCell ref="N15:N19"/>
    <mergeCell ref="O15:O19"/>
    <mergeCell ref="R15:R19"/>
    <mergeCell ref="F21:L21"/>
    <mergeCell ref="D23:J23"/>
    <mergeCell ref="I12:I14"/>
    <mergeCell ref="J12:J14"/>
    <mergeCell ref="K12:K14"/>
    <mergeCell ref="L12:L14"/>
    <mergeCell ref="M12:M14"/>
    <mergeCell ref="N12:N14"/>
    <mergeCell ref="E25:F66"/>
    <mergeCell ref="G25:G26"/>
    <mergeCell ref="H25:H26"/>
    <mergeCell ref="A1:AQ4"/>
    <mergeCell ref="A5:O6"/>
    <mergeCell ref="P5:AS5"/>
    <mergeCell ref="AA6:AO6"/>
    <mergeCell ref="A7:B7"/>
    <mergeCell ref="C7:D7"/>
    <mergeCell ref="E7:F7"/>
    <mergeCell ref="G7:J7"/>
    <mergeCell ref="K7:N7"/>
    <mergeCell ref="O7:W7"/>
    <mergeCell ref="AQ7:AQ8"/>
    <mergeCell ref="AR7:AR8"/>
    <mergeCell ref="AS7:AS8"/>
    <mergeCell ref="AC7:AF7"/>
    <mergeCell ref="AG7:AL7"/>
    <mergeCell ref="AM7:AO7"/>
    <mergeCell ref="AP7:AP8"/>
  </mergeCells>
  <conditionalFormatting sqref="A122:V128 Z122:XFD128">
    <cfRule type="cellIs" dxfId="12" priority="1" operator="lessThan">
      <formula>0</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300"/>
  <sheetViews>
    <sheetView showGridLines="0" zoomScale="70" zoomScaleNormal="70" workbookViewId="0">
      <selection sqref="A1:AQ4"/>
    </sheetView>
  </sheetViews>
  <sheetFormatPr baseColWidth="10" defaultColWidth="9.140625" defaultRowHeight="27" customHeight="1" x14ac:dyDescent="0.25"/>
  <cols>
    <col min="1" max="1" width="10.28515625" style="130" customWidth="1"/>
    <col min="2" max="3" width="12" style="4" customWidth="1"/>
    <col min="4" max="4" width="11.5703125" style="4" customWidth="1"/>
    <col min="5" max="5" width="11" style="4" customWidth="1"/>
    <col min="6" max="6" width="26.28515625" style="4" customWidth="1"/>
    <col min="7" max="7" width="12.140625" style="4" customWidth="1"/>
    <col min="8" max="8" width="43.7109375" style="1609" customWidth="1"/>
    <col min="9" max="9" width="28" style="3" customWidth="1"/>
    <col min="10" max="10" width="45.28515625" style="1610" customWidth="1"/>
    <col min="11" max="11" width="14.28515625" style="137" customWidth="1"/>
    <col min="12" max="12" width="40.7109375" style="1610" customWidth="1"/>
    <col min="13" max="13" width="22.140625" style="3" customWidth="1"/>
    <col min="14" max="14" width="40" style="1609" customWidth="1"/>
    <col min="15" max="15" width="16" style="3" customWidth="1"/>
    <col min="16" max="16" width="26.7109375" style="3" customWidth="1"/>
    <col min="17" max="17" width="30.28515625" style="1609" customWidth="1"/>
    <col min="18" max="18" width="12.7109375" style="134" customWidth="1"/>
    <col min="19" max="19" width="22.42578125" style="143" hidden="1" customWidth="1"/>
    <col min="20" max="20" width="29.140625" style="3" hidden="1" customWidth="1"/>
    <col min="21" max="21" width="26.140625" style="3" hidden="1" customWidth="1"/>
    <col min="22" max="22" width="90.140625" style="1610" hidden="1" customWidth="1"/>
    <col min="23" max="23" width="26.28515625" style="143" customWidth="1"/>
    <col min="24" max="24" width="59.85546875" style="143" customWidth="1"/>
    <col min="25" max="25" width="11.7109375" style="137" customWidth="1"/>
    <col min="26" max="26" width="32.85546875" style="3" customWidth="1"/>
    <col min="27" max="28" width="11.140625" style="4" customWidth="1"/>
    <col min="29" max="29" width="11.140625" style="130" customWidth="1"/>
    <col min="30" max="42" width="11.140625" style="4" customWidth="1"/>
    <col min="43" max="44" width="19.7109375" style="1611" customWidth="1"/>
    <col min="45" max="45" width="32.85546875" style="4" customWidth="1"/>
    <col min="46" max="16347" width="9.140625" style="4"/>
    <col min="16348" max="16380" width="11.42578125" style="4" bestFit="1" customWidth="1"/>
    <col min="16381" max="16384" width="11.42578125" style="4" customWidth="1"/>
  </cols>
  <sheetData>
    <row r="1" spans="1:65" ht="31.5" customHeight="1" x14ac:dyDescent="0.25">
      <c r="A1" s="2207" t="s">
        <v>1892</v>
      </c>
      <c r="B1" s="3038"/>
      <c r="C1" s="3038"/>
      <c r="D1" s="3038"/>
      <c r="E1" s="3038"/>
      <c r="F1" s="3038"/>
      <c r="G1" s="3038"/>
      <c r="H1" s="3038"/>
      <c r="I1" s="3038"/>
      <c r="J1" s="3038"/>
      <c r="K1" s="3038"/>
      <c r="L1" s="3038"/>
      <c r="M1" s="3038"/>
      <c r="N1" s="3038"/>
      <c r="O1" s="3038"/>
      <c r="P1" s="3038"/>
      <c r="Q1" s="3038"/>
      <c r="R1" s="3038"/>
      <c r="S1" s="3038"/>
      <c r="T1" s="3038"/>
      <c r="U1" s="3038"/>
      <c r="V1" s="3038"/>
      <c r="W1" s="3038"/>
      <c r="X1" s="3038"/>
      <c r="Y1" s="3038"/>
      <c r="Z1" s="3038"/>
      <c r="AA1" s="3038"/>
      <c r="AB1" s="3038"/>
      <c r="AC1" s="3038"/>
      <c r="AD1" s="3038"/>
      <c r="AE1" s="3038"/>
      <c r="AF1" s="3038"/>
      <c r="AG1" s="3038"/>
      <c r="AH1" s="3038"/>
      <c r="AI1" s="3038"/>
      <c r="AJ1" s="3038"/>
      <c r="AK1" s="3038"/>
      <c r="AL1" s="3038"/>
      <c r="AM1" s="3038"/>
      <c r="AN1" s="3038"/>
      <c r="AO1" s="3038"/>
      <c r="AP1" s="3038"/>
      <c r="AQ1" s="2017"/>
      <c r="AR1" s="1502" t="s">
        <v>1</v>
      </c>
      <c r="AS1" s="1393" t="s">
        <v>983</v>
      </c>
      <c r="AT1" s="3"/>
      <c r="AU1" s="3"/>
      <c r="AV1" s="3"/>
      <c r="AW1" s="3"/>
      <c r="AX1" s="3"/>
      <c r="AY1" s="3"/>
      <c r="AZ1" s="3"/>
      <c r="BA1" s="3"/>
      <c r="BB1" s="3"/>
      <c r="BC1" s="3"/>
      <c r="BD1" s="3"/>
      <c r="BE1" s="3"/>
      <c r="BF1" s="3"/>
      <c r="BG1" s="3"/>
      <c r="BH1" s="3"/>
      <c r="BI1" s="3"/>
      <c r="BJ1" s="3"/>
      <c r="BK1" s="3"/>
      <c r="BL1" s="3"/>
      <c r="BM1" s="3"/>
    </row>
    <row r="2" spans="1:65" ht="31.5" customHeight="1" x14ac:dyDescent="0.25">
      <c r="A2" s="3038"/>
      <c r="B2" s="3038"/>
      <c r="C2" s="3038"/>
      <c r="D2" s="3038"/>
      <c r="E2" s="3038"/>
      <c r="F2" s="3038"/>
      <c r="G2" s="3038"/>
      <c r="H2" s="3038"/>
      <c r="I2" s="3038"/>
      <c r="J2" s="3038"/>
      <c r="K2" s="3038"/>
      <c r="L2" s="3038"/>
      <c r="M2" s="3038"/>
      <c r="N2" s="3038"/>
      <c r="O2" s="3038"/>
      <c r="P2" s="3038"/>
      <c r="Q2" s="3038"/>
      <c r="R2" s="3038"/>
      <c r="S2" s="3038"/>
      <c r="T2" s="3038"/>
      <c r="U2" s="3038"/>
      <c r="V2" s="3038"/>
      <c r="W2" s="3038"/>
      <c r="X2" s="3038"/>
      <c r="Y2" s="3038"/>
      <c r="Z2" s="3038"/>
      <c r="AA2" s="3038"/>
      <c r="AB2" s="3038"/>
      <c r="AC2" s="3038"/>
      <c r="AD2" s="3038"/>
      <c r="AE2" s="3038"/>
      <c r="AF2" s="3038"/>
      <c r="AG2" s="3038"/>
      <c r="AH2" s="3038"/>
      <c r="AI2" s="3038"/>
      <c r="AJ2" s="3038"/>
      <c r="AK2" s="3038"/>
      <c r="AL2" s="3038"/>
      <c r="AM2" s="3038"/>
      <c r="AN2" s="3038"/>
      <c r="AO2" s="3038"/>
      <c r="AP2" s="3038"/>
      <c r="AQ2" s="2017"/>
      <c r="AR2" s="1502" t="s">
        <v>3</v>
      </c>
      <c r="AS2" s="762" t="s">
        <v>984</v>
      </c>
      <c r="AT2" s="3"/>
      <c r="AU2" s="3"/>
      <c r="AV2" s="3"/>
      <c r="AW2" s="3"/>
      <c r="AX2" s="3"/>
      <c r="AY2" s="3"/>
      <c r="AZ2" s="3"/>
      <c r="BA2" s="3"/>
      <c r="BB2" s="3"/>
      <c r="BC2" s="3"/>
      <c r="BD2" s="3"/>
      <c r="BE2" s="3"/>
      <c r="BF2" s="3"/>
      <c r="BG2" s="3"/>
      <c r="BH2" s="3"/>
      <c r="BI2" s="3"/>
      <c r="BJ2" s="3"/>
      <c r="BK2" s="3"/>
      <c r="BL2" s="3"/>
      <c r="BM2" s="3"/>
    </row>
    <row r="3" spans="1:65" ht="31.5" customHeight="1" x14ac:dyDescent="0.25">
      <c r="A3" s="3038"/>
      <c r="B3" s="3038"/>
      <c r="C3" s="3038"/>
      <c r="D3" s="3038"/>
      <c r="E3" s="3038"/>
      <c r="F3" s="3038"/>
      <c r="G3" s="3038"/>
      <c r="H3" s="3038"/>
      <c r="I3" s="3038"/>
      <c r="J3" s="3038"/>
      <c r="K3" s="3038"/>
      <c r="L3" s="3038"/>
      <c r="M3" s="3038"/>
      <c r="N3" s="3038"/>
      <c r="O3" s="3038"/>
      <c r="P3" s="3038"/>
      <c r="Q3" s="3038"/>
      <c r="R3" s="3038"/>
      <c r="S3" s="3038"/>
      <c r="T3" s="3038"/>
      <c r="U3" s="3038"/>
      <c r="V3" s="3038"/>
      <c r="W3" s="3038"/>
      <c r="X3" s="3038"/>
      <c r="Y3" s="3038"/>
      <c r="Z3" s="3038"/>
      <c r="AA3" s="3038"/>
      <c r="AB3" s="3038"/>
      <c r="AC3" s="3038"/>
      <c r="AD3" s="3038"/>
      <c r="AE3" s="3038"/>
      <c r="AF3" s="3038"/>
      <c r="AG3" s="3038"/>
      <c r="AH3" s="3038"/>
      <c r="AI3" s="3038"/>
      <c r="AJ3" s="3038"/>
      <c r="AK3" s="3038"/>
      <c r="AL3" s="3038"/>
      <c r="AM3" s="3038"/>
      <c r="AN3" s="3038"/>
      <c r="AO3" s="3038"/>
      <c r="AP3" s="3038"/>
      <c r="AQ3" s="2017"/>
      <c r="AR3" s="1502" t="s">
        <v>4</v>
      </c>
      <c r="AS3" s="763">
        <v>44266</v>
      </c>
      <c r="AT3" s="3"/>
      <c r="AU3" s="3"/>
      <c r="AV3" s="3"/>
      <c r="AW3" s="3"/>
      <c r="AX3" s="3"/>
      <c r="AY3" s="3"/>
      <c r="AZ3" s="3"/>
      <c r="BA3" s="3"/>
      <c r="BB3" s="3"/>
      <c r="BC3" s="3"/>
      <c r="BD3" s="3"/>
      <c r="BE3" s="3"/>
      <c r="BF3" s="3"/>
      <c r="BG3" s="3"/>
      <c r="BH3" s="3"/>
      <c r="BI3" s="3"/>
      <c r="BJ3" s="3"/>
      <c r="BK3" s="3"/>
      <c r="BL3" s="3"/>
      <c r="BM3" s="3"/>
    </row>
    <row r="4" spans="1:65" ht="31.5" customHeight="1" x14ac:dyDescent="0.25">
      <c r="A4" s="3038"/>
      <c r="B4" s="3038"/>
      <c r="C4" s="3038"/>
      <c r="D4" s="3038"/>
      <c r="E4" s="3038"/>
      <c r="F4" s="3038"/>
      <c r="G4" s="3038"/>
      <c r="H4" s="3038"/>
      <c r="I4" s="3038"/>
      <c r="J4" s="3038"/>
      <c r="K4" s="3038"/>
      <c r="L4" s="3038"/>
      <c r="M4" s="3038"/>
      <c r="N4" s="3038"/>
      <c r="O4" s="303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1503" t="s">
        <v>5</v>
      </c>
      <c r="AS4" s="1504" t="s">
        <v>114</v>
      </c>
      <c r="AT4" s="3"/>
      <c r="AU4" s="3"/>
      <c r="AV4" s="3"/>
      <c r="AW4" s="3"/>
      <c r="AX4" s="3"/>
      <c r="AY4" s="3"/>
      <c r="AZ4" s="3"/>
      <c r="BA4" s="3"/>
      <c r="BB4" s="3"/>
      <c r="BC4" s="3"/>
      <c r="BD4" s="3"/>
      <c r="BE4" s="3"/>
      <c r="BF4" s="3"/>
      <c r="BG4" s="3"/>
      <c r="BH4" s="3"/>
      <c r="BI4" s="3"/>
      <c r="BJ4" s="3"/>
      <c r="BK4" s="3"/>
      <c r="BL4" s="3"/>
      <c r="BM4" s="3"/>
    </row>
    <row r="5" spans="1:65" ht="31.5" customHeight="1" x14ac:dyDescent="0.25">
      <c r="A5" s="3683" t="s">
        <v>1893</v>
      </c>
      <c r="B5" s="3684"/>
      <c r="C5" s="3684"/>
      <c r="D5" s="3684"/>
      <c r="E5" s="3684"/>
      <c r="F5" s="3684"/>
      <c r="G5" s="3684"/>
      <c r="H5" s="3684"/>
      <c r="I5" s="3684"/>
      <c r="J5" s="3684"/>
      <c r="K5" s="3684"/>
      <c r="L5" s="3684"/>
      <c r="M5" s="3684"/>
      <c r="N5" s="3684"/>
      <c r="O5" s="3685"/>
      <c r="P5" s="1425"/>
      <c r="Q5" s="1505"/>
      <c r="R5" s="1425"/>
      <c r="S5" s="1425"/>
      <c r="T5" s="1425"/>
      <c r="U5" s="1425"/>
      <c r="V5" s="1506"/>
      <c r="W5" s="1425"/>
      <c r="X5" s="1425"/>
      <c r="Y5" s="1425"/>
      <c r="Z5" s="1425"/>
      <c r="AA5" s="1425"/>
      <c r="AB5" s="1425"/>
      <c r="AC5" s="1425"/>
      <c r="AD5" s="1425"/>
      <c r="AE5" s="1425"/>
      <c r="AF5" s="1425"/>
      <c r="AG5" s="1425"/>
      <c r="AH5" s="1425"/>
      <c r="AI5" s="1425"/>
      <c r="AJ5" s="1425"/>
      <c r="AK5" s="1425"/>
      <c r="AL5" s="1425"/>
      <c r="AM5" s="1425"/>
      <c r="AN5" s="1425"/>
      <c r="AO5" s="1425"/>
      <c r="AP5" s="1425"/>
      <c r="AQ5" s="1425"/>
      <c r="AR5" s="1425"/>
      <c r="AS5" s="1426"/>
      <c r="AT5" s="3"/>
      <c r="AU5" s="3"/>
      <c r="AV5" s="3"/>
      <c r="AW5" s="3"/>
      <c r="AX5" s="3"/>
      <c r="AY5" s="3"/>
      <c r="AZ5" s="3"/>
      <c r="BA5" s="3"/>
      <c r="BB5" s="3"/>
      <c r="BC5" s="3"/>
      <c r="BD5" s="3"/>
      <c r="BE5" s="3"/>
      <c r="BF5" s="3"/>
      <c r="BG5" s="3"/>
      <c r="BH5" s="3"/>
      <c r="BI5" s="3"/>
      <c r="BJ5" s="3"/>
      <c r="BK5" s="3"/>
      <c r="BL5" s="3"/>
      <c r="BM5" s="3"/>
    </row>
    <row r="6" spans="1:65" ht="15.75" x14ac:dyDescent="0.25">
      <c r="A6" s="3686"/>
      <c r="B6" s="3687"/>
      <c r="C6" s="3687"/>
      <c r="D6" s="3687"/>
      <c r="E6" s="3687"/>
      <c r="F6" s="3687"/>
      <c r="G6" s="3687"/>
      <c r="H6" s="3687"/>
      <c r="I6" s="3687"/>
      <c r="J6" s="3687"/>
      <c r="K6" s="3687"/>
      <c r="L6" s="3687"/>
      <c r="M6" s="3687"/>
      <c r="N6" s="3687"/>
      <c r="O6" s="3688"/>
      <c r="P6" s="1437"/>
      <c r="Q6" s="1507"/>
      <c r="R6" s="1437"/>
      <c r="S6" s="1437"/>
      <c r="T6" s="1437"/>
      <c r="U6" s="1508"/>
      <c r="V6" s="1509"/>
      <c r="W6" s="1437"/>
      <c r="X6" s="1391"/>
      <c r="Y6" s="1391"/>
      <c r="Z6" s="1391"/>
      <c r="AA6" s="2446" t="s">
        <v>8</v>
      </c>
      <c r="AB6" s="2447"/>
      <c r="AC6" s="2447"/>
      <c r="AD6" s="2447"/>
      <c r="AE6" s="2447"/>
      <c r="AF6" s="2447"/>
      <c r="AG6" s="2447"/>
      <c r="AH6" s="2447"/>
      <c r="AI6" s="2447"/>
      <c r="AJ6" s="2447"/>
      <c r="AK6" s="2447"/>
      <c r="AL6" s="2447"/>
      <c r="AM6" s="2447"/>
      <c r="AN6" s="2447"/>
      <c r="AO6" s="2448"/>
      <c r="AP6" s="1391"/>
      <c r="AQ6" s="1510"/>
      <c r="AR6" s="1510"/>
      <c r="AS6" s="1392"/>
      <c r="AT6" s="3"/>
      <c r="AU6" s="3"/>
      <c r="AV6" s="3"/>
      <c r="AW6" s="3"/>
      <c r="AX6" s="3"/>
      <c r="AY6" s="3"/>
      <c r="AZ6" s="3"/>
      <c r="BA6" s="3"/>
      <c r="BB6" s="3"/>
      <c r="BC6" s="3"/>
      <c r="BD6" s="3"/>
      <c r="BE6" s="3"/>
      <c r="BF6" s="3"/>
      <c r="BG6" s="3"/>
      <c r="BH6" s="3"/>
      <c r="BI6" s="3"/>
      <c r="BJ6" s="3"/>
      <c r="BK6" s="3"/>
      <c r="BL6" s="3"/>
      <c r="BM6" s="3"/>
    </row>
    <row r="7" spans="1:65" ht="31.5" customHeight="1" x14ac:dyDescent="0.25">
      <c r="A7" s="3040" t="s">
        <v>9</v>
      </c>
      <c r="B7" s="3041"/>
      <c r="C7" s="2212" t="s">
        <v>10</v>
      </c>
      <c r="D7" s="3040"/>
      <c r="E7" s="3040" t="s">
        <v>11</v>
      </c>
      <c r="F7" s="3041"/>
      <c r="G7" s="2212" t="s">
        <v>12</v>
      </c>
      <c r="H7" s="3040"/>
      <c r="I7" s="3040"/>
      <c r="J7" s="3040"/>
      <c r="K7" s="2212" t="s">
        <v>13</v>
      </c>
      <c r="L7" s="3040"/>
      <c r="M7" s="3040"/>
      <c r="N7" s="3040"/>
      <c r="O7" s="3042" t="s">
        <v>14</v>
      </c>
      <c r="P7" s="3043"/>
      <c r="Q7" s="3043"/>
      <c r="R7" s="3043"/>
      <c r="S7" s="3043"/>
      <c r="T7" s="3043"/>
      <c r="U7" s="3043"/>
      <c r="V7" s="3043"/>
      <c r="W7" s="3689"/>
      <c r="X7" s="2960" t="s">
        <v>15</v>
      </c>
      <c r="Y7" s="2960"/>
      <c r="Z7" s="2961"/>
      <c r="AA7" s="2045" t="s">
        <v>16</v>
      </c>
      <c r="AB7" s="3680"/>
      <c r="AC7" s="2047" t="s">
        <v>17</v>
      </c>
      <c r="AD7" s="2048"/>
      <c r="AE7" s="2048"/>
      <c r="AF7" s="2933"/>
      <c r="AG7" s="2216" t="s">
        <v>18</v>
      </c>
      <c r="AH7" s="2217"/>
      <c r="AI7" s="2217"/>
      <c r="AJ7" s="2217"/>
      <c r="AK7" s="2217"/>
      <c r="AL7" s="2934"/>
      <c r="AM7" s="2047" t="s">
        <v>19</v>
      </c>
      <c r="AN7" s="2048"/>
      <c r="AO7" s="2933"/>
      <c r="AP7" s="2935" t="s">
        <v>20</v>
      </c>
      <c r="AQ7" s="3676" t="s">
        <v>21</v>
      </c>
      <c r="AR7" s="3676" t="s">
        <v>22</v>
      </c>
      <c r="AS7" s="2038" t="s">
        <v>23</v>
      </c>
      <c r="AT7" s="3"/>
      <c r="AU7" s="3"/>
      <c r="AV7" s="3"/>
      <c r="AW7" s="3"/>
      <c r="AX7" s="3"/>
      <c r="AY7" s="3"/>
      <c r="AZ7" s="3"/>
      <c r="BA7" s="3"/>
      <c r="BB7" s="3"/>
      <c r="BC7" s="3"/>
      <c r="BD7" s="3"/>
      <c r="BE7" s="3"/>
      <c r="BF7" s="3"/>
      <c r="BG7" s="3"/>
      <c r="BH7" s="3"/>
      <c r="BI7" s="3"/>
      <c r="BJ7" s="3"/>
      <c r="BK7" s="3"/>
      <c r="BL7" s="3"/>
      <c r="BM7" s="3"/>
    </row>
    <row r="8" spans="1:65" ht="117.75" customHeight="1" x14ac:dyDescent="0.25">
      <c r="A8" s="170" t="s">
        <v>24</v>
      </c>
      <c r="B8" s="20" t="s">
        <v>25</v>
      </c>
      <c r="C8" s="170" t="s">
        <v>24</v>
      </c>
      <c r="D8" s="20" t="s">
        <v>25</v>
      </c>
      <c r="E8" s="764" t="s">
        <v>24</v>
      </c>
      <c r="F8" s="20" t="s">
        <v>25</v>
      </c>
      <c r="G8" s="171" t="s">
        <v>26</v>
      </c>
      <c r="H8" s="171" t="s">
        <v>27</v>
      </c>
      <c r="I8" s="171" t="s">
        <v>28</v>
      </c>
      <c r="J8" s="171" t="s">
        <v>117</v>
      </c>
      <c r="K8" s="171" t="s">
        <v>26</v>
      </c>
      <c r="L8" s="171" t="s">
        <v>30</v>
      </c>
      <c r="M8" s="20" t="s">
        <v>31</v>
      </c>
      <c r="N8" s="1066" t="s">
        <v>32</v>
      </c>
      <c r="O8" s="1511" t="s">
        <v>116</v>
      </c>
      <c r="P8" s="1511" t="s">
        <v>34</v>
      </c>
      <c r="Q8" s="1512" t="s">
        <v>35</v>
      </c>
      <c r="R8" s="1513" t="s">
        <v>36</v>
      </c>
      <c r="S8" s="1514" t="s">
        <v>37</v>
      </c>
      <c r="T8" s="1511" t="s">
        <v>38</v>
      </c>
      <c r="U8" s="1511" t="s">
        <v>39</v>
      </c>
      <c r="V8" s="1515" t="s">
        <v>40</v>
      </c>
      <c r="W8" s="690" t="s">
        <v>37</v>
      </c>
      <c r="X8" s="1516" t="s">
        <v>42</v>
      </c>
      <c r="Y8" s="170" t="s">
        <v>43</v>
      </c>
      <c r="Z8" s="171" t="s">
        <v>25</v>
      </c>
      <c r="AA8" s="772" t="s">
        <v>44</v>
      </c>
      <c r="AB8" s="773" t="s">
        <v>45</v>
      </c>
      <c r="AC8" s="1517" t="s">
        <v>46</v>
      </c>
      <c r="AD8" s="774" t="s">
        <v>47</v>
      </c>
      <c r="AE8" s="774" t="s">
        <v>283</v>
      </c>
      <c r="AF8" s="774" t="s">
        <v>49</v>
      </c>
      <c r="AG8" s="774" t="s">
        <v>50</v>
      </c>
      <c r="AH8" s="774" t="s">
        <v>51</v>
      </c>
      <c r="AI8" s="774" t="s">
        <v>52</v>
      </c>
      <c r="AJ8" s="774" t="s">
        <v>120</v>
      </c>
      <c r="AK8" s="774" t="s">
        <v>54</v>
      </c>
      <c r="AL8" s="774" t="s">
        <v>55</v>
      </c>
      <c r="AM8" s="774" t="s">
        <v>56</v>
      </c>
      <c r="AN8" s="774" t="s">
        <v>57</v>
      </c>
      <c r="AO8" s="774" t="s">
        <v>58</v>
      </c>
      <c r="AP8" s="2936"/>
      <c r="AQ8" s="3677"/>
      <c r="AR8" s="3677"/>
      <c r="AS8" s="2039"/>
      <c r="AT8" s="3"/>
      <c r="AU8" s="3"/>
      <c r="AV8" s="3"/>
      <c r="AW8" s="3"/>
      <c r="AX8" s="3"/>
      <c r="AY8" s="3"/>
      <c r="AZ8" s="3"/>
      <c r="BA8" s="3"/>
      <c r="BB8" s="3"/>
      <c r="BC8" s="3"/>
      <c r="BD8" s="3"/>
      <c r="BE8" s="3"/>
      <c r="BF8" s="3"/>
      <c r="BG8" s="3"/>
      <c r="BH8" s="3"/>
      <c r="BI8" s="3"/>
      <c r="BJ8" s="3"/>
      <c r="BK8" s="3"/>
      <c r="BL8" s="3"/>
      <c r="BM8" s="3"/>
    </row>
    <row r="9" spans="1:65" ht="27" customHeight="1" x14ac:dyDescent="0.25">
      <c r="A9" s="1518">
        <v>1</v>
      </c>
      <c r="B9" s="3349" t="s">
        <v>1894</v>
      </c>
      <c r="C9" s="3047"/>
      <c r="D9" s="3047"/>
      <c r="E9" s="3047"/>
      <c r="F9" s="3047"/>
      <c r="G9" s="3047"/>
      <c r="H9" s="1519"/>
      <c r="I9" s="775"/>
      <c r="J9" s="1441"/>
      <c r="K9" s="778"/>
      <c r="L9" s="1441"/>
      <c r="M9" s="775"/>
      <c r="N9" s="1519"/>
      <c r="O9" s="775"/>
      <c r="P9" s="775"/>
      <c r="Q9" s="1519"/>
      <c r="R9" s="776"/>
      <c r="S9" s="777"/>
      <c r="T9" s="775"/>
      <c r="U9" s="775"/>
      <c r="V9" s="1441"/>
      <c r="W9" s="777"/>
      <c r="X9" s="775"/>
      <c r="Y9" s="778"/>
      <c r="Z9" s="775"/>
      <c r="AA9" s="775"/>
      <c r="AB9" s="775"/>
      <c r="AC9" s="778"/>
      <c r="AD9" s="775"/>
      <c r="AE9" s="775"/>
      <c r="AF9" s="775"/>
      <c r="AG9" s="775"/>
      <c r="AH9" s="775"/>
      <c r="AI9" s="775"/>
      <c r="AJ9" s="775"/>
      <c r="AK9" s="775"/>
      <c r="AL9" s="775"/>
      <c r="AM9" s="775"/>
      <c r="AN9" s="775"/>
      <c r="AO9" s="775"/>
      <c r="AP9" s="775"/>
      <c r="AQ9" s="1520"/>
      <c r="AR9" s="1520"/>
      <c r="AS9" s="780"/>
      <c r="AT9" s="3"/>
      <c r="AU9" s="3"/>
      <c r="AV9" s="3"/>
      <c r="AW9" s="3"/>
      <c r="AX9" s="3"/>
      <c r="AY9" s="3"/>
      <c r="AZ9" s="3"/>
      <c r="BA9" s="3"/>
      <c r="BB9" s="3"/>
      <c r="BC9" s="3"/>
      <c r="BD9" s="3"/>
      <c r="BE9" s="3"/>
      <c r="BF9" s="3"/>
      <c r="BG9" s="3"/>
      <c r="BH9" s="3"/>
      <c r="BI9" s="3"/>
      <c r="BJ9" s="3"/>
      <c r="BK9" s="3"/>
      <c r="BL9" s="3"/>
      <c r="BM9" s="3"/>
    </row>
    <row r="10" spans="1:65" ht="27" customHeight="1" x14ac:dyDescent="0.25">
      <c r="A10" s="900"/>
      <c r="B10" s="1424"/>
      <c r="C10" s="38">
        <v>19</v>
      </c>
      <c r="D10" s="2043" t="s">
        <v>392</v>
      </c>
      <c r="E10" s="2546"/>
      <c r="F10" s="2546"/>
      <c r="G10" s="2546"/>
      <c r="H10" s="2546"/>
      <c r="I10" s="2546"/>
      <c r="J10" s="1521"/>
      <c r="K10" s="45"/>
      <c r="L10" s="1521"/>
      <c r="M10" s="40"/>
      <c r="N10" s="1522"/>
      <c r="O10" s="40"/>
      <c r="P10" s="40"/>
      <c r="Q10" s="1522"/>
      <c r="R10" s="42"/>
      <c r="S10" s="44"/>
      <c r="T10" s="40"/>
      <c r="U10" s="40"/>
      <c r="V10" s="1521"/>
      <c r="W10" s="44"/>
      <c r="X10" s="40"/>
      <c r="Y10" s="45"/>
      <c r="Z10" s="40"/>
      <c r="AA10" s="40"/>
      <c r="AB10" s="40"/>
      <c r="AC10" s="45"/>
      <c r="AD10" s="40"/>
      <c r="AE10" s="40"/>
      <c r="AF10" s="40"/>
      <c r="AG10" s="40"/>
      <c r="AH10" s="40"/>
      <c r="AI10" s="40"/>
      <c r="AJ10" s="40"/>
      <c r="AK10" s="40"/>
      <c r="AL10" s="40"/>
      <c r="AM10" s="40"/>
      <c r="AN10" s="40"/>
      <c r="AO10" s="40"/>
      <c r="AP10" s="40"/>
      <c r="AQ10" s="1523"/>
      <c r="AR10" s="1523"/>
      <c r="AS10" s="384"/>
    </row>
    <row r="11" spans="1:65" ht="27" customHeight="1" x14ac:dyDescent="0.25">
      <c r="A11" s="3678"/>
      <c r="B11" s="3679"/>
      <c r="C11" s="900"/>
      <c r="D11" s="901"/>
      <c r="E11" s="818">
        <v>1903</v>
      </c>
      <c r="F11" s="2978" t="s">
        <v>1895</v>
      </c>
      <c r="G11" s="2979"/>
      <c r="H11" s="2979"/>
      <c r="I11" s="2979"/>
      <c r="J11" s="2979"/>
      <c r="K11" s="2979"/>
      <c r="L11" s="2979"/>
      <c r="M11" s="2979"/>
      <c r="N11" s="2979"/>
      <c r="O11" s="2979"/>
      <c r="P11" s="2979"/>
      <c r="Q11" s="2979"/>
      <c r="R11" s="2979"/>
      <c r="S11" s="2979"/>
      <c r="T11" s="812"/>
      <c r="U11" s="812"/>
      <c r="V11" s="1432"/>
      <c r="W11" s="1340"/>
      <c r="X11" s="64"/>
      <c r="Y11" s="816"/>
      <c r="Z11" s="812"/>
      <c r="AA11" s="812"/>
      <c r="AB11" s="812"/>
      <c r="AC11" s="816"/>
      <c r="AD11" s="812"/>
      <c r="AE11" s="812"/>
      <c r="AF11" s="812"/>
      <c r="AG11" s="812"/>
      <c r="AH11" s="812"/>
      <c r="AI11" s="812"/>
      <c r="AJ11" s="812"/>
      <c r="AK11" s="812"/>
      <c r="AL11" s="812"/>
      <c r="AM11" s="812"/>
      <c r="AN11" s="812"/>
      <c r="AO11" s="812"/>
      <c r="AP11" s="812"/>
      <c r="AQ11" s="1524"/>
      <c r="AR11" s="1524"/>
      <c r="AS11" s="818"/>
    </row>
    <row r="12" spans="1:65" ht="60.75" customHeight="1" x14ac:dyDescent="0.25">
      <c r="A12" s="3678"/>
      <c r="B12" s="3679"/>
      <c r="C12" s="407"/>
      <c r="D12" s="408"/>
      <c r="E12" s="514"/>
      <c r="F12" s="514"/>
      <c r="G12" s="2170">
        <v>1903009</v>
      </c>
      <c r="H12" s="2966" t="s">
        <v>1896</v>
      </c>
      <c r="I12" s="2170">
        <v>1903009</v>
      </c>
      <c r="J12" s="2966" t="s">
        <v>1897</v>
      </c>
      <c r="K12" s="3096">
        <v>190300900</v>
      </c>
      <c r="L12" s="2966" t="s">
        <v>1896</v>
      </c>
      <c r="M12" s="3096">
        <v>190300900</v>
      </c>
      <c r="N12" s="2966" t="s">
        <v>1898</v>
      </c>
      <c r="O12" s="2170">
        <v>600</v>
      </c>
      <c r="P12" s="2170" t="s">
        <v>1899</v>
      </c>
      <c r="Q12" s="2966" t="s">
        <v>1900</v>
      </c>
      <c r="R12" s="2871">
        <f>SUM(W12:W14)/S12</f>
        <v>2.249477175495207E-2</v>
      </c>
      <c r="S12" s="3675">
        <f>SUM(W12:W45)</f>
        <v>1689281421.21</v>
      </c>
      <c r="T12" s="2966" t="s">
        <v>1901</v>
      </c>
      <c r="U12" s="2988" t="s">
        <v>1902</v>
      </c>
      <c r="V12" s="1431" t="s">
        <v>1903</v>
      </c>
      <c r="W12" s="1439">
        <v>10000000</v>
      </c>
      <c r="X12" s="1525" t="s">
        <v>1904</v>
      </c>
      <c r="Y12" s="1348">
        <v>61</v>
      </c>
      <c r="Z12" s="1414" t="s">
        <v>1905</v>
      </c>
      <c r="AA12" s="2330">
        <v>289394</v>
      </c>
      <c r="AB12" s="2330">
        <v>279112</v>
      </c>
      <c r="AC12" s="2330">
        <v>63164</v>
      </c>
      <c r="AD12" s="2330">
        <v>45607</v>
      </c>
      <c r="AE12" s="2330">
        <v>365607</v>
      </c>
      <c r="AF12" s="2330">
        <v>75612</v>
      </c>
      <c r="AG12" s="2330">
        <v>2145</v>
      </c>
      <c r="AH12" s="2330">
        <v>12718</v>
      </c>
      <c r="AI12" s="2330">
        <v>26</v>
      </c>
      <c r="AJ12" s="2330">
        <v>37</v>
      </c>
      <c r="AK12" s="2330">
        <v>0</v>
      </c>
      <c r="AL12" s="2330">
        <v>0</v>
      </c>
      <c r="AM12" s="2330">
        <v>78</v>
      </c>
      <c r="AN12" s="2330">
        <v>16897</v>
      </c>
      <c r="AO12" s="2330">
        <v>852</v>
      </c>
      <c r="AP12" s="2330">
        <v>568506</v>
      </c>
      <c r="AQ12" s="3681">
        <v>44197</v>
      </c>
      <c r="AR12" s="3681">
        <v>44561</v>
      </c>
      <c r="AS12" s="3096" t="s">
        <v>1906</v>
      </c>
    </row>
    <row r="13" spans="1:65" ht="57" customHeight="1" x14ac:dyDescent="0.25">
      <c r="A13" s="3678"/>
      <c r="B13" s="3679"/>
      <c r="C13" s="407"/>
      <c r="D13" s="408"/>
      <c r="E13" s="514"/>
      <c r="F13" s="514"/>
      <c r="G13" s="2057"/>
      <c r="H13" s="2055"/>
      <c r="I13" s="2057"/>
      <c r="J13" s="2055"/>
      <c r="K13" s="3583"/>
      <c r="L13" s="2055"/>
      <c r="M13" s="3583"/>
      <c r="N13" s="2055"/>
      <c r="O13" s="2057"/>
      <c r="P13" s="2057"/>
      <c r="Q13" s="2055"/>
      <c r="R13" s="3540"/>
      <c r="S13" s="3655"/>
      <c r="T13" s="2055"/>
      <c r="U13" s="2988"/>
      <c r="V13" s="1395" t="s">
        <v>1907</v>
      </c>
      <c r="W13" s="800">
        <v>10000000</v>
      </c>
      <c r="X13" s="1525" t="s">
        <v>1904</v>
      </c>
      <c r="Y13" s="1351">
        <v>61</v>
      </c>
      <c r="Z13" s="1397" t="s">
        <v>1905</v>
      </c>
      <c r="AA13" s="2330"/>
      <c r="AB13" s="2330"/>
      <c r="AC13" s="2330"/>
      <c r="AD13" s="2330"/>
      <c r="AE13" s="2330"/>
      <c r="AF13" s="2330"/>
      <c r="AG13" s="2330"/>
      <c r="AH13" s="2330"/>
      <c r="AI13" s="2330"/>
      <c r="AJ13" s="2330"/>
      <c r="AK13" s="2330"/>
      <c r="AL13" s="2330"/>
      <c r="AM13" s="2330"/>
      <c r="AN13" s="2330"/>
      <c r="AO13" s="2330"/>
      <c r="AP13" s="2330"/>
      <c r="AQ13" s="3681"/>
      <c r="AR13" s="3681"/>
      <c r="AS13" s="3583"/>
    </row>
    <row r="14" spans="1:65" ht="60" x14ac:dyDescent="0.25">
      <c r="A14" s="3678"/>
      <c r="B14" s="3679"/>
      <c r="C14" s="407"/>
      <c r="D14" s="408"/>
      <c r="E14" s="514"/>
      <c r="F14" s="1422"/>
      <c r="G14" s="2057"/>
      <c r="H14" s="2055"/>
      <c r="I14" s="2057"/>
      <c r="J14" s="2055"/>
      <c r="K14" s="3583"/>
      <c r="L14" s="2055"/>
      <c r="M14" s="3583"/>
      <c r="N14" s="2055"/>
      <c r="O14" s="2057"/>
      <c r="P14" s="2057"/>
      <c r="Q14" s="2055"/>
      <c r="R14" s="3540"/>
      <c r="S14" s="3655"/>
      <c r="T14" s="2055"/>
      <c r="U14" s="2988"/>
      <c r="V14" s="1395" t="s">
        <v>1908</v>
      </c>
      <c r="W14" s="800">
        <v>18000000</v>
      </c>
      <c r="X14" s="1525" t="s">
        <v>1904</v>
      </c>
      <c r="Y14" s="1351">
        <v>61</v>
      </c>
      <c r="Z14" s="1397" t="s">
        <v>1905</v>
      </c>
      <c r="AA14" s="2330"/>
      <c r="AB14" s="2330"/>
      <c r="AC14" s="2330"/>
      <c r="AD14" s="2330"/>
      <c r="AE14" s="2330"/>
      <c r="AF14" s="2330"/>
      <c r="AG14" s="2330"/>
      <c r="AH14" s="2330"/>
      <c r="AI14" s="2330"/>
      <c r="AJ14" s="2330"/>
      <c r="AK14" s="2330"/>
      <c r="AL14" s="2330"/>
      <c r="AM14" s="2330"/>
      <c r="AN14" s="2330"/>
      <c r="AO14" s="2330"/>
      <c r="AP14" s="2330"/>
      <c r="AQ14" s="3681"/>
      <c r="AR14" s="3681"/>
      <c r="AS14" s="3583"/>
    </row>
    <row r="15" spans="1:65" ht="42.75" customHeight="1" x14ac:dyDescent="0.25">
      <c r="A15" s="3678"/>
      <c r="B15" s="3679"/>
      <c r="C15" s="407"/>
      <c r="D15" s="408"/>
      <c r="E15" s="514"/>
      <c r="F15" s="514"/>
      <c r="G15" s="2058">
        <v>1903031</v>
      </c>
      <c r="H15" s="2056" t="s">
        <v>1909</v>
      </c>
      <c r="I15" s="2058">
        <v>1903031</v>
      </c>
      <c r="J15" s="2056" t="s">
        <v>1909</v>
      </c>
      <c r="K15" s="3094">
        <v>190303100</v>
      </c>
      <c r="L15" s="2056" t="s">
        <v>1910</v>
      </c>
      <c r="M15" s="3094">
        <v>190303100</v>
      </c>
      <c r="N15" s="2056" t="s">
        <v>1910</v>
      </c>
      <c r="O15" s="2058">
        <v>12</v>
      </c>
      <c r="P15" s="2057"/>
      <c r="Q15" s="2055"/>
      <c r="R15" s="3540">
        <f>SUM(W15:W17)/S12</f>
        <v>4.3805608154380345E-2</v>
      </c>
      <c r="S15" s="3655"/>
      <c r="T15" s="2055"/>
      <c r="U15" s="2988"/>
      <c r="V15" s="1395" t="s">
        <v>1911</v>
      </c>
      <c r="W15" s="800">
        <v>28000000</v>
      </c>
      <c r="X15" s="1525" t="s">
        <v>1912</v>
      </c>
      <c r="Y15" s="1351">
        <v>61</v>
      </c>
      <c r="Z15" s="1397" t="s">
        <v>1905</v>
      </c>
      <c r="AA15" s="2330"/>
      <c r="AB15" s="2330"/>
      <c r="AC15" s="2330"/>
      <c r="AD15" s="2330"/>
      <c r="AE15" s="2330"/>
      <c r="AF15" s="2330"/>
      <c r="AG15" s="2330"/>
      <c r="AH15" s="2330"/>
      <c r="AI15" s="2330"/>
      <c r="AJ15" s="2330"/>
      <c r="AK15" s="2330"/>
      <c r="AL15" s="2330"/>
      <c r="AM15" s="2330"/>
      <c r="AN15" s="2330"/>
      <c r="AO15" s="2330"/>
      <c r="AP15" s="2330"/>
      <c r="AQ15" s="3681"/>
      <c r="AR15" s="3681"/>
      <c r="AS15" s="3583"/>
    </row>
    <row r="16" spans="1:65" ht="68.25" customHeight="1" x14ac:dyDescent="0.25">
      <c r="A16" s="3678"/>
      <c r="B16" s="3679"/>
      <c r="C16" s="407"/>
      <c r="D16" s="408"/>
      <c r="E16" s="514"/>
      <c r="F16" s="514"/>
      <c r="G16" s="2169"/>
      <c r="H16" s="2965"/>
      <c r="I16" s="2169"/>
      <c r="J16" s="2965"/>
      <c r="K16" s="3095"/>
      <c r="L16" s="2965"/>
      <c r="M16" s="3095"/>
      <c r="N16" s="2965"/>
      <c r="O16" s="2169"/>
      <c r="P16" s="2057"/>
      <c r="Q16" s="2055"/>
      <c r="R16" s="3540"/>
      <c r="S16" s="3655"/>
      <c r="T16" s="2055"/>
      <c r="U16" s="2988"/>
      <c r="V16" s="1395" t="s">
        <v>1913</v>
      </c>
      <c r="W16" s="800">
        <v>32000000</v>
      </c>
      <c r="X16" s="1525" t="s">
        <v>1912</v>
      </c>
      <c r="Y16" s="1351">
        <v>61</v>
      </c>
      <c r="Z16" s="1397" t="s">
        <v>1905</v>
      </c>
      <c r="AA16" s="2330"/>
      <c r="AB16" s="2330"/>
      <c r="AC16" s="2330"/>
      <c r="AD16" s="2330"/>
      <c r="AE16" s="2330"/>
      <c r="AF16" s="2330"/>
      <c r="AG16" s="2330"/>
      <c r="AH16" s="2330"/>
      <c r="AI16" s="2330"/>
      <c r="AJ16" s="2330"/>
      <c r="AK16" s="2330"/>
      <c r="AL16" s="2330"/>
      <c r="AM16" s="2330"/>
      <c r="AN16" s="2330"/>
      <c r="AO16" s="2330"/>
      <c r="AP16" s="2330"/>
      <c r="AQ16" s="3681"/>
      <c r="AR16" s="3681"/>
      <c r="AS16" s="3583"/>
    </row>
    <row r="17" spans="1:45" ht="47.25" customHeight="1" x14ac:dyDescent="0.25">
      <c r="A17" s="3678"/>
      <c r="B17" s="3679"/>
      <c r="C17" s="407"/>
      <c r="D17" s="408"/>
      <c r="E17" s="514"/>
      <c r="F17" s="514"/>
      <c r="G17" s="2170"/>
      <c r="H17" s="2966"/>
      <c r="I17" s="2170"/>
      <c r="J17" s="2966"/>
      <c r="K17" s="3096"/>
      <c r="L17" s="2966"/>
      <c r="M17" s="3096"/>
      <c r="N17" s="2966"/>
      <c r="O17" s="2170"/>
      <c r="P17" s="2057"/>
      <c r="Q17" s="2055"/>
      <c r="R17" s="3540"/>
      <c r="S17" s="3655"/>
      <c r="T17" s="2055"/>
      <c r="U17" s="2988"/>
      <c r="V17" s="1395" t="s">
        <v>1914</v>
      </c>
      <c r="W17" s="800">
        <v>14000000</v>
      </c>
      <c r="X17" s="1525" t="s">
        <v>1912</v>
      </c>
      <c r="Y17" s="1351">
        <v>61</v>
      </c>
      <c r="Z17" s="1397" t="s">
        <v>1905</v>
      </c>
      <c r="AA17" s="2330"/>
      <c r="AB17" s="2330"/>
      <c r="AC17" s="2330"/>
      <c r="AD17" s="2330"/>
      <c r="AE17" s="2330"/>
      <c r="AF17" s="2330"/>
      <c r="AG17" s="2330"/>
      <c r="AH17" s="2330"/>
      <c r="AI17" s="2330"/>
      <c r="AJ17" s="2330"/>
      <c r="AK17" s="2330"/>
      <c r="AL17" s="2330"/>
      <c r="AM17" s="2330"/>
      <c r="AN17" s="2330"/>
      <c r="AO17" s="2330"/>
      <c r="AP17" s="2330"/>
      <c r="AQ17" s="3681"/>
      <c r="AR17" s="3681"/>
      <c r="AS17" s="3583"/>
    </row>
    <row r="18" spans="1:45" ht="40.5" customHeight="1" x14ac:dyDescent="0.25">
      <c r="A18" s="3678"/>
      <c r="B18" s="3679"/>
      <c r="C18" s="407"/>
      <c r="D18" s="408"/>
      <c r="E18" s="514"/>
      <c r="F18" s="514"/>
      <c r="G18" s="2057">
        <v>1903023</v>
      </c>
      <c r="H18" s="2055" t="s">
        <v>1915</v>
      </c>
      <c r="I18" s="2057">
        <v>1903023</v>
      </c>
      <c r="J18" s="2055" t="s">
        <v>1915</v>
      </c>
      <c r="K18" s="3644">
        <v>190302300</v>
      </c>
      <c r="L18" s="2174" t="s">
        <v>1916</v>
      </c>
      <c r="M18" s="3644">
        <v>190302300</v>
      </c>
      <c r="N18" s="2174" t="s">
        <v>1916</v>
      </c>
      <c r="O18" s="2057">
        <v>12</v>
      </c>
      <c r="P18" s="2057"/>
      <c r="Q18" s="2055"/>
      <c r="R18" s="3540">
        <f>SUM(W18:W20)/S12</f>
        <v>1.6575094977333105E-2</v>
      </c>
      <c r="S18" s="3655"/>
      <c r="T18" s="2055"/>
      <c r="U18" s="2988"/>
      <c r="V18" s="1395" t="s">
        <v>1917</v>
      </c>
      <c r="W18" s="800">
        <v>14000000</v>
      </c>
      <c r="X18" s="1525" t="s">
        <v>1918</v>
      </c>
      <c r="Y18" s="1351">
        <v>61</v>
      </c>
      <c r="Z18" s="1397" t="s">
        <v>1905</v>
      </c>
      <c r="AA18" s="2330"/>
      <c r="AB18" s="2330"/>
      <c r="AC18" s="2330"/>
      <c r="AD18" s="2330"/>
      <c r="AE18" s="2330"/>
      <c r="AF18" s="2330"/>
      <c r="AG18" s="2330"/>
      <c r="AH18" s="2330"/>
      <c r="AI18" s="2330"/>
      <c r="AJ18" s="2330"/>
      <c r="AK18" s="2330"/>
      <c r="AL18" s="2330"/>
      <c r="AM18" s="2330"/>
      <c r="AN18" s="2330"/>
      <c r="AO18" s="2330"/>
      <c r="AP18" s="2330"/>
      <c r="AQ18" s="3681"/>
      <c r="AR18" s="3681"/>
      <c r="AS18" s="3583"/>
    </row>
    <row r="19" spans="1:45" ht="45" x14ac:dyDescent="0.25">
      <c r="A19" s="3678"/>
      <c r="B19" s="3679"/>
      <c r="C19" s="407"/>
      <c r="D19" s="408"/>
      <c r="E19" s="514"/>
      <c r="F19" s="514"/>
      <c r="G19" s="2057"/>
      <c r="H19" s="2055"/>
      <c r="I19" s="2057"/>
      <c r="J19" s="2055"/>
      <c r="K19" s="3644"/>
      <c r="L19" s="2174"/>
      <c r="M19" s="3644"/>
      <c r="N19" s="2174"/>
      <c r="O19" s="2057"/>
      <c r="P19" s="2057"/>
      <c r="Q19" s="2055"/>
      <c r="R19" s="3540"/>
      <c r="S19" s="3655"/>
      <c r="T19" s="2055"/>
      <c r="U19" s="2988"/>
      <c r="V19" s="1395" t="s">
        <v>1919</v>
      </c>
      <c r="W19" s="800">
        <v>7000000</v>
      </c>
      <c r="X19" s="1525" t="s">
        <v>1918</v>
      </c>
      <c r="Y19" s="1351">
        <v>61</v>
      </c>
      <c r="Z19" s="1397" t="s">
        <v>1905</v>
      </c>
      <c r="AA19" s="2330"/>
      <c r="AB19" s="2330"/>
      <c r="AC19" s="2330"/>
      <c r="AD19" s="2330"/>
      <c r="AE19" s="2330"/>
      <c r="AF19" s="2330"/>
      <c r="AG19" s="2330"/>
      <c r="AH19" s="2330"/>
      <c r="AI19" s="2330"/>
      <c r="AJ19" s="2330"/>
      <c r="AK19" s="2330"/>
      <c r="AL19" s="2330"/>
      <c r="AM19" s="2330"/>
      <c r="AN19" s="2330"/>
      <c r="AO19" s="2330"/>
      <c r="AP19" s="2330"/>
      <c r="AQ19" s="3681"/>
      <c r="AR19" s="3681"/>
      <c r="AS19" s="3583"/>
    </row>
    <row r="20" spans="1:45" ht="69" customHeight="1" x14ac:dyDescent="0.25">
      <c r="A20" s="3678"/>
      <c r="B20" s="3679"/>
      <c r="C20" s="407"/>
      <c r="D20" s="408"/>
      <c r="E20" s="514"/>
      <c r="F20" s="514"/>
      <c r="G20" s="2057"/>
      <c r="H20" s="2055"/>
      <c r="I20" s="2057"/>
      <c r="J20" s="2055"/>
      <c r="K20" s="3644"/>
      <c r="L20" s="2174"/>
      <c r="M20" s="3644"/>
      <c r="N20" s="2174"/>
      <c r="O20" s="2057"/>
      <c r="P20" s="2057"/>
      <c r="Q20" s="2055"/>
      <c r="R20" s="3540"/>
      <c r="S20" s="3655"/>
      <c r="T20" s="2055"/>
      <c r="U20" s="2988"/>
      <c r="V20" s="1395" t="s">
        <v>1920</v>
      </c>
      <c r="W20" s="800">
        <v>7000000</v>
      </c>
      <c r="X20" s="1525" t="s">
        <v>1918</v>
      </c>
      <c r="Y20" s="1351">
        <v>61</v>
      </c>
      <c r="Z20" s="1397" t="s">
        <v>1905</v>
      </c>
      <c r="AA20" s="2330"/>
      <c r="AB20" s="2330"/>
      <c r="AC20" s="2330"/>
      <c r="AD20" s="2330"/>
      <c r="AE20" s="2330"/>
      <c r="AF20" s="2330"/>
      <c r="AG20" s="2330"/>
      <c r="AH20" s="2330"/>
      <c r="AI20" s="2330"/>
      <c r="AJ20" s="2330"/>
      <c r="AK20" s="2330"/>
      <c r="AL20" s="2330"/>
      <c r="AM20" s="2330"/>
      <c r="AN20" s="2330"/>
      <c r="AO20" s="2330"/>
      <c r="AP20" s="2330"/>
      <c r="AQ20" s="3681"/>
      <c r="AR20" s="3681"/>
      <c r="AS20" s="3583"/>
    </row>
    <row r="21" spans="1:45" ht="52.5" customHeight="1" x14ac:dyDescent="0.25">
      <c r="A21" s="3678"/>
      <c r="B21" s="3679"/>
      <c r="C21" s="407"/>
      <c r="D21" s="408"/>
      <c r="E21" s="514"/>
      <c r="F21" s="514"/>
      <c r="G21" s="2057" t="s">
        <v>62</v>
      </c>
      <c r="H21" s="2055" t="s">
        <v>1921</v>
      </c>
      <c r="I21" s="2057">
        <v>1903050</v>
      </c>
      <c r="J21" s="2055" t="s">
        <v>1922</v>
      </c>
      <c r="K21" s="3583" t="s">
        <v>62</v>
      </c>
      <c r="L21" s="2055" t="s">
        <v>1923</v>
      </c>
      <c r="M21" s="3583">
        <v>190305000</v>
      </c>
      <c r="N21" s="2055" t="s">
        <v>1924</v>
      </c>
      <c r="O21" s="2057">
        <v>12</v>
      </c>
      <c r="P21" s="2057"/>
      <c r="Q21" s="2055"/>
      <c r="R21" s="3540">
        <f>SUM(W21:W24)/S12</f>
        <v>1.6575094977333105E-2</v>
      </c>
      <c r="S21" s="3655"/>
      <c r="T21" s="2055"/>
      <c r="U21" s="2988"/>
      <c r="V21" s="1395" t="s">
        <v>1925</v>
      </c>
      <c r="W21" s="1448">
        <v>7000000</v>
      </c>
      <c r="X21" s="1525" t="s">
        <v>1926</v>
      </c>
      <c r="Y21" s="1351">
        <v>61</v>
      </c>
      <c r="Z21" s="1397" t="s">
        <v>1905</v>
      </c>
      <c r="AA21" s="2330"/>
      <c r="AB21" s="2330"/>
      <c r="AC21" s="2330"/>
      <c r="AD21" s="2330"/>
      <c r="AE21" s="2330"/>
      <c r="AF21" s="2330"/>
      <c r="AG21" s="2330"/>
      <c r="AH21" s="2330"/>
      <c r="AI21" s="2330"/>
      <c r="AJ21" s="2330"/>
      <c r="AK21" s="2330"/>
      <c r="AL21" s="2330"/>
      <c r="AM21" s="2330"/>
      <c r="AN21" s="2330"/>
      <c r="AO21" s="2330"/>
      <c r="AP21" s="2330"/>
      <c r="AQ21" s="3681"/>
      <c r="AR21" s="3681"/>
      <c r="AS21" s="3583"/>
    </row>
    <row r="22" spans="1:45" ht="66.75" customHeight="1" x14ac:dyDescent="0.25">
      <c r="A22" s="3678"/>
      <c r="B22" s="3679"/>
      <c r="C22" s="407"/>
      <c r="D22" s="408"/>
      <c r="E22" s="514"/>
      <c r="F22" s="514"/>
      <c r="G22" s="2057"/>
      <c r="H22" s="2055"/>
      <c r="I22" s="2057"/>
      <c r="J22" s="2055"/>
      <c r="K22" s="3583"/>
      <c r="L22" s="2055"/>
      <c r="M22" s="3583"/>
      <c r="N22" s="2055"/>
      <c r="O22" s="2057"/>
      <c r="P22" s="2057"/>
      <c r="Q22" s="2055"/>
      <c r="R22" s="3540"/>
      <c r="S22" s="3655"/>
      <c r="T22" s="2055"/>
      <c r="U22" s="2988"/>
      <c r="V22" s="1416" t="s">
        <v>1927</v>
      </c>
      <c r="W22" s="1440">
        <v>7000000</v>
      </c>
      <c r="X22" s="1525" t="s">
        <v>1926</v>
      </c>
      <c r="Y22" s="1351">
        <v>61</v>
      </c>
      <c r="Z22" s="1397" t="s">
        <v>1905</v>
      </c>
      <c r="AA22" s="2330"/>
      <c r="AB22" s="2330"/>
      <c r="AC22" s="2330"/>
      <c r="AD22" s="2330"/>
      <c r="AE22" s="2330"/>
      <c r="AF22" s="2330"/>
      <c r="AG22" s="2330"/>
      <c r="AH22" s="2330"/>
      <c r="AI22" s="2330"/>
      <c r="AJ22" s="2330"/>
      <c r="AK22" s="2330"/>
      <c r="AL22" s="2330"/>
      <c r="AM22" s="2330"/>
      <c r="AN22" s="2330"/>
      <c r="AO22" s="2330"/>
      <c r="AP22" s="2330"/>
      <c r="AQ22" s="3681"/>
      <c r="AR22" s="3681"/>
      <c r="AS22" s="3583"/>
    </row>
    <row r="23" spans="1:45" ht="64.5" customHeight="1" x14ac:dyDescent="0.25">
      <c r="A23" s="3678"/>
      <c r="B23" s="3679"/>
      <c r="C23" s="407"/>
      <c r="D23" s="408"/>
      <c r="E23" s="514"/>
      <c r="F23" s="514"/>
      <c r="G23" s="2057"/>
      <c r="H23" s="2055"/>
      <c r="I23" s="2057"/>
      <c r="J23" s="2055"/>
      <c r="K23" s="3583"/>
      <c r="L23" s="2055"/>
      <c r="M23" s="3583"/>
      <c r="N23" s="2055"/>
      <c r="O23" s="2057"/>
      <c r="P23" s="2057"/>
      <c r="Q23" s="2055"/>
      <c r="R23" s="3540"/>
      <c r="S23" s="3655"/>
      <c r="T23" s="2055"/>
      <c r="U23" s="2988"/>
      <c r="V23" s="1416" t="s">
        <v>1928</v>
      </c>
      <c r="W23" s="1440">
        <v>7000000</v>
      </c>
      <c r="X23" s="1525" t="s">
        <v>1926</v>
      </c>
      <c r="Y23" s="1351">
        <v>61</v>
      </c>
      <c r="Z23" s="1397" t="s">
        <v>1905</v>
      </c>
      <c r="AA23" s="2330"/>
      <c r="AB23" s="2330"/>
      <c r="AC23" s="2330"/>
      <c r="AD23" s="2330"/>
      <c r="AE23" s="2330"/>
      <c r="AF23" s="2330"/>
      <c r="AG23" s="2330"/>
      <c r="AH23" s="2330"/>
      <c r="AI23" s="2330"/>
      <c r="AJ23" s="2330"/>
      <c r="AK23" s="2330"/>
      <c r="AL23" s="2330"/>
      <c r="AM23" s="2330"/>
      <c r="AN23" s="2330"/>
      <c r="AO23" s="2330"/>
      <c r="AP23" s="2330"/>
      <c r="AQ23" s="3681"/>
      <c r="AR23" s="3681"/>
      <c r="AS23" s="3583"/>
    </row>
    <row r="24" spans="1:45" ht="67.5" customHeight="1" x14ac:dyDescent="0.25">
      <c r="A24" s="3678"/>
      <c r="B24" s="3679"/>
      <c r="C24" s="407"/>
      <c r="D24" s="408"/>
      <c r="E24" s="514"/>
      <c r="F24" s="514"/>
      <c r="G24" s="2058"/>
      <c r="H24" s="2056"/>
      <c r="I24" s="2058"/>
      <c r="J24" s="2056"/>
      <c r="K24" s="3094"/>
      <c r="L24" s="2056"/>
      <c r="M24" s="3094"/>
      <c r="N24" s="2056"/>
      <c r="O24" s="2058"/>
      <c r="P24" s="2057"/>
      <c r="Q24" s="2055"/>
      <c r="R24" s="3540"/>
      <c r="S24" s="3655"/>
      <c r="T24" s="2055"/>
      <c r="U24" s="2343"/>
      <c r="V24" s="1395" t="s">
        <v>1929</v>
      </c>
      <c r="W24" s="1439">
        <v>7000000</v>
      </c>
      <c r="X24" s="1525" t="s">
        <v>1926</v>
      </c>
      <c r="Y24" s="1351">
        <v>61</v>
      </c>
      <c r="Z24" s="1397" t="s">
        <v>1905</v>
      </c>
      <c r="AA24" s="2330"/>
      <c r="AB24" s="2330"/>
      <c r="AC24" s="2330"/>
      <c r="AD24" s="2330"/>
      <c r="AE24" s="2330"/>
      <c r="AF24" s="2330"/>
      <c r="AG24" s="2330"/>
      <c r="AH24" s="2330"/>
      <c r="AI24" s="2330"/>
      <c r="AJ24" s="2330"/>
      <c r="AK24" s="2330"/>
      <c r="AL24" s="2330"/>
      <c r="AM24" s="2330"/>
      <c r="AN24" s="2330"/>
      <c r="AO24" s="2330"/>
      <c r="AP24" s="2330"/>
      <c r="AQ24" s="3681"/>
      <c r="AR24" s="3681"/>
      <c r="AS24" s="3583"/>
    </row>
    <row r="25" spans="1:45" ht="45" customHeight="1" x14ac:dyDescent="0.25">
      <c r="A25" s="3678"/>
      <c r="B25" s="3679"/>
      <c r="C25" s="407"/>
      <c r="D25" s="408"/>
      <c r="E25" s="514"/>
      <c r="F25" s="514"/>
      <c r="G25" s="2122" t="s">
        <v>62</v>
      </c>
      <c r="H25" s="2658" t="s">
        <v>1930</v>
      </c>
      <c r="I25" s="2122">
        <v>1903038</v>
      </c>
      <c r="J25" s="2658" t="s">
        <v>1931</v>
      </c>
      <c r="K25" s="3605" t="s">
        <v>62</v>
      </c>
      <c r="L25" s="2658" t="s">
        <v>1932</v>
      </c>
      <c r="M25" s="3605">
        <v>190303801</v>
      </c>
      <c r="N25" s="2658" t="s">
        <v>1933</v>
      </c>
      <c r="O25" s="2122">
        <v>1</v>
      </c>
      <c r="P25" s="3690"/>
      <c r="Q25" s="2055"/>
      <c r="R25" s="2869">
        <f>SUM(W25:W41)/S12</f>
        <v>0.86680727250357326</v>
      </c>
      <c r="S25" s="3655"/>
      <c r="T25" s="2055"/>
      <c r="U25" s="2342" t="s">
        <v>1934</v>
      </c>
      <c r="V25" s="1395" t="s">
        <v>1935</v>
      </c>
      <c r="W25" s="800">
        <v>24000000</v>
      </c>
      <c r="X25" s="1525" t="s">
        <v>1936</v>
      </c>
      <c r="Y25" s="1351">
        <v>61</v>
      </c>
      <c r="Z25" s="1397" t="s">
        <v>1905</v>
      </c>
      <c r="AA25" s="2330"/>
      <c r="AB25" s="2330"/>
      <c r="AC25" s="2330"/>
      <c r="AD25" s="2330"/>
      <c r="AE25" s="2330"/>
      <c r="AF25" s="2330"/>
      <c r="AG25" s="2330"/>
      <c r="AH25" s="2330"/>
      <c r="AI25" s="2330"/>
      <c r="AJ25" s="2330"/>
      <c r="AK25" s="2330"/>
      <c r="AL25" s="2330"/>
      <c r="AM25" s="2330"/>
      <c r="AN25" s="2330"/>
      <c r="AO25" s="2330"/>
      <c r="AP25" s="2330"/>
      <c r="AQ25" s="3681"/>
      <c r="AR25" s="3681"/>
      <c r="AS25" s="3583"/>
    </row>
    <row r="26" spans="1:45" ht="62.25" customHeight="1" x14ac:dyDescent="0.25">
      <c r="A26" s="3678"/>
      <c r="B26" s="3679"/>
      <c r="C26" s="407"/>
      <c r="D26" s="408"/>
      <c r="E26" s="514"/>
      <c r="F26" s="514"/>
      <c r="G26" s="2122"/>
      <c r="H26" s="2658"/>
      <c r="I26" s="2122"/>
      <c r="J26" s="2658"/>
      <c r="K26" s="3605"/>
      <c r="L26" s="2658"/>
      <c r="M26" s="3605"/>
      <c r="N26" s="2658"/>
      <c r="O26" s="2122"/>
      <c r="P26" s="3690"/>
      <c r="Q26" s="2055"/>
      <c r="R26" s="2870"/>
      <c r="S26" s="3655"/>
      <c r="T26" s="2055"/>
      <c r="U26" s="2988"/>
      <c r="V26" s="1395" t="s">
        <v>1937</v>
      </c>
      <c r="W26" s="800">
        <v>24000000</v>
      </c>
      <c r="X26" s="1525" t="s">
        <v>1936</v>
      </c>
      <c r="Y26" s="1351">
        <v>61</v>
      </c>
      <c r="Z26" s="1397" t="s">
        <v>1905</v>
      </c>
      <c r="AA26" s="2330"/>
      <c r="AB26" s="2330"/>
      <c r="AC26" s="2330"/>
      <c r="AD26" s="2330"/>
      <c r="AE26" s="2330"/>
      <c r="AF26" s="2330"/>
      <c r="AG26" s="2330"/>
      <c r="AH26" s="2330"/>
      <c r="AI26" s="2330"/>
      <c r="AJ26" s="2330"/>
      <c r="AK26" s="2330"/>
      <c r="AL26" s="2330"/>
      <c r="AM26" s="2330"/>
      <c r="AN26" s="2330"/>
      <c r="AO26" s="2330"/>
      <c r="AP26" s="2330"/>
      <c r="AQ26" s="3681"/>
      <c r="AR26" s="3681"/>
      <c r="AS26" s="3583"/>
    </row>
    <row r="27" spans="1:45" ht="33" customHeight="1" x14ac:dyDescent="0.25">
      <c r="A27" s="3678"/>
      <c r="B27" s="3679"/>
      <c r="C27" s="407"/>
      <c r="D27" s="408"/>
      <c r="E27" s="514"/>
      <c r="F27" s="514"/>
      <c r="G27" s="2122"/>
      <c r="H27" s="2658"/>
      <c r="I27" s="2122"/>
      <c r="J27" s="2658"/>
      <c r="K27" s="3605"/>
      <c r="L27" s="2658"/>
      <c r="M27" s="3605"/>
      <c r="N27" s="2658"/>
      <c r="O27" s="2122"/>
      <c r="P27" s="3690"/>
      <c r="Q27" s="2055"/>
      <c r="R27" s="2870"/>
      <c r="S27" s="3655"/>
      <c r="T27" s="2055"/>
      <c r="U27" s="2988"/>
      <c r="V27" s="2056" t="s">
        <v>1938</v>
      </c>
      <c r="W27" s="800">
        <v>12000000</v>
      </c>
      <c r="X27" s="1525" t="s">
        <v>1939</v>
      </c>
      <c r="Y27" s="1351">
        <v>63</v>
      </c>
      <c r="Z27" s="1397" t="s">
        <v>1940</v>
      </c>
      <c r="AA27" s="2330"/>
      <c r="AB27" s="2330"/>
      <c r="AC27" s="2330"/>
      <c r="AD27" s="2330"/>
      <c r="AE27" s="2330"/>
      <c r="AF27" s="2330"/>
      <c r="AG27" s="2330"/>
      <c r="AH27" s="2330"/>
      <c r="AI27" s="2330"/>
      <c r="AJ27" s="2330"/>
      <c r="AK27" s="2330"/>
      <c r="AL27" s="2330"/>
      <c r="AM27" s="2330"/>
      <c r="AN27" s="2330"/>
      <c r="AO27" s="2330"/>
      <c r="AP27" s="2330"/>
      <c r="AQ27" s="3681"/>
      <c r="AR27" s="3681"/>
      <c r="AS27" s="3583"/>
    </row>
    <row r="28" spans="1:45" ht="30.75" customHeight="1" x14ac:dyDescent="0.25">
      <c r="A28" s="3678"/>
      <c r="B28" s="3679"/>
      <c r="C28" s="407"/>
      <c r="D28" s="408"/>
      <c r="E28" s="514"/>
      <c r="F28" s="514"/>
      <c r="G28" s="2122"/>
      <c r="H28" s="2658"/>
      <c r="I28" s="2122"/>
      <c r="J28" s="2658"/>
      <c r="K28" s="3605"/>
      <c r="L28" s="2658"/>
      <c r="M28" s="3605"/>
      <c r="N28" s="2658"/>
      <c r="O28" s="2122"/>
      <c r="P28" s="3690"/>
      <c r="Q28" s="2055"/>
      <c r="R28" s="2870"/>
      <c r="S28" s="3655"/>
      <c r="T28" s="2055"/>
      <c r="U28" s="2988"/>
      <c r="V28" s="2966"/>
      <c r="W28" s="800">
        <v>128231421.20999999</v>
      </c>
      <c r="X28" s="1447" t="s">
        <v>1941</v>
      </c>
      <c r="Y28" s="1351">
        <v>99</v>
      </c>
      <c r="Z28" s="1397" t="s">
        <v>1942</v>
      </c>
      <c r="AA28" s="2330"/>
      <c r="AB28" s="2330"/>
      <c r="AC28" s="2330"/>
      <c r="AD28" s="2330"/>
      <c r="AE28" s="2330"/>
      <c r="AF28" s="2330"/>
      <c r="AG28" s="2330"/>
      <c r="AH28" s="2330"/>
      <c r="AI28" s="2330"/>
      <c r="AJ28" s="2330"/>
      <c r="AK28" s="2330"/>
      <c r="AL28" s="2330"/>
      <c r="AM28" s="2330"/>
      <c r="AN28" s="2330"/>
      <c r="AO28" s="2330"/>
      <c r="AP28" s="2330"/>
      <c r="AQ28" s="3681"/>
      <c r="AR28" s="3681"/>
      <c r="AS28" s="3583"/>
    </row>
    <row r="29" spans="1:45" ht="34.5" customHeight="1" x14ac:dyDescent="0.25">
      <c r="A29" s="3678"/>
      <c r="B29" s="3679"/>
      <c r="C29" s="407"/>
      <c r="D29" s="408"/>
      <c r="E29" s="514"/>
      <c r="F29" s="514"/>
      <c r="G29" s="2122"/>
      <c r="H29" s="2658"/>
      <c r="I29" s="2122"/>
      <c r="J29" s="2658"/>
      <c r="K29" s="3605"/>
      <c r="L29" s="2658"/>
      <c r="M29" s="3605"/>
      <c r="N29" s="2658"/>
      <c r="O29" s="2122"/>
      <c r="P29" s="3690"/>
      <c r="Q29" s="2055"/>
      <c r="R29" s="2870"/>
      <c r="S29" s="3655"/>
      <c r="T29" s="2055"/>
      <c r="U29" s="2988"/>
      <c r="V29" s="2056" t="s">
        <v>1943</v>
      </c>
      <c r="W29" s="800">
        <v>100000000</v>
      </c>
      <c r="X29" s="1525" t="s">
        <v>1939</v>
      </c>
      <c r="Y29" s="1351">
        <v>63</v>
      </c>
      <c r="Z29" s="1397" t="s">
        <v>1940</v>
      </c>
      <c r="AA29" s="2330"/>
      <c r="AB29" s="2330"/>
      <c r="AC29" s="2330"/>
      <c r="AD29" s="2330"/>
      <c r="AE29" s="2330"/>
      <c r="AF29" s="2330"/>
      <c r="AG29" s="2330"/>
      <c r="AH29" s="2330"/>
      <c r="AI29" s="2330"/>
      <c r="AJ29" s="2330"/>
      <c r="AK29" s="2330"/>
      <c r="AL29" s="2330"/>
      <c r="AM29" s="2330"/>
      <c r="AN29" s="2330"/>
      <c r="AO29" s="2330"/>
      <c r="AP29" s="2330"/>
      <c r="AQ29" s="3681"/>
      <c r="AR29" s="3681"/>
      <c r="AS29" s="3583"/>
    </row>
    <row r="30" spans="1:45" ht="35.25" customHeight="1" x14ac:dyDescent="0.25">
      <c r="A30" s="3678"/>
      <c r="B30" s="3679"/>
      <c r="C30" s="407"/>
      <c r="D30" s="408"/>
      <c r="E30" s="514"/>
      <c r="F30" s="514"/>
      <c r="G30" s="2122"/>
      <c r="H30" s="2658"/>
      <c r="I30" s="2122"/>
      <c r="J30" s="2658"/>
      <c r="K30" s="3605"/>
      <c r="L30" s="2658"/>
      <c r="M30" s="3605"/>
      <c r="N30" s="2658"/>
      <c r="O30" s="2122"/>
      <c r="P30" s="3690"/>
      <c r="Q30" s="2055"/>
      <c r="R30" s="2870"/>
      <c r="S30" s="3655"/>
      <c r="T30" s="2055"/>
      <c r="U30" s="2988"/>
      <c r="V30" s="2966"/>
      <c r="W30" s="800">
        <v>66600000</v>
      </c>
      <c r="X30" s="1525" t="s">
        <v>1944</v>
      </c>
      <c r="Y30" s="1351">
        <v>99</v>
      </c>
      <c r="Z30" s="1397" t="s">
        <v>1942</v>
      </c>
      <c r="AA30" s="2330"/>
      <c r="AB30" s="2330"/>
      <c r="AC30" s="2330"/>
      <c r="AD30" s="2330"/>
      <c r="AE30" s="2330"/>
      <c r="AF30" s="2330"/>
      <c r="AG30" s="2330"/>
      <c r="AH30" s="2330"/>
      <c r="AI30" s="2330"/>
      <c r="AJ30" s="2330"/>
      <c r="AK30" s="2330"/>
      <c r="AL30" s="2330"/>
      <c r="AM30" s="2330"/>
      <c r="AN30" s="2330"/>
      <c r="AO30" s="2330"/>
      <c r="AP30" s="2330"/>
      <c r="AQ30" s="3681"/>
      <c r="AR30" s="3681"/>
      <c r="AS30" s="3583"/>
    </row>
    <row r="31" spans="1:45" ht="51.75" customHeight="1" x14ac:dyDescent="0.25">
      <c r="A31" s="3678"/>
      <c r="B31" s="3679"/>
      <c r="C31" s="407"/>
      <c r="D31" s="408"/>
      <c r="E31" s="514"/>
      <c r="F31" s="514"/>
      <c r="G31" s="2122"/>
      <c r="H31" s="2658"/>
      <c r="I31" s="2122"/>
      <c r="J31" s="2658"/>
      <c r="K31" s="3605"/>
      <c r="L31" s="2658"/>
      <c r="M31" s="3605"/>
      <c r="N31" s="2658"/>
      <c r="O31" s="2122"/>
      <c r="P31" s="3690"/>
      <c r="Q31" s="2055"/>
      <c r="R31" s="2870"/>
      <c r="S31" s="3655"/>
      <c r="T31" s="2055"/>
      <c r="U31" s="2988"/>
      <c r="V31" s="1395" t="s">
        <v>1945</v>
      </c>
      <c r="W31" s="800">
        <v>22000000</v>
      </c>
      <c r="X31" s="1525" t="s">
        <v>1946</v>
      </c>
      <c r="Y31" s="1351">
        <v>63</v>
      </c>
      <c r="Z31" s="1397" t="s">
        <v>1940</v>
      </c>
      <c r="AA31" s="2330"/>
      <c r="AB31" s="2330"/>
      <c r="AC31" s="2330"/>
      <c r="AD31" s="2330"/>
      <c r="AE31" s="2330"/>
      <c r="AF31" s="2330"/>
      <c r="AG31" s="2330"/>
      <c r="AH31" s="2330"/>
      <c r="AI31" s="2330"/>
      <c r="AJ31" s="2330"/>
      <c r="AK31" s="2330"/>
      <c r="AL31" s="2330"/>
      <c r="AM31" s="2330"/>
      <c r="AN31" s="2330"/>
      <c r="AO31" s="2330"/>
      <c r="AP31" s="2330"/>
      <c r="AQ31" s="3681"/>
      <c r="AR31" s="3681"/>
      <c r="AS31" s="3583"/>
    </row>
    <row r="32" spans="1:45" ht="48.75" customHeight="1" x14ac:dyDescent="0.25">
      <c r="A32" s="3678"/>
      <c r="B32" s="3679"/>
      <c r="C32" s="407"/>
      <c r="D32" s="408"/>
      <c r="E32" s="514"/>
      <c r="F32" s="514"/>
      <c r="G32" s="2122"/>
      <c r="H32" s="2658"/>
      <c r="I32" s="2122"/>
      <c r="J32" s="2658"/>
      <c r="K32" s="3605"/>
      <c r="L32" s="2658"/>
      <c r="M32" s="3605"/>
      <c r="N32" s="2658"/>
      <c r="O32" s="2122"/>
      <c r="P32" s="3690"/>
      <c r="Q32" s="2055"/>
      <c r="R32" s="2870"/>
      <c r="S32" s="3655"/>
      <c r="T32" s="2055"/>
      <c r="U32" s="2988"/>
      <c r="V32" s="2056" t="s">
        <v>1947</v>
      </c>
      <c r="W32" s="800">
        <v>10000000</v>
      </c>
      <c r="X32" s="1525" t="s">
        <v>1939</v>
      </c>
      <c r="Y32" s="1351">
        <v>63</v>
      </c>
      <c r="Z32" s="1397" t="s">
        <v>1940</v>
      </c>
      <c r="AA32" s="2330"/>
      <c r="AB32" s="2330"/>
      <c r="AC32" s="2330"/>
      <c r="AD32" s="2330"/>
      <c r="AE32" s="2330"/>
      <c r="AF32" s="2330"/>
      <c r="AG32" s="2330"/>
      <c r="AH32" s="2330"/>
      <c r="AI32" s="2330"/>
      <c r="AJ32" s="2330"/>
      <c r="AK32" s="2330"/>
      <c r="AL32" s="2330"/>
      <c r="AM32" s="2330"/>
      <c r="AN32" s="2330"/>
      <c r="AO32" s="2330"/>
      <c r="AP32" s="2330"/>
      <c r="AQ32" s="3681"/>
      <c r="AR32" s="3681"/>
      <c r="AS32" s="3583"/>
    </row>
    <row r="33" spans="1:45" ht="30.75" customHeight="1" x14ac:dyDescent="0.25">
      <c r="A33" s="3678"/>
      <c r="B33" s="3679"/>
      <c r="C33" s="407"/>
      <c r="D33" s="408"/>
      <c r="E33" s="514"/>
      <c r="F33" s="514"/>
      <c r="G33" s="2122"/>
      <c r="H33" s="2658"/>
      <c r="I33" s="2122"/>
      <c r="J33" s="2658"/>
      <c r="K33" s="3605"/>
      <c r="L33" s="2658"/>
      <c r="M33" s="3605"/>
      <c r="N33" s="2658"/>
      <c r="O33" s="2122"/>
      <c r="P33" s="3690"/>
      <c r="Q33" s="2055"/>
      <c r="R33" s="2870"/>
      <c r="S33" s="3655"/>
      <c r="T33" s="2055"/>
      <c r="U33" s="2988"/>
      <c r="V33" s="2966"/>
      <c r="W33" s="800">
        <v>28700000</v>
      </c>
      <c r="X33" s="1525" t="s">
        <v>1944</v>
      </c>
      <c r="Y33" s="1351">
        <v>99</v>
      </c>
      <c r="Z33" s="1397" t="s">
        <v>1942</v>
      </c>
      <c r="AA33" s="2330"/>
      <c r="AB33" s="2330"/>
      <c r="AC33" s="2330"/>
      <c r="AD33" s="2330"/>
      <c r="AE33" s="2330"/>
      <c r="AF33" s="2330"/>
      <c r="AG33" s="2330"/>
      <c r="AH33" s="2330"/>
      <c r="AI33" s="2330"/>
      <c r="AJ33" s="2330"/>
      <c r="AK33" s="2330"/>
      <c r="AL33" s="2330"/>
      <c r="AM33" s="2330"/>
      <c r="AN33" s="2330"/>
      <c r="AO33" s="2330"/>
      <c r="AP33" s="2330"/>
      <c r="AQ33" s="3681"/>
      <c r="AR33" s="3681"/>
      <c r="AS33" s="3583"/>
    </row>
    <row r="34" spans="1:45" ht="32.25" customHeight="1" x14ac:dyDescent="0.25">
      <c r="A34" s="3678"/>
      <c r="B34" s="3679"/>
      <c r="C34" s="407"/>
      <c r="D34" s="408"/>
      <c r="E34" s="514"/>
      <c r="F34" s="514"/>
      <c r="G34" s="2122"/>
      <c r="H34" s="2658"/>
      <c r="I34" s="2122"/>
      <c r="J34" s="2658"/>
      <c r="K34" s="3605"/>
      <c r="L34" s="2658"/>
      <c r="M34" s="3605"/>
      <c r="N34" s="2658"/>
      <c r="O34" s="2122"/>
      <c r="P34" s="3690"/>
      <c r="Q34" s="2055"/>
      <c r="R34" s="2870"/>
      <c r="S34" s="3655"/>
      <c r="T34" s="2055"/>
      <c r="U34" s="2988"/>
      <c r="V34" s="2056" t="s">
        <v>1948</v>
      </c>
      <c r="W34" s="800">
        <v>10000000</v>
      </c>
      <c r="X34" s="1525" t="s">
        <v>1939</v>
      </c>
      <c r="Y34" s="1351">
        <v>63</v>
      </c>
      <c r="Z34" s="1397" t="s">
        <v>1940</v>
      </c>
      <c r="AA34" s="2330"/>
      <c r="AB34" s="2330"/>
      <c r="AC34" s="2330"/>
      <c r="AD34" s="2330"/>
      <c r="AE34" s="2330"/>
      <c r="AF34" s="2330"/>
      <c r="AG34" s="2330"/>
      <c r="AH34" s="2330"/>
      <c r="AI34" s="2330"/>
      <c r="AJ34" s="2330"/>
      <c r="AK34" s="2330"/>
      <c r="AL34" s="2330"/>
      <c r="AM34" s="2330"/>
      <c r="AN34" s="2330"/>
      <c r="AO34" s="2330"/>
      <c r="AP34" s="2330"/>
      <c r="AQ34" s="3681"/>
      <c r="AR34" s="3681"/>
      <c r="AS34" s="3583"/>
    </row>
    <row r="35" spans="1:45" ht="30" customHeight="1" x14ac:dyDescent="0.25">
      <c r="A35" s="3678"/>
      <c r="B35" s="3679"/>
      <c r="C35" s="407"/>
      <c r="D35" s="408"/>
      <c r="E35" s="514"/>
      <c r="F35" s="514"/>
      <c r="G35" s="2122"/>
      <c r="H35" s="2658"/>
      <c r="I35" s="2122"/>
      <c r="J35" s="2658"/>
      <c r="K35" s="3605"/>
      <c r="L35" s="2658"/>
      <c r="M35" s="3605"/>
      <c r="N35" s="2658"/>
      <c r="O35" s="2122"/>
      <c r="P35" s="3690"/>
      <c r="Q35" s="2055"/>
      <c r="R35" s="2870"/>
      <c r="S35" s="3655"/>
      <c r="T35" s="2055"/>
      <c r="U35" s="2988"/>
      <c r="V35" s="2966"/>
      <c r="W35" s="800">
        <v>28700000</v>
      </c>
      <c r="X35" s="1525" t="s">
        <v>1944</v>
      </c>
      <c r="Y35" s="1351">
        <v>99</v>
      </c>
      <c r="Z35" s="1397" t="s">
        <v>1942</v>
      </c>
      <c r="AA35" s="2330"/>
      <c r="AB35" s="2330"/>
      <c r="AC35" s="2330"/>
      <c r="AD35" s="2330"/>
      <c r="AE35" s="2330"/>
      <c r="AF35" s="2330"/>
      <c r="AG35" s="2330"/>
      <c r="AH35" s="2330"/>
      <c r="AI35" s="2330"/>
      <c r="AJ35" s="2330"/>
      <c r="AK35" s="2330"/>
      <c r="AL35" s="2330"/>
      <c r="AM35" s="2330"/>
      <c r="AN35" s="2330"/>
      <c r="AO35" s="2330"/>
      <c r="AP35" s="2330"/>
      <c r="AQ35" s="3681"/>
      <c r="AR35" s="3681"/>
      <c r="AS35" s="3583"/>
    </row>
    <row r="36" spans="1:45" ht="42" customHeight="1" x14ac:dyDescent="0.25">
      <c r="A36" s="3678"/>
      <c r="B36" s="3679"/>
      <c r="C36" s="407"/>
      <c r="D36" s="408"/>
      <c r="E36" s="514"/>
      <c r="F36" s="514"/>
      <c r="G36" s="2122"/>
      <c r="H36" s="2658"/>
      <c r="I36" s="2122"/>
      <c r="J36" s="2658"/>
      <c r="K36" s="3605"/>
      <c r="L36" s="2658"/>
      <c r="M36" s="3605"/>
      <c r="N36" s="2658"/>
      <c r="O36" s="2122"/>
      <c r="P36" s="3690"/>
      <c r="Q36" s="2055"/>
      <c r="R36" s="2870"/>
      <c r="S36" s="3655"/>
      <c r="T36" s="2055"/>
      <c r="U36" s="2988"/>
      <c r="V36" s="2056" t="s">
        <v>1949</v>
      </c>
      <c r="W36" s="800">
        <v>4000000</v>
      </c>
      <c r="X36" s="1525" t="s">
        <v>1946</v>
      </c>
      <c r="Y36" s="1351">
        <v>63</v>
      </c>
      <c r="Z36" s="1397" t="s">
        <v>1940</v>
      </c>
      <c r="AA36" s="2330"/>
      <c r="AB36" s="2330"/>
      <c r="AC36" s="2330"/>
      <c r="AD36" s="2330"/>
      <c r="AE36" s="2330"/>
      <c r="AF36" s="2330"/>
      <c r="AG36" s="2330"/>
      <c r="AH36" s="2330"/>
      <c r="AI36" s="2330"/>
      <c r="AJ36" s="2330"/>
      <c r="AK36" s="2330"/>
      <c r="AL36" s="2330"/>
      <c r="AM36" s="2330"/>
      <c r="AN36" s="2330"/>
      <c r="AO36" s="2330"/>
      <c r="AP36" s="2330"/>
      <c r="AQ36" s="3681"/>
      <c r="AR36" s="3681"/>
      <c r="AS36" s="3583"/>
    </row>
    <row r="37" spans="1:45" ht="43.5" customHeight="1" x14ac:dyDescent="0.2">
      <c r="A37" s="3678"/>
      <c r="B37" s="3679"/>
      <c r="C37" s="407"/>
      <c r="D37" s="408"/>
      <c r="E37" s="514"/>
      <c r="F37" s="514"/>
      <c r="G37" s="2122"/>
      <c r="H37" s="2658"/>
      <c r="I37" s="2122"/>
      <c r="J37" s="2658"/>
      <c r="K37" s="3605"/>
      <c r="L37" s="2658"/>
      <c r="M37" s="3605"/>
      <c r="N37" s="2658"/>
      <c r="O37" s="2122"/>
      <c r="P37" s="3690"/>
      <c r="Q37" s="2055"/>
      <c r="R37" s="2870"/>
      <c r="S37" s="3655"/>
      <c r="T37" s="2055"/>
      <c r="U37" s="2988"/>
      <c r="V37" s="2965"/>
      <c r="W37" s="800">
        <v>18000000</v>
      </c>
      <c r="X37" s="1526" t="s">
        <v>1939</v>
      </c>
      <c r="Y37" s="1351">
        <v>63</v>
      </c>
      <c r="Z37" s="1397" t="s">
        <v>1940</v>
      </c>
      <c r="AA37" s="2330"/>
      <c r="AB37" s="2330"/>
      <c r="AC37" s="2330"/>
      <c r="AD37" s="2330"/>
      <c r="AE37" s="2330"/>
      <c r="AF37" s="2330"/>
      <c r="AG37" s="2330"/>
      <c r="AH37" s="2330"/>
      <c r="AI37" s="2330"/>
      <c r="AJ37" s="2330"/>
      <c r="AK37" s="2330"/>
      <c r="AL37" s="2330"/>
      <c r="AM37" s="2330"/>
      <c r="AN37" s="2330"/>
      <c r="AO37" s="2330"/>
      <c r="AP37" s="2330"/>
      <c r="AQ37" s="3681"/>
      <c r="AR37" s="3681"/>
      <c r="AS37" s="3583"/>
    </row>
    <row r="38" spans="1:45" ht="30.75" customHeight="1" x14ac:dyDescent="0.25">
      <c r="A38" s="3678"/>
      <c r="B38" s="3679"/>
      <c r="C38" s="407"/>
      <c r="D38" s="408"/>
      <c r="E38" s="514"/>
      <c r="F38" s="514"/>
      <c r="G38" s="2122"/>
      <c r="H38" s="2658"/>
      <c r="I38" s="2122"/>
      <c r="J38" s="2658"/>
      <c r="K38" s="3605"/>
      <c r="L38" s="2658"/>
      <c r="M38" s="3605"/>
      <c r="N38" s="2658"/>
      <c r="O38" s="2122"/>
      <c r="P38" s="3690"/>
      <c r="Q38" s="2055"/>
      <c r="R38" s="2870"/>
      <c r="S38" s="3655"/>
      <c r="T38" s="2055"/>
      <c r="U38" s="2988"/>
      <c r="V38" s="2966"/>
      <c r="W38" s="800">
        <v>19350000</v>
      </c>
      <c r="X38" s="1525" t="s">
        <v>1944</v>
      </c>
      <c r="Y38" s="1351">
        <v>99</v>
      </c>
      <c r="Z38" s="1397" t="s">
        <v>1942</v>
      </c>
      <c r="AA38" s="2330"/>
      <c r="AB38" s="2330"/>
      <c r="AC38" s="2330"/>
      <c r="AD38" s="2330"/>
      <c r="AE38" s="2330"/>
      <c r="AF38" s="2330"/>
      <c r="AG38" s="2330"/>
      <c r="AH38" s="2330"/>
      <c r="AI38" s="2330"/>
      <c r="AJ38" s="2330"/>
      <c r="AK38" s="2330"/>
      <c r="AL38" s="2330"/>
      <c r="AM38" s="2330"/>
      <c r="AN38" s="2330"/>
      <c r="AO38" s="2330"/>
      <c r="AP38" s="2330"/>
      <c r="AQ38" s="3681"/>
      <c r="AR38" s="3681"/>
      <c r="AS38" s="3583"/>
    </row>
    <row r="39" spans="1:45" ht="63" customHeight="1" x14ac:dyDescent="0.25">
      <c r="A39" s="3678"/>
      <c r="B39" s="3679"/>
      <c r="C39" s="407"/>
      <c r="D39" s="408"/>
      <c r="E39" s="514"/>
      <c r="F39" s="514"/>
      <c r="G39" s="2122"/>
      <c r="H39" s="2658"/>
      <c r="I39" s="2122"/>
      <c r="J39" s="2658"/>
      <c r="K39" s="3605"/>
      <c r="L39" s="2658"/>
      <c r="M39" s="3605"/>
      <c r="N39" s="2658"/>
      <c r="O39" s="2122"/>
      <c r="P39" s="3690"/>
      <c r="Q39" s="2055"/>
      <c r="R39" s="2870"/>
      <c r="S39" s="3655"/>
      <c r="T39" s="2055"/>
      <c r="U39" s="2988"/>
      <c r="V39" s="1419" t="s">
        <v>1950</v>
      </c>
      <c r="W39" s="800">
        <v>40000000</v>
      </c>
      <c r="X39" s="1525" t="s">
        <v>1939</v>
      </c>
      <c r="Y39" s="1351">
        <v>63</v>
      </c>
      <c r="Z39" s="1397"/>
      <c r="AA39" s="2330"/>
      <c r="AB39" s="2330"/>
      <c r="AC39" s="2330"/>
      <c r="AD39" s="2330"/>
      <c r="AE39" s="2330"/>
      <c r="AF39" s="2330"/>
      <c r="AG39" s="2330"/>
      <c r="AH39" s="2330"/>
      <c r="AI39" s="2330"/>
      <c r="AJ39" s="2330"/>
      <c r="AK39" s="2330"/>
      <c r="AL39" s="2330"/>
      <c r="AM39" s="2330"/>
      <c r="AN39" s="2330"/>
      <c r="AO39" s="2330"/>
      <c r="AP39" s="2330"/>
      <c r="AQ39" s="3681"/>
      <c r="AR39" s="3681"/>
      <c r="AS39" s="3583"/>
    </row>
    <row r="40" spans="1:45" ht="39" customHeight="1" x14ac:dyDescent="0.25">
      <c r="A40" s="3678"/>
      <c r="B40" s="3679"/>
      <c r="C40" s="407"/>
      <c r="D40" s="408"/>
      <c r="E40" s="514"/>
      <c r="F40" s="514"/>
      <c r="G40" s="2122"/>
      <c r="H40" s="2658"/>
      <c r="I40" s="2122"/>
      <c r="J40" s="2658"/>
      <c r="K40" s="3605"/>
      <c r="L40" s="2658"/>
      <c r="M40" s="3605"/>
      <c r="N40" s="2658"/>
      <c r="O40" s="2122"/>
      <c r="P40" s="3690"/>
      <c r="Q40" s="2055"/>
      <c r="R40" s="2870"/>
      <c r="S40" s="3655"/>
      <c r="T40" s="2055"/>
      <c r="U40" s="2988"/>
      <c r="V40" s="2056" t="s">
        <v>1951</v>
      </c>
      <c r="W40" s="800">
        <f>632700000+36000000-40000000</f>
        <v>628700000</v>
      </c>
      <c r="X40" s="1527" t="s">
        <v>1946</v>
      </c>
      <c r="Y40" s="1351">
        <v>63</v>
      </c>
      <c r="Z40" s="1397" t="s">
        <v>1940</v>
      </c>
      <c r="AA40" s="2330"/>
      <c r="AB40" s="2330"/>
      <c r="AC40" s="2330"/>
      <c r="AD40" s="2330"/>
      <c r="AE40" s="2330"/>
      <c r="AF40" s="2330"/>
      <c r="AG40" s="2330"/>
      <c r="AH40" s="2330"/>
      <c r="AI40" s="2330"/>
      <c r="AJ40" s="2330"/>
      <c r="AK40" s="2330"/>
      <c r="AL40" s="2330"/>
      <c r="AM40" s="2330"/>
      <c r="AN40" s="2330"/>
      <c r="AO40" s="2330"/>
      <c r="AP40" s="2330"/>
      <c r="AQ40" s="3681"/>
      <c r="AR40" s="3681"/>
      <c r="AS40" s="3583"/>
    </row>
    <row r="41" spans="1:45" ht="41.25" customHeight="1" x14ac:dyDescent="0.25">
      <c r="A41" s="3678"/>
      <c r="B41" s="3679"/>
      <c r="C41" s="407"/>
      <c r="D41" s="408"/>
      <c r="E41" s="514"/>
      <c r="F41" s="514"/>
      <c r="G41" s="2122"/>
      <c r="H41" s="2658"/>
      <c r="I41" s="2122"/>
      <c r="J41" s="2658"/>
      <c r="K41" s="3605"/>
      <c r="L41" s="2658"/>
      <c r="M41" s="3605"/>
      <c r="N41" s="2658"/>
      <c r="O41" s="2122"/>
      <c r="P41" s="3690"/>
      <c r="Q41" s="2055"/>
      <c r="R41" s="2871"/>
      <c r="S41" s="3655"/>
      <c r="T41" s="2055"/>
      <c r="U41" s="2988"/>
      <c r="V41" s="2966"/>
      <c r="W41" s="800">
        <v>300000000</v>
      </c>
      <c r="X41" s="1527" t="s">
        <v>1952</v>
      </c>
      <c r="Y41" s="1351">
        <v>99</v>
      </c>
      <c r="Z41" s="1397" t="s">
        <v>1942</v>
      </c>
      <c r="AA41" s="2330"/>
      <c r="AB41" s="2330"/>
      <c r="AC41" s="2330"/>
      <c r="AD41" s="2330"/>
      <c r="AE41" s="2330"/>
      <c r="AF41" s="2330"/>
      <c r="AG41" s="2330"/>
      <c r="AH41" s="2330"/>
      <c r="AI41" s="2330"/>
      <c r="AJ41" s="2330"/>
      <c r="AK41" s="2330"/>
      <c r="AL41" s="2330"/>
      <c r="AM41" s="2330"/>
      <c r="AN41" s="2330"/>
      <c r="AO41" s="2330"/>
      <c r="AP41" s="2330"/>
      <c r="AQ41" s="3681"/>
      <c r="AR41" s="3681"/>
      <c r="AS41" s="3583"/>
    </row>
    <row r="42" spans="1:45" ht="79.5" customHeight="1" x14ac:dyDescent="0.25">
      <c r="A42" s="3678"/>
      <c r="B42" s="3679"/>
      <c r="C42" s="407"/>
      <c r="D42" s="408"/>
      <c r="E42" s="514"/>
      <c r="F42" s="514"/>
      <c r="G42" s="1400">
        <v>1903038</v>
      </c>
      <c r="H42" s="1434" t="s">
        <v>1931</v>
      </c>
      <c r="I42" s="1400">
        <v>1903038</v>
      </c>
      <c r="J42" s="1434" t="s">
        <v>1931</v>
      </c>
      <c r="K42" s="1272">
        <v>190303801</v>
      </c>
      <c r="L42" s="1420" t="s">
        <v>1953</v>
      </c>
      <c r="M42" s="1272">
        <v>190303801</v>
      </c>
      <c r="N42" s="1420" t="s">
        <v>1953</v>
      </c>
      <c r="O42" s="1414">
        <v>11</v>
      </c>
      <c r="P42" s="2057"/>
      <c r="Q42" s="2055"/>
      <c r="R42" s="1528">
        <f>W42/S12</f>
        <v>1.1247385877476035E-2</v>
      </c>
      <c r="S42" s="3655"/>
      <c r="T42" s="2055"/>
      <c r="U42" s="2988"/>
      <c r="V42" s="1358" t="s">
        <v>1954</v>
      </c>
      <c r="W42" s="800">
        <v>19000000</v>
      </c>
      <c r="X42" s="1525" t="s">
        <v>1955</v>
      </c>
      <c r="Y42" s="1351">
        <v>61</v>
      </c>
      <c r="Z42" s="1397" t="s">
        <v>1905</v>
      </c>
      <c r="AA42" s="2330"/>
      <c r="AB42" s="2330"/>
      <c r="AC42" s="2330"/>
      <c r="AD42" s="2330"/>
      <c r="AE42" s="2330"/>
      <c r="AF42" s="2330"/>
      <c r="AG42" s="2330"/>
      <c r="AH42" s="2330"/>
      <c r="AI42" s="2330"/>
      <c r="AJ42" s="2330"/>
      <c r="AK42" s="2330"/>
      <c r="AL42" s="2330"/>
      <c r="AM42" s="2330"/>
      <c r="AN42" s="2330"/>
      <c r="AO42" s="2330"/>
      <c r="AP42" s="2330"/>
      <c r="AQ42" s="3681"/>
      <c r="AR42" s="3681"/>
      <c r="AS42" s="3583"/>
    </row>
    <row r="43" spans="1:45" ht="83.25" customHeight="1" x14ac:dyDescent="0.25">
      <c r="A43" s="3678"/>
      <c r="B43" s="3679"/>
      <c r="C43" s="407"/>
      <c r="D43" s="408"/>
      <c r="E43" s="514"/>
      <c r="F43" s="514"/>
      <c r="G43" s="1402">
        <v>1903027</v>
      </c>
      <c r="H43" s="1445" t="s">
        <v>1956</v>
      </c>
      <c r="I43" s="1402">
        <v>1903027</v>
      </c>
      <c r="J43" s="1445" t="s">
        <v>1956</v>
      </c>
      <c r="K43" s="1529">
        <v>190302700</v>
      </c>
      <c r="L43" s="1530" t="s">
        <v>1957</v>
      </c>
      <c r="M43" s="1529">
        <v>190302700</v>
      </c>
      <c r="N43" s="1530" t="s">
        <v>1957</v>
      </c>
      <c r="O43" s="1398">
        <v>5</v>
      </c>
      <c r="P43" s="2057"/>
      <c r="Q43" s="2055"/>
      <c r="R43" s="1528">
        <f>W43/S12</f>
        <v>1.1247385877476035E-2</v>
      </c>
      <c r="S43" s="3655"/>
      <c r="T43" s="2055"/>
      <c r="U43" s="2988"/>
      <c r="V43" s="1531" t="s">
        <v>1958</v>
      </c>
      <c r="W43" s="800">
        <v>19000000</v>
      </c>
      <c r="X43" s="1525" t="s">
        <v>1959</v>
      </c>
      <c r="Y43" s="1351">
        <v>61</v>
      </c>
      <c r="Z43" s="1397" t="s">
        <v>1905</v>
      </c>
      <c r="AA43" s="2330"/>
      <c r="AB43" s="2330"/>
      <c r="AC43" s="2330"/>
      <c r="AD43" s="2330"/>
      <c r="AE43" s="2330"/>
      <c r="AF43" s="2330"/>
      <c r="AG43" s="2330"/>
      <c r="AH43" s="2330"/>
      <c r="AI43" s="2330"/>
      <c r="AJ43" s="2330"/>
      <c r="AK43" s="2330"/>
      <c r="AL43" s="2330"/>
      <c r="AM43" s="2330"/>
      <c r="AN43" s="2330"/>
      <c r="AO43" s="2330"/>
      <c r="AP43" s="2330"/>
      <c r="AQ43" s="3681"/>
      <c r="AR43" s="3681"/>
      <c r="AS43" s="3583"/>
    </row>
    <row r="44" spans="1:45" ht="82.5" customHeight="1" x14ac:dyDescent="0.25">
      <c r="A44" s="3678"/>
      <c r="B44" s="3679"/>
      <c r="C44" s="407"/>
      <c r="D44" s="408"/>
      <c r="E44" s="514"/>
      <c r="F44" s="514"/>
      <c r="G44" s="2054">
        <v>1903011</v>
      </c>
      <c r="H44" s="2119" t="s">
        <v>1960</v>
      </c>
      <c r="I44" s="2054">
        <v>1903011</v>
      </c>
      <c r="J44" s="2119" t="s">
        <v>1960</v>
      </c>
      <c r="K44" s="3644">
        <v>190301100</v>
      </c>
      <c r="L44" s="2174" t="s">
        <v>1961</v>
      </c>
      <c r="M44" s="3644">
        <v>190301100</v>
      </c>
      <c r="N44" s="2174" t="s">
        <v>1961</v>
      </c>
      <c r="O44" s="2057">
        <v>140</v>
      </c>
      <c r="P44" s="2057"/>
      <c r="Q44" s="2055"/>
      <c r="R44" s="3540">
        <f>SUM(W44:W45)/S12</f>
        <v>1.1247385877476035E-2</v>
      </c>
      <c r="S44" s="3655"/>
      <c r="T44" s="2055"/>
      <c r="U44" s="2988"/>
      <c r="V44" s="1395" t="s">
        <v>1962</v>
      </c>
      <c r="W44" s="800">
        <v>10000000</v>
      </c>
      <c r="X44" s="1525" t="s">
        <v>1963</v>
      </c>
      <c r="Y44" s="1351">
        <v>61</v>
      </c>
      <c r="Z44" s="1397" t="s">
        <v>1905</v>
      </c>
      <c r="AA44" s="2330"/>
      <c r="AB44" s="2330"/>
      <c r="AC44" s="2330"/>
      <c r="AD44" s="2330"/>
      <c r="AE44" s="2330"/>
      <c r="AF44" s="2330"/>
      <c r="AG44" s="2330"/>
      <c r="AH44" s="2330"/>
      <c r="AI44" s="2330"/>
      <c r="AJ44" s="2330"/>
      <c r="AK44" s="2330"/>
      <c r="AL44" s="2330"/>
      <c r="AM44" s="2330"/>
      <c r="AN44" s="2330"/>
      <c r="AO44" s="2330"/>
      <c r="AP44" s="2330"/>
      <c r="AQ44" s="3681"/>
      <c r="AR44" s="3681"/>
      <c r="AS44" s="3583"/>
    </row>
    <row r="45" spans="1:45" ht="67.5" customHeight="1" x14ac:dyDescent="0.25">
      <c r="A45" s="3678"/>
      <c r="B45" s="3679"/>
      <c r="C45" s="407"/>
      <c r="D45" s="408"/>
      <c r="E45" s="514"/>
      <c r="F45" s="514"/>
      <c r="G45" s="2148"/>
      <c r="H45" s="2141" t="s">
        <v>1960</v>
      </c>
      <c r="I45" s="2148"/>
      <c r="J45" s="2141" t="s">
        <v>1960</v>
      </c>
      <c r="K45" s="3664"/>
      <c r="L45" s="2629"/>
      <c r="M45" s="3664"/>
      <c r="N45" s="2629"/>
      <c r="O45" s="2058"/>
      <c r="P45" s="2057"/>
      <c r="Q45" s="2055"/>
      <c r="R45" s="2869"/>
      <c r="S45" s="3655"/>
      <c r="T45" s="2055"/>
      <c r="U45" s="2343"/>
      <c r="V45" s="1396" t="s">
        <v>1964</v>
      </c>
      <c r="W45" s="1448">
        <v>9000000</v>
      </c>
      <c r="X45" s="1525" t="s">
        <v>1963</v>
      </c>
      <c r="Y45" s="1351">
        <v>61</v>
      </c>
      <c r="Z45" s="1398" t="s">
        <v>1905</v>
      </c>
      <c r="AA45" s="3674"/>
      <c r="AB45" s="3674"/>
      <c r="AC45" s="3674"/>
      <c r="AD45" s="3674"/>
      <c r="AE45" s="3674"/>
      <c r="AF45" s="3674"/>
      <c r="AG45" s="3674"/>
      <c r="AH45" s="3674"/>
      <c r="AI45" s="3674"/>
      <c r="AJ45" s="3674"/>
      <c r="AK45" s="3674"/>
      <c r="AL45" s="3674"/>
      <c r="AM45" s="3674"/>
      <c r="AN45" s="3674"/>
      <c r="AO45" s="3674"/>
      <c r="AP45" s="3674"/>
      <c r="AQ45" s="3682"/>
      <c r="AR45" s="3682"/>
      <c r="AS45" s="3583"/>
    </row>
    <row r="46" spans="1:45" ht="49.5" customHeight="1" x14ac:dyDescent="0.25">
      <c r="A46" s="3678"/>
      <c r="B46" s="3679"/>
      <c r="C46" s="407"/>
      <c r="D46" s="408"/>
      <c r="E46" s="514"/>
      <c r="F46" s="514"/>
      <c r="G46" s="2094">
        <v>1903001</v>
      </c>
      <c r="H46" s="3159" t="s">
        <v>173</v>
      </c>
      <c r="I46" s="2094">
        <v>1903001</v>
      </c>
      <c r="J46" s="3159" t="s">
        <v>173</v>
      </c>
      <c r="K46" s="3623">
        <v>190300100</v>
      </c>
      <c r="L46" s="3632" t="s">
        <v>1965</v>
      </c>
      <c r="M46" s="3623">
        <v>190300100</v>
      </c>
      <c r="N46" s="3632" t="s">
        <v>1965</v>
      </c>
      <c r="O46" s="2058">
        <v>1</v>
      </c>
      <c r="P46" s="2057" t="s">
        <v>1966</v>
      </c>
      <c r="Q46" s="2055" t="s">
        <v>1967</v>
      </c>
      <c r="R46" s="3540">
        <f>SUM(W46:W49)/S46</f>
        <v>0.27805460750853245</v>
      </c>
      <c r="S46" s="3655">
        <f>SUM(W46:W62)</f>
        <v>293000000</v>
      </c>
      <c r="T46" s="2055" t="s">
        <v>1968</v>
      </c>
      <c r="U46" s="3663" t="s">
        <v>1969</v>
      </c>
      <c r="V46" s="1532" t="s">
        <v>1970</v>
      </c>
      <c r="W46" s="1440">
        <v>40000000</v>
      </c>
      <c r="X46" s="1525" t="s">
        <v>1971</v>
      </c>
      <c r="Y46" s="1533">
        <v>61</v>
      </c>
      <c r="Z46" s="1397" t="s">
        <v>1905</v>
      </c>
      <c r="AA46" s="2123">
        <v>289394</v>
      </c>
      <c r="AB46" s="2123">
        <v>279112</v>
      </c>
      <c r="AC46" s="3669">
        <v>63164</v>
      </c>
      <c r="AD46" s="2123">
        <v>45607</v>
      </c>
      <c r="AE46" s="2123">
        <v>365607</v>
      </c>
      <c r="AF46" s="2123">
        <v>75612</v>
      </c>
      <c r="AG46" s="2123">
        <v>2145</v>
      </c>
      <c r="AH46" s="2123">
        <v>12718</v>
      </c>
      <c r="AI46" s="2123">
        <v>26</v>
      </c>
      <c r="AJ46" s="2123">
        <v>37</v>
      </c>
      <c r="AK46" s="2123">
        <v>0</v>
      </c>
      <c r="AL46" s="2123">
        <v>0</v>
      </c>
      <c r="AM46" s="2123">
        <v>78</v>
      </c>
      <c r="AN46" s="2123">
        <v>16897</v>
      </c>
      <c r="AO46" s="2123">
        <v>852</v>
      </c>
      <c r="AP46" s="2123">
        <v>568506</v>
      </c>
      <c r="AQ46" s="2132">
        <v>44197</v>
      </c>
      <c r="AR46" s="2132">
        <v>44561</v>
      </c>
      <c r="AS46" s="2123" t="s">
        <v>1906</v>
      </c>
    </row>
    <row r="47" spans="1:45" ht="49.5" customHeight="1" x14ac:dyDescent="0.25">
      <c r="A47" s="3678"/>
      <c r="B47" s="3679"/>
      <c r="C47" s="407"/>
      <c r="D47" s="408"/>
      <c r="E47" s="514"/>
      <c r="F47" s="514"/>
      <c r="G47" s="2072"/>
      <c r="H47" s="2709"/>
      <c r="I47" s="2072"/>
      <c r="J47" s="2709"/>
      <c r="K47" s="3624"/>
      <c r="L47" s="3635"/>
      <c r="M47" s="3624"/>
      <c r="N47" s="3635"/>
      <c r="O47" s="2169"/>
      <c r="P47" s="2057"/>
      <c r="Q47" s="2055"/>
      <c r="R47" s="3540"/>
      <c r="S47" s="3655"/>
      <c r="T47" s="2055"/>
      <c r="U47" s="3663"/>
      <c r="V47" s="1532" t="s">
        <v>1972</v>
      </c>
      <c r="W47" s="1440">
        <v>20000000</v>
      </c>
      <c r="X47" s="1525" t="s">
        <v>1971</v>
      </c>
      <c r="Y47" s="1533">
        <v>61</v>
      </c>
      <c r="Z47" s="1397" t="s">
        <v>1905</v>
      </c>
      <c r="AA47" s="2124"/>
      <c r="AB47" s="2124"/>
      <c r="AC47" s="3670"/>
      <c r="AD47" s="2124"/>
      <c r="AE47" s="2124"/>
      <c r="AF47" s="2124"/>
      <c r="AG47" s="2124"/>
      <c r="AH47" s="2124"/>
      <c r="AI47" s="2124"/>
      <c r="AJ47" s="2124"/>
      <c r="AK47" s="2124"/>
      <c r="AL47" s="2124"/>
      <c r="AM47" s="2124"/>
      <c r="AN47" s="2124"/>
      <c r="AO47" s="2124"/>
      <c r="AP47" s="2124"/>
      <c r="AQ47" s="3574"/>
      <c r="AR47" s="3574"/>
      <c r="AS47" s="2124"/>
    </row>
    <row r="48" spans="1:45" ht="49.5" customHeight="1" x14ac:dyDescent="0.25">
      <c r="A48" s="3678"/>
      <c r="B48" s="3679"/>
      <c r="C48" s="407"/>
      <c r="D48" s="408"/>
      <c r="E48" s="514"/>
      <c r="F48" s="514"/>
      <c r="G48" s="2072"/>
      <c r="H48" s="2709"/>
      <c r="I48" s="2072"/>
      <c r="J48" s="2709"/>
      <c r="K48" s="3624"/>
      <c r="L48" s="3635"/>
      <c r="M48" s="3624"/>
      <c r="N48" s="3635"/>
      <c r="O48" s="2169"/>
      <c r="P48" s="2057"/>
      <c r="Q48" s="2055"/>
      <c r="R48" s="3540"/>
      <c r="S48" s="3655"/>
      <c r="T48" s="2055"/>
      <c r="U48" s="3663"/>
      <c r="V48" s="1532" t="s">
        <v>1973</v>
      </c>
      <c r="W48" s="1440">
        <v>10000000</v>
      </c>
      <c r="X48" s="1525" t="s">
        <v>1971</v>
      </c>
      <c r="Y48" s="1533">
        <v>61</v>
      </c>
      <c r="Z48" s="1397" t="s">
        <v>1905</v>
      </c>
      <c r="AA48" s="2124"/>
      <c r="AB48" s="2124"/>
      <c r="AC48" s="3670"/>
      <c r="AD48" s="2124"/>
      <c r="AE48" s="2124"/>
      <c r="AF48" s="2124"/>
      <c r="AG48" s="2124"/>
      <c r="AH48" s="2124"/>
      <c r="AI48" s="2124"/>
      <c r="AJ48" s="2124"/>
      <c r="AK48" s="2124"/>
      <c r="AL48" s="2124"/>
      <c r="AM48" s="2124"/>
      <c r="AN48" s="2124"/>
      <c r="AO48" s="2124"/>
      <c r="AP48" s="2124"/>
      <c r="AQ48" s="3574"/>
      <c r="AR48" s="3574"/>
      <c r="AS48" s="2124"/>
    </row>
    <row r="49" spans="1:45" ht="49.5" customHeight="1" x14ac:dyDescent="0.25">
      <c r="A49" s="3678"/>
      <c r="B49" s="3679"/>
      <c r="C49" s="407"/>
      <c r="D49" s="408"/>
      <c r="E49" s="514"/>
      <c r="F49" s="514"/>
      <c r="G49" s="2072"/>
      <c r="H49" s="2709"/>
      <c r="I49" s="2072"/>
      <c r="J49" s="2709"/>
      <c r="K49" s="3624"/>
      <c r="L49" s="3635"/>
      <c r="M49" s="3624"/>
      <c r="N49" s="3635"/>
      <c r="O49" s="2170"/>
      <c r="P49" s="2057"/>
      <c r="Q49" s="2055"/>
      <c r="R49" s="3540"/>
      <c r="S49" s="3655"/>
      <c r="T49" s="2055"/>
      <c r="U49" s="3663"/>
      <c r="V49" s="1532" t="s">
        <v>1974</v>
      </c>
      <c r="W49" s="1440">
        <v>11470000</v>
      </c>
      <c r="X49" s="1525" t="s">
        <v>1971</v>
      </c>
      <c r="Y49" s="1533">
        <v>61</v>
      </c>
      <c r="Z49" s="1397" t="s">
        <v>1905</v>
      </c>
      <c r="AA49" s="2124"/>
      <c r="AB49" s="2124"/>
      <c r="AC49" s="3670"/>
      <c r="AD49" s="2124"/>
      <c r="AE49" s="2124"/>
      <c r="AF49" s="2124"/>
      <c r="AG49" s="2124"/>
      <c r="AH49" s="2124"/>
      <c r="AI49" s="2124"/>
      <c r="AJ49" s="2124"/>
      <c r="AK49" s="2124"/>
      <c r="AL49" s="2124"/>
      <c r="AM49" s="2124"/>
      <c r="AN49" s="2124"/>
      <c r="AO49" s="2124"/>
      <c r="AP49" s="2124"/>
      <c r="AQ49" s="3574"/>
      <c r="AR49" s="3574"/>
      <c r="AS49" s="2124"/>
    </row>
    <row r="50" spans="1:45" ht="60.75" customHeight="1" x14ac:dyDescent="0.25">
      <c r="A50" s="3678"/>
      <c r="B50" s="3679"/>
      <c r="C50" s="407"/>
      <c r="D50" s="408"/>
      <c r="E50" s="514"/>
      <c r="F50" s="514"/>
      <c r="G50" s="2054">
        <v>1903015</v>
      </c>
      <c r="H50" s="2119" t="s">
        <v>1975</v>
      </c>
      <c r="I50" s="2054">
        <v>1903015</v>
      </c>
      <c r="J50" s="2119" t="s">
        <v>1975</v>
      </c>
      <c r="K50" s="3337">
        <v>190301500</v>
      </c>
      <c r="L50" s="2119" t="s">
        <v>1976</v>
      </c>
      <c r="M50" s="3337">
        <v>190301500</v>
      </c>
      <c r="N50" s="2119" t="s">
        <v>1976</v>
      </c>
      <c r="O50" s="2057">
        <v>12</v>
      </c>
      <c r="P50" s="2057"/>
      <c r="Q50" s="2055"/>
      <c r="R50" s="3540">
        <f>SUM(W50:W62)/S46</f>
        <v>0.72194539249146761</v>
      </c>
      <c r="S50" s="3655"/>
      <c r="T50" s="2055"/>
      <c r="U50" s="2342" t="s">
        <v>1977</v>
      </c>
      <c r="V50" s="1416" t="s">
        <v>1978</v>
      </c>
      <c r="W50" s="1440">
        <v>15000000</v>
      </c>
      <c r="X50" s="1525" t="s">
        <v>1979</v>
      </c>
      <c r="Y50" s="1533">
        <v>61</v>
      </c>
      <c r="Z50" s="1397" t="s">
        <v>1905</v>
      </c>
      <c r="AA50" s="2124"/>
      <c r="AB50" s="2124"/>
      <c r="AC50" s="3670"/>
      <c r="AD50" s="2124"/>
      <c r="AE50" s="2124"/>
      <c r="AF50" s="2124"/>
      <c r="AG50" s="2124"/>
      <c r="AH50" s="2124"/>
      <c r="AI50" s="2124"/>
      <c r="AJ50" s="2124"/>
      <c r="AK50" s="2124"/>
      <c r="AL50" s="2124"/>
      <c r="AM50" s="2124"/>
      <c r="AN50" s="2124"/>
      <c r="AO50" s="2124"/>
      <c r="AP50" s="2124"/>
      <c r="AQ50" s="3574"/>
      <c r="AR50" s="3574"/>
      <c r="AS50" s="2124"/>
    </row>
    <row r="51" spans="1:45" ht="60.75" customHeight="1" x14ac:dyDescent="0.25">
      <c r="A51" s="3678"/>
      <c r="B51" s="3679"/>
      <c r="C51" s="407"/>
      <c r="D51" s="408"/>
      <c r="E51" s="514"/>
      <c r="F51" s="514"/>
      <c r="G51" s="2054"/>
      <c r="H51" s="2119"/>
      <c r="I51" s="2054"/>
      <c r="J51" s="2119"/>
      <c r="K51" s="3337"/>
      <c r="L51" s="2119"/>
      <c r="M51" s="3337"/>
      <c r="N51" s="2119"/>
      <c r="O51" s="2057"/>
      <c r="P51" s="2057"/>
      <c r="Q51" s="2055"/>
      <c r="R51" s="3540"/>
      <c r="S51" s="3655"/>
      <c r="T51" s="2055"/>
      <c r="U51" s="2988"/>
      <c r="V51" s="1416" t="s">
        <v>1980</v>
      </c>
      <c r="W51" s="1440">
        <v>15000000</v>
      </c>
      <c r="X51" s="1525" t="s">
        <v>1979</v>
      </c>
      <c r="Y51" s="1533">
        <v>61</v>
      </c>
      <c r="Z51" s="1397" t="s">
        <v>1905</v>
      </c>
      <c r="AA51" s="2124"/>
      <c r="AB51" s="2124"/>
      <c r="AC51" s="3670"/>
      <c r="AD51" s="2124"/>
      <c r="AE51" s="2124"/>
      <c r="AF51" s="2124"/>
      <c r="AG51" s="2124"/>
      <c r="AH51" s="2124"/>
      <c r="AI51" s="2124"/>
      <c r="AJ51" s="2124"/>
      <c r="AK51" s="2124"/>
      <c r="AL51" s="2124"/>
      <c r="AM51" s="2124"/>
      <c r="AN51" s="2124"/>
      <c r="AO51" s="2124"/>
      <c r="AP51" s="2124"/>
      <c r="AQ51" s="3574"/>
      <c r="AR51" s="3574"/>
      <c r="AS51" s="2124"/>
    </row>
    <row r="52" spans="1:45" ht="60.75" customHeight="1" x14ac:dyDescent="0.25">
      <c r="A52" s="3678"/>
      <c r="B52" s="3679"/>
      <c r="C52" s="407"/>
      <c r="D52" s="408"/>
      <c r="E52" s="514"/>
      <c r="F52" s="514"/>
      <c r="G52" s="2054"/>
      <c r="H52" s="2119"/>
      <c r="I52" s="2054"/>
      <c r="J52" s="2119"/>
      <c r="K52" s="3337"/>
      <c r="L52" s="2119"/>
      <c r="M52" s="3337"/>
      <c r="N52" s="2119"/>
      <c r="O52" s="2057"/>
      <c r="P52" s="2057"/>
      <c r="Q52" s="2055"/>
      <c r="R52" s="3540"/>
      <c r="S52" s="3655"/>
      <c r="T52" s="2055"/>
      <c r="U52" s="2988"/>
      <c r="V52" s="1416" t="s">
        <v>1981</v>
      </c>
      <c r="W52" s="1440">
        <v>15000000</v>
      </c>
      <c r="X52" s="1525" t="s">
        <v>1979</v>
      </c>
      <c r="Y52" s="1533">
        <v>61</v>
      </c>
      <c r="Z52" s="1397" t="s">
        <v>1905</v>
      </c>
      <c r="AA52" s="2124"/>
      <c r="AB52" s="2124"/>
      <c r="AC52" s="3670"/>
      <c r="AD52" s="2124"/>
      <c r="AE52" s="2124"/>
      <c r="AF52" s="2124"/>
      <c r="AG52" s="2124"/>
      <c r="AH52" s="2124"/>
      <c r="AI52" s="2124"/>
      <c r="AJ52" s="2124"/>
      <c r="AK52" s="2124"/>
      <c r="AL52" s="2124"/>
      <c r="AM52" s="2124"/>
      <c r="AN52" s="2124"/>
      <c r="AO52" s="2124"/>
      <c r="AP52" s="2124"/>
      <c r="AQ52" s="3574"/>
      <c r="AR52" s="3574"/>
      <c r="AS52" s="2124"/>
    </row>
    <row r="53" spans="1:45" ht="60.75" customHeight="1" x14ac:dyDescent="0.25">
      <c r="A53" s="3678"/>
      <c r="B53" s="3679"/>
      <c r="C53" s="407"/>
      <c r="D53" s="408"/>
      <c r="E53" s="514"/>
      <c r="F53" s="514"/>
      <c r="G53" s="2054"/>
      <c r="H53" s="2119"/>
      <c r="I53" s="2054"/>
      <c r="J53" s="2119"/>
      <c r="K53" s="3337"/>
      <c r="L53" s="2119"/>
      <c r="M53" s="3337"/>
      <c r="N53" s="2119"/>
      <c r="O53" s="2057"/>
      <c r="P53" s="2057"/>
      <c r="Q53" s="2055"/>
      <c r="R53" s="3540"/>
      <c r="S53" s="3655"/>
      <c r="T53" s="2055"/>
      <c r="U53" s="2988"/>
      <c r="V53" s="1416" t="s">
        <v>1982</v>
      </c>
      <c r="W53" s="1440">
        <v>15000000</v>
      </c>
      <c r="X53" s="1525" t="s">
        <v>1979</v>
      </c>
      <c r="Y53" s="1533">
        <v>61</v>
      </c>
      <c r="Z53" s="1397" t="s">
        <v>1905</v>
      </c>
      <c r="AA53" s="2124"/>
      <c r="AB53" s="2124"/>
      <c r="AC53" s="3670"/>
      <c r="AD53" s="2124"/>
      <c r="AE53" s="2124"/>
      <c r="AF53" s="2124"/>
      <c r="AG53" s="2124"/>
      <c r="AH53" s="2124"/>
      <c r="AI53" s="2124"/>
      <c r="AJ53" s="2124"/>
      <c r="AK53" s="2124"/>
      <c r="AL53" s="2124"/>
      <c r="AM53" s="2124"/>
      <c r="AN53" s="2124"/>
      <c r="AO53" s="2124"/>
      <c r="AP53" s="2124"/>
      <c r="AQ53" s="3574"/>
      <c r="AR53" s="3574"/>
      <c r="AS53" s="2124"/>
    </row>
    <row r="54" spans="1:45" ht="60.75" customHeight="1" x14ac:dyDescent="0.25">
      <c r="A54" s="3678"/>
      <c r="B54" s="3679"/>
      <c r="C54" s="407"/>
      <c r="D54" s="408"/>
      <c r="E54" s="514"/>
      <c r="F54" s="514"/>
      <c r="G54" s="2054"/>
      <c r="H54" s="2119"/>
      <c r="I54" s="2054"/>
      <c r="J54" s="2119"/>
      <c r="K54" s="3337"/>
      <c r="L54" s="2119"/>
      <c r="M54" s="3337"/>
      <c r="N54" s="2119"/>
      <c r="O54" s="2057"/>
      <c r="P54" s="2057"/>
      <c r="Q54" s="2055"/>
      <c r="R54" s="3540"/>
      <c r="S54" s="3655"/>
      <c r="T54" s="2055"/>
      <c r="U54" s="2988"/>
      <c r="V54" s="1416" t="s">
        <v>1983</v>
      </c>
      <c r="W54" s="1440">
        <v>8000000</v>
      </c>
      <c r="X54" s="1525" t="s">
        <v>1979</v>
      </c>
      <c r="Y54" s="1533">
        <v>61</v>
      </c>
      <c r="Z54" s="1397" t="s">
        <v>1905</v>
      </c>
      <c r="AA54" s="2124"/>
      <c r="AB54" s="2124"/>
      <c r="AC54" s="3670"/>
      <c r="AD54" s="2124"/>
      <c r="AE54" s="2124"/>
      <c r="AF54" s="2124"/>
      <c r="AG54" s="2124"/>
      <c r="AH54" s="2124"/>
      <c r="AI54" s="2124"/>
      <c r="AJ54" s="2124"/>
      <c r="AK54" s="2124"/>
      <c r="AL54" s="2124"/>
      <c r="AM54" s="2124"/>
      <c r="AN54" s="2124"/>
      <c r="AO54" s="2124"/>
      <c r="AP54" s="2124"/>
      <c r="AQ54" s="3574"/>
      <c r="AR54" s="3574"/>
      <c r="AS54" s="2124"/>
    </row>
    <row r="55" spans="1:45" ht="60.75" customHeight="1" x14ac:dyDescent="0.25">
      <c r="A55" s="3678"/>
      <c r="B55" s="3679"/>
      <c r="C55" s="407"/>
      <c r="D55" s="408"/>
      <c r="E55" s="514"/>
      <c r="F55" s="514"/>
      <c r="G55" s="2054"/>
      <c r="H55" s="2119"/>
      <c r="I55" s="2054"/>
      <c r="J55" s="2119"/>
      <c r="K55" s="3337"/>
      <c r="L55" s="2119"/>
      <c r="M55" s="3337"/>
      <c r="N55" s="2119"/>
      <c r="O55" s="2057"/>
      <c r="P55" s="2057"/>
      <c r="Q55" s="2055"/>
      <c r="R55" s="3540"/>
      <c r="S55" s="3655"/>
      <c r="T55" s="2055"/>
      <c r="U55" s="2988"/>
      <c r="V55" s="1416" t="s">
        <v>1984</v>
      </c>
      <c r="W55" s="1440">
        <v>40000000</v>
      </c>
      <c r="X55" s="1525" t="s">
        <v>1979</v>
      </c>
      <c r="Y55" s="1533">
        <v>61</v>
      </c>
      <c r="Z55" s="1397" t="s">
        <v>1905</v>
      </c>
      <c r="AA55" s="2124"/>
      <c r="AB55" s="2124"/>
      <c r="AC55" s="3670"/>
      <c r="AD55" s="2124"/>
      <c r="AE55" s="2124"/>
      <c r="AF55" s="2124"/>
      <c r="AG55" s="2124"/>
      <c r="AH55" s="2124"/>
      <c r="AI55" s="2124"/>
      <c r="AJ55" s="2124"/>
      <c r="AK55" s="2124"/>
      <c r="AL55" s="2124"/>
      <c r="AM55" s="2124"/>
      <c r="AN55" s="2124"/>
      <c r="AO55" s="2124"/>
      <c r="AP55" s="2124"/>
      <c r="AQ55" s="3574"/>
      <c r="AR55" s="3574"/>
      <c r="AS55" s="2124"/>
    </row>
    <row r="56" spans="1:45" ht="60.75" customHeight="1" x14ac:dyDescent="0.25">
      <c r="A56" s="3678"/>
      <c r="B56" s="3679"/>
      <c r="C56" s="407"/>
      <c r="D56" s="408"/>
      <c r="E56" s="514"/>
      <c r="F56" s="514"/>
      <c r="G56" s="2054"/>
      <c r="H56" s="2119"/>
      <c r="I56" s="2054"/>
      <c r="J56" s="2119"/>
      <c r="K56" s="3337"/>
      <c r="L56" s="2119"/>
      <c r="M56" s="3337"/>
      <c r="N56" s="2119"/>
      <c r="O56" s="2057"/>
      <c r="P56" s="2057"/>
      <c r="Q56" s="2055"/>
      <c r="R56" s="3540"/>
      <c r="S56" s="3655"/>
      <c r="T56" s="2055"/>
      <c r="U56" s="2988"/>
      <c r="V56" s="1416" t="s">
        <v>1985</v>
      </c>
      <c r="W56" s="1440">
        <v>20000000</v>
      </c>
      <c r="X56" s="1525" t="s">
        <v>1979</v>
      </c>
      <c r="Y56" s="1533">
        <v>61</v>
      </c>
      <c r="Z56" s="1397" t="s">
        <v>1905</v>
      </c>
      <c r="AA56" s="2124"/>
      <c r="AB56" s="2124"/>
      <c r="AC56" s="3670"/>
      <c r="AD56" s="2124"/>
      <c r="AE56" s="2124"/>
      <c r="AF56" s="2124"/>
      <c r="AG56" s="2124"/>
      <c r="AH56" s="2124"/>
      <c r="AI56" s="2124"/>
      <c r="AJ56" s="2124"/>
      <c r="AK56" s="2124"/>
      <c r="AL56" s="2124"/>
      <c r="AM56" s="2124"/>
      <c r="AN56" s="2124"/>
      <c r="AO56" s="2124"/>
      <c r="AP56" s="2124"/>
      <c r="AQ56" s="3574"/>
      <c r="AR56" s="3574"/>
      <c r="AS56" s="2124"/>
    </row>
    <row r="57" spans="1:45" ht="82.5" customHeight="1" x14ac:dyDescent="0.25">
      <c r="A57" s="3678"/>
      <c r="B57" s="3679"/>
      <c r="C57" s="407"/>
      <c r="D57" s="408"/>
      <c r="E57" s="514"/>
      <c r="F57" s="514"/>
      <c r="G57" s="2054"/>
      <c r="H57" s="2119"/>
      <c r="I57" s="2054"/>
      <c r="J57" s="2119"/>
      <c r="K57" s="3337"/>
      <c r="L57" s="2119"/>
      <c r="M57" s="3337"/>
      <c r="N57" s="2119"/>
      <c r="O57" s="2057"/>
      <c r="P57" s="2057"/>
      <c r="Q57" s="2055"/>
      <c r="R57" s="3540"/>
      <c r="S57" s="3655"/>
      <c r="T57" s="2055"/>
      <c r="U57" s="2988"/>
      <c r="V57" s="1416" t="s">
        <v>1986</v>
      </c>
      <c r="W57" s="1440">
        <v>10000000</v>
      </c>
      <c r="X57" s="1525" t="s">
        <v>1979</v>
      </c>
      <c r="Y57" s="1533">
        <v>61</v>
      </c>
      <c r="Z57" s="1397" t="s">
        <v>1905</v>
      </c>
      <c r="AA57" s="2124"/>
      <c r="AB57" s="2124"/>
      <c r="AC57" s="3670"/>
      <c r="AD57" s="2124"/>
      <c r="AE57" s="2124"/>
      <c r="AF57" s="2124"/>
      <c r="AG57" s="2124"/>
      <c r="AH57" s="2124"/>
      <c r="AI57" s="2124"/>
      <c r="AJ57" s="2124"/>
      <c r="AK57" s="2124"/>
      <c r="AL57" s="2124"/>
      <c r="AM57" s="2124"/>
      <c r="AN57" s="2124"/>
      <c r="AO57" s="2124"/>
      <c r="AP57" s="2124"/>
      <c r="AQ57" s="3574"/>
      <c r="AR57" s="3574"/>
      <c r="AS57" s="2124"/>
    </row>
    <row r="58" spans="1:45" ht="60.75" customHeight="1" x14ac:dyDescent="0.25">
      <c r="A58" s="3678"/>
      <c r="B58" s="3679"/>
      <c r="C58" s="407"/>
      <c r="D58" s="408"/>
      <c r="E58" s="514"/>
      <c r="F58" s="514"/>
      <c r="G58" s="2054"/>
      <c r="H58" s="2119"/>
      <c r="I58" s="2054"/>
      <c r="J58" s="2119"/>
      <c r="K58" s="3337"/>
      <c r="L58" s="2119"/>
      <c r="M58" s="3337"/>
      <c r="N58" s="2119"/>
      <c r="O58" s="2057"/>
      <c r="P58" s="2057"/>
      <c r="Q58" s="2055"/>
      <c r="R58" s="3540"/>
      <c r="S58" s="3655"/>
      <c r="T58" s="2055"/>
      <c r="U58" s="2988"/>
      <c r="V58" s="1416" t="s">
        <v>1987</v>
      </c>
      <c r="W58" s="1440">
        <v>10000000</v>
      </c>
      <c r="X58" s="1525" t="s">
        <v>1979</v>
      </c>
      <c r="Y58" s="1533">
        <v>61</v>
      </c>
      <c r="Z58" s="1397" t="s">
        <v>1905</v>
      </c>
      <c r="AA58" s="2124"/>
      <c r="AB58" s="2124"/>
      <c r="AC58" s="3670"/>
      <c r="AD58" s="2124"/>
      <c r="AE58" s="2124"/>
      <c r="AF58" s="2124"/>
      <c r="AG58" s="2124"/>
      <c r="AH58" s="2124"/>
      <c r="AI58" s="2124"/>
      <c r="AJ58" s="2124"/>
      <c r="AK58" s="2124"/>
      <c r="AL58" s="2124"/>
      <c r="AM58" s="2124"/>
      <c r="AN58" s="2124"/>
      <c r="AO58" s="2124"/>
      <c r="AP58" s="2124"/>
      <c r="AQ58" s="3574"/>
      <c r="AR58" s="3574"/>
      <c r="AS58" s="2124"/>
    </row>
    <row r="59" spans="1:45" ht="60.75" customHeight="1" x14ac:dyDescent="0.25">
      <c r="A59" s="3678"/>
      <c r="B59" s="3679"/>
      <c r="C59" s="407"/>
      <c r="D59" s="408"/>
      <c r="E59" s="514"/>
      <c r="F59" s="514"/>
      <c r="G59" s="2054"/>
      <c r="H59" s="2119"/>
      <c r="I59" s="2054"/>
      <c r="J59" s="2119"/>
      <c r="K59" s="3337"/>
      <c r="L59" s="2119"/>
      <c r="M59" s="3337"/>
      <c r="N59" s="2119"/>
      <c r="O59" s="2057"/>
      <c r="P59" s="2057"/>
      <c r="Q59" s="2055"/>
      <c r="R59" s="3540"/>
      <c r="S59" s="3655"/>
      <c r="T59" s="2055"/>
      <c r="U59" s="2988"/>
      <c r="V59" s="1416" t="s">
        <v>1988</v>
      </c>
      <c r="W59" s="1440">
        <v>25000000</v>
      </c>
      <c r="X59" s="1525" t="s">
        <v>1979</v>
      </c>
      <c r="Y59" s="1533">
        <v>61</v>
      </c>
      <c r="Z59" s="1397" t="s">
        <v>1905</v>
      </c>
      <c r="AA59" s="2124"/>
      <c r="AB59" s="2124"/>
      <c r="AC59" s="3670"/>
      <c r="AD59" s="2124"/>
      <c r="AE59" s="2124"/>
      <c r="AF59" s="2124"/>
      <c r="AG59" s="2124"/>
      <c r="AH59" s="2124"/>
      <c r="AI59" s="2124"/>
      <c r="AJ59" s="2124"/>
      <c r="AK59" s="2124"/>
      <c r="AL59" s="2124"/>
      <c r="AM59" s="2124"/>
      <c r="AN59" s="2124"/>
      <c r="AO59" s="2124"/>
      <c r="AP59" s="2124"/>
      <c r="AQ59" s="3574"/>
      <c r="AR59" s="3574"/>
      <c r="AS59" s="2124"/>
    </row>
    <row r="60" spans="1:45" ht="60.75" customHeight="1" x14ac:dyDescent="0.25">
      <c r="A60" s="3678"/>
      <c r="B60" s="3679"/>
      <c r="C60" s="407"/>
      <c r="D60" s="408"/>
      <c r="E60" s="514"/>
      <c r="F60" s="514"/>
      <c r="G60" s="2054"/>
      <c r="H60" s="2119"/>
      <c r="I60" s="2054"/>
      <c r="J60" s="2119"/>
      <c r="K60" s="3337"/>
      <c r="L60" s="2119"/>
      <c r="M60" s="3337"/>
      <c r="N60" s="2119"/>
      <c r="O60" s="2057"/>
      <c r="P60" s="2057"/>
      <c r="Q60" s="2055"/>
      <c r="R60" s="3540"/>
      <c r="S60" s="3655"/>
      <c r="T60" s="2055"/>
      <c r="U60" s="2988"/>
      <c r="V60" s="1416" t="s">
        <v>1989</v>
      </c>
      <c r="W60" s="1440">
        <v>20000000</v>
      </c>
      <c r="X60" s="1525" t="s">
        <v>1979</v>
      </c>
      <c r="Y60" s="1533">
        <v>61</v>
      </c>
      <c r="Z60" s="1397" t="s">
        <v>1905</v>
      </c>
      <c r="AA60" s="2124"/>
      <c r="AB60" s="2124"/>
      <c r="AC60" s="3670"/>
      <c r="AD60" s="2124"/>
      <c r="AE60" s="2124"/>
      <c r="AF60" s="2124"/>
      <c r="AG60" s="2124"/>
      <c r="AH60" s="2124"/>
      <c r="AI60" s="2124"/>
      <c r="AJ60" s="2124"/>
      <c r="AK60" s="2124"/>
      <c r="AL60" s="2124"/>
      <c r="AM60" s="2124"/>
      <c r="AN60" s="2124"/>
      <c r="AO60" s="2124"/>
      <c r="AP60" s="2124"/>
      <c r="AQ60" s="3574"/>
      <c r="AR60" s="3574"/>
      <c r="AS60" s="2124"/>
    </row>
    <row r="61" spans="1:45" ht="60.75" customHeight="1" x14ac:dyDescent="0.25">
      <c r="A61" s="3678"/>
      <c r="B61" s="3679"/>
      <c r="C61" s="407"/>
      <c r="D61" s="408"/>
      <c r="E61" s="514"/>
      <c r="F61" s="514"/>
      <c r="G61" s="2054"/>
      <c r="H61" s="2119"/>
      <c r="I61" s="2054"/>
      <c r="J61" s="2119"/>
      <c r="K61" s="3337"/>
      <c r="L61" s="2119"/>
      <c r="M61" s="3337"/>
      <c r="N61" s="2119"/>
      <c r="O61" s="2057"/>
      <c r="P61" s="2057"/>
      <c r="Q61" s="2055"/>
      <c r="R61" s="3540"/>
      <c r="S61" s="3655"/>
      <c r="T61" s="2055"/>
      <c r="U61" s="2988"/>
      <c r="V61" s="1416" t="s">
        <v>1990</v>
      </c>
      <c r="W61" s="1440">
        <v>15000000</v>
      </c>
      <c r="X61" s="1525" t="s">
        <v>1979</v>
      </c>
      <c r="Y61" s="1533">
        <v>61</v>
      </c>
      <c r="Z61" s="1397" t="s">
        <v>1905</v>
      </c>
      <c r="AA61" s="2124"/>
      <c r="AB61" s="2124"/>
      <c r="AC61" s="3670"/>
      <c r="AD61" s="2124"/>
      <c r="AE61" s="2124"/>
      <c r="AF61" s="2124"/>
      <c r="AG61" s="2124"/>
      <c r="AH61" s="2124"/>
      <c r="AI61" s="2124"/>
      <c r="AJ61" s="2124"/>
      <c r="AK61" s="2124"/>
      <c r="AL61" s="2124"/>
      <c r="AM61" s="2124"/>
      <c r="AN61" s="2124"/>
      <c r="AO61" s="2124"/>
      <c r="AP61" s="2124"/>
      <c r="AQ61" s="3574"/>
      <c r="AR61" s="3574"/>
      <c r="AS61" s="2124"/>
    </row>
    <row r="62" spans="1:45" ht="60.75" customHeight="1" x14ac:dyDescent="0.25">
      <c r="A62" s="3678"/>
      <c r="B62" s="3679"/>
      <c r="C62" s="407"/>
      <c r="D62" s="408"/>
      <c r="E62" s="514"/>
      <c r="F62" s="514"/>
      <c r="G62" s="2148"/>
      <c r="H62" s="2141"/>
      <c r="I62" s="2148"/>
      <c r="J62" s="2141"/>
      <c r="K62" s="3508"/>
      <c r="L62" s="2141"/>
      <c r="M62" s="3508"/>
      <c r="N62" s="2141"/>
      <c r="O62" s="2058"/>
      <c r="P62" s="2058"/>
      <c r="Q62" s="2056"/>
      <c r="R62" s="2869"/>
      <c r="S62" s="3662"/>
      <c r="T62" s="2056"/>
      <c r="U62" s="2988"/>
      <c r="V62" s="1417" t="s">
        <v>1991</v>
      </c>
      <c r="W62" s="1534">
        <v>3530000</v>
      </c>
      <c r="X62" s="1525" t="s">
        <v>1979</v>
      </c>
      <c r="Y62" s="1535">
        <v>61</v>
      </c>
      <c r="Z62" s="1398" t="s">
        <v>1905</v>
      </c>
      <c r="AA62" s="2125"/>
      <c r="AB62" s="2124"/>
      <c r="AC62" s="3670"/>
      <c r="AD62" s="2124"/>
      <c r="AE62" s="2124"/>
      <c r="AF62" s="2124"/>
      <c r="AG62" s="2124"/>
      <c r="AH62" s="2124"/>
      <c r="AI62" s="2124"/>
      <c r="AJ62" s="2124"/>
      <c r="AK62" s="2124"/>
      <c r="AL62" s="2124"/>
      <c r="AM62" s="2124"/>
      <c r="AN62" s="2124"/>
      <c r="AO62" s="2124"/>
      <c r="AP62" s="2124"/>
      <c r="AQ62" s="3574"/>
      <c r="AR62" s="3574"/>
      <c r="AS62" s="2124"/>
    </row>
    <row r="63" spans="1:45" ht="42.75" customHeight="1" x14ac:dyDescent="0.25">
      <c r="A63" s="3678"/>
      <c r="B63" s="3679"/>
      <c r="C63" s="407"/>
      <c r="D63" s="408"/>
      <c r="E63" s="514"/>
      <c r="F63" s="514"/>
      <c r="G63" s="2094">
        <v>1903012</v>
      </c>
      <c r="H63" s="3159" t="s">
        <v>1992</v>
      </c>
      <c r="I63" s="2094">
        <v>1903012</v>
      </c>
      <c r="J63" s="3159" t="s">
        <v>1992</v>
      </c>
      <c r="K63" s="3529">
        <v>190301200</v>
      </c>
      <c r="L63" s="3159" t="s">
        <v>1993</v>
      </c>
      <c r="M63" s="3529">
        <v>190301200</v>
      </c>
      <c r="N63" s="3159" t="s">
        <v>1993</v>
      </c>
      <c r="O63" s="2335">
        <v>4000</v>
      </c>
      <c r="P63" s="3671" t="s">
        <v>1994</v>
      </c>
      <c r="Q63" s="3582" t="s">
        <v>1995</v>
      </c>
      <c r="R63" s="3540">
        <f>SUM(W63:W74)/S63</f>
        <v>0.76911669484986112</v>
      </c>
      <c r="S63" s="3666">
        <f>SUM(W63:W79)</f>
        <v>947714309</v>
      </c>
      <c r="T63" s="2055" t="s">
        <v>1996</v>
      </c>
      <c r="U63" s="2342" t="s">
        <v>1997</v>
      </c>
      <c r="V63" s="2056" t="s">
        <v>1998</v>
      </c>
      <c r="W63" s="1448">
        <f>264488588+54700000-319188588</f>
        <v>0</v>
      </c>
      <c r="X63" s="1525" t="s">
        <v>1999</v>
      </c>
      <c r="Y63" s="1535">
        <v>61</v>
      </c>
      <c r="Z63" s="1398" t="s">
        <v>1905</v>
      </c>
      <c r="AA63" s="2148">
        <v>289394</v>
      </c>
      <c r="AB63" s="2148">
        <v>279112</v>
      </c>
      <c r="AC63" s="3508">
        <v>63164</v>
      </c>
      <c r="AD63" s="2148">
        <v>45607</v>
      </c>
      <c r="AE63" s="2148">
        <v>365607</v>
      </c>
      <c r="AF63" s="2148">
        <v>75612</v>
      </c>
      <c r="AG63" s="2148">
        <v>2145</v>
      </c>
      <c r="AH63" s="2148">
        <v>12718</v>
      </c>
      <c r="AI63" s="2148">
        <v>26</v>
      </c>
      <c r="AJ63" s="2148">
        <v>37</v>
      </c>
      <c r="AK63" s="2148">
        <v>0</v>
      </c>
      <c r="AL63" s="2148">
        <v>0</v>
      </c>
      <c r="AM63" s="2148">
        <v>78</v>
      </c>
      <c r="AN63" s="2148">
        <v>16897</v>
      </c>
      <c r="AO63" s="2148">
        <v>852</v>
      </c>
      <c r="AP63" s="2148">
        <v>568506</v>
      </c>
      <c r="AQ63" s="3505">
        <v>44197</v>
      </c>
      <c r="AR63" s="3505">
        <v>44561</v>
      </c>
      <c r="AS63" s="2148" t="s">
        <v>1906</v>
      </c>
    </row>
    <row r="64" spans="1:45" ht="42.75" customHeight="1" x14ac:dyDescent="0.25">
      <c r="A64" s="3678"/>
      <c r="B64" s="3679"/>
      <c r="C64" s="407"/>
      <c r="D64" s="408"/>
      <c r="E64" s="514"/>
      <c r="F64" s="514"/>
      <c r="G64" s="2072"/>
      <c r="H64" s="2709"/>
      <c r="I64" s="2072"/>
      <c r="J64" s="2709"/>
      <c r="K64" s="3511"/>
      <c r="L64" s="2709"/>
      <c r="M64" s="3511"/>
      <c r="N64" s="2709"/>
      <c r="O64" s="2337"/>
      <c r="P64" s="3672"/>
      <c r="Q64" s="3582"/>
      <c r="R64" s="3540"/>
      <c r="S64" s="3667"/>
      <c r="T64" s="2055"/>
      <c r="U64" s="2988"/>
      <c r="V64" s="2966"/>
      <c r="W64" s="1448">
        <v>319188588</v>
      </c>
      <c r="X64" s="1525" t="s">
        <v>2000</v>
      </c>
      <c r="Y64" s="1535">
        <v>61</v>
      </c>
      <c r="Z64" s="1398" t="s">
        <v>1905</v>
      </c>
      <c r="AA64" s="2111"/>
      <c r="AB64" s="2111"/>
      <c r="AC64" s="3509"/>
      <c r="AD64" s="2111"/>
      <c r="AE64" s="2111"/>
      <c r="AF64" s="2111"/>
      <c r="AG64" s="2111"/>
      <c r="AH64" s="2111"/>
      <c r="AI64" s="2111"/>
      <c r="AJ64" s="2111"/>
      <c r="AK64" s="2111"/>
      <c r="AL64" s="2111"/>
      <c r="AM64" s="2111"/>
      <c r="AN64" s="2111"/>
      <c r="AO64" s="2111"/>
      <c r="AP64" s="2111"/>
      <c r="AQ64" s="3545"/>
      <c r="AR64" s="3545"/>
      <c r="AS64" s="2111"/>
    </row>
    <row r="65" spans="1:45" ht="15.75" x14ac:dyDescent="0.25">
      <c r="A65" s="3678"/>
      <c r="B65" s="3679"/>
      <c r="C65" s="407"/>
      <c r="D65" s="408"/>
      <c r="E65" s="514"/>
      <c r="F65" s="514"/>
      <c r="G65" s="2072"/>
      <c r="H65" s="2709" t="s">
        <v>1992</v>
      </c>
      <c r="I65" s="2072"/>
      <c r="J65" s="2709" t="s">
        <v>1992</v>
      </c>
      <c r="K65" s="3511">
        <v>190301200</v>
      </c>
      <c r="L65" s="2709" t="s">
        <v>1993</v>
      </c>
      <c r="M65" s="3511">
        <v>190301200</v>
      </c>
      <c r="N65" s="2709" t="s">
        <v>1993</v>
      </c>
      <c r="O65" s="2337"/>
      <c r="P65" s="3673"/>
      <c r="Q65" s="3582"/>
      <c r="R65" s="3540"/>
      <c r="S65" s="3667"/>
      <c r="T65" s="2055"/>
      <c r="U65" s="2988"/>
      <c r="V65" s="2181" t="s">
        <v>2001</v>
      </c>
      <c r="W65" s="800">
        <f>30811412-30811412</f>
        <v>0</v>
      </c>
      <c r="X65" s="1525" t="s">
        <v>1999</v>
      </c>
      <c r="Y65" s="1535">
        <v>61</v>
      </c>
      <c r="Z65" s="1398" t="s">
        <v>1905</v>
      </c>
      <c r="AA65" s="2111"/>
      <c r="AB65" s="2111"/>
      <c r="AC65" s="3509"/>
      <c r="AD65" s="2111"/>
      <c r="AE65" s="2111"/>
      <c r="AF65" s="2111"/>
      <c r="AG65" s="2111"/>
      <c r="AH65" s="2111"/>
      <c r="AI65" s="2111"/>
      <c r="AJ65" s="2111"/>
      <c r="AK65" s="2111"/>
      <c r="AL65" s="2111"/>
      <c r="AM65" s="2111"/>
      <c r="AN65" s="2111"/>
      <c r="AO65" s="2111"/>
      <c r="AP65" s="2111"/>
      <c r="AQ65" s="3545"/>
      <c r="AR65" s="3545"/>
      <c r="AS65" s="2111"/>
    </row>
    <row r="66" spans="1:45" ht="23.25" customHeight="1" x14ac:dyDescent="0.25">
      <c r="A66" s="3678"/>
      <c r="B66" s="3679"/>
      <c r="C66" s="407"/>
      <c r="D66" s="408"/>
      <c r="E66" s="514"/>
      <c r="F66" s="514"/>
      <c r="G66" s="2072"/>
      <c r="H66" s="2709"/>
      <c r="I66" s="2072"/>
      <c r="J66" s="2709"/>
      <c r="K66" s="3511"/>
      <c r="L66" s="2709"/>
      <c r="M66" s="3511"/>
      <c r="N66" s="2709"/>
      <c r="O66" s="2337"/>
      <c r="P66" s="3673"/>
      <c r="Q66" s="3582"/>
      <c r="R66" s="3540"/>
      <c r="S66" s="3667"/>
      <c r="T66" s="2055"/>
      <c r="U66" s="2988"/>
      <c r="V66" s="3220"/>
      <c r="W66" s="800">
        <v>7490065</v>
      </c>
      <c r="X66" s="1525" t="s">
        <v>2002</v>
      </c>
      <c r="Y66" s="1535">
        <v>61</v>
      </c>
      <c r="Z66" s="1398" t="s">
        <v>1905</v>
      </c>
      <c r="AA66" s="2111"/>
      <c r="AB66" s="2111"/>
      <c r="AC66" s="3509"/>
      <c r="AD66" s="2111"/>
      <c r="AE66" s="2111"/>
      <c r="AF66" s="2111"/>
      <c r="AG66" s="2111"/>
      <c r="AH66" s="2111"/>
      <c r="AI66" s="2111"/>
      <c r="AJ66" s="2111"/>
      <c r="AK66" s="2111"/>
      <c r="AL66" s="2111"/>
      <c r="AM66" s="2111"/>
      <c r="AN66" s="2111"/>
      <c r="AO66" s="2111"/>
      <c r="AP66" s="2111"/>
      <c r="AQ66" s="3545"/>
      <c r="AR66" s="3545"/>
      <c r="AS66" s="2111"/>
    </row>
    <row r="67" spans="1:45" ht="33" customHeight="1" x14ac:dyDescent="0.25">
      <c r="A67" s="3678"/>
      <c r="B67" s="3679"/>
      <c r="C67" s="407"/>
      <c r="D67" s="408"/>
      <c r="E67" s="514"/>
      <c r="F67" s="514"/>
      <c r="G67" s="2072"/>
      <c r="H67" s="2709"/>
      <c r="I67" s="2072"/>
      <c r="J67" s="2709"/>
      <c r="K67" s="3511"/>
      <c r="L67" s="2709"/>
      <c r="M67" s="3511"/>
      <c r="N67" s="2709"/>
      <c r="O67" s="2337"/>
      <c r="P67" s="3673"/>
      <c r="Q67" s="3582"/>
      <c r="R67" s="3540"/>
      <c r="S67" s="3667"/>
      <c r="T67" s="2055"/>
      <c r="U67" s="2988"/>
      <c r="V67" s="3220"/>
      <c r="W67" s="800">
        <v>33078292</v>
      </c>
      <c r="X67" s="1525" t="s">
        <v>2003</v>
      </c>
      <c r="Y67" s="1535">
        <v>184</v>
      </c>
      <c r="Z67" s="1398" t="s">
        <v>2004</v>
      </c>
      <c r="AA67" s="2111"/>
      <c r="AB67" s="2111"/>
      <c r="AC67" s="3509"/>
      <c r="AD67" s="2111"/>
      <c r="AE67" s="2111"/>
      <c r="AF67" s="2111"/>
      <c r="AG67" s="2111"/>
      <c r="AH67" s="2111"/>
      <c r="AI67" s="2111"/>
      <c r="AJ67" s="2111"/>
      <c r="AK67" s="2111"/>
      <c r="AL67" s="2111"/>
      <c r="AM67" s="2111"/>
      <c r="AN67" s="2111"/>
      <c r="AO67" s="2111"/>
      <c r="AP67" s="2111"/>
      <c r="AQ67" s="3545"/>
      <c r="AR67" s="3545"/>
      <c r="AS67" s="2111"/>
    </row>
    <row r="68" spans="1:45" ht="38.25" customHeight="1" x14ac:dyDescent="0.25">
      <c r="A68" s="3678"/>
      <c r="B68" s="3679"/>
      <c r="C68" s="407"/>
      <c r="D68" s="408"/>
      <c r="E68" s="514"/>
      <c r="F68" s="514"/>
      <c r="G68" s="2072"/>
      <c r="H68" s="2709"/>
      <c r="I68" s="2072"/>
      <c r="J68" s="2709"/>
      <c r="K68" s="3511"/>
      <c r="L68" s="2709"/>
      <c r="M68" s="3511"/>
      <c r="N68" s="2709"/>
      <c r="O68" s="2337"/>
      <c r="P68" s="3673"/>
      <c r="Q68" s="3582"/>
      <c r="R68" s="3540"/>
      <c r="S68" s="3667"/>
      <c r="T68" s="2055"/>
      <c r="U68" s="2988"/>
      <c r="V68" s="3221"/>
      <c r="W68" s="1448">
        <v>90734569</v>
      </c>
      <c r="X68" s="1525" t="s">
        <v>2005</v>
      </c>
      <c r="Y68" s="1535">
        <v>88</v>
      </c>
      <c r="Z68" s="1398" t="s">
        <v>155</v>
      </c>
      <c r="AA68" s="2111"/>
      <c r="AB68" s="2111"/>
      <c r="AC68" s="3509"/>
      <c r="AD68" s="2111"/>
      <c r="AE68" s="2111"/>
      <c r="AF68" s="2111"/>
      <c r="AG68" s="2111"/>
      <c r="AH68" s="2111"/>
      <c r="AI68" s="2111"/>
      <c r="AJ68" s="2111"/>
      <c r="AK68" s="2111"/>
      <c r="AL68" s="2111"/>
      <c r="AM68" s="2111"/>
      <c r="AN68" s="2111"/>
      <c r="AO68" s="2111"/>
      <c r="AP68" s="2111"/>
      <c r="AQ68" s="3545"/>
      <c r="AR68" s="3545"/>
      <c r="AS68" s="2111"/>
    </row>
    <row r="69" spans="1:45" ht="39" customHeight="1" x14ac:dyDescent="0.25">
      <c r="A69" s="3678"/>
      <c r="B69" s="3679"/>
      <c r="C69" s="407"/>
      <c r="D69" s="408"/>
      <c r="E69" s="514"/>
      <c r="F69" s="514"/>
      <c r="G69" s="2072"/>
      <c r="H69" s="2709" t="s">
        <v>1992</v>
      </c>
      <c r="I69" s="2072"/>
      <c r="J69" s="2709" t="s">
        <v>1992</v>
      </c>
      <c r="K69" s="3511">
        <v>190301200</v>
      </c>
      <c r="L69" s="2709" t="s">
        <v>1993</v>
      </c>
      <c r="M69" s="3511">
        <v>190301200</v>
      </c>
      <c r="N69" s="2709" t="s">
        <v>1993</v>
      </c>
      <c r="O69" s="2337"/>
      <c r="P69" s="3673"/>
      <c r="Q69" s="3582"/>
      <c r="R69" s="3540"/>
      <c r="S69" s="3667"/>
      <c r="T69" s="2055"/>
      <c r="U69" s="2988"/>
      <c r="V69" s="2181" t="s">
        <v>2006</v>
      </c>
      <c r="W69" s="1536">
        <f>57498731+40000000</f>
        <v>97498731</v>
      </c>
      <c r="X69" s="1525" t="s">
        <v>2007</v>
      </c>
      <c r="Y69" s="1535">
        <v>61</v>
      </c>
      <c r="Z69" s="1398" t="s">
        <v>1905</v>
      </c>
      <c r="AA69" s="2111"/>
      <c r="AB69" s="2111"/>
      <c r="AC69" s="3509"/>
      <c r="AD69" s="2111"/>
      <c r="AE69" s="2111"/>
      <c r="AF69" s="2111"/>
      <c r="AG69" s="2111"/>
      <c r="AH69" s="2111"/>
      <c r="AI69" s="2111"/>
      <c r="AJ69" s="2111"/>
      <c r="AK69" s="2111"/>
      <c r="AL69" s="2111"/>
      <c r="AM69" s="2111"/>
      <c r="AN69" s="2111"/>
      <c r="AO69" s="2111"/>
      <c r="AP69" s="2111"/>
      <c r="AQ69" s="3545"/>
      <c r="AR69" s="3545"/>
      <c r="AS69" s="2111"/>
    </row>
    <row r="70" spans="1:45" ht="24.75" customHeight="1" x14ac:dyDescent="0.25">
      <c r="A70" s="3678"/>
      <c r="B70" s="3679"/>
      <c r="C70" s="407"/>
      <c r="D70" s="408"/>
      <c r="E70" s="514"/>
      <c r="F70" s="514"/>
      <c r="G70" s="2072"/>
      <c r="H70" s="2709"/>
      <c r="I70" s="2072"/>
      <c r="J70" s="2709"/>
      <c r="K70" s="3511"/>
      <c r="L70" s="2709"/>
      <c r="M70" s="3511"/>
      <c r="N70" s="2709"/>
      <c r="O70" s="2337"/>
      <c r="P70" s="3673"/>
      <c r="Q70" s="3582"/>
      <c r="R70" s="3540"/>
      <c r="S70" s="3667"/>
      <c r="T70" s="2055"/>
      <c r="U70" s="2988"/>
      <c r="V70" s="3220"/>
      <c r="W70" s="1536">
        <f>40000000-40000000</f>
        <v>0</v>
      </c>
      <c r="X70" s="1525" t="s">
        <v>2000</v>
      </c>
      <c r="Y70" s="1535">
        <v>61</v>
      </c>
      <c r="Z70" s="1398" t="s">
        <v>1905</v>
      </c>
      <c r="AA70" s="2111"/>
      <c r="AB70" s="2111"/>
      <c r="AC70" s="3509"/>
      <c r="AD70" s="2111"/>
      <c r="AE70" s="2111"/>
      <c r="AF70" s="2111"/>
      <c r="AG70" s="2111"/>
      <c r="AH70" s="2111"/>
      <c r="AI70" s="2111"/>
      <c r="AJ70" s="2111"/>
      <c r="AK70" s="2111"/>
      <c r="AL70" s="2111"/>
      <c r="AM70" s="2111"/>
      <c r="AN70" s="2111"/>
      <c r="AO70" s="2111"/>
      <c r="AP70" s="2111"/>
      <c r="AQ70" s="3545"/>
      <c r="AR70" s="3545"/>
      <c r="AS70" s="2111"/>
    </row>
    <row r="71" spans="1:45" ht="27" customHeight="1" x14ac:dyDescent="0.25">
      <c r="A71" s="3678"/>
      <c r="B71" s="3679"/>
      <c r="C71" s="407"/>
      <c r="D71" s="408"/>
      <c r="E71" s="514"/>
      <c r="F71" s="514"/>
      <c r="G71" s="2072"/>
      <c r="H71" s="2709"/>
      <c r="I71" s="2072"/>
      <c r="J71" s="2709"/>
      <c r="K71" s="3511"/>
      <c r="L71" s="2709"/>
      <c r="M71" s="3511"/>
      <c r="N71" s="2709"/>
      <c r="O71" s="2337"/>
      <c r="P71" s="3673"/>
      <c r="Q71" s="3582"/>
      <c r="R71" s="3540"/>
      <c r="S71" s="3667"/>
      <c r="T71" s="2055"/>
      <c r="U71" s="2988"/>
      <c r="V71" s="3221"/>
      <c r="W71" s="1536">
        <v>42509935</v>
      </c>
      <c r="X71" s="1525" t="s">
        <v>2002</v>
      </c>
      <c r="Y71" s="1535">
        <v>61</v>
      </c>
      <c r="Z71" s="1398" t="s">
        <v>1905</v>
      </c>
      <c r="AA71" s="2111"/>
      <c r="AB71" s="2111"/>
      <c r="AC71" s="3509"/>
      <c r="AD71" s="2111"/>
      <c r="AE71" s="2111"/>
      <c r="AF71" s="2111"/>
      <c r="AG71" s="2111"/>
      <c r="AH71" s="2111"/>
      <c r="AI71" s="2111"/>
      <c r="AJ71" s="2111"/>
      <c r="AK71" s="2111"/>
      <c r="AL71" s="2111"/>
      <c r="AM71" s="2111"/>
      <c r="AN71" s="2111"/>
      <c r="AO71" s="2111"/>
      <c r="AP71" s="2111"/>
      <c r="AQ71" s="3545"/>
      <c r="AR71" s="3545"/>
      <c r="AS71" s="2111"/>
    </row>
    <row r="72" spans="1:45" ht="50.25" customHeight="1" x14ac:dyDescent="0.25">
      <c r="A72" s="3678"/>
      <c r="B72" s="3679"/>
      <c r="C72" s="407"/>
      <c r="D72" s="408"/>
      <c r="E72" s="514"/>
      <c r="F72" s="514"/>
      <c r="G72" s="2072"/>
      <c r="H72" s="2709" t="s">
        <v>1992</v>
      </c>
      <c r="I72" s="2072"/>
      <c r="J72" s="2709" t="s">
        <v>1992</v>
      </c>
      <c r="K72" s="3511">
        <v>190301200</v>
      </c>
      <c r="L72" s="2709" t="s">
        <v>1993</v>
      </c>
      <c r="M72" s="3511">
        <v>190301200</v>
      </c>
      <c r="N72" s="2709" t="s">
        <v>1993</v>
      </c>
      <c r="O72" s="2337"/>
      <c r="P72" s="3673"/>
      <c r="Q72" s="3582"/>
      <c r="R72" s="3540"/>
      <c r="S72" s="3667"/>
      <c r="T72" s="2055"/>
      <c r="U72" s="2988"/>
      <c r="V72" s="1417" t="s">
        <v>2008</v>
      </c>
      <c r="W72" s="1536">
        <f>136102667-30000000</f>
        <v>106102667</v>
      </c>
      <c r="X72" s="1525" t="s">
        <v>2007</v>
      </c>
      <c r="Y72" s="1535">
        <v>61</v>
      </c>
      <c r="Z72" s="1398" t="s">
        <v>1905</v>
      </c>
      <c r="AA72" s="2111"/>
      <c r="AB72" s="2111"/>
      <c r="AC72" s="3509"/>
      <c r="AD72" s="2111"/>
      <c r="AE72" s="2111"/>
      <c r="AF72" s="2111"/>
      <c r="AG72" s="2111"/>
      <c r="AH72" s="2111"/>
      <c r="AI72" s="2111"/>
      <c r="AJ72" s="2111"/>
      <c r="AK72" s="2111"/>
      <c r="AL72" s="2111"/>
      <c r="AM72" s="2111"/>
      <c r="AN72" s="2111"/>
      <c r="AO72" s="2111"/>
      <c r="AP72" s="2111"/>
      <c r="AQ72" s="3545"/>
      <c r="AR72" s="3545"/>
      <c r="AS72" s="2111"/>
    </row>
    <row r="73" spans="1:45" ht="50.25" customHeight="1" x14ac:dyDescent="0.25">
      <c r="A73" s="3678"/>
      <c r="B73" s="3679"/>
      <c r="C73" s="407"/>
      <c r="D73" s="408"/>
      <c r="E73" s="514"/>
      <c r="F73" s="514"/>
      <c r="G73" s="2072"/>
      <c r="H73" s="2709" t="s">
        <v>1992</v>
      </c>
      <c r="I73" s="2072"/>
      <c r="J73" s="2709" t="s">
        <v>1992</v>
      </c>
      <c r="K73" s="3511">
        <v>190301200</v>
      </c>
      <c r="L73" s="2709" t="s">
        <v>1993</v>
      </c>
      <c r="M73" s="3511">
        <v>190301200</v>
      </c>
      <c r="N73" s="2709" t="s">
        <v>1993</v>
      </c>
      <c r="O73" s="2337"/>
      <c r="P73" s="3673"/>
      <c r="Q73" s="3582"/>
      <c r="R73" s="3540"/>
      <c r="S73" s="3667"/>
      <c r="T73" s="2055"/>
      <c r="U73" s="2988"/>
      <c r="V73" s="1416" t="s">
        <v>2009</v>
      </c>
      <c r="W73" s="1536">
        <v>15500050</v>
      </c>
      <c r="X73" s="1525" t="s">
        <v>2007</v>
      </c>
      <c r="Y73" s="1535">
        <v>61</v>
      </c>
      <c r="Z73" s="1398" t="s">
        <v>1905</v>
      </c>
      <c r="AA73" s="2111"/>
      <c r="AB73" s="2111"/>
      <c r="AC73" s="3509"/>
      <c r="AD73" s="2111"/>
      <c r="AE73" s="2111"/>
      <c r="AF73" s="2111"/>
      <c r="AG73" s="2111"/>
      <c r="AH73" s="2111"/>
      <c r="AI73" s="2111"/>
      <c r="AJ73" s="2111"/>
      <c r="AK73" s="2111"/>
      <c r="AL73" s="2111"/>
      <c r="AM73" s="2111"/>
      <c r="AN73" s="2111"/>
      <c r="AO73" s="2111"/>
      <c r="AP73" s="2111"/>
      <c r="AQ73" s="3545"/>
      <c r="AR73" s="3545"/>
      <c r="AS73" s="2111"/>
    </row>
    <row r="74" spans="1:45" ht="50.25" customHeight="1" x14ac:dyDescent="0.25">
      <c r="A74" s="3678"/>
      <c r="B74" s="3679"/>
      <c r="C74" s="407"/>
      <c r="D74" s="408"/>
      <c r="E74" s="514"/>
      <c r="F74" s="514"/>
      <c r="G74" s="3668"/>
      <c r="H74" s="3327" t="s">
        <v>1992</v>
      </c>
      <c r="I74" s="3668"/>
      <c r="J74" s="3327" t="s">
        <v>1992</v>
      </c>
      <c r="K74" s="3530">
        <v>190301200</v>
      </c>
      <c r="L74" s="3327" t="s">
        <v>1993</v>
      </c>
      <c r="M74" s="3530">
        <v>190301200</v>
      </c>
      <c r="N74" s="3327" t="s">
        <v>1993</v>
      </c>
      <c r="O74" s="2339"/>
      <c r="P74" s="3673"/>
      <c r="Q74" s="3582"/>
      <c r="R74" s="3540"/>
      <c r="S74" s="3667"/>
      <c r="T74" s="2055"/>
      <c r="U74" s="2988"/>
      <c r="V74" s="1416" t="s">
        <v>2010</v>
      </c>
      <c r="W74" s="1536">
        <v>16800000</v>
      </c>
      <c r="X74" s="1525" t="s">
        <v>2007</v>
      </c>
      <c r="Y74" s="1535">
        <v>61</v>
      </c>
      <c r="Z74" s="1398" t="s">
        <v>1905</v>
      </c>
      <c r="AA74" s="2111"/>
      <c r="AB74" s="2111"/>
      <c r="AC74" s="3509"/>
      <c r="AD74" s="2111"/>
      <c r="AE74" s="2111"/>
      <c r="AF74" s="2111"/>
      <c r="AG74" s="2111"/>
      <c r="AH74" s="2111"/>
      <c r="AI74" s="2111"/>
      <c r="AJ74" s="2111"/>
      <c r="AK74" s="2111"/>
      <c r="AL74" s="2111"/>
      <c r="AM74" s="2111"/>
      <c r="AN74" s="2111"/>
      <c r="AO74" s="2111"/>
      <c r="AP74" s="2111"/>
      <c r="AQ74" s="3545"/>
      <c r="AR74" s="3545"/>
      <c r="AS74" s="2111"/>
    </row>
    <row r="75" spans="1:45" ht="50.25" customHeight="1" x14ac:dyDescent="0.25">
      <c r="A75" s="3678"/>
      <c r="B75" s="3679"/>
      <c r="C75" s="407"/>
      <c r="D75" s="408"/>
      <c r="E75" s="514"/>
      <c r="F75" s="514"/>
      <c r="G75" s="2071">
        <v>1903016</v>
      </c>
      <c r="H75" s="3273" t="s">
        <v>2011</v>
      </c>
      <c r="I75" s="2071">
        <v>1903016</v>
      </c>
      <c r="J75" s="3273" t="s">
        <v>2011</v>
      </c>
      <c r="K75" s="3510">
        <v>190301600</v>
      </c>
      <c r="L75" s="3273" t="s">
        <v>2012</v>
      </c>
      <c r="M75" s="3510">
        <v>190301600</v>
      </c>
      <c r="N75" s="3273" t="s">
        <v>2012</v>
      </c>
      <c r="O75" s="3665">
        <v>240</v>
      </c>
      <c r="P75" s="3673"/>
      <c r="Q75" s="3582"/>
      <c r="R75" s="3540">
        <f>SUM(W75:W77)/S63</f>
        <v>9.9186009019095647E-2</v>
      </c>
      <c r="S75" s="3667"/>
      <c r="T75" s="2055"/>
      <c r="U75" s="2988"/>
      <c r="V75" s="1416" t="s">
        <v>2013</v>
      </c>
      <c r="W75" s="1536">
        <v>34000000</v>
      </c>
      <c r="X75" s="1525" t="s">
        <v>2014</v>
      </c>
      <c r="Y75" s="1535">
        <v>61</v>
      </c>
      <c r="Z75" s="1398" t="s">
        <v>1905</v>
      </c>
      <c r="AA75" s="2111"/>
      <c r="AB75" s="2111"/>
      <c r="AC75" s="3509"/>
      <c r="AD75" s="2111"/>
      <c r="AE75" s="2111"/>
      <c r="AF75" s="2111"/>
      <c r="AG75" s="2111"/>
      <c r="AH75" s="2111"/>
      <c r="AI75" s="2111"/>
      <c r="AJ75" s="2111"/>
      <c r="AK75" s="2111"/>
      <c r="AL75" s="2111"/>
      <c r="AM75" s="2111"/>
      <c r="AN75" s="2111"/>
      <c r="AO75" s="2111"/>
      <c r="AP75" s="2111"/>
      <c r="AQ75" s="3545"/>
      <c r="AR75" s="3545"/>
      <c r="AS75" s="2111"/>
    </row>
    <row r="76" spans="1:45" ht="50.25" customHeight="1" x14ac:dyDescent="0.25">
      <c r="A76" s="3678"/>
      <c r="B76" s="3679"/>
      <c r="C76" s="407"/>
      <c r="D76" s="408"/>
      <c r="E76" s="514"/>
      <c r="F76" s="514"/>
      <c r="G76" s="2072"/>
      <c r="H76" s="2709" t="s">
        <v>2011</v>
      </c>
      <c r="I76" s="2072"/>
      <c r="J76" s="2709" t="s">
        <v>2011</v>
      </c>
      <c r="K76" s="3511">
        <v>190301600</v>
      </c>
      <c r="L76" s="2709" t="s">
        <v>2012</v>
      </c>
      <c r="M76" s="3511">
        <v>190301600</v>
      </c>
      <c r="N76" s="2709" t="s">
        <v>2012</v>
      </c>
      <c r="O76" s="3665"/>
      <c r="P76" s="3673"/>
      <c r="Q76" s="3582"/>
      <c r="R76" s="3540"/>
      <c r="S76" s="3667"/>
      <c r="T76" s="2055"/>
      <c r="U76" s="2988"/>
      <c r="V76" s="1416" t="s">
        <v>2015</v>
      </c>
      <c r="W76" s="1536">
        <v>35000000</v>
      </c>
      <c r="X76" s="1525" t="s">
        <v>2014</v>
      </c>
      <c r="Y76" s="1535">
        <v>61</v>
      </c>
      <c r="Z76" s="1398" t="s">
        <v>1905</v>
      </c>
      <c r="AA76" s="2111"/>
      <c r="AB76" s="2111"/>
      <c r="AC76" s="3509"/>
      <c r="AD76" s="2111"/>
      <c r="AE76" s="2111"/>
      <c r="AF76" s="2111"/>
      <c r="AG76" s="2111"/>
      <c r="AH76" s="2111"/>
      <c r="AI76" s="2111"/>
      <c r="AJ76" s="2111"/>
      <c r="AK76" s="2111"/>
      <c r="AL76" s="2111"/>
      <c r="AM76" s="2111"/>
      <c r="AN76" s="2111"/>
      <c r="AO76" s="2111"/>
      <c r="AP76" s="2111"/>
      <c r="AQ76" s="3545"/>
      <c r="AR76" s="3545"/>
      <c r="AS76" s="2111"/>
    </row>
    <row r="77" spans="1:45" ht="50.25" customHeight="1" x14ac:dyDescent="0.25">
      <c r="A77" s="3678"/>
      <c r="B77" s="3679"/>
      <c r="C77" s="407"/>
      <c r="D77" s="408"/>
      <c r="E77" s="514"/>
      <c r="F77" s="514"/>
      <c r="G77" s="3668"/>
      <c r="H77" s="3327" t="s">
        <v>2011</v>
      </c>
      <c r="I77" s="3668"/>
      <c r="J77" s="3327" t="s">
        <v>2011</v>
      </c>
      <c r="K77" s="3530">
        <v>190301600</v>
      </c>
      <c r="L77" s="3327" t="s">
        <v>2012</v>
      </c>
      <c r="M77" s="3530">
        <v>190301600</v>
      </c>
      <c r="N77" s="3327" t="s">
        <v>2012</v>
      </c>
      <c r="O77" s="3665"/>
      <c r="P77" s="3673"/>
      <c r="Q77" s="3582"/>
      <c r="R77" s="3540"/>
      <c r="S77" s="3667"/>
      <c r="T77" s="2055"/>
      <c r="U77" s="2988"/>
      <c r="V77" s="1416" t="s">
        <v>2016</v>
      </c>
      <c r="W77" s="1439">
        <v>25000000</v>
      </c>
      <c r="X77" s="1525" t="s">
        <v>2014</v>
      </c>
      <c r="Y77" s="1535">
        <v>61</v>
      </c>
      <c r="Z77" s="1398" t="s">
        <v>1905</v>
      </c>
      <c r="AA77" s="2111"/>
      <c r="AB77" s="2111"/>
      <c r="AC77" s="3509"/>
      <c r="AD77" s="2111"/>
      <c r="AE77" s="2111"/>
      <c r="AF77" s="2111"/>
      <c r="AG77" s="2111"/>
      <c r="AH77" s="2111"/>
      <c r="AI77" s="2111"/>
      <c r="AJ77" s="2111"/>
      <c r="AK77" s="2111"/>
      <c r="AL77" s="2111"/>
      <c r="AM77" s="2111"/>
      <c r="AN77" s="2111"/>
      <c r="AO77" s="2111"/>
      <c r="AP77" s="2111"/>
      <c r="AQ77" s="3545"/>
      <c r="AR77" s="3545"/>
      <c r="AS77" s="2111"/>
    </row>
    <row r="78" spans="1:45" ht="50.25" customHeight="1" x14ac:dyDescent="0.25">
      <c r="A78" s="3678"/>
      <c r="B78" s="3679"/>
      <c r="C78" s="407"/>
      <c r="D78" s="408"/>
      <c r="E78" s="514"/>
      <c r="F78" s="514"/>
      <c r="G78" s="2071">
        <v>1903011</v>
      </c>
      <c r="H78" s="3273" t="s">
        <v>1960</v>
      </c>
      <c r="I78" s="2071">
        <v>1903011</v>
      </c>
      <c r="J78" s="3273" t="s">
        <v>1960</v>
      </c>
      <c r="K78" s="3510">
        <v>190301101</v>
      </c>
      <c r="L78" s="3273" t="s">
        <v>2017</v>
      </c>
      <c r="M78" s="3510">
        <v>190301101</v>
      </c>
      <c r="N78" s="3273" t="s">
        <v>2017</v>
      </c>
      <c r="O78" s="3665">
        <v>12</v>
      </c>
      <c r="P78" s="3673"/>
      <c r="Q78" s="3582"/>
      <c r="R78" s="3540">
        <f>SUM(W78:W79)/S63</f>
        <v>0.13169729613104322</v>
      </c>
      <c r="S78" s="3667"/>
      <c r="T78" s="2055"/>
      <c r="U78" s="2988"/>
      <c r="V78" s="1416" t="s">
        <v>2018</v>
      </c>
      <c r="W78" s="800">
        <f>54000000+30811412</f>
        <v>84811412</v>
      </c>
      <c r="X78" s="1525" t="s">
        <v>2019</v>
      </c>
      <c r="Y78" s="1535">
        <v>61</v>
      </c>
      <c r="Z78" s="1398" t="s">
        <v>1905</v>
      </c>
      <c r="AA78" s="2111"/>
      <c r="AB78" s="2111"/>
      <c r="AC78" s="3509"/>
      <c r="AD78" s="2111"/>
      <c r="AE78" s="2111"/>
      <c r="AF78" s="2111"/>
      <c r="AG78" s="2111"/>
      <c r="AH78" s="2111"/>
      <c r="AI78" s="2111"/>
      <c r="AJ78" s="2111"/>
      <c r="AK78" s="2111"/>
      <c r="AL78" s="2111"/>
      <c r="AM78" s="2111"/>
      <c r="AN78" s="2111"/>
      <c r="AO78" s="2111"/>
      <c r="AP78" s="2111"/>
      <c r="AQ78" s="3545"/>
      <c r="AR78" s="3545"/>
      <c r="AS78" s="2111"/>
    </row>
    <row r="79" spans="1:45" ht="50.25" customHeight="1" x14ac:dyDescent="0.25">
      <c r="A79" s="3678"/>
      <c r="B79" s="3679"/>
      <c r="C79" s="407"/>
      <c r="D79" s="408"/>
      <c r="E79" s="514"/>
      <c r="F79" s="514"/>
      <c r="G79" s="2072"/>
      <c r="H79" s="2709" t="s">
        <v>1960</v>
      </c>
      <c r="I79" s="2072"/>
      <c r="J79" s="2709" t="s">
        <v>1960</v>
      </c>
      <c r="K79" s="3511">
        <v>190301101</v>
      </c>
      <c r="L79" s="2709" t="s">
        <v>2017</v>
      </c>
      <c r="M79" s="3511">
        <v>190301101</v>
      </c>
      <c r="N79" s="2709" t="s">
        <v>2017</v>
      </c>
      <c r="O79" s="2335"/>
      <c r="P79" s="3612"/>
      <c r="Q79" s="3248"/>
      <c r="R79" s="2869"/>
      <c r="S79" s="3667"/>
      <c r="T79" s="2056"/>
      <c r="U79" s="2343"/>
      <c r="V79" s="1417" t="s">
        <v>2020</v>
      </c>
      <c r="W79" s="1448">
        <v>40000000</v>
      </c>
      <c r="X79" s="1525" t="s">
        <v>2019</v>
      </c>
      <c r="Y79" s="1535">
        <v>61</v>
      </c>
      <c r="Z79" s="1398" t="s">
        <v>1905</v>
      </c>
      <c r="AA79" s="2165"/>
      <c r="AB79" s="2111"/>
      <c r="AC79" s="3509"/>
      <c r="AD79" s="2111"/>
      <c r="AE79" s="2111"/>
      <c r="AF79" s="2111"/>
      <c r="AG79" s="2111"/>
      <c r="AH79" s="2111"/>
      <c r="AI79" s="2111"/>
      <c r="AJ79" s="2111"/>
      <c r="AK79" s="2111"/>
      <c r="AL79" s="2111"/>
      <c r="AM79" s="2111"/>
      <c r="AN79" s="2111"/>
      <c r="AO79" s="2111"/>
      <c r="AP79" s="2111"/>
      <c r="AQ79" s="3545"/>
      <c r="AR79" s="3545"/>
      <c r="AS79" s="2111"/>
    </row>
    <row r="80" spans="1:45" ht="55.5" customHeight="1" x14ac:dyDescent="0.25">
      <c r="A80" s="3678"/>
      <c r="B80" s="3679"/>
      <c r="C80" s="407"/>
      <c r="D80" s="408"/>
      <c r="E80" s="514"/>
      <c r="F80" s="514"/>
      <c r="G80" s="2054">
        <v>1903034</v>
      </c>
      <c r="H80" s="2119" t="s">
        <v>219</v>
      </c>
      <c r="I80" s="2054">
        <v>1903034</v>
      </c>
      <c r="J80" s="2119" t="s">
        <v>219</v>
      </c>
      <c r="K80" s="3644">
        <v>190303400</v>
      </c>
      <c r="L80" s="2119" t="s">
        <v>2021</v>
      </c>
      <c r="M80" s="3644">
        <v>190303400</v>
      </c>
      <c r="N80" s="2119" t="s">
        <v>2021</v>
      </c>
      <c r="O80" s="2057">
        <v>12</v>
      </c>
      <c r="P80" s="2170" t="s">
        <v>2022</v>
      </c>
      <c r="Q80" s="2055" t="s">
        <v>2023</v>
      </c>
      <c r="R80" s="3540">
        <f>SUM(W80:W82)/S80</f>
        <v>1</v>
      </c>
      <c r="S80" s="3655">
        <f>SUM(W80:W82)</f>
        <v>96954000</v>
      </c>
      <c r="T80" s="2055" t="s">
        <v>2024</v>
      </c>
      <c r="U80" s="3663" t="s">
        <v>2025</v>
      </c>
      <c r="V80" s="1416" t="s">
        <v>2026</v>
      </c>
      <c r="W80" s="800">
        <v>30000000</v>
      </c>
      <c r="X80" s="1525" t="s">
        <v>2027</v>
      </c>
      <c r="Y80" s="1351">
        <v>20</v>
      </c>
      <c r="Z80" s="1397" t="s">
        <v>77</v>
      </c>
      <c r="AA80" s="2148">
        <v>292684</v>
      </c>
      <c r="AB80" s="3551">
        <v>282326</v>
      </c>
      <c r="AC80" s="3562">
        <v>135912</v>
      </c>
      <c r="AD80" s="3551">
        <v>45122</v>
      </c>
      <c r="AE80" s="3551">
        <v>365607</v>
      </c>
      <c r="AF80" s="3551">
        <v>86875</v>
      </c>
      <c r="AG80" s="3551">
        <v>2145</v>
      </c>
      <c r="AH80" s="3551">
        <v>12718</v>
      </c>
      <c r="AI80" s="3551">
        <v>26</v>
      </c>
      <c r="AJ80" s="3551">
        <v>37</v>
      </c>
      <c r="AK80" s="3551" t="s">
        <v>2028</v>
      </c>
      <c r="AL80" s="3551" t="s">
        <v>2028</v>
      </c>
      <c r="AM80" s="3551">
        <v>53164</v>
      </c>
      <c r="AN80" s="3551">
        <v>16982</v>
      </c>
      <c r="AO80" s="3551">
        <v>60013</v>
      </c>
      <c r="AP80" s="3551">
        <v>575010</v>
      </c>
      <c r="AQ80" s="3560">
        <v>44197</v>
      </c>
      <c r="AR80" s="3560">
        <v>44561</v>
      </c>
      <c r="AS80" s="3551" t="s">
        <v>1906</v>
      </c>
    </row>
    <row r="81" spans="1:45" ht="55.5" customHeight="1" x14ac:dyDescent="0.25">
      <c r="A81" s="3678"/>
      <c r="B81" s="3679"/>
      <c r="C81" s="407"/>
      <c r="D81" s="408"/>
      <c r="E81" s="514"/>
      <c r="F81" s="514"/>
      <c r="G81" s="2054"/>
      <c r="H81" s="2119"/>
      <c r="I81" s="2054"/>
      <c r="J81" s="2119"/>
      <c r="K81" s="3644"/>
      <c r="L81" s="2119"/>
      <c r="M81" s="3644"/>
      <c r="N81" s="2119"/>
      <c r="O81" s="2057"/>
      <c r="P81" s="2057"/>
      <c r="Q81" s="2055"/>
      <c r="R81" s="3540"/>
      <c r="S81" s="3655"/>
      <c r="T81" s="2055"/>
      <c r="U81" s="3663"/>
      <c r="V81" s="1416" t="s">
        <v>2029</v>
      </c>
      <c r="W81" s="800">
        <v>30000000</v>
      </c>
      <c r="X81" s="1525" t="s">
        <v>2027</v>
      </c>
      <c r="Y81" s="1351">
        <v>20</v>
      </c>
      <c r="Z81" s="1397" t="s">
        <v>77</v>
      </c>
      <c r="AA81" s="2111"/>
      <c r="AB81" s="3552"/>
      <c r="AC81" s="3563"/>
      <c r="AD81" s="3552"/>
      <c r="AE81" s="3552"/>
      <c r="AF81" s="3552"/>
      <c r="AG81" s="3552"/>
      <c r="AH81" s="3552"/>
      <c r="AI81" s="3552"/>
      <c r="AJ81" s="3552"/>
      <c r="AK81" s="3552"/>
      <c r="AL81" s="3552"/>
      <c r="AM81" s="3552"/>
      <c r="AN81" s="3552"/>
      <c r="AO81" s="3552"/>
      <c r="AP81" s="3552"/>
      <c r="AQ81" s="3561"/>
      <c r="AR81" s="3561"/>
      <c r="AS81" s="3552"/>
    </row>
    <row r="82" spans="1:45" ht="55.5" customHeight="1" x14ac:dyDescent="0.25">
      <c r="A82" s="3678"/>
      <c r="B82" s="3679"/>
      <c r="C82" s="407"/>
      <c r="D82" s="408"/>
      <c r="E82" s="514"/>
      <c r="F82" s="514"/>
      <c r="G82" s="2148"/>
      <c r="H82" s="2141"/>
      <c r="I82" s="2148"/>
      <c r="J82" s="2141"/>
      <c r="K82" s="3664"/>
      <c r="L82" s="2141"/>
      <c r="M82" s="3664"/>
      <c r="N82" s="2141"/>
      <c r="O82" s="2058"/>
      <c r="P82" s="2058"/>
      <c r="Q82" s="2056"/>
      <c r="R82" s="2869"/>
      <c r="S82" s="3662"/>
      <c r="T82" s="2056"/>
      <c r="U82" s="3663"/>
      <c r="V82" s="1417" t="s">
        <v>2030</v>
      </c>
      <c r="W82" s="1537">
        <v>36954000</v>
      </c>
      <c r="X82" s="1525" t="s">
        <v>2027</v>
      </c>
      <c r="Y82" s="1350">
        <v>20</v>
      </c>
      <c r="Z82" s="1398" t="s">
        <v>77</v>
      </c>
      <c r="AA82" s="2165"/>
      <c r="AB82" s="3552"/>
      <c r="AC82" s="3563"/>
      <c r="AD82" s="3552"/>
      <c r="AE82" s="3552"/>
      <c r="AF82" s="3552"/>
      <c r="AG82" s="3552"/>
      <c r="AH82" s="3552"/>
      <c r="AI82" s="3552"/>
      <c r="AJ82" s="3552"/>
      <c r="AK82" s="3552"/>
      <c r="AL82" s="3552"/>
      <c r="AM82" s="3552"/>
      <c r="AN82" s="3552"/>
      <c r="AO82" s="3552"/>
      <c r="AP82" s="3552"/>
      <c r="AQ82" s="3561"/>
      <c r="AR82" s="3561"/>
      <c r="AS82" s="3552"/>
    </row>
    <row r="83" spans="1:45" ht="40.5" customHeight="1" x14ac:dyDescent="0.25">
      <c r="A83" s="3678"/>
      <c r="B83" s="3679"/>
      <c r="C83" s="407"/>
      <c r="D83" s="408"/>
      <c r="E83" s="514"/>
      <c r="F83" s="514"/>
      <c r="G83" s="1394">
        <v>1903045</v>
      </c>
      <c r="H83" s="1407" t="s">
        <v>2031</v>
      </c>
      <c r="I83" s="1394">
        <v>1903045</v>
      </c>
      <c r="J83" s="1407" t="s">
        <v>2031</v>
      </c>
      <c r="K83" s="1538">
        <v>190304500</v>
      </c>
      <c r="L83" s="1415" t="s">
        <v>2032</v>
      </c>
      <c r="M83" s="1538">
        <v>190304500</v>
      </c>
      <c r="N83" s="1415" t="s">
        <v>2032</v>
      </c>
      <c r="O83" s="1397">
        <v>725</v>
      </c>
      <c r="P83" s="2057" t="s">
        <v>2033</v>
      </c>
      <c r="Q83" s="2055" t="s">
        <v>2034</v>
      </c>
      <c r="R83" s="1528">
        <f>W83/S83</f>
        <v>0.30379355158116222</v>
      </c>
      <c r="S83" s="3655">
        <f>SUM(W83:W90)</f>
        <v>64636000</v>
      </c>
      <c r="T83" s="2056" t="s">
        <v>2035</v>
      </c>
      <c r="U83" s="2056" t="s">
        <v>2036</v>
      </c>
      <c r="V83" s="1416" t="s">
        <v>2037</v>
      </c>
      <c r="W83" s="800">
        <v>19636000</v>
      </c>
      <c r="X83" s="1525" t="s">
        <v>2038</v>
      </c>
      <c r="Y83" s="1350">
        <v>20</v>
      </c>
      <c r="Z83" s="1398" t="s">
        <v>77</v>
      </c>
      <c r="AA83" s="2148">
        <v>292684</v>
      </c>
      <c r="AB83" s="2148">
        <v>282326</v>
      </c>
      <c r="AC83" s="3508">
        <v>135912</v>
      </c>
      <c r="AD83" s="2148">
        <v>45122</v>
      </c>
      <c r="AE83" s="2148">
        <v>365607</v>
      </c>
      <c r="AF83" s="2148">
        <v>86875</v>
      </c>
      <c r="AG83" s="2148">
        <v>2145</v>
      </c>
      <c r="AH83" s="2148">
        <v>12718</v>
      </c>
      <c r="AI83" s="2148">
        <v>26</v>
      </c>
      <c r="AJ83" s="2148">
        <v>37</v>
      </c>
      <c r="AK83" s="2148" t="s">
        <v>2028</v>
      </c>
      <c r="AL83" s="2148" t="s">
        <v>2028</v>
      </c>
      <c r="AM83" s="2148">
        <v>53164</v>
      </c>
      <c r="AN83" s="2148">
        <v>16982</v>
      </c>
      <c r="AO83" s="2148">
        <v>60013</v>
      </c>
      <c r="AP83" s="2148">
        <v>575010</v>
      </c>
      <c r="AQ83" s="3505">
        <v>44197</v>
      </c>
      <c r="AR83" s="3505">
        <v>44561</v>
      </c>
      <c r="AS83" s="2148" t="s">
        <v>1906</v>
      </c>
    </row>
    <row r="84" spans="1:45" ht="30" x14ac:dyDescent="0.25">
      <c r="A84" s="3678"/>
      <c r="B84" s="3679"/>
      <c r="C84" s="407"/>
      <c r="D84" s="408"/>
      <c r="E84" s="514"/>
      <c r="F84" s="514"/>
      <c r="G84" s="1394">
        <v>1903001</v>
      </c>
      <c r="H84" s="1407" t="s">
        <v>173</v>
      </c>
      <c r="I84" s="1394">
        <v>1903001</v>
      </c>
      <c r="J84" s="1407" t="s">
        <v>173</v>
      </c>
      <c r="K84" s="1538">
        <v>190300100</v>
      </c>
      <c r="L84" s="1415" t="s">
        <v>1965</v>
      </c>
      <c r="M84" s="1538">
        <v>190300100</v>
      </c>
      <c r="N84" s="1415" t="s">
        <v>1965</v>
      </c>
      <c r="O84" s="1397">
        <v>1</v>
      </c>
      <c r="P84" s="2057"/>
      <c r="Q84" s="2055"/>
      <c r="R84" s="1528">
        <f>W84/S83</f>
        <v>0.23206881613961261</v>
      </c>
      <c r="S84" s="3655"/>
      <c r="T84" s="2965"/>
      <c r="U84" s="2965"/>
      <c r="V84" s="1416" t="s">
        <v>2039</v>
      </c>
      <c r="W84" s="800">
        <v>15000000</v>
      </c>
      <c r="X84" s="1525" t="s">
        <v>2040</v>
      </c>
      <c r="Y84" s="1350">
        <v>20</v>
      </c>
      <c r="Z84" s="1398" t="s">
        <v>77</v>
      </c>
      <c r="AA84" s="2111"/>
      <c r="AB84" s="2111"/>
      <c r="AC84" s="3509"/>
      <c r="AD84" s="2111"/>
      <c r="AE84" s="2111"/>
      <c r="AF84" s="2111"/>
      <c r="AG84" s="2111"/>
      <c r="AH84" s="2111"/>
      <c r="AI84" s="2111"/>
      <c r="AJ84" s="2111"/>
      <c r="AK84" s="2111"/>
      <c r="AL84" s="2111"/>
      <c r="AM84" s="2111"/>
      <c r="AN84" s="2111"/>
      <c r="AO84" s="2111"/>
      <c r="AP84" s="2111"/>
      <c r="AQ84" s="3545"/>
      <c r="AR84" s="3545"/>
      <c r="AS84" s="2111"/>
    </row>
    <row r="85" spans="1:45" ht="49.5" customHeight="1" x14ac:dyDescent="0.25">
      <c r="A85" s="3678"/>
      <c r="B85" s="3679"/>
      <c r="C85" s="407"/>
      <c r="D85" s="408"/>
      <c r="E85" s="514"/>
      <c r="F85" s="514"/>
      <c r="G85" s="2345">
        <v>1903010</v>
      </c>
      <c r="H85" s="2174" t="s">
        <v>2041</v>
      </c>
      <c r="I85" s="2345">
        <v>1903010</v>
      </c>
      <c r="J85" s="2174" t="s">
        <v>2041</v>
      </c>
      <c r="K85" s="3644">
        <v>190301000</v>
      </c>
      <c r="L85" s="2174" t="s">
        <v>2042</v>
      </c>
      <c r="M85" s="3644">
        <v>190301000</v>
      </c>
      <c r="N85" s="2174" t="s">
        <v>2042</v>
      </c>
      <c r="O85" s="2057">
        <v>12</v>
      </c>
      <c r="P85" s="2057"/>
      <c r="Q85" s="2055"/>
      <c r="R85" s="3540">
        <f>SUM(W85:W88)/S83</f>
        <v>0.23206881613961261</v>
      </c>
      <c r="S85" s="3655"/>
      <c r="T85" s="2965"/>
      <c r="U85" s="2965"/>
      <c r="V85" s="1416" t="s">
        <v>2043</v>
      </c>
      <c r="W85" s="800">
        <v>4000000</v>
      </c>
      <c r="X85" s="1525" t="s">
        <v>2044</v>
      </c>
      <c r="Y85" s="1350">
        <v>20</v>
      </c>
      <c r="Z85" s="1398" t="s">
        <v>77</v>
      </c>
      <c r="AA85" s="2111"/>
      <c r="AB85" s="2111"/>
      <c r="AC85" s="3509"/>
      <c r="AD85" s="2111"/>
      <c r="AE85" s="2111"/>
      <c r="AF85" s="2111"/>
      <c r="AG85" s="2111"/>
      <c r="AH85" s="2111"/>
      <c r="AI85" s="2111"/>
      <c r="AJ85" s="2111"/>
      <c r="AK85" s="2111"/>
      <c r="AL85" s="2111"/>
      <c r="AM85" s="2111"/>
      <c r="AN85" s="2111"/>
      <c r="AO85" s="2111"/>
      <c r="AP85" s="2111"/>
      <c r="AQ85" s="3545"/>
      <c r="AR85" s="3545"/>
      <c r="AS85" s="2111"/>
    </row>
    <row r="86" spans="1:45" ht="49.5" customHeight="1" x14ac:dyDescent="0.25">
      <c r="A86" s="3678"/>
      <c r="B86" s="3679"/>
      <c r="C86" s="407"/>
      <c r="D86" s="408"/>
      <c r="E86" s="514"/>
      <c r="F86" s="514"/>
      <c r="G86" s="2345"/>
      <c r="H86" s="2174"/>
      <c r="I86" s="2345"/>
      <c r="J86" s="2174"/>
      <c r="K86" s="3644"/>
      <c r="L86" s="2174"/>
      <c r="M86" s="3644"/>
      <c r="N86" s="2174"/>
      <c r="O86" s="2057"/>
      <c r="P86" s="2057"/>
      <c r="Q86" s="2055"/>
      <c r="R86" s="3540"/>
      <c r="S86" s="3655"/>
      <c r="T86" s="2965"/>
      <c r="U86" s="2965"/>
      <c r="V86" s="1416" t="s">
        <v>2045</v>
      </c>
      <c r="W86" s="800">
        <v>4000000</v>
      </c>
      <c r="X86" s="1525" t="s">
        <v>2044</v>
      </c>
      <c r="Y86" s="1350">
        <v>20</v>
      </c>
      <c r="Z86" s="1398" t="s">
        <v>77</v>
      </c>
      <c r="AA86" s="2111"/>
      <c r="AB86" s="2111"/>
      <c r="AC86" s="3509"/>
      <c r="AD86" s="2111"/>
      <c r="AE86" s="2111"/>
      <c r="AF86" s="2111"/>
      <c r="AG86" s="2111"/>
      <c r="AH86" s="2111"/>
      <c r="AI86" s="2111"/>
      <c r="AJ86" s="2111"/>
      <c r="AK86" s="2111"/>
      <c r="AL86" s="2111"/>
      <c r="AM86" s="2111"/>
      <c r="AN86" s="2111"/>
      <c r="AO86" s="2111"/>
      <c r="AP86" s="2111"/>
      <c r="AQ86" s="3545"/>
      <c r="AR86" s="3545"/>
      <c r="AS86" s="2111"/>
    </row>
    <row r="87" spans="1:45" ht="49.5" customHeight="1" x14ac:dyDescent="0.25">
      <c r="A87" s="3678"/>
      <c r="B87" s="3679"/>
      <c r="C87" s="407"/>
      <c r="D87" s="408"/>
      <c r="E87" s="514"/>
      <c r="F87" s="514"/>
      <c r="G87" s="2345"/>
      <c r="H87" s="2174"/>
      <c r="I87" s="2345"/>
      <c r="J87" s="2174"/>
      <c r="K87" s="3644"/>
      <c r="L87" s="2174"/>
      <c r="M87" s="3644"/>
      <c r="N87" s="2174"/>
      <c r="O87" s="2057"/>
      <c r="P87" s="2057"/>
      <c r="Q87" s="2055"/>
      <c r="R87" s="3540"/>
      <c r="S87" s="3655"/>
      <c r="T87" s="2965"/>
      <c r="U87" s="2965"/>
      <c r="V87" s="1416" t="s">
        <v>2046</v>
      </c>
      <c r="W87" s="800">
        <v>4000000</v>
      </c>
      <c r="X87" s="1525" t="s">
        <v>2044</v>
      </c>
      <c r="Y87" s="1350">
        <v>20</v>
      </c>
      <c r="Z87" s="1398" t="s">
        <v>77</v>
      </c>
      <c r="AA87" s="2111"/>
      <c r="AB87" s="2111"/>
      <c r="AC87" s="3509"/>
      <c r="AD87" s="2111"/>
      <c r="AE87" s="2111"/>
      <c r="AF87" s="2111"/>
      <c r="AG87" s="2111"/>
      <c r="AH87" s="2111"/>
      <c r="AI87" s="2111"/>
      <c r="AJ87" s="2111"/>
      <c r="AK87" s="2111"/>
      <c r="AL87" s="2111"/>
      <c r="AM87" s="2111"/>
      <c r="AN87" s="2111"/>
      <c r="AO87" s="2111"/>
      <c r="AP87" s="2111"/>
      <c r="AQ87" s="3545"/>
      <c r="AR87" s="3545"/>
      <c r="AS87" s="2111"/>
    </row>
    <row r="88" spans="1:45" ht="49.5" customHeight="1" x14ac:dyDescent="0.25">
      <c r="A88" s="3678"/>
      <c r="B88" s="3679"/>
      <c r="C88" s="407"/>
      <c r="D88" s="408"/>
      <c r="E88" s="514"/>
      <c r="F88" s="514"/>
      <c r="G88" s="2345"/>
      <c r="H88" s="2174"/>
      <c r="I88" s="2345"/>
      <c r="J88" s="2174"/>
      <c r="K88" s="3644"/>
      <c r="L88" s="2174"/>
      <c r="M88" s="3644"/>
      <c r="N88" s="2174"/>
      <c r="O88" s="2057"/>
      <c r="P88" s="2057"/>
      <c r="Q88" s="2055"/>
      <c r="R88" s="3540"/>
      <c r="S88" s="3655"/>
      <c r="T88" s="2965"/>
      <c r="U88" s="2965"/>
      <c r="V88" s="1416" t="s">
        <v>2047</v>
      </c>
      <c r="W88" s="800">
        <v>3000000</v>
      </c>
      <c r="X88" s="1525" t="s">
        <v>2044</v>
      </c>
      <c r="Y88" s="1350">
        <v>20</v>
      </c>
      <c r="Z88" s="1398" t="s">
        <v>77</v>
      </c>
      <c r="AA88" s="2111"/>
      <c r="AB88" s="2111"/>
      <c r="AC88" s="3509"/>
      <c r="AD88" s="2111"/>
      <c r="AE88" s="2111"/>
      <c r="AF88" s="2111"/>
      <c r="AG88" s="2111"/>
      <c r="AH88" s="2111"/>
      <c r="AI88" s="2111"/>
      <c r="AJ88" s="2111"/>
      <c r="AK88" s="2111"/>
      <c r="AL88" s="2111"/>
      <c r="AM88" s="2111"/>
      <c r="AN88" s="2111"/>
      <c r="AO88" s="2111"/>
      <c r="AP88" s="2111"/>
      <c r="AQ88" s="3545"/>
      <c r="AR88" s="3545"/>
      <c r="AS88" s="2111"/>
    </row>
    <row r="89" spans="1:45" ht="49.5" customHeight="1" x14ac:dyDescent="0.25">
      <c r="A89" s="3678"/>
      <c r="B89" s="3679"/>
      <c r="C89" s="407"/>
      <c r="D89" s="408"/>
      <c r="E89" s="514"/>
      <c r="F89" s="514"/>
      <c r="G89" s="2054">
        <v>1903011</v>
      </c>
      <c r="H89" s="2119" t="s">
        <v>1960</v>
      </c>
      <c r="I89" s="2054">
        <v>1903011</v>
      </c>
      <c r="J89" s="2119" t="s">
        <v>1960</v>
      </c>
      <c r="K89" s="3644">
        <v>190301101</v>
      </c>
      <c r="L89" s="2119" t="s">
        <v>2017</v>
      </c>
      <c r="M89" s="3644">
        <v>190301101</v>
      </c>
      <c r="N89" s="2119" t="s">
        <v>2017</v>
      </c>
      <c r="O89" s="2057">
        <v>12</v>
      </c>
      <c r="P89" s="2057"/>
      <c r="Q89" s="2055"/>
      <c r="R89" s="3540">
        <f>SUM(W89:W90)/S83</f>
        <v>0.23206881613961261</v>
      </c>
      <c r="S89" s="3655"/>
      <c r="T89" s="2965"/>
      <c r="U89" s="2965"/>
      <c r="V89" s="1416" t="s">
        <v>2048</v>
      </c>
      <c r="W89" s="800">
        <v>7500000</v>
      </c>
      <c r="X89" s="1525" t="s">
        <v>2049</v>
      </c>
      <c r="Y89" s="1350">
        <v>20</v>
      </c>
      <c r="Z89" s="1398" t="s">
        <v>77</v>
      </c>
      <c r="AA89" s="2111"/>
      <c r="AB89" s="2111"/>
      <c r="AC89" s="3509"/>
      <c r="AD89" s="2111"/>
      <c r="AE89" s="2111"/>
      <c r="AF89" s="2111"/>
      <c r="AG89" s="2111"/>
      <c r="AH89" s="2111"/>
      <c r="AI89" s="2111"/>
      <c r="AJ89" s="2111"/>
      <c r="AK89" s="2111"/>
      <c r="AL89" s="2111"/>
      <c r="AM89" s="2111"/>
      <c r="AN89" s="2111"/>
      <c r="AO89" s="2111"/>
      <c r="AP89" s="2111"/>
      <c r="AQ89" s="3545"/>
      <c r="AR89" s="3545"/>
      <c r="AS89" s="2111"/>
    </row>
    <row r="90" spans="1:45" ht="49.5" customHeight="1" x14ac:dyDescent="0.25">
      <c r="A90" s="3678"/>
      <c r="B90" s="3679"/>
      <c r="C90" s="407"/>
      <c r="D90" s="408"/>
      <c r="E90" s="514"/>
      <c r="F90" s="514"/>
      <c r="G90" s="2054"/>
      <c r="H90" s="2119"/>
      <c r="I90" s="2054"/>
      <c r="J90" s="2119"/>
      <c r="K90" s="3644"/>
      <c r="L90" s="2119"/>
      <c r="M90" s="3644"/>
      <c r="N90" s="2119"/>
      <c r="O90" s="2057"/>
      <c r="P90" s="2057"/>
      <c r="Q90" s="2055"/>
      <c r="R90" s="3540"/>
      <c r="S90" s="3655"/>
      <c r="T90" s="2966"/>
      <c r="U90" s="2966"/>
      <c r="V90" s="1417" t="s">
        <v>2050</v>
      </c>
      <c r="W90" s="1448">
        <v>7500000</v>
      </c>
      <c r="X90" s="1525" t="s">
        <v>2049</v>
      </c>
      <c r="Y90" s="1350">
        <v>20</v>
      </c>
      <c r="Z90" s="1398" t="s">
        <v>77</v>
      </c>
      <c r="AA90" s="2165"/>
      <c r="AB90" s="2111"/>
      <c r="AC90" s="3509"/>
      <c r="AD90" s="2111"/>
      <c r="AE90" s="2111"/>
      <c r="AF90" s="2111"/>
      <c r="AG90" s="2111"/>
      <c r="AH90" s="2111"/>
      <c r="AI90" s="2111"/>
      <c r="AJ90" s="2111"/>
      <c r="AK90" s="2111"/>
      <c r="AL90" s="2111"/>
      <c r="AM90" s="2111"/>
      <c r="AN90" s="2111"/>
      <c r="AO90" s="2111"/>
      <c r="AP90" s="2111"/>
      <c r="AQ90" s="3545"/>
      <c r="AR90" s="3545"/>
      <c r="AS90" s="2111"/>
    </row>
    <row r="91" spans="1:45" ht="30" customHeight="1" x14ac:dyDescent="0.25">
      <c r="A91" s="3678"/>
      <c r="B91" s="3679"/>
      <c r="C91" s="407"/>
      <c r="D91" s="408"/>
      <c r="E91" s="514"/>
      <c r="F91" s="514"/>
      <c r="G91" s="1401">
        <v>1903047</v>
      </c>
      <c r="H91" s="1435" t="s">
        <v>2051</v>
      </c>
      <c r="I91" s="1401">
        <v>1903047</v>
      </c>
      <c r="J91" s="1435" t="s">
        <v>2051</v>
      </c>
      <c r="K91" s="1276">
        <v>190304701</v>
      </c>
      <c r="L91" s="1277" t="s">
        <v>2052</v>
      </c>
      <c r="M91" s="1276">
        <v>190304701</v>
      </c>
      <c r="N91" s="1277" t="s">
        <v>2052</v>
      </c>
      <c r="O91" s="1397">
        <v>1</v>
      </c>
      <c r="P91" s="2057" t="s">
        <v>2053</v>
      </c>
      <c r="Q91" s="2055" t="s">
        <v>2054</v>
      </c>
      <c r="R91" s="1528">
        <f>W91/S91</f>
        <v>0.1097923765773116</v>
      </c>
      <c r="S91" s="3655">
        <f>SUM(W91:W95)</f>
        <v>91081005</v>
      </c>
      <c r="T91" s="2055" t="s">
        <v>2055</v>
      </c>
      <c r="U91" s="2342" t="s">
        <v>2056</v>
      </c>
      <c r="V91" s="1416" t="s">
        <v>2057</v>
      </c>
      <c r="W91" s="800">
        <v>10000000</v>
      </c>
      <c r="X91" s="1525" t="s">
        <v>2058</v>
      </c>
      <c r="Y91" s="1351">
        <v>72</v>
      </c>
      <c r="Z91" s="1397" t="s">
        <v>2059</v>
      </c>
      <c r="AA91" s="2148">
        <v>292684</v>
      </c>
      <c r="AB91" s="2148">
        <v>282326</v>
      </c>
      <c r="AC91" s="3508">
        <v>135912</v>
      </c>
      <c r="AD91" s="2148">
        <v>45122</v>
      </c>
      <c r="AE91" s="2148">
        <v>365607</v>
      </c>
      <c r="AF91" s="2148">
        <v>86875</v>
      </c>
      <c r="AG91" s="2148">
        <v>2145</v>
      </c>
      <c r="AH91" s="2148">
        <v>12718</v>
      </c>
      <c r="AI91" s="2148">
        <v>26</v>
      </c>
      <c r="AJ91" s="2148">
        <v>37</v>
      </c>
      <c r="AK91" s="2148" t="s">
        <v>2028</v>
      </c>
      <c r="AL91" s="2148" t="s">
        <v>2028</v>
      </c>
      <c r="AM91" s="2148">
        <v>53164</v>
      </c>
      <c r="AN91" s="2148">
        <v>16982</v>
      </c>
      <c r="AO91" s="2148">
        <v>60013</v>
      </c>
      <c r="AP91" s="2148">
        <v>575010</v>
      </c>
      <c r="AQ91" s="3505">
        <v>44197</v>
      </c>
      <c r="AR91" s="3505">
        <v>44561</v>
      </c>
      <c r="AS91" s="2148" t="s">
        <v>1906</v>
      </c>
    </row>
    <row r="92" spans="1:45" ht="60" x14ac:dyDescent="0.25">
      <c r="A92" s="3678"/>
      <c r="B92" s="3679"/>
      <c r="C92" s="407"/>
      <c r="D92" s="408"/>
      <c r="E92" s="514"/>
      <c r="F92" s="514"/>
      <c r="G92" s="1401">
        <v>1903019</v>
      </c>
      <c r="H92" s="1435" t="s">
        <v>2060</v>
      </c>
      <c r="I92" s="1401">
        <v>1903019</v>
      </c>
      <c r="J92" s="1435" t="s">
        <v>2060</v>
      </c>
      <c r="K92" s="1276">
        <v>190301900</v>
      </c>
      <c r="L92" s="1277" t="s">
        <v>2061</v>
      </c>
      <c r="M92" s="1276">
        <v>190301900</v>
      </c>
      <c r="N92" s="1277" t="s">
        <v>2061</v>
      </c>
      <c r="O92" s="1397">
        <v>75</v>
      </c>
      <c r="P92" s="2057"/>
      <c r="Q92" s="2055"/>
      <c r="R92" s="1528">
        <f>W92/S91</f>
        <v>0.29732878990520584</v>
      </c>
      <c r="S92" s="3655"/>
      <c r="T92" s="2055"/>
      <c r="U92" s="2988"/>
      <c r="V92" s="1416" t="s">
        <v>2062</v>
      </c>
      <c r="W92" s="800">
        <v>27081005</v>
      </c>
      <c r="X92" s="1525" t="s">
        <v>2063</v>
      </c>
      <c r="Y92" s="1351">
        <v>72</v>
      </c>
      <c r="Z92" s="1397" t="s">
        <v>2059</v>
      </c>
      <c r="AA92" s="2111"/>
      <c r="AB92" s="2111"/>
      <c r="AC92" s="3509"/>
      <c r="AD92" s="2111"/>
      <c r="AE92" s="2111"/>
      <c r="AF92" s="2111"/>
      <c r="AG92" s="2111"/>
      <c r="AH92" s="2111"/>
      <c r="AI92" s="2111"/>
      <c r="AJ92" s="2111"/>
      <c r="AK92" s="2111"/>
      <c r="AL92" s="2111"/>
      <c r="AM92" s="2111"/>
      <c r="AN92" s="2111"/>
      <c r="AO92" s="2111"/>
      <c r="AP92" s="2111"/>
      <c r="AQ92" s="3545"/>
      <c r="AR92" s="3545"/>
      <c r="AS92" s="2111"/>
    </row>
    <row r="93" spans="1:45" ht="30" x14ac:dyDescent="0.25">
      <c r="A93" s="3678"/>
      <c r="B93" s="3679"/>
      <c r="C93" s="407"/>
      <c r="D93" s="408"/>
      <c r="E93" s="514"/>
      <c r="F93" s="514"/>
      <c r="G93" s="1401">
        <v>1903028</v>
      </c>
      <c r="H93" s="1435" t="s">
        <v>2064</v>
      </c>
      <c r="I93" s="1401">
        <v>1903028</v>
      </c>
      <c r="J93" s="1435" t="s">
        <v>2064</v>
      </c>
      <c r="K93" s="1276">
        <v>190302800</v>
      </c>
      <c r="L93" s="1436" t="s">
        <v>2065</v>
      </c>
      <c r="M93" s="1276">
        <v>190302800</v>
      </c>
      <c r="N93" s="1436" t="s">
        <v>2065</v>
      </c>
      <c r="O93" s="1397">
        <v>250</v>
      </c>
      <c r="P93" s="2057"/>
      <c r="Q93" s="2055"/>
      <c r="R93" s="1528">
        <f>W93/S91</f>
        <v>0.15370932720823624</v>
      </c>
      <c r="S93" s="3655"/>
      <c r="T93" s="2055"/>
      <c r="U93" s="2988"/>
      <c r="V93" s="1416" t="s">
        <v>2066</v>
      </c>
      <c r="W93" s="800">
        <v>14000000</v>
      </c>
      <c r="X93" s="1525" t="s">
        <v>2067</v>
      </c>
      <c r="Y93" s="1351">
        <v>72</v>
      </c>
      <c r="Z93" s="1397" t="s">
        <v>2059</v>
      </c>
      <c r="AA93" s="2111"/>
      <c r="AB93" s="2111"/>
      <c r="AC93" s="3509"/>
      <c r="AD93" s="2111"/>
      <c r="AE93" s="2111"/>
      <c r="AF93" s="2111"/>
      <c r="AG93" s="2111"/>
      <c r="AH93" s="2111"/>
      <c r="AI93" s="2111"/>
      <c r="AJ93" s="2111"/>
      <c r="AK93" s="2111"/>
      <c r="AL93" s="2111"/>
      <c r="AM93" s="2111"/>
      <c r="AN93" s="2111"/>
      <c r="AO93" s="2111"/>
      <c r="AP93" s="2111"/>
      <c r="AQ93" s="3545"/>
      <c r="AR93" s="3545"/>
      <c r="AS93" s="2111"/>
    </row>
    <row r="94" spans="1:45" ht="50.25" customHeight="1" x14ac:dyDescent="0.25">
      <c r="A94" s="3678"/>
      <c r="B94" s="3679"/>
      <c r="C94" s="407"/>
      <c r="D94" s="408"/>
      <c r="E94" s="514"/>
      <c r="F94" s="514"/>
      <c r="G94" s="2094">
        <v>1903025</v>
      </c>
      <c r="H94" s="3159" t="s">
        <v>2068</v>
      </c>
      <c r="I94" s="2094">
        <v>1903025</v>
      </c>
      <c r="J94" s="3159" t="s">
        <v>2068</v>
      </c>
      <c r="K94" s="3623">
        <v>190302500</v>
      </c>
      <c r="L94" s="3632" t="s">
        <v>2069</v>
      </c>
      <c r="M94" s="3623">
        <v>190302500</v>
      </c>
      <c r="N94" s="3632" t="s">
        <v>2069</v>
      </c>
      <c r="O94" s="2058">
        <v>12</v>
      </c>
      <c r="P94" s="2057"/>
      <c r="Q94" s="2055"/>
      <c r="R94" s="2869">
        <f>SUM(W94:W95)/S91</f>
        <v>0.43916950630924639</v>
      </c>
      <c r="S94" s="3655"/>
      <c r="T94" s="2055"/>
      <c r="U94" s="2988"/>
      <c r="V94" s="1416" t="s">
        <v>2070</v>
      </c>
      <c r="W94" s="800">
        <v>20000000</v>
      </c>
      <c r="X94" s="1525" t="s">
        <v>2071</v>
      </c>
      <c r="Y94" s="3657">
        <v>72</v>
      </c>
      <c r="Z94" s="2057" t="s">
        <v>2059</v>
      </c>
      <c r="AA94" s="2111"/>
      <c r="AB94" s="2111"/>
      <c r="AC94" s="3509"/>
      <c r="AD94" s="2111"/>
      <c r="AE94" s="2111"/>
      <c r="AF94" s="2111"/>
      <c r="AG94" s="2111"/>
      <c r="AH94" s="2111"/>
      <c r="AI94" s="2111"/>
      <c r="AJ94" s="2111"/>
      <c r="AK94" s="2111"/>
      <c r="AL94" s="2111"/>
      <c r="AM94" s="2111"/>
      <c r="AN94" s="2111"/>
      <c r="AO94" s="2111"/>
      <c r="AP94" s="2111"/>
      <c r="AQ94" s="3545"/>
      <c r="AR94" s="3545"/>
      <c r="AS94" s="2111"/>
    </row>
    <row r="95" spans="1:45" ht="59.25" customHeight="1" x14ac:dyDescent="0.25">
      <c r="A95" s="3678"/>
      <c r="B95" s="3679"/>
      <c r="C95" s="407"/>
      <c r="D95" s="408"/>
      <c r="E95" s="514"/>
      <c r="F95" s="514"/>
      <c r="G95" s="2092"/>
      <c r="H95" s="2710"/>
      <c r="I95" s="2092"/>
      <c r="J95" s="2710"/>
      <c r="K95" s="3631"/>
      <c r="L95" s="3633"/>
      <c r="M95" s="3631"/>
      <c r="N95" s="3633"/>
      <c r="O95" s="3660"/>
      <c r="P95" s="3658"/>
      <c r="Q95" s="3659"/>
      <c r="R95" s="3661"/>
      <c r="S95" s="3656"/>
      <c r="T95" s="2056"/>
      <c r="U95" s="2988"/>
      <c r="V95" s="1417" t="s">
        <v>2072</v>
      </c>
      <c r="W95" s="1448">
        <v>20000000</v>
      </c>
      <c r="X95" s="1525" t="s">
        <v>2071</v>
      </c>
      <c r="Y95" s="3219"/>
      <c r="Z95" s="2058"/>
      <c r="AA95" s="2111"/>
      <c r="AB95" s="2111"/>
      <c r="AC95" s="3509"/>
      <c r="AD95" s="2111"/>
      <c r="AE95" s="2111"/>
      <c r="AF95" s="2111"/>
      <c r="AG95" s="2111"/>
      <c r="AH95" s="2111"/>
      <c r="AI95" s="2111"/>
      <c r="AJ95" s="2111"/>
      <c r="AK95" s="2111"/>
      <c r="AL95" s="2111"/>
      <c r="AM95" s="2111"/>
      <c r="AN95" s="2111"/>
      <c r="AO95" s="2111"/>
      <c r="AP95" s="2111"/>
      <c r="AQ95" s="3545"/>
      <c r="AR95" s="3545"/>
      <c r="AS95" s="2111"/>
    </row>
    <row r="96" spans="1:45" ht="15.75" x14ac:dyDescent="0.25">
      <c r="A96" s="3678"/>
      <c r="B96" s="3679"/>
      <c r="C96" s="407"/>
      <c r="D96" s="408"/>
      <c r="E96" s="67">
        <v>1905</v>
      </c>
      <c r="F96" s="1541" t="s">
        <v>1031</v>
      </c>
      <c r="G96" s="1542"/>
      <c r="H96" s="1542"/>
      <c r="I96" s="1542"/>
      <c r="J96" s="1542"/>
      <c r="K96" s="1542"/>
      <c r="L96" s="1542"/>
      <c r="M96" s="1542"/>
      <c r="N96" s="1542"/>
      <c r="O96" s="1542"/>
      <c r="P96" s="1542"/>
      <c r="Q96" s="874"/>
      <c r="R96" s="1542"/>
      <c r="S96" s="1543"/>
      <c r="T96" s="864"/>
      <c r="U96" s="864"/>
      <c r="V96" s="864"/>
      <c r="W96" s="1544"/>
      <c r="X96" s="1545"/>
      <c r="Y96" s="816"/>
      <c r="Z96" s="812"/>
      <c r="AA96" s="812"/>
      <c r="AB96" s="812"/>
      <c r="AC96" s="816"/>
      <c r="AD96" s="812"/>
      <c r="AE96" s="812"/>
      <c r="AF96" s="812"/>
      <c r="AG96" s="812"/>
      <c r="AH96" s="812"/>
      <c r="AI96" s="812"/>
      <c r="AJ96" s="812"/>
      <c r="AK96" s="812"/>
      <c r="AL96" s="812"/>
      <c r="AM96" s="812"/>
      <c r="AN96" s="812"/>
      <c r="AO96" s="812"/>
      <c r="AP96" s="812"/>
      <c r="AQ96" s="1524"/>
      <c r="AR96" s="1524"/>
      <c r="AS96" s="818"/>
    </row>
    <row r="97" spans="1:45" ht="75.75" customHeight="1" x14ac:dyDescent="0.25">
      <c r="A97" s="1442"/>
      <c r="B97" s="1406"/>
      <c r="C97" s="1410"/>
      <c r="D97" s="1406"/>
      <c r="E97" s="3648"/>
      <c r="F97" s="3649"/>
      <c r="G97" s="3521">
        <v>1905028</v>
      </c>
      <c r="H97" s="3026" t="s">
        <v>2073</v>
      </c>
      <c r="I97" s="3521">
        <v>1905028</v>
      </c>
      <c r="J97" s="3026" t="s">
        <v>2073</v>
      </c>
      <c r="K97" s="3647">
        <v>190502800</v>
      </c>
      <c r="L97" s="3592" t="s">
        <v>2074</v>
      </c>
      <c r="M97" s="3647">
        <v>190502800</v>
      </c>
      <c r="N97" s="3594" t="s">
        <v>2074</v>
      </c>
      <c r="O97" s="2170">
        <v>12</v>
      </c>
      <c r="P97" s="2170" t="s">
        <v>2075</v>
      </c>
      <c r="Q97" s="2965" t="s">
        <v>2076</v>
      </c>
      <c r="R97" s="3617">
        <f>SUM(W97:W100)/S97</f>
        <v>0.5</v>
      </c>
      <c r="S97" s="3550">
        <f>SUM(W97:W105)</f>
        <v>76000000</v>
      </c>
      <c r="T97" s="2966" t="s">
        <v>2077</v>
      </c>
      <c r="U97" s="2966" t="s">
        <v>2078</v>
      </c>
      <c r="V97" s="1547" t="s">
        <v>2079</v>
      </c>
      <c r="W97" s="1439">
        <v>13000000</v>
      </c>
      <c r="X97" s="1525" t="s">
        <v>2080</v>
      </c>
      <c r="Y97" s="1443">
        <v>61</v>
      </c>
      <c r="Z97" s="1414" t="s">
        <v>1905</v>
      </c>
      <c r="AA97" s="3640" t="s">
        <v>2028</v>
      </c>
      <c r="AB97" s="3640" t="s">
        <v>2028</v>
      </c>
      <c r="AC97" s="3645">
        <v>64149</v>
      </c>
      <c r="AD97" s="3640" t="s">
        <v>2028</v>
      </c>
      <c r="AE97" s="3640" t="s">
        <v>2028</v>
      </c>
      <c r="AF97" s="3640" t="s">
        <v>2028</v>
      </c>
      <c r="AG97" s="3640" t="s">
        <v>2028</v>
      </c>
      <c r="AH97" s="3640" t="s">
        <v>2028</v>
      </c>
      <c r="AI97" s="3640" t="s">
        <v>2028</v>
      </c>
      <c r="AJ97" s="3640" t="s">
        <v>2028</v>
      </c>
      <c r="AK97" s="3640" t="s">
        <v>2028</v>
      </c>
      <c r="AL97" s="3640" t="s">
        <v>2028</v>
      </c>
      <c r="AM97" s="3640" t="s">
        <v>2028</v>
      </c>
      <c r="AN97" s="3640" t="s">
        <v>2028</v>
      </c>
      <c r="AO97" s="3640" t="s">
        <v>2028</v>
      </c>
      <c r="AP97" s="3640" t="s">
        <v>2028</v>
      </c>
      <c r="AQ97" s="3642">
        <v>44197</v>
      </c>
      <c r="AR97" s="3642">
        <v>44561</v>
      </c>
      <c r="AS97" s="2703" t="s">
        <v>1906</v>
      </c>
    </row>
    <row r="98" spans="1:45" ht="75.75" customHeight="1" x14ac:dyDescent="0.25">
      <c r="A98" s="1442"/>
      <c r="B98" s="1406"/>
      <c r="C98" s="1410"/>
      <c r="D98" s="1406"/>
      <c r="E98" s="3648"/>
      <c r="F98" s="3649"/>
      <c r="G98" s="2166"/>
      <c r="H98" s="3556"/>
      <c r="I98" s="2166"/>
      <c r="J98" s="3556"/>
      <c r="K98" s="3644"/>
      <c r="L98" s="3546"/>
      <c r="M98" s="3644"/>
      <c r="N98" s="3553"/>
      <c r="O98" s="2057"/>
      <c r="P98" s="2057"/>
      <c r="Q98" s="2965"/>
      <c r="R98" s="3617"/>
      <c r="S98" s="3506"/>
      <c r="T98" s="2055"/>
      <c r="U98" s="2055"/>
      <c r="V98" s="1416" t="s">
        <v>2081</v>
      </c>
      <c r="W98" s="800">
        <v>13000000</v>
      </c>
      <c r="X98" s="1525" t="s">
        <v>2080</v>
      </c>
      <c r="Y98" s="1548">
        <v>61</v>
      </c>
      <c r="Z98" s="1397" t="s">
        <v>1905</v>
      </c>
      <c r="AA98" s="3640"/>
      <c r="AB98" s="3640"/>
      <c r="AC98" s="3645"/>
      <c r="AD98" s="3640"/>
      <c r="AE98" s="3640"/>
      <c r="AF98" s="3640"/>
      <c r="AG98" s="3640"/>
      <c r="AH98" s="3640"/>
      <c r="AI98" s="3640"/>
      <c r="AJ98" s="3640"/>
      <c r="AK98" s="3640"/>
      <c r="AL98" s="3640"/>
      <c r="AM98" s="3640"/>
      <c r="AN98" s="3640"/>
      <c r="AO98" s="3640"/>
      <c r="AP98" s="3640"/>
      <c r="AQ98" s="3642"/>
      <c r="AR98" s="3642"/>
      <c r="AS98" s="2703"/>
    </row>
    <row r="99" spans="1:45" ht="75.75" customHeight="1" x14ac:dyDescent="0.25">
      <c r="A99" s="1442"/>
      <c r="B99" s="1406"/>
      <c r="C99" s="1410"/>
      <c r="D99" s="1406"/>
      <c r="E99" s="3648"/>
      <c r="F99" s="3649"/>
      <c r="G99" s="2166"/>
      <c r="H99" s="3556"/>
      <c r="I99" s="2166"/>
      <c r="J99" s="3556"/>
      <c r="K99" s="3644"/>
      <c r="L99" s="3546"/>
      <c r="M99" s="3644"/>
      <c r="N99" s="3553"/>
      <c r="O99" s="2057"/>
      <c r="P99" s="2057"/>
      <c r="Q99" s="2965"/>
      <c r="R99" s="3617"/>
      <c r="S99" s="3506"/>
      <c r="T99" s="2055"/>
      <c r="U99" s="2055"/>
      <c r="V99" s="1416" t="s">
        <v>2082</v>
      </c>
      <c r="W99" s="800">
        <v>5000000</v>
      </c>
      <c r="X99" s="1525" t="s">
        <v>2080</v>
      </c>
      <c r="Y99" s="1548">
        <v>61</v>
      </c>
      <c r="Z99" s="1397" t="s">
        <v>1905</v>
      </c>
      <c r="AA99" s="3640"/>
      <c r="AB99" s="3640"/>
      <c r="AC99" s="3645"/>
      <c r="AD99" s="3640"/>
      <c r="AE99" s="3640"/>
      <c r="AF99" s="3640"/>
      <c r="AG99" s="3640"/>
      <c r="AH99" s="3640"/>
      <c r="AI99" s="3640"/>
      <c r="AJ99" s="3640"/>
      <c r="AK99" s="3640"/>
      <c r="AL99" s="3640"/>
      <c r="AM99" s="3640"/>
      <c r="AN99" s="3640"/>
      <c r="AO99" s="3640"/>
      <c r="AP99" s="3640"/>
      <c r="AQ99" s="3642"/>
      <c r="AR99" s="3642"/>
      <c r="AS99" s="2703"/>
    </row>
    <row r="100" spans="1:45" ht="75.75" customHeight="1" x14ac:dyDescent="0.25">
      <c r="A100" s="1442"/>
      <c r="B100" s="1406"/>
      <c r="C100" s="1410"/>
      <c r="D100" s="1406"/>
      <c r="E100" s="3648"/>
      <c r="F100" s="3649"/>
      <c r="G100" s="2166"/>
      <c r="H100" s="3556"/>
      <c r="I100" s="2166"/>
      <c r="J100" s="3556"/>
      <c r="K100" s="3644"/>
      <c r="L100" s="3546"/>
      <c r="M100" s="3644"/>
      <c r="N100" s="3553"/>
      <c r="O100" s="2057"/>
      <c r="P100" s="2057"/>
      <c r="Q100" s="2965"/>
      <c r="R100" s="3549"/>
      <c r="S100" s="3506"/>
      <c r="T100" s="2055"/>
      <c r="U100" s="2055"/>
      <c r="V100" s="1416" t="s">
        <v>2083</v>
      </c>
      <c r="W100" s="800">
        <v>7000000</v>
      </c>
      <c r="X100" s="1525" t="s">
        <v>2080</v>
      </c>
      <c r="Y100" s="1548">
        <v>61</v>
      </c>
      <c r="Z100" s="1397" t="s">
        <v>1905</v>
      </c>
      <c r="AA100" s="3640"/>
      <c r="AB100" s="3640"/>
      <c r="AC100" s="3645"/>
      <c r="AD100" s="3640"/>
      <c r="AE100" s="3640"/>
      <c r="AF100" s="3640"/>
      <c r="AG100" s="3640"/>
      <c r="AH100" s="3640"/>
      <c r="AI100" s="3640"/>
      <c r="AJ100" s="3640"/>
      <c r="AK100" s="3640"/>
      <c r="AL100" s="3640"/>
      <c r="AM100" s="3640"/>
      <c r="AN100" s="3640"/>
      <c r="AO100" s="3640"/>
      <c r="AP100" s="3640"/>
      <c r="AQ100" s="3642"/>
      <c r="AR100" s="3642"/>
      <c r="AS100" s="2703"/>
    </row>
    <row r="101" spans="1:45" ht="75.75" customHeight="1" x14ac:dyDescent="0.25">
      <c r="A101" s="1442"/>
      <c r="B101" s="1406"/>
      <c r="C101" s="1410"/>
      <c r="D101" s="1406"/>
      <c r="E101" s="3648"/>
      <c r="F101" s="3649"/>
      <c r="G101" s="2166">
        <v>1905031</v>
      </c>
      <c r="H101" s="3556" t="s">
        <v>2084</v>
      </c>
      <c r="I101" s="2166">
        <v>1905031</v>
      </c>
      <c r="J101" s="3556" t="s">
        <v>2084</v>
      </c>
      <c r="K101" s="3644">
        <v>190503100</v>
      </c>
      <c r="L101" s="3546" t="s">
        <v>2085</v>
      </c>
      <c r="M101" s="3644">
        <v>190503100</v>
      </c>
      <c r="N101" s="3553" t="s">
        <v>2085</v>
      </c>
      <c r="O101" s="2057">
        <v>12</v>
      </c>
      <c r="P101" s="2057"/>
      <c r="Q101" s="2965"/>
      <c r="R101" s="3555">
        <f>SUM(W101:W105)/S97</f>
        <v>0.5</v>
      </c>
      <c r="S101" s="3506"/>
      <c r="T101" s="2055"/>
      <c r="U101" s="2055" t="s">
        <v>2086</v>
      </c>
      <c r="V101" s="1416" t="s">
        <v>2087</v>
      </c>
      <c r="W101" s="800">
        <v>8000000</v>
      </c>
      <c r="X101" s="1525" t="s">
        <v>2088</v>
      </c>
      <c r="Y101" s="1548">
        <v>61</v>
      </c>
      <c r="Z101" s="1397" t="s">
        <v>1905</v>
      </c>
      <c r="AA101" s="3640"/>
      <c r="AB101" s="3640"/>
      <c r="AC101" s="3645"/>
      <c r="AD101" s="3640"/>
      <c r="AE101" s="3640"/>
      <c r="AF101" s="3640"/>
      <c r="AG101" s="3640"/>
      <c r="AH101" s="3640"/>
      <c r="AI101" s="3640"/>
      <c r="AJ101" s="3640"/>
      <c r="AK101" s="3640"/>
      <c r="AL101" s="3640"/>
      <c r="AM101" s="3640"/>
      <c r="AN101" s="3640"/>
      <c r="AO101" s="3640"/>
      <c r="AP101" s="3640"/>
      <c r="AQ101" s="3642"/>
      <c r="AR101" s="3642"/>
      <c r="AS101" s="2703"/>
    </row>
    <row r="102" spans="1:45" ht="75.75" customHeight="1" x14ac:dyDescent="0.25">
      <c r="A102" s="1442"/>
      <c r="B102" s="1406"/>
      <c r="C102" s="1410"/>
      <c r="D102" s="1406"/>
      <c r="E102" s="3648"/>
      <c r="F102" s="3649"/>
      <c r="G102" s="2166"/>
      <c r="H102" s="3556"/>
      <c r="I102" s="2166"/>
      <c r="J102" s="3556"/>
      <c r="K102" s="3644"/>
      <c r="L102" s="3546"/>
      <c r="M102" s="3644"/>
      <c r="N102" s="3553"/>
      <c r="O102" s="2057"/>
      <c r="P102" s="2057"/>
      <c r="Q102" s="2965"/>
      <c r="R102" s="3617"/>
      <c r="S102" s="3506"/>
      <c r="T102" s="2055"/>
      <c r="U102" s="2055"/>
      <c r="V102" s="1416" t="s">
        <v>2089</v>
      </c>
      <c r="W102" s="800">
        <v>8000000</v>
      </c>
      <c r="X102" s="1525" t="s">
        <v>2088</v>
      </c>
      <c r="Y102" s="1548">
        <v>61</v>
      </c>
      <c r="Z102" s="1397" t="s">
        <v>1905</v>
      </c>
      <c r="AA102" s="3640"/>
      <c r="AB102" s="3640"/>
      <c r="AC102" s="3645"/>
      <c r="AD102" s="3640"/>
      <c r="AE102" s="3640"/>
      <c r="AF102" s="3640"/>
      <c r="AG102" s="3640"/>
      <c r="AH102" s="3640"/>
      <c r="AI102" s="3640"/>
      <c r="AJ102" s="3640"/>
      <c r="AK102" s="3640"/>
      <c r="AL102" s="3640"/>
      <c r="AM102" s="3640"/>
      <c r="AN102" s="3640"/>
      <c r="AO102" s="3640"/>
      <c r="AP102" s="3640"/>
      <c r="AQ102" s="3642"/>
      <c r="AR102" s="3642"/>
      <c r="AS102" s="2703"/>
    </row>
    <row r="103" spans="1:45" ht="75.75" customHeight="1" x14ac:dyDescent="0.25">
      <c r="A103" s="1442"/>
      <c r="B103" s="1406"/>
      <c r="C103" s="1410"/>
      <c r="D103" s="1406"/>
      <c r="E103" s="3648"/>
      <c r="F103" s="3649"/>
      <c r="G103" s="2166"/>
      <c r="H103" s="3556"/>
      <c r="I103" s="2166"/>
      <c r="J103" s="3556"/>
      <c r="K103" s="3644"/>
      <c r="L103" s="3546"/>
      <c r="M103" s="3644"/>
      <c r="N103" s="3553"/>
      <c r="O103" s="2057"/>
      <c r="P103" s="2057"/>
      <c r="Q103" s="2965"/>
      <c r="R103" s="3617"/>
      <c r="S103" s="3506"/>
      <c r="T103" s="2055"/>
      <c r="U103" s="2055"/>
      <c r="V103" s="1416" t="s">
        <v>2090</v>
      </c>
      <c r="W103" s="800">
        <v>8000000</v>
      </c>
      <c r="X103" s="1525" t="s">
        <v>2088</v>
      </c>
      <c r="Y103" s="1548">
        <v>61</v>
      </c>
      <c r="Z103" s="1397" t="s">
        <v>1905</v>
      </c>
      <c r="AA103" s="3640"/>
      <c r="AB103" s="3640"/>
      <c r="AC103" s="3645"/>
      <c r="AD103" s="3640"/>
      <c r="AE103" s="3640"/>
      <c r="AF103" s="3640"/>
      <c r="AG103" s="3640"/>
      <c r="AH103" s="3640"/>
      <c r="AI103" s="3640"/>
      <c r="AJ103" s="3640"/>
      <c r="AK103" s="3640"/>
      <c r="AL103" s="3640"/>
      <c r="AM103" s="3640"/>
      <c r="AN103" s="3640"/>
      <c r="AO103" s="3640"/>
      <c r="AP103" s="3640"/>
      <c r="AQ103" s="3642"/>
      <c r="AR103" s="3642"/>
      <c r="AS103" s="2703"/>
    </row>
    <row r="104" spans="1:45" ht="75.75" customHeight="1" x14ac:dyDescent="0.25">
      <c r="A104" s="1442"/>
      <c r="B104" s="1406"/>
      <c r="C104" s="1410"/>
      <c r="D104" s="1406"/>
      <c r="E104" s="3648"/>
      <c r="F104" s="3649"/>
      <c r="G104" s="2166"/>
      <c r="H104" s="3556"/>
      <c r="I104" s="2166"/>
      <c r="J104" s="3556"/>
      <c r="K104" s="3644"/>
      <c r="L104" s="3546"/>
      <c r="M104" s="3644"/>
      <c r="N104" s="3553"/>
      <c r="O104" s="2057"/>
      <c r="P104" s="2057"/>
      <c r="Q104" s="2965"/>
      <c r="R104" s="3617"/>
      <c r="S104" s="3506"/>
      <c r="T104" s="2055"/>
      <c r="U104" s="2055"/>
      <c r="V104" s="1416" t="s">
        <v>2091</v>
      </c>
      <c r="W104" s="800">
        <v>6000000</v>
      </c>
      <c r="X104" s="1525" t="s">
        <v>2088</v>
      </c>
      <c r="Y104" s="1548">
        <v>61</v>
      </c>
      <c r="Z104" s="1397" t="s">
        <v>1905</v>
      </c>
      <c r="AA104" s="3640"/>
      <c r="AB104" s="3640"/>
      <c r="AC104" s="3645"/>
      <c r="AD104" s="3640"/>
      <c r="AE104" s="3640"/>
      <c r="AF104" s="3640"/>
      <c r="AG104" s="3640"/>
      <c r="AH104" s="3640"/>
      <c r="AI104" s="3640"/>
      <c r="AJ104" s="3640"/>
      <c r="AK104" s="3640"/>
      <c r="AL104" s="3640"/>
      <c r="AM104" s="3640"/>
      <c r="AN104" s="3640"/>
      <c r="AO104" s="3640"/>
      <c r="AP104" s="3640"/>
      <c r="AQ104" s="3642"/>
      <c r="AR104" s="3642"/>
      <c r="AS104" s="2703"/>
    </row>
    <row r="105" spans="1:45" ht="75.75" customHeight="1" x14ac:dyDescent="0.25">
      <c r="A105" s="1442"/>
      <c r="B105" s="1406"/>
      <c r="C105" s="1410"/>
      <c r="D105" s="1406"/>
      <c r="E105" s="3648"/>
      <c r="F105" s="3649"/>
      <c r="G105" s="2166"/>
      <c r="H105" s="3556"/>
      <c r="I105" s="2166"/>
      <c r="J105" s="3556"/>
      <c r="K105" s="3644"/>
      <c r="L105" s="3546"/>
      <c r="M105" s="3644"/>
      <c r="N105" s="3553"/>
      <c r="O105" s="2057"/>
      <c r="P105" s="2057"/>
      <c r="Q105" s="2966"/>
      <c r="R105" s="3549"/>
      <c r="S105" s="3506"/>
      <c r="T105" s="2055"/>
      <c r="U105" s="2055"/>
      <c r="V105" s="1416" t="s">
        <v>2092</v>
      </c>
      <c r="W105" s="800">
        <v>8000000</v>
      </c>
      <c r="X105" s="1525" t="s">
        <v>2088</v>
      </c>
      <c r="Y105" s="1548">
        <v>61</v>
      </c>
      <c r="Z105" s="1397" t="s">
        <v>1905</v>
      </c>
      <c r="AA105" s="3641"/>
      <c r="AB105" s="3641"/>
      <c r="AC105" s="3646"/>
      <c r="AD105" s="3641"/>
      <c r="AE105" s="3641"/>
      <c r="AF105" s="3641"/>
      <c r="AG105" s="3641"/>
      <c r="AH105" s="3641"/>
      <c r="AI105" s="3641"/>
      <c r="AJ105" s="3641"/>
      <c r="AK105" s="3641"/>
      <c r="AL105" s="3641"/>
      <c r="AM105" s="3641"/>
      <c r="AN105" s="3641"/>
      <c r="AO105" s="3641"/>
      <c r="AP105" s="3641"/>
      <c r="AQ105" s="3643"/>
      <c r="AR105" s="3643"/>
      <c r="AS105" s="3618"/>
    </row>
    <row r="106" spans="1:45" ht="54" customHeight="1" x14ac:dyDescent="0.25">
      <c r="A106" s="1442"/>
      <c r="B106" s="1406"/>
      <c r="C106" s="1410"/>
      <c r="D106" s="1406"/>
      <c r="E106" s="3648"/>
      <c r="F106" s="3649"/>
      <c r="G106" s="1413">
        <v>1905019</v>
      </c>
      <c r="H106" s="1549" t="s">
        <v>2093</v>
      </c>
      <c r="I106" s="1413">
        <v>1905019</v>
      </c>
      <c r="J106" s="1549" t="s">
        <v>2093</v>
      </c>
      <c r="K106" s="1450">
        <v>190501900</v>
      </c>
      <c r="L106" s="1550" t="s">
        <v>1350</v>
      </c>
      <c r="M106" s="1450">
        <v>190501900</v>
      </c>
      <c r="N106" s="1551" t="s">
        <v>1350</v>
      </c>
      <c r="O106" s="1552">
        <v>60</v>
      </c>
      <c r="P106" s="2057" t="s">
        <v>2094</v>
      </c>
      <c r="Q106" s="2055" t="s">
        <v>2095</v>
      </c>
      <c r="R106" s="1553">
        <f>W106/S106</f>
        <v>0.1</v>
      </c>
      <c r="S106" s="3506">
        <f>SUM(W106:W122)</f>
        <v>200000000</v>
      </c>
      <c r="T106" s="2055" t="s">
        <v>2096</v>
      </c>
      <c r="U106" s="2056" t="s">
        <v>2097</v>
      </c>
      <c r="V106" s="1554" t="s">
        <v>2098</v>
      </c>
      <c r="W106" s="1399">
        <v>20000000</v>
      </c>
      <c r="X106" s="1525" t="s">
        <v>2099</v>
      </c>
      <c r="Y106" s="1548">
        <v>61</v>
      </c>
      <c r="Z106" s="1414" t="s">
        <v>1905</v>
      </c>
      <c r="AA106" s="2148">
        <v>292684</v>
      </c>
      <c r="AB106" s="2148">
        <v>282326</v>
      </c>
      <c r="AC106" s="3508">
        <v>135912</v>
      </c>
      <c r="AD106" s="2148">
        <v>45122</v>
      </c>
      <c r="AE106" s="2148">
        <v>307101</v>
      </c>
      <c r="AF106" s="2148">
        <v>86875</v>
      </c>
      <c r="AG106" s="2148">
        <v>2145</v>
      </c>
      <c r="AH106" s="2148">
        <v>12718</v>
      </c>
      <c r="AI106" s="2148">
        <v>26</v>
      </c>
      <c r="AJ106" s="2148">
        <v>37</v>
      </c>
      <c r="AK106" s="2148">
        <v>16897</v>
      </c>
      <c r="AL106" s="2148" t="s">
        <v>2028</v>
      </c>
      <c r="AM106" s="2148">
        <v>53164</v>
      </c>
      <c r="AN106" s="2148">
        <v>16982</v>
      </c>
      <c r="AO106" s="2148">
        <v>60013</v>
      </c>
      <c r="AP106" s="2148">
        <v>575010</v>
      </c>
      <c r="AQ106" s="3505">
        <v>44197</v>
      </c>
      <c r="AR106" s="3505">
        <v>44561</v>
      </c>
      <c r="AS106" s="2148" t="s">
        <v>1906</v>
      </c>
    </row>
    <row r="107" spans="1:45" ht="54" customHeight="1" x14ac:dyDescent="0.25">
      <c r="A107" s="1442"/>
      <c r="B107" s="1406"/>
      <c r="C107" s="1410"/>
      <c r="D107" s="1406"/>
      <c r="E107" s="3648"/>
      <c r="F107" s="3649"/>
      <c r="G107" s="2166" t="s">
        <v>62</v>
      </c>
      <c r="H107" s="3319" t="s">
        <v>2100</v>
      </c>
      <c r="I107" s="2166">
        <v>1905031</v>
      </c>
      <c r="J107" s="3319" t="s">
        <v>2100</v>
      </c>
      <c r="K107" s="3529" t="s">
        <v>62</v>
      </c>
      <c r="L107" s="3636" t="s">
        <v>2101</v>
      </c>
      <c r="M107" s="3529">
        <v>190503100</v>
      </c>
      <c r="N107" s="3638" t="s">
        <v>2101</v>
      </c>
      <c r="O107" s="2123">
        <v>11</v>
      </c>
      <c r="P107" s="2057"/>
      <c r="Q107" s="2055"/>
      <c r="R107" s="3555">
        <f>SUM(W107:W108)/S106</f>
        <v>0.1</v>
      </c>
      <c r="S107" s="3506"/>
      <c r="T107" s="2055"/>
      <c r="U107" s="2965"/>
      <c r="V107" s="1416" t="s">
        <v>2102</v>
      </c>
      <c r="W107" s="1399">
        <v>10000000</v>
      </c>
      <c r="X107" s="1525" t="s">
        <v>2103</v>
      </c>
      <c r="Y107" s="1548">
        <v>61</v>
      </c>
      <c r="Z107" s="1397" t="s">
        <v>1905</v>
      </c>
      <c r="AA107" s="2111"/>
      <c r="AB107" s="2111"/>
      <c r="AC107" s="3509"/>
      <c r="AD107" s="2111"/>
      <c r="AE107" s="2111"/>
      <c r="AF107" s="2111"/>
      <c r="AG107" s="2111"/>
      <c r="AH107" s="2111"/>
      <c r="AI107" s="2111"/>
      <c r="AJ107" s="2111"/>
      <c r="AK107" s="2111"/>
      <c r="AL107" s="2111"/>
      <c r="AM107" s="2111"/>
      <c r="AN107" s="2111"/>
      <c r="AO107" s="2111"/>
      <c r="AP107" s="2111"/>
      <c r="AQ107" s="3545"/>
      <c r="AR107" s="3545"/>
      <c r="AS107" s="2111"/>
    </row>
    <row r="108" spans="1:45" ht="54" customHeight="1" x14ac:dyDescent="0.25">
      <c r="A108" s="1442"/>
      <c r="B108" s="1406"/>
      <c r="C108" s="1410"/>
      <c r="D108" s="1406"/>
      <c r="E108" s="3648"/>
      <c r="F108" s="3649"/>
      <c r="G108" s="2166"/>
      <c r="H108" s="3267"/>
      <c r="I108" s="2166"/>
      <c r="J108" s="3267"/>
      <c r="K108" s="3512"/>
      <c r="L108" s="3637"/>
      <c r="M108" s="3512"/>
      <c r="N108" s="3639"/>
      <c r="O108" s="2125"/>
      <c r="P108" s="2057"/>
      <c r="Q108" s="2055"/>
      <c r="R108" s="3549"/>
      <c r="S108" s="3506"/>
      <c r="T108" s="2055"/>
      <c r="U108" s="2966"/>
      <c r="V108" s="1416" t="s">
        <v>2104</v>
      </c>
      <c r="W108" s="1399">
        <v>10000000</v>
      </c>
      <c r="X108" s="1525" t="s">
        <v>2103</v>
      </c>
      <c r="Y108" s="1548">
        <v>61</v>
      </c>
      <c r="Z108" s="1397" t="s">
        <v>1905</v>
      </c>
      <c r="AA108" s="2111"/>
      <c r="AB108" s="2111"/>
      <c r="AC108" s="3509"/>
      <c r="AD108" s="2111"/>
      <c r="AE108" s="2111"/>
      <c r="AF108" s="2111"/>
      <c r="AG108" s="2111"/>
      <c r="AH108" s="2111"/>
      <c r="AI108" s="2111"/>
      <c r="AJ108" s="2111"/>
      <c r="AK108" s="2111"/>
      <c r="AL108" s="2111"/>
      <c r="AM108" s="2111"/>
      <c r="AN108" s="2111"/>
      <c r="AO108" s="2111"/>
      <c r="AP108" s="2111"/>
      <c r="AQ108" s="3545"/>
      <c r="AR108" s="3545"/>
      <c r="AS108" s="2111"/>
    </row>
    <row r="109" spans="1:45" ht="54" customHeight="1" x14ac:dyDescent="0.25">
      <c r="A109" s="1442"/>
      <c r="B109" s="1406"/>
      <c r="C109" s="1410"/>
      <c r="D109" s="1406"/>
      <c r="E109" s="3648"/>
      <c r="F109" s="3649"/>
      <c r="G109" s="2166" t="s">
        <v>62</v>
      </c>
      <c r="H109" s="3319" t="s">
        <v>2105</v>
      </c>
      <c r="I109" s="2166">
        <v>1905015</v>
      </c>
      <c r="J109" s="3319" t="s">
        <v>745</v>
      </c>
      <c r="K109" s="3529" t="s">
        <v>62</v>
      </c>
      <c r="L109" s="3636" t="s">
        <v>2106</v>
      </c>
      <c r="M109" s="3529">
        <v>190501501</v>
      </c>
      <c r="N109" s="3638" t="s">
        <v>2107</v>
      </c>
      <c r="O109" s="2123">
        <v>1</v>
      </c>
      <c r="P109" s="2057"/>
      <c r="Q109" s="2055"/>
      <c r="R109" s="3555">
        <f>SUM(W109:W110)/S106</f>
        <v>0.1</v>
      </c>
      <c r="S109" s="3506"/>
      <c r="T109" s="2055"/>
      <c r="U109" s="2056" t="s">
        <v>2108</v>
      </c>
      <c r="V109" s="1416" t="s">
        <v>2109</v>
      </c>
      <c r="W109" s="1555">
        <v>10000000</v>
      </c>
      <c r="X109" s="1525" t="s">
        <v>2110</v>
      </c>
      <c r="Y109" s="1548">
        <v>61</v>
      </c>
      <c r="Z109" s="1397" t="s">
        <v>1905</v>
      </c>
      <c r="AA109" s="2111"/>
      <c r="AB109" s="2111"/>
      <c r="AC109" s="3509"/>
      <c r="AD109" s="2111"/>
      <c r="AE109" s="2111"/>
      <c r="AF109" s="2111"/>
      <c r="AG109" s="2111"/>
      <c r="AH109" s="2111"/>
      <c r="AI109" s="2111"/>
      <c r="AJ109" s="2111"/>
      <c r="AK109" s="2111"/>
      <c r="AL109" s="2111"/>
      <c r="AM109" s="2111"/>
      <c r="AN109" s="2111"/>
      <c r="AO109" s="2111"/>
      <c r="AP109" s="2111"/>
      <c r="AQ109" s="3545"/>
      <c r="AR109" s="3545"/>
      <c r="AS109" s="2111"/>
    </row>
    <row r="110" spans="1:45" ht="54" customHeight="1" x14ac:dyDescent="0.25">
      <c r="A110" s="1442"/>
      <c r="B110" s="1406"/>
      <c r="C110" s="1410"/>
      <c r="D110" s="1406"/>
      <c r="E110" s="3648"/>
      <c r="F110" s="3649"/>
      <c r="G110" s="2166"/>
      <c r="H110" s="3267"/>
      <c r="I110" s="2166"/>
      <c r="J110" s="3267"/>
      <c r="K110" s="3512"/>
      <c r="L110" s="3637"/>
      <c r="M110" s="3512"/>
      <c r="N110" s="3639"/>
      <c r="O110" s="2125"/>
      <c r="P110" s="2057"/>
      <c r="Q110" s="2055"/>
      <c r="R110" s="3549"/>
      <c r="S110" s="3506"/>
      <c r="T110" s="2055"/>
      <c r="U110" s="2965"/>
      <c r="V110" s="1416" t="s">
        <v>2111</v>
      </c>
      <c r="W110" s="1399">
        <v>10000000</v>
      </c>
      <c r="X110" s="1525" t="s">
        <v>2110</v>
      </c>
      <c r="Y110" s="1548">
        <v>61</v>
      </c>
      <c r="Z110" s="1397" t="s">
        <v>1905</v>
      </c>
      <c r="AA110" s="2111"/>
      <c r="AB110" s="2111"/>
      <c r="AC110" s="3509"/>
      <c r="AD110" s="2111"/>
      <c r="AE110" s="2111"/>
      <c r="AF110" s="2111"/>
      <c r="AG110" s="2111"/>
      <c r="AH110" s="2111"/>
      <c r="AI110" s="2111"/>
      <c r="AJ110" s="2111"/>
      <c r="AK110" s="2111"/>
      <c r="AL110" s="2111"/>
      <c r="AM110" s="2111"/>
      <c r="AN110" s="2111"/>
      <c r="AO110" s="2111"/>
      <c r="AP110" s="2111"/>
      <c r="AQ110" s="3545"/>
      <c r="AR110" s="3545"/>
      <c r="AS110" s="2111"/>
    </row>
    <row r="111" spans="1:45" ht="54" customHeight="1" x14ac:dyDescent="0.25">
      <c r="A111" s="1442"/>
      <c r="B111" s="1406"/>
      <c r="C111" s="1410"/>
      <c r="D111" s="1406"/>
      <c r="E111" s="3648"/>
      <c r="F111" s="3649"/>
      <c r="G111" s="2166" t="s">
        <v>62</v>
      </c>
      <c r="H111" s="3319" t="s">
        <v>2112</v>
      </c>
      <c r="I111" s="2166">
        <v>1905024</v>
      </c>
      <c r="J111" s="3319" t="s">
        <v>2113</v>
      </c>
      <c r="K111" s="3529" t="s">
        <v>62</v>
      </c>
      <c r="L111" s="3629" t="s">
        <v>2114</v>
      </c>
      <c r="M111" s="3529">
        <v>190502400</v>
      </c>
      <c r="N111" s="3652" t="s">
        <v>2115</v>
      </c>
      <c r="O111" s="2123">
        <v>3</v>
      </c>
      <c r="P111" s="2057"/>
      <c r="Q111" s="2055"/>
      <c r="R111" s="3555">
        <f>SUM(W111:W115)/S106</f>
        <v>0.32</v>
      </c>
      <c r="S111" s="3506"/>
      <c r="T111" s="2055"/>
      <c r="U111" s="2965"/>
      <c r="V111" s="1416" t="s">
        <v>2116</v>
      </c>
      <c r="W111" s="800">
        <v>5000000</v>
      </c>
      <c r="X111" s="1525" t="s">
        <v>2117</v>
      </c>
      <c r="Y111" s="1548">
        <v>61</v>
      </c>
      <c r="Z111" s="1397" t="s">
        <v>1905</v>
      </c>
      <c r="AA111" s="2111"/>
      <c r="AB111" s="2111"/>
      <c r="AC111" s="3509"/>
      <c r="AD111" s="2111"/>
      <c r="AE111" s="2111"/>
      <c r="AF111" s="2111"/>
      <c r="AG111" s="2111"/>
      <c r="AH111" s="2111"/>
      <c r="AI111" s="2111"/>
      <c r="AJ111" s="2111"/>
      <c r="AK111" s="2111"/>
      <c r="AL111" s="2111"/>
      <c r="AM111" s="2111"/>
      <c r="AN111" s="2111"/>
      <c r="AO111" s="2111"/>
      <c r="AP111" s="2111"/>
      <c r="AQ111" s="3545"/>
      <c r="AR111" s="3545"/>
      <c r="AS111" s="2111"/>
    </row>
    <row r="112" spans="1:45" ht="54" customHeight="1" x14ac:dyDescent="0.25">
      <c r="A112" s="1442"/>
      <c r="B112" s="1406"/>
      <c r="C112" s="1410"/>
      <c r="D112" s="1406"/>
      <c r="E112" s="3648"/>
      <c r="F112" s="3649"/>
      <c r="G112" s="2166"/>
      <c r="H112" s="3266"/>
      <c r="I112" s="2166"/>
      <c r="J112" s="3266"/>
      <c r="K112" s="3511"/>
      <c r="L112" s="3634"/>
      <c r="M112" s="3511"/>
      <c r="N112" s="3653"/>
      <c r="O112" s="2124"/>
      <c r="P112" s="2057"/>
      <c r="Q112" s="2055"/>
      <c r="R112" s="3617"/>
      <c r="S112" s="3506"/>
      <c r="T112" s="2055"/>
      <c r="U112" s="2965"/>
      <c r="V112" s="1416" t="s">
        <v>2118</v>
      </c>
      <c r="W112" s="800">
        <v>5000000</v>
      </c>
      <c r="X112" s="1525" t="s">
        <v>2117</v>
      </c>
      <c r="Y112" s="1548">
        <v>61</v>
      </c>
      <c r="Z112" s="1397" t="s">
        <v>1905</v>
      </c>
      <c r="AA112" s="2111"/>
      <c r="AB112" s="2111"/>
      <c r="AC112" s="3509"/>
      <c r="AD112" s="2111"/>
      <c r="AE112" s="2111"/>
      <c r="AF112" s="2111"/>
      <c r="AG112" s="2111"/>
      <c r="AH112" s="2111"/>
      <c r="AI112" s="2111"/>
      <c r="AJ112" s="2111"/>
      <c r="AK112" s="2111"/>
      <c r="AL112" s="2111"/>
      <c r="AM112" s="2111"/>
      <c r="AN112" s="2111"/>
      <c r="AO112" s="2111"/>
      <c r="AP112" s="2111"/>
      <c r="AQ112" s="3545"/>
      <c r="AR112" s="3545"/>
      <c r="AS112" s="2111"/>
    </row>
    <row r="113" spans="1:45" ht="54" customHeight="1" x14ac:dyDescent="0.25">
      <c r="A113" s="1442"/>
      <c r="B113" s="1406"/>
      <c r="C113" s="1410"/>
      <c r="D113" s="1406"/>
      <c r="E113" s="3648"/>
      <c r="F113" s="3649"/>
      <c r="G113" s="2166"/>
      <c r="H113" s="3266"/>
      <c r="I113" s="2166"/>
      <c r="J113" s="3266"/>
      <c r="K113" s="3511"/>
      <c r="L113" s="3634"/>
      <c r="M113" s="3511"/>
      <c r="N113" s="3653"/>
      <c r="O113" s="2124"/>
      <c r="P113" s="2057"/>
      <c r="Q113" s="2055"/>
      <c r="R113" s="3617"/>
      <c r="S113" s="3506"/>
      <c r="T113" s="2055"/>
      <c r="U113" s="2965"/>
      <c r="V113" s="1416" t="s">
        <v>1919</v>
      </c>
      <c r="W113" s="800">
        <v>34000000</v>
      </c>
      <c r="X113" s="1525" t="s">
        <v>2117</v>
      </c>
      <c r="Y113" s="1548">
        <v>61</v>
      </c>
      <c r="Z113" s="1397" t="s">
        <v>1905</v>
      </c>
      <c r="AA113" s="2111"/>
      <c r="AB113" s="2111"/>
      <c r="AC113" s="3509"/>
      <c r="AD113" s="2111"/>
      <c r="AE113" s="2111"/>
      <c r="AF113" s="2111"/>
      <c r="AG113" s="2111"/>
      <c r="AH113" s="2111"/>
      <c r="AI113" s="2111"/>
      <c r="AJ113" s="2111"/>
      <c r="AK113" s="2111"/>
      <c r="AL113" s="2111"/>
      <c r="AM113" s="2111"/>
      <c r="AN113" s="2111"/>
      <c r="AO113" s="2111"/>
      <c r="AP113" s="2111"/>
      <c r="AQ113" s="3545"/>
      <c r="AR113" s="3545"/>
      <c r="AS113" s="2111"/>
    </row>
    <row r="114" spans="1:45" ht="54" customHeight="1" x14ac:dyDescent="0.25">
      <c r="A114" s="1442"/>
      <c r="B114" s="1406"/>
      <c r="C114" s="1410"/>
      <c r="D114" s="1406"/>
      <c r="E114" s="3648"/>
      <c r="F114" s="3649"/>
      <c r="G114" s="2166"/>
      <c r="H114" s="3266"/>
      <c r="I114" s="2166"/>
      <c r="J114" s="3266"/>
      <c r="K114" s="3511"/>
      <c r="L114" s="3634"/>
      <c r="M114" s="3511"/>
      <c r="N114" s="3653"/>
      <c r="O114" s="2124"/>
      <c r="P114" s="2057"/>
      <c r="Q114" s="2055"/>
      <c r="R114" s="3617"/>
      <c r="S114" s="3506"/>
      <c r="T114" s="2055"/>
      <c r="U114" s="2965"/>
      <c r="V114" s="1416" t="s">
        <v>2119</v>
      </c>
      <c r="W114" s="800">
        <v>10000000</v>
      </c>
      <c r="X114" s="1525" t="s">
        <v>2117</v>
      </c>
      <c r="Y114" s="1548">
        <v>61</v>
      </c>
      <c r="Z114" s="1397" t="s">
        <v>1905</v>
      </c>
      <c r="AA114" s="2111"/>
      <c r="AB114" s="2111"/>
      <c r="AC114" s="3509"/>
      <c r="AD114" s="2111"/>
      <c r="AE114" s="2111"/>
      <c r="AF114" s="2111"/>
      <c r="AG114" s="2111"/>
      <c r="AH114" s="2111"/>
      <c r="AI114" s="2111"/>
      <c r="AJ114" s="2111"/>
      <c r="AK114" s="2111"/>
      <c r="AL114" s="2111"/>
      <c r="AM114" s="2111"/>
      <c r="AN114" s="2111"/>
      <c r="AO114" s="2111"/>
      <c r="AP114" s="2111"/>
      <c r="AQ114" s="3545"/>
      <c r="AR114" s="3545"/>
      <c r="AS114" s="2111"/>
    </row>
    <row r="115" spans="1:45" ht="54" customHeight="1" x14ac:dyDescent="0.25">
      <c r="A115" s="1442"/>
      <c r="B115" s="1406"/>
      <c r="C115" s="1410"/>
      <c r="D115" s="1406"/>
      <c r="E115" s="3648"/>
      <c r="F115" s="3649"/>
      <c r="G115" s="2166"/>
      <c r="H115" s="3267"/>
      <c r="I115" s="2166"/>
      <c r="J115" s="3267"/>
      <c r="K115" s="3512"/>
      <c r="L115" s="3630"/>
      <c r="M115" s="3512"/>
      <c r="N115" s="3654"/>
      <c r="O115" s="2125"/>
      <c r="P115" s="2057"/>
      <c r="Q115" s="2055"/>
      <c r="R115" s="3549"/>
      <c r="S115" s="3506"/>
      <c r="T115" s="2055"/>
      <c r="U115" s="2965"/>
      <c r="V115" s="1416" t="s">
        <v>2120</v>
      </c>
      <c r="W115" s="800">
        <v>10000000</v>
      </c>
      <c r="X115" s="1525" t="s">
        <v>2117</v>
      </c>
      <c r="Y115" s="1548">
        <v>61</v>
      </c>
      <c r="Z115" s="1397" t="s">
        <v>1905</v>
      </c>
      <c r="AA115" s="2111"/>
      <c r="AB115" s="2111"/>
      <c r="AC115" s="3509"/>
      <c r="AD115" s="2111"/>
      <c r="AE115" s="2111"/>
      <c r="AF115" s="2111"/>
      <c r="AG115" s="2111"/>
      <c r="AH115" s="2111"/>
      <c r="AI115" s="2111"/>
      <c r="AJ115" s="2111"/>
      <c r="AK115" s="2111"/>
      <c r="AL115" s="2111"/>
      <c r="AM115" s="2111"/>
      <c r="AN115" s="2111"/>
      <c r="AO115" s="2111"/>
      <c r="AP115" s="2111"/>
      <c r="AQ115" s="3545"/>
      <c r="AR115" s="3545"/>
      <c r="AS115" s="2111"/>
    </row>
    <row r="116" spans="1:45" ht="54" customHeight="1" x14ac:dyDescent="0.25">
      <c r="A116" s="1442"/>
      <c r="B116" s="1406"/>
      <c r="C116" s="1410"/>
      <c r="D116" s="1406"/>
      <c r="E116" s="3648"/>
      <c r="F116" s="3649"/>
      <c r="G116" s="2166" t="s">
        <v>62</v>
      </c>
      <c r="H116" s="3319" t="s">
        <v>2121</v>
      </c>
      <c r="I116" s="2166">
        <v>1905015</v>
      </c>
      <c r="J116" s="3319" t="s">
        <v>745</v>
      </c>
      <c r="K116" s="3529" t="s">
        <v>62</v>
      </c>
      <c r="L116" s="3636" t="s">
        <v>2122</v>
      </c>
      <c r="M116" s="3529">
        <v>190501500</v>
      </c>
      <c r="N116" s="3638" t="s">
        <v>2107</v>
      </c>
      <c r="O116" s="2123">
        <v>4</v>
      </c>
      <c r="P116" s="2057"/>
      <c r="Q116" s="2055"/>
      <c r="R116" s="3555">
        <f>SUM(W116:W117)/S106</f>
        <v>0.1</v>
      </c>
      <c r="S116" s="3506"/>
      <c r="T116" s="2055"/>
      <c r="U116" s="2965"/>
      <c r="V116" s="1416" t="s">
        <v>2123</v>
      </c>
      <c r="W116" s="1399">
        <v>10000000</v>
      </c>
      <c r="X116" s="1525" t="s">
        <v>2124</v>
      </c>
      <c r="Y116" s="1548">
        <v>61</v>
      </c>
      <c r="Z116" s="1397" t="s">
        <v>1905</v>
      </c>
      <c r="AA116" s="2111"/>
      <c r="AB116" s="2111"/>
      <c r="AC116" s="3509"/>
      <c r="AD116" s="2111"/>
      <c r="AE116" s="2111"/>
      <c r="AF116" s="2111"/>
      <c r="AG116" s="2111"/>
      <c r="AH116" s="2111"/>
      <c r="AI116" s="2111"/>
      <c r="AJ116" s="2111"/>
      <c r="AK116" s="2111"/>
      <c r="AL116" s="2111"/>
      <c r="AM116" s="2111"/>
      <c r="AN116" s="2111"/>
      <c r="AO116" s="2111"/>
      <c r="AP116" s="2111"/>
      <c r="AQ116" s="3545"/>
      <c r="AR116" s="3545"/>
      <c r="AS116" s="2111"/>
    </row>
    <row r="117" spans="1:45" ht="54" customHeight="1" x14ac:dyDescent="0.25">
      <c r="A117" s="1442"/>
      <c r="B117" s="1406"/>
      <c r="C117" s="1410"/>
      <c r="D117" s="1406"/>
      <c r="E117" s="3648"/>
      <c r="F117" s="3649"/>
      <c r="G117" s="2166"/>
      <c r="H117" s="3267"/>
      <c r="I117" s="2166"/>
      <c r="J117" s="3267"/>
      <c r="K117" s="3512"/>
      <c r="L117" s="3637"/>
      <c r="M117" s="3512"/>
      <c r="N117" s="3639"/>
      <c r="O117" s="2125"/>
      <c r="P117" s="2057"/>
      <c r="Q117" s="2055"/>
      <c r="R117" s="3549"/>
      <c r="S117" s="3506"/>
      <c r="T117" s="2055"/>
      <c r="U117" s="2965"/>
      <c r="V117" s="1416" t="s">
        <v>2125</v>
      </c>
      <c r="W117" s="1399">
        <v>10000000</v>
      </c>
      <c r="X117" s="1525" t="s">
        <v>2124</v>
      </c>
      <c r="Y117" s="1548">
        <v>61</v>
      </c>
      <c r="Z117" s="1397" t="s">
        <v>1905</v>
      </c>
      <c r="AA117" s="2111"/>
      <c r="AB117" s="2111"/>
      <c r="AC117" s="3509"/>
      <c r="AD117" s="2111"/>
      <c r="AE117" s="2111"/>
      <c r="AF117" s="2111"/>
      <c r="AG117" s="2111"/>
      <c r="AH117" s="2111"/>
      <c r="AI117" s="2111"/>
      <c r="AJ117" s="2111"/>
      <c r="AK117" s="2111"/>
      <c r="AL117" s="2111"/>
      <c r="AM117" s="2111"/>
      <c r="AN117" s="2111"/>
      <c r="AO117" s="2111"/>
      <c r="AP117" s="2111"/>
      <c r="AQ117" s="3545"/>
      <c r="AR117" s="3545"/>
      <c r="AS117" s="2111"/>
    </row>
    <row r="118" spans="1:45" ht="83.25" customHeight="1" x14ac:dyDescent="0.25">
      <c r="A118" s="1442"/>
      <c r="B118" s="1406"/>
      <c r="C118" s="1410"/>
      <c r="D118" s="1406"/>
      <c r="E118" s="3648"/>
      <c r="F118" s="3649"/>
      <c r="G118" s="2166" t="s">
        <v>62</v>
      </c>
      <c r="H118" s="3319" t="s">
        <v>2126</v>
      </c>
      <c r="I118" s="2166">
        <v>1905024</v>
      </c>
      <c r="J118" s="3319" t="s">
        <v>2113</v>
      </c>
      <c r="K118" s="3623" t="s">
        <v>62</v>
      </c>
      <c r="L118" s="3629" t="s">
        <v>2127</v>
      </c>
      <c r="M118" s="3623">
        <v>190502400</v>
      </c>
      <c r="N118" s="3632" t="s">
        <v>2115</v>
      </c>
      <c r="O118" s="2123">
        <v>4</v>
      </c>
      <c r="P118" s="2057"/>
      <c r="Q118" s="2055"/>
      <c r="R118" s="3555">
        <f>SUM(W118:W120)/S106</f>
        <v>0.14000000000000001</v>
      </c>
      <c r="S118" s="3506"/>
      <c r="T118" s="2055"/>
      <c r="U118" s="2965"/>
      <c r="V118" s="1416" t="s">
        <v>2128</v>
      </c>
      <c r="W118" s="800">
        <v>10000000</v>
      </c>
      <c r="X118" s="1525" t="s">
        <v>2129</v>
      </c>
      <c r="Y118" s="1548">
        <v>61</v>
      </c>
      <c r="Z118" s="1397" t="s">
        <v>1905</v>
      </c>
      <c r="AA118" s="2111"/>
      <c r="AB118" s="2111"/>
      <c r="AC118" s="3509"/>
      <c r="AD118" s="2111"/>
      <c r="AE118" s="2111"/>
      <c r="AF118" s="2111"/>
      <c r="AG118" s="2111"/>
      <c r="AH118" s="2111"/>
      <c r="AI118" s="2111"/>
      <c r="AJ118" s="2111"/>
      <c r="AK118" s="2111"/>
      <c r="AL118" s="2111"/>
      <c r="AM118" s="2111"/>
      <c r="AN118" s="2111"/>
      <c r="AO118" s="2111"/>
      <c r="AP118" s="2111"/>
      <c r="AQ118" s="3545"/>
      <c r="AR118" s="3545"/>
      <c r="AS118" s="2111"/>
    </row>
    <row r="119" spans="1:45" ht="54" customHeight="1" x14ac:dyDescent="0.25">
      <c r="A119" s="1442"/>
      <c r="B119" s="1406"/>
      <c r="C119" s="1410"/>
      <c r="D119" s="1406"/>
      <c r="E119" s="3648"/>
      <c r="F119" s="3649"/>
      <c r="G119" s="2166"/>
      <c r="H119" s="3266"/>
      <c r="I119" s="2166"/>
      <c r="J119" s="3266"/>
      <c r="K119" s="3624"/>
      <c r="L119" s="3634"/>
      <c r="M119" s="3624"/>
      <c r="N119" s="3635"/>
      <c r="O119" s="2124"/>
      <c r="P119" s="2057"/>
      <c r="Q119" s="2055"/>
      <c r="R119" s="3617"/>
      <c r="S119" s="3506"/>
      <c r="T119" s="2055"/>
      <c r="U119" s="2965"/>
      <c r="V119" s="1416" t="s">
        <v>2130</v>
      </c>
      <c r="W119" s="800">
        <v>10000000</v>
      </c>
      <c r="X119" s="1525" t="s">
        <v>2129</v>
      </c>
      <c r="Y119" s="1548">
        <v>61</v>
      </c>
      <c r="Z119" s="1397" t="s">
        <v>1905</v>
      </c>
      <c r="AA119" s="2111"/>
      <c r="AB119" s="2111"/>
      <c r="AC119" s="3509"/>
      <c r="AD119" s="2111"/>
      <c r="AE119" s="2111"/>
      <c r="AF119" s="2111"/>
      <c r="AG119" s="2111"/>
      <c r="AH119" s="2111"/>
      <c r="AI119" s="2111"/>
      <c r="AJ119" s="2111"/>
      <c r="AK119" s="2111"/>
      <c r="AL119" s="2111"/>
      <c r="AM119" s="2111"/>
      <c r="AN119" s="2111"/>
      <c r="AO119" s="2111"/>
      <c r="AP119" s="2111"/>
      <c r="AQ119" s="3545"/>
      <c r="AR119" s="3545"/>
      <c r="AS119" s="2111"/>
    </row>
    <row r="120" spans="1:45" ht="54" customHeight="1" x14ac:dyDescent="0.25">
      <c r="A120" s="1442"/>
      <c r="B120" s="1406"/>
      <c r="C120" s="1410"/>
      <c r="D120" s="1406"/>
      <c r="E120" s="3648"/>
      <c r="F120" s="3649"/>
      <c r="G120" s="2166"/>
      <c r="H120" s="3267"/>
      <c r="I120" s="2166"/>
      <c r="J120" s="3267"/>
      <c r="K120" s="3631"/>
      <c r="L120" s="3630"/>
      <c r="M120" s="3631"/>
      <c r="N120" s="3633"/>
      <c r="O120" s="2125"/>
      <c r="P120" s="2057"/>
      <c r="Q120" s="2055"/>
      <c r="R120" s="3549"/>
      <c r="S120" s="3506"/>
      <c r="T120" s="2055"/>
      <c r="U120" s="2965"/>
      <c r="V120" s="1416" t="s">
        <v>2131</v>
      </c>
      <c r="W120" s="800">
        <v>8000000</v>
      </c>
      <c r="X120" s="1525" t="s">
        <v>2129</v>
      </c>
      <c r="Y120" s="1548">
        <v>61</v>
      </c>
      <c r="Z120" s="1397" t="s">
        <v>1905</v>
      </c>
      <c r="AA120" s="2111"/>
      <c r="AB120" s="2111"/>
      <c r="AC120" s="3509"/>
      <c r="AD120" s="2111"/>
      <c r="AE120" s="2111"/>
      <c r="AF120" s="2111"/>
      <c r="AG120" s="2111"/>
      <c r="AH120" s="2111"/>
      <c r="AI120" s="2111"/>
      <c r="AJ120" s="2111"/>
      <c r="AK120" s="2111"/>
      <c r="AL120" s="2111"/>
      <c r="AM120" s="2111"/>
      <c r="AN120" s="2111"/>
      <c r="AO120" s="2111"/>
      <c r="AP120" s="2111"/>
      <c r="AQ120" s="3545"/>
      <c r="AR120" s="3545"/>
      <c r="AS120" s="2111"/>
    </row>
    <row r="121" spans="1:45" ht="54" customHeight="1" x14ac:dyDescent="0.25">
      <c r="A121" s="1442"/>
      <c r="B121" s="1406"/>
      <c r="C121" s="1410"/>
      <c r="D121" s="1406"/>
      <c r="E121" s="3648"/>
      <c r="F121" s="3649"/>
      <c r="G121" s="2166" t="s">
        <v>62</v>
      </c>
      <c r="H121" s="3319" t="s">
        <v>2132</v>
      </c>
      <c r="I121" s="2166">
        <v>1905024</v>
      </c>
      <c r="J121" s="3319" t="s">
        <v>2113</v>
      </c>
      <c r="K121" s="3623" t="s">
        <v>62</v>
      </c>
      <c r="L121" s="3629" t="s">
        <v>998</v>
      </c>
      <c r="M121" s="3623">
        <v>190502401</v>
      </c>
      <c r="N121" s="3632" t="s">
        <v>2133</v>
      </c>
      <c r="O121" s="2123">
        <v>12</v>
      </c>
      <c r="P121" s="2057"/>
      <c r="Q121" s="2055"/>
      <c r="R121" s="3555">
        <f>SUM(W121:W122)/S106</f>
        <v>0.14000000000000001</v>
      </c>
      <c r="S121" s="3506"/>
      <c r="T121" s="2055"/>
      <c r="U121" s="2965"/>
      <c r="V121" s="1416" t="s">
        <v>2134</v>
      </c>
      <c r="W121" s="800">
        <v>13000000</v>
      </c>
      <c r="X121" s="1525" t="s">
        <v>2135</v>
      </c>
      <c r="Y121" s="1548">
        <v>61</v>
      </c>
      <c r="Z121" s="1397" t="s">
        <v>1905</v>
      </c>
      <c r="AA121" s="2111"/>
      <c r="AB121" s="2111"/>
      <c r="AC121" s="3509"/>
      <c r="AD121" s="2111"/>
      <c r="AE121" s="2111"/>
      <c r="AF121" s="2111"/>
      <c r="AG121" s="2111"/>
      <c r="AH121" s="2111"/>
      <c r="AI121" s="2111"/>
      <c r="AJ121" s="2111"/>
      <c r="AK121" s="2111"/>
      <c r="AL121" s="2111"/>
      <c r="AM121" s="2111"/>
      <c r="AN121" s="2111"/>
      <c r="AO121" s="2111"/>
      <c r="AP121" s="2111"/>
      <c r="AQ121" s="3545"/>
      <c r="AR121" s="3545"/>
      <c r="AS121" s="2111"/>
    </row>
    <row r="122" spans="1:45" ht="54" customHeight="1" x14ac:dyDescent="0.25">
      <c r="A122" s="1442"/>
      <c r="B122" s="1406"/>
      <c r="C122" s="1410"/>
      <c r="D122" s="1406"/>
      <c r="E122" s="3648"/>
      <c r="F122" s="3649"/>
      <c r="G122" s="2166"/>
      <c r="H122" s="3267"/>
      <c r="I122" s="2166"/>
      <c r="J122" s="3267"/>
      <c r="K122" s="3631"/>
      <c r="L122" s="3630"/>
      <c r="M122" s="3631"/>
      <c r="N122" s="3633"/>
      <c r="O122" s="2125"/>
      <c r="P122" s="2057"/>
      <c r="Q122" s="2055"/>
      <c r="R122" s="3549"/>
      <c r="S122" s="3506"/>
      <c r="T122" s="2055"/>
      <c r="U122" s="2966"/>
      <c r="V122" s="1416" t="s">
        <v>2136</v>
      </c>
      <c r="W122" s="1557">
        <v>15000000</v>
      </c>
      <c r="X122" s="1525" t="s">
        <v>2135</v>
      </c>
      <c r="Y122" s="1548">
        <v>61</v>
      </c>
      <c r="Z122" s="1397" t="s">
        <v>1905</v>
      </c>
      <c r="AA122" s="2165"/>
      <c r="AB122" s="2165"/>
      <c r="AC122" s="3336"/>
      <c r="AD122" s="2165"/>
      <c r="AE122" s="2165"/>
      <c r="AF122" s="2165"/>
      <c r="AG122" s="2165"/>
      <c r="AH122" s="2165"/>
      <c r="AI122" s="2165"/>
      <c r="AJ122" s="2165"/>
      <c r="AK122" s="2165"/>
      <c r="AL122" s="2165"/>
      <c r="AM122" s="2165"/>
      <c r="AN122" s="2165"/>
      <c r="AO122" s="2165"/>
      <c r="AP122" s="2165"/>
      <c r="AQ122" s="3599"/>
      <c r="AR122" s="3599"/>
      <c r="AS122" s="2165"/>
    </row>
    <row r="123" spans="1:45" ht="60" customHeight="1" x14ac:dyDescent="0.25">
      <c r="A123" s="1442"/>
      <c r="B123" s="1406"/>
      <c r="C123" s="1410"/>
      <c r="D123" s="1406"/>
      <c r="E123" s="3648"/>
      <c r="F123" s="3649"/>
      <c r="G123" s="2166">
        <v>1905021</v>
      </c>
      <c r="H123" s="3319" t="s">
        <v>1032</v>
      </c>
      <c r="I123" s="2166">
        <v>1905021</v>
      </c>
      <c r="J123" s="3319" t="s">
        <v>1032</v>
      </c>
      <c r="K123" s="3529">
        <v>190502100</v>
      </c>
      <c r="L123" s="3600" t="s">
        <v>1033</v>
      </c>
      <c r="M123" s="3529">
        <v>190502100</v>
      </c>
      <c r="N123" s="3596" t="s">
        <v>1033</v>
      </c>
      <c r="O123" s="3598">
        <v>12</v>
      </c>
      <c r="P123" s="2057" t="s">
        <v>2137</v>
      </c>
      <c r="Q123" s="2055" t="s">
        <v>2138</v>
      </c>
      <c r="R123" s="3515">
        <f>SUM(W123:W134)/S123</f>
        <v>0.65217391304347827</v>
      </c>
      <c r="S123" s="3506">
        <f>SUM(W123:W144)</f>
        <v>161000000</v>
      </c>
      <c r="T123" s="2055" t="s">
        <v>2139</v>
      </c>
      <c r="U123" s="2056" t="s">
        <v>2140</v>
      </c>
      <c r="V123" s="1416" t="s">
        <v>2141</v>
      </c>
      <c r="W123" s="800">
        <v>5000000</v>
      </c>
      <c r="X123" s="1525" t="s">
        <v>2142</v>
      </c>
      <c r="Y123" s="1548">
        <v>61</v>
      </c>
      <c r="Z123" s="1397" t="s">
        <v>1905</v>
      </c>
      <c r="AA123" s="3569">
        <v>289394</v>
      </c>
      <c r="AB123" s="3569">
        <v>279112</v>
      </c>
      <c r="AC123" s="3570">
        <v>63164</v>
      </c>
      <c r="AD123" s="3569">
        <v>45607</v>
      </c>
      <c r="AE123" s="3569">
        <v>365607</v>
      </c>
      <c r="AF123" s="3569">
        <v>75612</v>
      </c>
      <c r="AG123" s="3569">
        <v>2145</v>
      </c>
      <c r="AH123" s="3569">
        <v>12718</v>
      </c>
      <c r="AI123" s="3569">
        <v>26</v>
      </c>
      <c r="AJ123" s="3569">
        <v>37</v>
      </c>
      <c r="AK123" s="3569">
        <v>0</v>
      </c>
      <c r="AL123" s="3569">
        <v>0</v>
      </c>
      <c r="AM123" s="3569">
        <v>78</v>
      </c>
      <c r="AN123" s="3569">
        <v>16897</v>
      </c>
      <c r="AO123" s="3569">
        <v>852</v>
      </c>
      <c r="AP123" s="3569">
        <v>568506</v>
      </c>
      <c r="AQ123" s="3565">
        <v>44197</v>
      </c>
      <c r="AR123" s="3565">
        <v>44561</v>
      </c>
      <c r="AS123" s="2148" t="s">
        <v>1906</v>
      </c>
    </row>
    <row r="124" spans="1:45" ht="60" customHeight="1" x14ac:dyDescent="0.25">
      <c r="A124" s="1442"/>
      <c r="B124" s="1406"/>
      <c r="C124" s="1410"/>
      <c r="D124" s="1406"/>
      <c r="E124" s="3648"/>
      <c r="F124" s="3649"/>
      <c r="G124" s="2166"/>
      <c r="H124" s="3266"/>
      <c r="I124" s="2166"/>
      <c r="J124" s="3266"/>
      <c r="K124" s="3511"/>
      <c r="L124" s="3601"/>
      <c r="M124" s="3511"/>
      <c r="N124" s="3597"/>
      <c r="O124" s="2992"/>
      <c r="P124" s="2057"/>
      <c r="Q124" s="2055"/>
      <c r="R124" s="3515"/>
      <c r="S124" s="3506"/>
      <c r="T124" s="2055"/>
      <c r="U124" s="2965"/>
      <c r="V124" s="1416" t="s">
        <v>2143</v>
      </c>
      <c r="W124" s="800">
        <v>5000000</v>
      </c>
      <c r="X124" s="1525" t="s">
        <v>2142</v>
      </c>
      <c r="Y124" s="1548">
        <v>61</v>
      </c>
      <c r="Z124" s="1397" t="s">
        <v>1905</v>
      </c>
      <c r="AA124" s="3566"/>
      <c r="AB124" s="3566"/>
      <c r="AC124" s="3571"/>
      <c r="AD124" s="3566"/>
      <c r="AE124" s="3566"/>
      <c r="AF124" s="3566"/>
      <c r="AG124" s="3566"/>
      <c r="AH124" s="3566"/>
      <c r="AI124" s="3566"/>
      <c r="AJ124" s="3566"/>
      <c r="AK124" s="3566"/>
      <c r="AL124" s="3566"/>
      <c r="AM124" s="3566"/>
      <c r="AN124" s="3566"/>
      <c r="AO124" s="3566"/>
      <c r="AP124" s="3566"/>
      <c r="AQ124" s="3619"/>
      <c r="AR124" s="3619"/>
      <c r="AS124" s="2111"/>
    </row>
    <row r="125" spans="1:45" ht="57.75" customHeight="1" x14ac:dyDescent="0.25">
      <c r="A125" s="1442"/>
      <c r="B125" s="1406"/>
      <c r="C125" s="1410"/>
      <c r="D125" s="1406"/>
      <c r="E125" s="3648"/>
      <c r="F125" s="3649"/>
      <c r="G125" s="2166"/>
      <c r="H125" s="3266"/>
      <c r="I125" s="2166"/>
      <c r="J125" s="3266"/>
      <c r="K125" s="3511"/>
      <c r="L125" s="3601"/>
      <c r="M125" s="3511"/>
      <c r="N125" s="3597"/>
      <c r="O125" s="2992"/>
      <c r="P125" s="2057"/>
      <c r="Q125" s="2055"/>
      <c r="R125" s="3515"/>
      <c r="S125" s="3506"/>
      <c r="T125" s="2055"/>
      <c r="U125" s="2965"/>
      <c r="V125" s="1416" t="s">
        <v>2144</v>
      </c>
      <c r="W125" s="800">
        <v>6000000</v>
      </c>
      <c r="X125" s="1525" t="s">
        <v>2142</v>
      </c>
      <c r="Y125" s="1548">
        <v>61</v>
      </c>
      <c r="Z125" s="1397" t="s">
        <v>1905</v>
      </c>
      <c r="AA125" s="3566"/>
      <c r="AB125" s="3566"/>
      <c r="AC125" s="3571"/>
      <c r="AD125" s="3566"/>
      <c r="AE125" s="3566"/>
      <c r="AF125" s="3566"/>
      <c r="AG125" s="3566"/>
      <c r="AH125" s="3566"/>
      <c r="AI125" s="3566"/>
      <c r="AJ125" s="3566"/>
      <c r="AK125" s="3566"/>
      <c r="AL125" s="3566"/>
      <c r="AM125" s="3566"/>
      <c r="AN125" s="3566"/>
      <c r="AO125" s="3566"/>
      <c r="AP125" s="3566"/>
      <c r="AQ125" s="3619"/>
      <c r="AR125" s="3619"/>
      <c r="AS125" s="2111"/>
    </row>
    <row r="126" spans="1:45" ht="70.5" customHeight="1" x14ac:dyDescent="0.25">
      <c r="A126" s="1442"/>
      <c r="B126" s="1406"/>
      <c r="C126" s="1410"/>
      <c r="D126" s="1406"/>
      <c r="E126" s="3648"/>
      <c r="F126" s="3649"/>
      <c r="G126" s="2166"/>
      <c r="H126" s="3266"/>
      <c r="I126" s="2166"/>
      <c r="J126" s="3266"/>
      <c r="K126" s="3511"/>
      <c r="L126" s="3601"/>
      <c r="M126" s="3511"/>
      <c r="N126" s="3597"/>
      <c r="O126" s="2992"/>
      <c r="P126" s="2057"/>
      <c r="Q126" s="2055"/>
      <c r="R126" s="3515"/>
      <c r="S126" s="3506"/>
      <c r="T126" s="2055"/>
      <c r="U126" s="2965"/>
      <c r="V126" s="1416" t="s">
        <v>2145</v>
      </c>
      <c r="W126" s="800">
        <v>6000000</v>
      </c>
      <c r="X126" s="1525" t="s">
        <v>2142</v>
      </c>
      <c r="Y126" s="1548">
        <v>61</v>
      </c>
      <c r="Z126" s="1397" t="s">
        <v>1905</v>
      </c>
      <c r="AA126" s="3566"/>
      <c r="AB126" s="3566"/>
      <c r="AC126" s="3571"/>
      <c r="AD126" s="3566"/>
      <c r="AE126" s="3566"/>
      <c r="AF126" s="3566"/>
      <c r="AG126" s="3566"/>
      <c r="AH126" s="3566"/>
      <c r="AI126" s="3566"/>
      <c r="AJ126" s="3566"/>
      <c r="AK126" s="3566"/>
      <c r="AL126" s="3566"/>
      <c r="AM126" s="3566"/>
      <c r="AN126" s="3566"/>
      <c r="AO126" s="3566"/>
      <c r="AP126" s="3566"/>
      <c r="AQ126" s="3619"/>
      <c r="AR126" s="3619"/>
      <c r="AS126" s="2111"/>
    </row>
    <row r="127" spans="1:45" ht="52.5" customHeight="1" x14ac:dyDescent="0.25">
      <c r="A127" s="1442"/>
      <c r="B127" s="1406"/>
      <c r="C127" s="1410"/>
      <c r="D127" s="1406"/>
      <c r="E127" s="3648"/>
      <c r="F127" s="3649"/>
      <c r="G127" s="2166"/>
      <c r="H127" s="3266"/>
      <c r="I127" s="2166"/>
      <c r="J127" s="3266"/>
      <c r="K127" s="3511"/>
      <c r="L127" s="3601"/>
      <c r="M127" s="3511"/>
      <c r="N127" s="3597"/>
      <c r="O127" s="2992"/>
      <c r="P127" s="2057"/>
      <c r="Q127" s="2055"/>
      <c r="R127" s="3515"/>
      <c r="S127" s="3506"/>
      <c r="T127" s="2055"/>
      <c r="U127" s="2965"/>
      <c r="V127" s="1416" t="s">
        <v>2146</v>
      </c>
      <c r="W127" s="800">
        <v>6000000</v>
      </c>
      <c r="X127" s="1525" t="s">
        <v>2142</v>
      </c>
      <c r="Y127" s="1548">
        <v>61</v>
      </c>
      <c r="Z127" s="1397" t="s">
        <v>1905</v>
      </c>
      <c r="AA127" s="3566"/>
      <c r="AB127" s="3566"/>
      <c r="AC127" s="3571"/>
      <c r="AD127" s="3566"/>
      <c r="AE127" s="3566"/>
      <c r="AF127" s="3566"/>
      <c r="AG127" s="3566"/>
      <c r="AH127" s="3566"/>
      <c r="AI127" s="3566"/>
      <c r="AJ127" s="3566"/>
      <c r="AK127" s="3566"/>
      <c r="AL127" s="3566"/>
      <c r="AM127" s="3566"/>
      <c r="AN127" s="3566"/>
      <c r="AO127" s="3566"/>
      <c r="AP127" s="3566"/>
      <c r="AQ127" s="3619"/>
      <c r="AR127" s="3619"/>
      <c r="AS127" s="2111"/>
    </row>
    <row r="128" spans="1:45" ht="60" customHeight="1" x14ac:dyDescent="0.25">
      <c r="A128" s="1442"/>
      <c r="B128" s="1406"/>
      <c r="C128" s="1410"/>
      <c r="D128" s="1406"/>
      <c r="E128" s="3648"/>
      <c r="F128" s="3649"/>
      <c r="G128" s="2166"/>
      <c r="H128" s="3266"/>
      <c r="I128" s="2166"/>
      <c r="J128" s="3266"/>
      <c r="K128" s="3511"/>
      <c r="L128" s="3601"/>
      <c r="M128" s="3511"/>
      <c r="N128" s="3597"/>
      <c r="O128" s="2992"/>
      <c r="P128" s="2057"/>
      <c r="Q128" s="2055"/>
      <c r="R128" s="3515"/>
      <c r="S128" s="3506"/>
      <c r="T128" s="2055"/>
      <c r="U128" s="2965"/>
      <c r="V128" s="1416" t="s">
        <v>2147</v>
      </c>
      <c r="W128" s="800">
        <v>7000000</v>
      </c>
      <c r="X128" s="1525" t="s">
        <v>2142</v>
      </c>
      <c r="Y128" s="1548">
        <v>61</v>
      </c>
      <c r="Z128" s="1397" t="s">
        <v>1905</v>
      </c>
      <c r="AA128" s="3566"/>
      <c r="AB128" s="3566"/>
      <c r="AC128" s="3571"/>
      <c r="AD128" s="3566"/>
      <c r="AE128" s="3566"/>
      <c r="AF128" s="3566"/>
      <c r="AG128" s="3566"/>
      <c r="AH128" s="3566"/>
      <c r="AI128" s="3566"/>
      <c r="AJ128" s="3566"/>
      <c r="AK128" s="3566"/>
      <c r="AL128" s="3566"/>
      <c r="AM128" s="3566"/>
      <c r="AN128" s="3566"/>
      <c r="AO128" s="3566"/>
      <c r="AP128" s="3566"/>
      <c r="AQ128" s="3619"/>
      <c r="AR128" s="3619"/>
      <c r="AS128" s="2111"/>
    </row>
    <row r="129" spans="1:45" ht="51.75" customHeight="1" x14ac:dyDescent="0.25">
      <c r="A129" s="1442"/>
      <c r="B129" s="1406"/>
      <c r="C129" s="1410"/>
      <c r="D129" s="1406"/>
      <c r="E129" s="3648"/>
      <c r="F129" s="3649"/>
      <c r="G129" s="2166"/>
      <c r="H129" s="3266"/>
      <c r="I129" s="2166"/>
      <c r="J129" s="3266"/>
      <c r="K129" s="3511"/>
      <c r="L129" s="3601"/>
      <c r="M129" s="3511"/>
      <c r="N129" s="3597"/>
      <c r="O129" s="2992"/>
      <c r="P129" s="2057"/>
      <c r="Q129" s="2055"/>
      <c r="R129" s="3515"/>
      <c r="S129" s="3506"/>
      <c r="T129" s="2055"/>
      <c r="U129" s="2965"/>
      <c r="V129" s="1416" t="s">
        <v>2148</v>
      </c>
      <c r="W129" s="800">
        <v>14000000</v>
      </c>
      <c r="X129" s="1525" t="s">
        <v>2142</v>
      </c>
      <c r="Y129" s="1548">
        <v>61</v>
      </c>
      <c r="Z129" s="1397" t="s">
        <v>1905</v>
      </c>
      <c r="AA129" s="3566"/>
      <c r="AB129" s="3566"/>
      <c r="AC129" s="3571"/>
      <c r="AD129" s="3566"/>
      <c r="AE129" s="3566"/>
      <c r="AF129" s="3566"/>
      <c r="AG129" s="3566"/>
      <c r="AH129" s="3566"/>
      <c r="AI129" s="3566"/>
      <c r="AJ129" s="3566"/>
      <c r="AK129" s="3566"/>
      <c r="AL129" s="3566"/>
      <c r="AM129" s="3566"/>
      <c r="AN129" s="3566"/>
      <c r="AO129" s="3566"/>
      <c r="AP129" s="3566"/>
      <c r="AQ129" s="3619"/>
      <c r="AR129" s="3619"/>
      <c r="AS129" s="2111"/>
    </row>
    <row r="130" spans="1:45" ht="44.25" customHeight="1" x14ac:dyDescent="0.25">
      <c r="A130" s="1442"/>
      <c r="B130" s="1406"/>
      <c r="C130" s="1410"/>
      <c r="D130" s="1406"/>
      <c r="E130" s="3648"/>
      <c r="F130" s="3649"/>
      <c r="G130" s="2166"/>
      <c r="H130" s="3266"/>
      <c r="I130" s="2166"/>
      <c r="J130" s="3266"/>
      <c r="K130" s="3511"/>
      <c r="L130" s="3601"/>
      <c r="M130" s="3511"/>
      <c r="N130" s="3597"/>
      <c r="O130" s="2992"/>
      <c r="P130" s="2057"/>
      <c r="Q130" s="2055"/>
      <c r="R130" s="3515"/>
      <c r="S130" s="3506"/>
      <c r="T130" s="2055"/>
      <c r="U130" s="2965"/>
      <c r="V130" s="1416" t="s">
        <v>2149</v>
      </c>
      <c r="W130" s="800">
        <v>7000000</v>
      </c>
      <c r="X130" s="1525" t="s">
        <v>2142</v>
      </c>
      <c r="Y130" s="1548">
        <v>61</v>
      </c>
      <c r="Z130" s="1397" t="s">
        <v>1905</v>
      </c>
      <c r="AA130" s="3566"/>
      <c r="AB130" s="3566"/>
      <c r="AC130" s="3571"/>
      <c r="AD130" s="3566"/>
      <c r="AE130" s="3566"/>
      <c r="AF130" s="3566"/>
      <c r="AG130" s="3566"/>
      <c r="AH130" s="3566"/>
      <c r="AI130" s="3566"/>
      <c r="AJ130" s="3566"/>
      <c r="AK130" s="3566"/>
      <c r="AL130" s="3566"/>
      <c r="AM130" s="3566"/>
      <c r="AN130" s="3566"/>
      <c r="AO130" s="3566"/>
      <c r="AP130" s="3566"/>
      <c r="AQ130" s="3619"/>
      <c r="AR130" s="3619"/>
      <c r="AS130" s="2111"/>
    </row>
    <row r="131" spans="1:45" ht="49.5" customHeight="1" x14ac:dyDescent="0.25">
      <c r="A131" s="1442"/>
      <c r="B131" s="1406"/>
      <c r="C131" s="1410"/>
      <c r="D131" s="1406"/>
      <c r="E131" s="3648"/>
      <c r="F131" s="3649"/>
      <c r="G131" s="2166"/>
      <c r="H131" s="3266"/>
      <c r="I131" s="2166"/>
      <c r="J131" s="3266"/>
      <c r="K131" s="3511"/>
      <c r="L131" s="3601"/>
      <c r="M131" s="3511"/>
      <c r="N131" s="3597"/>
      <c r="O131" s="2992"/>
      <c r="P131" s="2057"/>
      <c r="Q131" s="2055"/>
      <c r="R131" s="3515"/>
      <c r="S131" s="3506"/>
      <c r="T131" s="2055"/>
      <c r="U131" s="2965"/>
      <c r="V131" s="1416" t="s">
        <v>2150</v>
      </c>
      <c r="W131" s="1439">
        <v>15000000</v>
      </c>
      <c r="X131" s="1525" t="s">
        <v>2142</v>
      </c>
      <c r="Y131" s="1548">
        <v>61</v>
      </c>
      <c r="Z131" s="1397" t="s">
        <v>1905</v>
      </c>
      <c r="AA131" s="3566"/>
      <c r="AB131" s="3566"/>
      <c r="AC131" s="3571"/>
      <c r="AD131" s="3566"/>
      <c r="AE131" s="3566"/>
      <c r="AF131" s="3566"/>
      <c r="AG131" s="3566"/>
      <c r="AH131" s="3566"/>
      <c r="AI131" s="3566"/>
      <c r="AJ131" s="3566"/>
      <c r="AK131" s="3566"/>
      <c r="AL131" s="3566"/>
      <c r="AM131" s="3566"/>
      <c r="AN131" s="3566"/>
      <c r="AO131" s="3566"/>
      <c r="AP131" s="3566"/>
      <c r="AQ131" s="3619"/>
      <c r="AR131" s="3619"/>
      <c r="AS131" s="2111"/>
    </row>
    <row r="132" spans="1:45" ht="49.5" customHeight="1" x14ac:dyDescent="0.25">
      <c r="A132" s="1442"/>
      <c r="B132" s="1406"/>
      <c r="C132" s="1410"/>
      <c r="D132" s="1406"/>
      <c r="E132" s="3648"/>
      <c r="F132" s="3649"/>
      <c r="G132" s="2166"/>
      <c r="H132" s="3266"/>
      <c r="I132" s="2166"/>
      <c r="J132" s="3266"/>
      <c r="K132" s="3511"/>
      <c r="L132" s="3601"/>
      <c r="M132" s="3511"/>
      <c r="N132" s="3597"/>
      <c r="O132" s="2992"/>
      <c r="P132" s="2057"/>
      <c r="Q132" s="2055"/>
      <c r="R132" s="3515"/>
      <c r="S132" s="3506"/>
      <c r="T132" s="2055"/>
      <c r="U132" s="2965"/>
      <c r="V132" s="1416" t="s">
        <v>2151</v>
      </c>
      <c r="W132" s="800">
        <v>8000000</v>
      </c>
      <c r="X132" s="1525" t="s">
        <v>2142</v>
      </c>
      <c r="Y132" s="1548">
        <v>61</v>
      </c>
      <c r="Z132" s="1397" t="s">
        <v>1905</v>
      </c>
      <c r="AA132" s="3566"/>
      <c r="AB132" s="3566"/>
      <c r="AC132" s="3571"/>
      <c r="AD132" s="3566"/>
      <c r="AE132" s="3566"/>
      <c r="AF132" s="3566"/>
      <c r="AG132" s="3566"/>
      <c r="AH132" s="3566"/>
      <c r="AI132" s="3566"/>
      <c r="AJ132" s="3566"/>
      <c r="AK132" s="3566"/>
      <c r="AL132" s="3566"/>
      <c r="AM132" s="3566"/>
      <c r="AN132" s="3566"/>
      <c r="AO132" s="3566"/>
      <c r="AP132" s="3566"/>
      <c r="AQ132" s="3619"/>
      <c r="AR132" s="3619"/>
      <c r="AS132" s="2111"/>
    </row>
    <row r="133" spans="1:45" ht="49.5" customHeight="1" x14ac:dyDescent="0.25">
      <c r="A133" s="1442"/>
      <c r="B133" s="1406"/>
      <c r="C133" s="1410"/>
      <c r="D133" s="1406"/>
      <c r="E133" s="3648"/>
      <c r="F133" s="3649"/>
      <c r="G133" s="2166"/>
      <c r="H133" s="3266"/>
      <c r="I133" s="2166"/>
      <c r="J133" s="3266"/>
      <c r="K133" s="3511"/>
      <c r="L133" s="3601"/>
      <c r="M133" s="3511"/>
      <c r="N133" s="3597"/>
      <c r="O133" s="2992"/>
      <c r="P133" s="2057"/>
      <c r="Q133" s="2055"/>
      <c r="R133" s="3515"/>
      <c r="S133" s="3506"/>
      <c r="T133" s="2055"/>
      <c r="U133" s="2965"/>
      <c r="V133" s="1416" t="s">
        <v>2152</v>
      </c>
      <c r="W133" s="800">
        <v>12000000</v>
      </c>
      <c r="X133" s="1525" t="s">
        <v>2142</v>
      </c>
      <c r="Y133" s="1548">
        <v>61</v>
      </c>
      <c r="Z133" s="1397" t="s">
        <v>1905</v>
      </c>
      <c r="AA133" s="3566"/>
      <c r="AB133" s="3566"/>
      <c r="AC133" s="3571"/>
      <c r="AD133" s="3566"/>
      <c r="AE133" s="3566"/>
      <c r="AF133" s="3566"/>
      <c r="AG133" s="3566"/>
      <c r="AH133" s="3566"/>
      <c r="AI133" s="3566"/>
      <c r="AJ133" s="3566"/>
      <c r="AK133" s="3566"/>
      <c r="AL133" s="3566"/>
      <c r="AM133" s="3566"/>
      <c r="AN133" s="3566"/>
      <c r="AO133" s="3566"/>
      <c r="AP133" s="3566"/>
      <c r="AQ133" s="3619"/>
      <c r="AR133" s="3619"/>
      <c r="AS133" s="2111"/>
    </row>
    <row r="134" spans="1:45" ht="49.5" customHeight="1" x14ac:dyDescent="0.25">
      <c r="A134" s="1442"/>
      <c r="B134" s="1406"/>
      <c r="C134" s="1410"/>
      <c r="D134" s="1406"/>
      <c r="E134" s="3648"/>
      <c r="F134" s="3649"/>
      <c r="G134" s="2166"/>
      <c r="H134" s="3266"/>
      <c r="I134" s="2166"/>
      <c r="J134" s="3266"/>
      <c r="K134" s="3511"/>
      <c r="L134" s="3601"/>
      <c r="M134" s="3511"/>
      <c r="N134" s="3597"/>
      <c r="O134" s="2992"/>
      <c r="P134" s="2057"/>
      <c r="Q134" s="2055"/>
      <c r="R134" s="3515"/>
      <c r="S134" s="3506"/>
      <c r="T134" s="2055"/>
      <c r="U134" s="2965"/>
      <c r="V134" s="1417" t="s">
        <v>2153</v>
      </c>
      <c r="W134" s="1448">
        <v>14000000</v>
      </c>
      <c r="X134" s="1525" t="s">
        <v>2142</v>
      </c>
      <c r="Y134" s="1548">
        <v>61</v>
      </c>
      <c r="Z134" s="1397" t="s">
        <v>1905</v>
      </c>
      <c r="AA134" s="3566"/>
      <c r="AB134" s="3566"/>
      <c r="AC134" s="3571"/>
      <c r="AD134" s="3566"/>
      <c r="AE134" s="3566"/>
      <c r="AF134" s="3566"/>
      <c r="AG134" s="3566"/>
      <c r="AH134" s="3566"/>
      <c r="AI134" s="3566"/>
      <c r="AJ134" s="3566"/>
      <c r="AK134" s="3566"/>
      <c r="AL134" s="3566"/>
      <c r="AM134" s="3566"/>
      <c r="AN134" s="3566"/>
      <c r="AO134" s="3566"/>
      <c r="AP134" s="3566"/>
      <c r="AQ134" s="3619"/>
      <c r="AR134" s="3619"/>
      <c r="AS134" s="2111"/>
    </row>
    <row r="135" spans="1:45" ht="49.5" customHeight="1" x14ac:dyDescent="0.25">
      <c r="A135" s="1442"/>
      <c r="B135" s="1406"/>
      <c r="C135" s="1410"/>
      <c r="D135" s="1406"/>
      <c r="E135" s="3648"/>
      <c r="F135" s="3649"/>
      <c r="G135" s="3620" t="s">
        <v>62</v>
      </c>
      <c r="H135" s="2576" t="s">
        <v>2154</v>
      </c>
      <c r="I135" s="3620">
        <v>1905021</v>
      </c>
      <c r="J135" s="2576" t="s">
        <v>2154</v>
      </c>
      <c r="K135" s="3623" t="s">
        <v>62</v>
      </c>
      <c r="L135" s="3531" t="s">
        <v>2101</v>
      </c>
      <c r="M135" s="3623">
        <v>190502100</v>
      </c>
      <c r="N135" s="3626" t="s">
        <v>2101</v>
      </c>
      <c r="O135" s="3517">
        <v>11</v>
      </c>
      <c r="P135" s="2057"/>
      <c r="Q135" s="2055"/>
      <c r="R135" s="3515">
        <f>SUM(W135:W144)/S123</f>
        <v>0.34782608695652173</v>
      </c>
      <c r="S135" s="3506"/>
      <c r="T135" s="2055"/>
      <c r="U135" s="2965"/>
      <c r="V135" s="1416" t="s">
        <v>2155</v>
      </c>
      <c r="W135" s="800">
        <v>6000000</v>
      </c>
      <c r="X135" s="1525" t="s">
        <v>2156</v>
      </c>
      <c r="Y135" s="1548">
        <v>61</v>
      </c>
      <c r="Z135" s="1397" t="s">
        <v>1905</v>
      </c>
      <c r="AA135" s="3566"/>
      <c r="AB135" s="3566"/>
      <c r="AC135" s="3571"/>
      <c r="AD135" s="3566"/>
      <c r="AE135" s="3566"/>
      <c r="AF135" s="3566"/>
      <c r="AG135" s="3566"/>
      <c r="AH135" s="3566"/>
      <c r="AI135" s="3566"/>
      <c r="AJ135" s="3566"/>
      <c r="AK135" s="3566"/>
      <c r="AL135" s="3566"/>
      <c r="AM135" s="3566"/>
      <c r="AN135" s="3566"/>
      <c r="AO135" s="3566"/>
      <c r="AP135" s="3566"/>
      <c r="AQ135" s="3619"/>
      <c r="AR135" s="3619"/>
      <c r="AS135" s="2111"/>
    </row>
    <row r="136" spans="1:45" ht="49.5" customHeight="1" x14ac:dyDescent="0.25">
      <c r="A136" s="1442"/>
      <c r="B136" s="1406"/>
      <c r="C136" s="1410"/>
      <c r="D136" s="1406"/>
      <c r="E136" s="3648"/>
      <c r="F136" s="3649"/>
      <c r="G136" s="3620"/>
      <c r="H136" s="3621"/>
      <c r="I136" s="3620"/>
      <c r="J136" s="3621"/>
      <c r="K136" s="3624"/>
      <c r="L136" s="3532"/>
      <c r="M136" s="3624"/>
      <c r="N136" s="3627"/>
      <c r="O136" s="3518"/>
      <c r="P136" s="2057"/>
      <c r="Q136" s="2055"/>
      <c r="R136" s="3515"/>
      <c r="S136" s="3506"/>
      <c r="T136" s="2055"/>
      <c r="U136" s="2965"/>
      <c r="V136" s="1416" t="s">
        <v>2157</v>
      </c>
      <c r="W136" s="800">
        <v>6000000</v>
      </c>
      <c r="X136" s="1525" t="s">
        <v>2156</v>
      </c>
      <c r="Y136" s="1548">
        <v>61</v>
      </c>
      <c r="Z136" s="1397" t="s">
        <v>1905</v>
      </c>
      <c r="AA136" s="3566"/>
      <c r="AB136" s="3566"/>
      <c r="AC136" s="3571"/>
      <c r="AD136" s="3566"/>
      <c r="AE136" s="3566"/>
      <c r="AF136" s="3566"/>
      <c r="AG136" s="3566"/>
      <c r="AH136" s="3566"/>
      <c r="AI136" s="3566"/>
      <c r="AJ136" s="3566"/>
      <c r="AK136" s="3566"/>
      <c r="AL136" s="3566"/>
      <c r="AM136" s="3566"/>
      <c r="AN136" s="3566"/>
      <c r="AO136" s="3566"/>
      <c r="AP136" s="3566"/>
      <c r="AQ136" s="3619"/>
      <c r="AR136" s="3619"/>
      <c r="AS136" s="2111"/>
    </row>
    <row r="137" spans="1:45" ht="49.5" customHeight="1" x14ac:dyDescent="0.25">
      <c r="A137" s="1442"/>
      <c r="B137" s="1406"/>
      <c r="C137" s="1410"/>
      <c r="D137" s="1406"/>
      <c r="E137" s="3648"/>
      <c r="F137" s="3649"/>
      <c r="G137" s="3620"/>
      <c r="H137" s="3621"/>
      <c r="I137" s="3620"/>
      <c r="J137" s="3621"/>
      <c r="K137" s="3624"/>
      <c r="L137" s="3532"/>
      <c r="M137" s="3624"/>
      <c r="N137" s="3627"/>
      <c r="O137" s="3518"/>
      <c r="P137" s="2057"/>
      <c r="Q137" s="2055"/>
      <c r="R137" s="3515"/>
      <c r="S137" s="3506"/>
      <c r="T137" s="2055"/>
      <c r="U137" s="2965"/>
      <c r="V137" s="1416" t="s">
        <v>2158</v>
      </c>
      <c r="W137" s="800">
        <v>6000000</v>
      </c>
      <c r="X137" s="1525" t="s">
        <v>2156</v>
      </c>
      <c r="Y137" s="1548">
        <v>61</v>
      </c>
      <c r="Z137" s="1397" t="s">
        <v>1905</v>
      </c>
      <c r="AA137" s="3566"/>
      <c r="AB137" s="3566"/>
      <c r="AC137" s="3571"/>
      <c r="AD137" s="3566"/>
      <c r="AE137" s="3566"/>
      <c r="AF137" s="3566"/>
      <c r="AG137" s="3566"/>
      <c r="AH137" s="3566"/>
      <c r="AI137" s="3566"/>
      <c r="AJ137" s="3566"/>
      <c r="AK137" s="3566"/>
      <c r="AL137" s="3566"/>
      <c r="AM137" s="3566"/>
      <c r="AN137" s="3566"/>
      <c r="AO137" s="3566"/>
      <c r="AP137" s="3566"/>
      <c r="AQ137" s="3619"/>
      <c r="AR137" s="3619"/>
      <c r="AS137" s="2111"/>
    </row>
    <row r="138" spans="1:45" ht="49.5" customHeight="1" x14ac:dyDescent="0.25">
      <c r="A138" s="1442"/>
      <c r="B138" s="1406"/>
      <c r="C138" s="1410"/>
      <c r="D138" s="1406"/>
      <c r="E138" s="3648"/>
      <c r="F138" s="3649"/>
      <c r="G138" s="3620"/>
      <c r="H138" s="3621"/>
      <c r="I138" s="3620"/>
      <c r="J138" s="3621"/>
      <c r="K138" s="3624"/>
      <c r="L138" s="3532"/>
      <c r="M138" s="3624"/>
      <c r="N138" s="3627"/>
      <c r="O138" s="3518"/>
      <c r="P138" s="2057"/>
      <c r="Q138" s="2055"/>
      <c r="R138" s="3515"/>
      <c r="S138" s="3506"/>
      <c r="T138" s="2055"/>
      <c r="U138" s="2965"/>
      <c r="V138" s="1416" t="s">
        <v>2159</v>
      </c>
      <c r="W138" s="800">
        <v>6000000</v>
      </c>
      <c r="X138" s="1525" t="s">
        <v>2156</v>
      </c>
      <c r="Y138" s="1548">
        <v>61</v>
      </c>
      <c r="Z138" s="1397" t="s">
        <v>1905</v>
      </c>
      <c r="AA138" s="3566"/>
      <c r="AB138" s="3566"/>
      <c r="AC138" s="3571"/>
      <c r="AD138" s="3566"/>
      <c r="AE138" s="3566"/>
      <c r="AF138" s="3566"/>
      <c r="AG138" s="3566"/>
      <c r="AH138" s="3566"/>
      <c r="AI138" s="3566"/>
      <c r="AJ138" s="3566"/>
      <c r="AK138" s="3566"/>
      <c r="AL138" s="3566"/>
      <c r="AM138" s="3566"/>
      <c r="AN138" s="3566"/>
      <c r="AO138" s="3566"/>
      <c r="AP138" s="3566"/>
      <c r="AQ138" s="3619"/>
      <c r="AR138" s="3619"/>
      <c r="AS138" s="2111"/>
    </row>
    <row r="139" spans="1:45" ht="49.5" customHeight="1" x14ac:dyDescent="0.25">
      <c r="A139" s="1442"/>
      <c r="B139" s="1406"/>
      <c r="C139" s="1410"/>
      <c r="D139" s="1406"/>
      <c r="E139" s="3648"/>
      <c r="F139" s="3649"/>
      <c r="G139" s="3620"/>
      <c r="H139" s="3621"/>
      <c r="I139" s="3620"/>
      <c r="J139" s="3621"/>
      <c r="K139" s="3624"/>
      <c r="L139" s="3532"/>
      <c r="M139" s="3624"/>
      <c r="N139" s="3627"/>
      <c r="O139" s="3518"/>
      <c r="P139" s="2057"/>
      <c r="Q139" s="2055"/>
      <c r="R139" s="3515"/>
      <c r="S139" s="3506"/>
      <c r="T139" s="2055"/>
      <c r="U139" s="2965"/>
      <c r="V139" s="1416" t="s">
        <v>2160</v>
      </c>
      <c r="W139" s="800">
        <v>6000000</v>
      </c>
      <c r="X139" s="1525" t="s">
        <v>2156</v>
      </c>
      <c r="Y139" s="1548">
        <v>61</v>
      </c>
      <c r="Z139" s="1397" t="s">
        <v>1905</v>
      </c>
      <c r="AA139" s="3566"/>
      <c r="AB139" s="3566"/>
      <c r="AC139" s="3571"/>
      <c r="AD139" s="3566"/>
      <c r="AE139" s="3566"/>
      <c r="AF139" s="3566"/>
      <c r="AG139" s="3566"/>
      <c r="AH139" s="3566"/>
      <c r="AI139" s="3566"/>
      <c r="AJ139" s="3566"/>
      <c r="AK139" s="3566"/>
      <c r="AL139" s="3566"/>
      <c r="AM139" s="3566"/>
      <c r="AN139" s="3566"/>
      <c r="AO139" s="3566"/>
      <c r="AP139" s="3566"/>
      <c r="AQ139" s="3619"/>
      <c r="AR139" s="3619"/>
      <c r="AS139" s="2111"/>
    </row>
    <row r="140" spans="1:45" ht="49.5" customHeight="1" x14ac:dyDescent="0.25">
      <c r="A140" s="1442"/>
      <c r="B140" s="1406"/>
      <c r="C140" s="1410"/>
      <c r="D140" s="1406"/>
      <c r="E140" s="3648"/>
      <c r="F140" s="3649"/>
      <c r="G140" s="3620"/>
      <c r="H140" s="3621"/>
      <c r="I140" s="3620"/>
      <c r="J140" s="3621"/>
      <c r="K140" s="3624"/>
      <c r="L140" s="3532"/>
      <c r="M140" s="3624"/>
      <c r="N140" s="3627"/>
      <c r="O140" s="3518"/>
      <c r="P140" s="2057"/>
      <c r="Q140" s="2055"/>
      <c r="R140" s="3515"/>
      <c r="S140" s="3506"/>
      <c r="T140" s="2055"/>
      <c r="U140" s="2965"/>
      <c r="V140" s="1416" t="s">
        <v>2161</v>
      </c>
      <c r="W140" s="800">
        <v>6000000</v>
      </c>
      <c r="X140" s="1525" t="s">
        <v>2156</v>
      </c>
      <c r="Y140" s="1548">
        <v>61</v>
      </c>
      <c r="Z140" s="1397" t="s">
        <v>1905</v>
      </c>
      <c r="AA140" s="3566"/>
      <c r="AB140" s="3566"/>
      <c r="AC140" s="3571"/>
      <c r="AD140" s="3566"/>
      <c r="AE140" s="3566"/>
      <c r="AF140" s="3566"/>
      <c r="AG140" s="3566"/>
      <c r="AH140" s="3566"/>
      <c r="AI140" s="3566"/>
      <c r="AJ140" s="3566"/>
      <c r="AK140" s="3566"/>
      <c r="AL140" s="3566"/>
      <c r="AM140" s="3566"/>
      <c r="AN140" s="3566"/>
      <c r="AO140" s="3566"/>
      <c r="AP140" s="3566"/>
      <c r="AQ140" s="3619"/>
      <c r="AR140" s="3619"/>
      <c r="AS140" s="2111"/>
    </row>
    <row r="141" spans="1:45" ht="49.5" customHeight="1" x14ac:dyDescent="0.25">
      <c r="A141" s="1442"/>
      <c r="B141" s="1406"/>
      <c r="C141" s="1410"/>
      <c r="D141" s="1406"/>
      <c r="E141" s="3648"/>
      <c r="F141" s="3649"/>
      <c r="G141" s="3620"/>
      <c r="H141" s="3621"/>
      <c r="I141" s="3620"/>
      <c r="J141" s="3621"/>
      <c r="K141" s="3624"/>
      <c r="L141" s="3532"/>
      <c r="M141" s="3624"/>
      <c r="N141" s="3627"/>
      <c r="O141" s="3518"/>
      <c r="P141" s="2057"/>
      <c r="Q141" s="2055"/>
      <c r="R141" s="3515"/>
      <c r="S141" s="3506"/>
      <c r="T141" s="2055"/>
      <c r="U141" s="2965"/>
      <c r="V141" s="1416" t="s">
        <v>2162</v>
      </c>
      <c r="W141" s="800">
        <v>6000000</v>
      </c>
      <c r="X141" s="1525" t="s">
        <v>2156</v>
      </c>
      <c r="Y141" s="1548">
        <v>61</v>
      </c>
      <c r="Z141" s="1397" t="s">
        <v>1905</v>
      </c>
      <c r="AA141" s="3566"/>
      <c r="AB141" s="3566"/>
      <c r="AC141" s="3571"/>
      <c r="AD141" s="3566"/>
      <c r="AE141" s="3566"/>
      <c r="AF141" s="3566"/>
      <c r="AG141" s="3566"/>
      <c r="AH141" s="3566"/>
      <c r="AI141" s="3566"/>
      <c r="AJ141" s="3566"/>
      <c r="AK141" s="3566"/>
      <c r="AL141" s="3566"/>
      <c r="AM141" s="3566"/>
      <c r="AN141" s="3566"/>
      <c r="AO141" s="3566"/>
      <c r="AP141" s="3566"/>
      <c r="AQ141" s="3619"/>
      <c r="AR141" s="3619"/>
      <c r="AS141" s="2111"/>
    </row>
    <row r="142" spans="1:45" ht="49.5" customHeight="1" x14ac:dyDescent="0.25">
      <c r="A142" s="1442"/>
      <c r="B142" s="1406"/>
      <c r="C142" s="1410"/>
      <c r="D142" s="1406"/>
      <c r="E142" s="3648"/>
      <c r="F142" s="3649"/>
      <c r="G142" s="3620"/>
      <c r="H142" s="3621"/>
      <c r="I142" s="3620"/>
      <c r="J142" s="3621"/>
      <c r="K142" s="3624"/>
      <c r="L142" s="3532"/>
      <c r="M142" s="3624"/>
      <c r="N142" s="3627"/>
      <c r="O142" s="3518"/>
      <c r="P142" s="2057"/>
      <c r="Q142" s="2055"/>
      <c r="R142" s="3515"/>
      <c r="S142" s="3506"/>
      <c r="T142" s="2055"/>
      <c r="U142" s="2965"/>
      <c r="V142" s="1416" t="s">
        <v>2163</v>
      </c>
      <c r="W142" s="800">
        <v>6000000</v>
      </c>
      <c r="X142" s="1525" t="s">
        <v>2156</v>
      </c>
      <c r="Y142" s="1548">
        <v>61</v>
      </c>
      <c r="Z142" s="1397" t="s">
        <v>1905</v>
      </c>
      <c r="AA142" s="3566"/>
      <c r="AB142" s="3566"/>
      <c r="AC142" s="3571"/>
      <c r="AD142" s="3566"/>
      <c r="AE142" s="3566"/>
      <c r="AF142" s="3566"/>
      <c r="AG142" s="3566"/>
      <c r="AH142" s="3566"/>
      <c r="AI142" s="3566"/>
      <c r="AJ142" s="3566"/>
      <c r="AK142" s="3566"/>
      <c r="AL142" s="3566"/>
      <c r="AM142" s="3566"/>
      <c r="AN142" s="3566"/>
      <c r="AO142" s="3566"/>
      <c r="AP142" s="3566"/>
      <c r="AQ142" s="3619"/>
      <c r="AR142" s="3619"/>
      <c r="AS142" s="2111"/>
    </row>
    <row r="143" spans="1:45" ht="49.5" customHeight="1" x14ac:dyDescent="0.25">
      <c r="A143" s="1442"/>
      <c r="B143" s="1406"/>
      <c r="C143" s="1410"/>
      <c r="D143" s="1406"/>
      <c r="E143" s="3648"/>
      <c r="F143" s="3649"/>
      <c r="G143" s="3620"/>
      <c r="H143" s="3621"/>
      <c r="I143" s="3620"/>
      <c r="J143" s="3621"/>
      <c r="K143" s="3624"/>
      <c r="L143" s="3532"/>
      <c r="M143" s="3624"/>
      <c r="N143" s="3627"/>
      <c r="O143" s="3518"/>
      <c r="P143" s="2057"/>
      <c r="Q143" s="2055"/>
      <c r="R143" s="3515"/>
      <c r="S143" s="3506"/>
      <c r="T143" s="2055"/>
      <c r="U143" s="2965"/>
      <c r="V143" s="1416" t="s">
        <v>2164</v>
      </c>
      <c r="W143" s="800">
        <v>4000000</v>
      </c>
      <c r="X143" s="1525" t="s">
        <v>2156</v>
      </c>
      <c r="Y143" s="1548">
        <v>61</v>
      </c>
      <c r="Z143" s="1397" t="s">
        <v>1905</v>
      </c>
      <c r="AA143" s="3566"/>
      <c r="AB143" s="3566"/>
      <c r="AC143" s="3571"/>
      <c r="AD143" s="3566"/>
      <c r="AE143" s="3566"/>
      <c r="AF143" s="3566"/>
      <c r="AG143" s="3566"/>
      <c r="AH143" s="3566"/>
      <c r="AI143" s="3566"/>
      <c r="AJ143" s="3566"/>
      <c r="AK143" s="3566"/>
      <c r="AL143" s="3566"/>
      <c r="AM143" s="3566"/>
      <c r="AN143" s="3566"/>
      <c r="AO143" s="3566"/>
      <c r="AP143" s="3566"/>
      <c r="AQ143" s="3619"/>
      <c r="AR143" s="3619"/>
      <c r="AS143" s="2111"/>
    </row>
    <row r="144" spans="1:45" ht="49.5" customHeight="1" x14ac:dyDescent="0.25">
      <c r="A144" s="1442"/>
      <c r="B144" s="1406"/>
      <c r="C144" s="1410"/>
      <c r="D144" s="1406"/>
      <c r="E144" s="3648"/>
      <c r="F144" s="3649"/>
      <c r="G144" s="3620"/>
      <c r="H144" s="3622"/>
      <c r="I144" s="3620"/>
      <c r="J144" s="3622"/>
      <c r="K144" s="3625"/>
      <c r="L144" s="3533"/>
      <c r="M144" s="3625"/>
      <c r="N144" s="3628"/>
      <c r="O144" s="3519"/>
      <c r="P144" s="2057"/>
      <c r="Q144" s="2055"/>
      <c r="R144" s="3515"/>
      <c r="S144" s="3506"/>
      <c r="T144" s="2055"/>
      <c r="U144" s="2966"/>
      <c r="V144" s="1416" t="s">
        <v>2165</v>
      </c>
      <c r="W144" s="800">
        <v>4000000</v>
      </c>
      <c r="X144" s="1525" t="s">
        <v>2156</v>
      </c>
      <c r="Y144" s="1548">
        <v>61</v>
      </c>
      <c r="Z144" s="1397" t="s">
        <v>1905</v>
      </c>
      <c r="AA144" s="3566"/>
      <c r="AB144" s="3566"/>
      <c r="AC144" s="3571"/>
      <c r="AD144" s="3566"/>
      <c r="AE144" s="3566"/>
      <c r="AF144" s="3566"/>
      <c r="AG144" s="3566"/>
      <c r="AH144" s="3566"/>
      <c r="AI144" s="3566"/>
      <c r="AJ144" s="3566"/>
      <c r="AK144" s="3566"/>
      <c r="AL144" s="3566"/>
      <c r="AM144" s="3566"/>
      <c r="AN144" s="3566"/>
      <c r="AO144" s="3566"/>
      <c r="AP144" s="3566"/>
      <c r="AQ144" s="3619"/>
      <c r="AR144" s="3619"/>
      <c r="AS144" s="2165"/>
    </row>
    <row r="145" spans="1:45" ht="40.5" customHeight="1" x14ac:dyDescent="0.25">
      <c r="A145" s="1442"/>
      <c r="B145" s="1406"/>
      <c r="C145" s="1410"/>
      <c r="D145" s="1406"/>
      <c r="E145" s="3648"/>
      <c r="F145" s="3649"/>
      <c r="G145" s="2166">
        <v>1905020</v>
      </c>
      <c r="H145" s="3556" t="s">
        <v>2166</v>
      </c>
      <c r="I145" s="2166">
        <v>1905020</v>
      </c>
      <c r="J145" s="3556" t="s">
        <v>2166</v>
      </c>
      <c r="K145" s="3337">
        <v>190502000</v>
      </c>
      <c r="L145" s="3546" t="s">
        <v>2167</v>
      </c>
      <c r="M145" s="3337">
        <v>190502000</v>
      </c>
      <c r="N145" s="3553" t="s">
        <v>2167</v>
      </c>
      <c r="O145" s="2054">
        <v>12</v>
      </c>
      <c r="P145" s="2057" t="s">
        <v>2168</v>
      </c>
      <c r="Q145" s="2055" t="s">
        <v>2169</v>
      </c>
      <c r="R145" s="3555">
        <f>SUM(W145:W148)/S145</f>
        <v>0.24836601307189543</v>
      </c>
      <c r="S145" s="3506">
        <f>SUM(W145:W158)</f>
        <v>153000000</v>
      </c>
      <c r="T145" s="2055" t="s">
        <v>2170</v>
      </c>
      <c r="U145" s="2055" t="s">
        <v>2171</v>
      </c>
      <c r="V145" s="1416" t="s">
        <v>2172</v>
      </c>
      <c r="W145" s="800">
        <v>10000000</v>
      </c>
      <c r="X145" s="1525" t="s">
        <v>2173</v>
      </c>
      <c r="Y145" s="1548">
        <v>61</v>
      </c>
      <c r="Z145" s="1397" t="s">
        <v>1905</v>
      </c>
      <c r="AA145" s="2148">
        <v>283947</v>
      </c>
      <c r="AB145" s="2148">
        <v>294321</v>
      </c>
      <c r="AC145" s="3508">
        <v>135754</v>
      </c>
      <c r="AD145" s="2148">
        <v>44640</v>
      </c>
      <c r="AE145" s="2148">
        <v>308178</v>
      </c>
      <c r="AF145" s="2148">
        <v>89696</v>
      </c>
      <c r="AG145" s="2148">
        <v>2145</v>
      </c>
      <c r="AH145" s="2148">
        <v>12718</v>
      </c>
      <c r="AI145" s="2148">
        <v>26</v>
      </c>
      <c r="AJ145" s="2148">
        <v>37</v>
      </c>
      <c r="AK145" s="2148">
        <v>0</v>
      </c>
      <c r="AL145" s="2148">
        <v>0</v>
      </c>
      <c r="AM145" s="2148">
        <v>88560</v>
      </c>
      <c r="AN145" s="2148">
        <v>24486</v>
      </c>
      <c r="AO145" s="2148">
        <v>0</v>
      </c>
      <c r="AP145" s="2148">
        <v>578268</v>
      </c>
      <c r="AQ145" s="3505">
        <v>44197</v>
      </c>
      <c r="AR145" s="3505">
        <v>44561</v>
      </c>
      <c r="AS145" s="2148" t="s">
        <v>1906</v>
      </c>
    </row>
    <row r="146" spans="1:45" ht="40.5" customHeight="1" x14ac:dyDescent="0.25">
      <c r="A146" s="1442"/>
      <c r="B146" s="1406"/>
      <c r="C146" s="1410"/>
      <c r="D146" s="1406"/>
      <c r="E146" s="3648"/>
      <c r="F146" s="3649"/>
      <c r="G146" s="2166"/>
      <c r="H146" s="3556"/>
      <c r="I146" s="2166"/>
      <c r="J146" s="3556"/>
      <c r="K146" s="3337"/>
      <c r="L146" s="3546"/>
      <c r="M146" s="3337"/>
      <c r="N146" s="3553"/>
      <c r="O146" s="2054"/>
      <c r="P146" s="2057"/>
      <c r="Q146" s="2055"/>
      <c r="R146" s="3617"/>
      <c r="S146" s="3506"/>
      <c r="T146" s="2055"/>
      <c r="U146" s="2055"/>
      <c r="V146" s="1416" t="s">
        <v>2174</v>
      </c>
      <c r="W146" s="800">
        <v>10000000</v>
      </c>
      <c r="X146" s="1525" t="s">
        <v>2173</v>
      </c>
      <c r="Y146" s="1548">
        <v>61</v>
      </c>
      <c r="Z146" s="1397" t="s">
        <v>1905</v>
      </c>
      <c r="AA146" s="2111"/>
      <c r="AB146" s="2111"/>
      <c r="AC146" s="3509"/>
      <c r="AD146" s="2111"/>
      <c r="AE146" s="2111"/>
      <c r="AF146" s="2111"/>
      <c r="AG146" s="2111"/>
      <c r="AH146" s="2111"/>
      <c r="AI146" s="2111"/>
      <c r="AJ146" s="2111"/>
      <c r="AK146" s="2111"/>
      <c r="AL146" s="2111"/>
      <c r="AM146" s="2111"/>
      <c r="AN146" s="2111"/>
      <c r="AO146" s="2111"/>
      <c r="AP146" s="2111"/>
      <c r="AQ146" s="3545"/>
      <c r="AR146" s="3545"/>
      <c r="AS146" s="2111"/>
    </row>
    <row r="147" spans="1:45" ht="40.5" customHeight="1" x14ac:dyDescent="0.25">
      <c r="A147" s="1442"/>
      <c r="B147" s="1406"/>
      <c r="C147" s="1410"/>
      <c r="D147" s="1406"/>
      <c r="E147" s="3648"/>
      <c r="F147" s="3649"/>
      <c r="G147" s="2166"/>
      <c r="H147" s="3556"/>
      <c r="I147" s="2166"/>
      <c r="J147" s="3556"/>
      <c r="K147" s="3337"/>
      <c r="L147" s="3546"/>
      <c r="M147" s="3337"/>
      <c r="N147" s="3553"/>
      <c r="O147" s="2054"/>
      <c r="P147" s="2057"/>
      <c r="Q147" s="2055"/>
      <c r="R147" s="3617"/>
      <c r="S147" s="3506"/>
      <c r="T147" s="2055"/>
      <c r="U147" s="2055"/>
      <c r="V147" s="1416" t="s">
        <v>2175</v>
      </c>
      <c r="W147" s="800">
        <v>8000000</v>
      </c>
      <c r="X147" s="1525" t="s">
        <v>2173</v>
      </c>
      <c r="Y147" s="1548">
        <v>61</v>
      </c>
      <c r="Z147" s="1397" t="s">
        <v>1905</v>
      </c>
      <c r="AA147" s="2111"/>
      <c r="AB147" s="2111"/>
      <c r="AC147" s="3509"/>
      <c r="AD147" s="2111"/>
      <c r="AE147" s="2111"/>
      <c r="AF147" s="2111"/>
      <c r="AG147" s="2111"/>
      <c r="AH147" s="2111"/>
      <c r="AI147" s="2111"/>
      <c r="AJ147" s="2111"/>
      <c r="AK147" s="2111"/>
      <c r="AL147" s="2111"/>
      <c r="AM147" s="2111"/>
      <c r="AN147" s="2111"/>
      <c r="AO147" s="2111"/>
      <c r="AP147" s="2111"/>
      <c r="AQ147" s="3545"/>
      <c r="AR147" s="3545"/>
      <c r="AS147" s="2111"/>
    </row>
    <row r="148" spans="1:45" ht="40.5" customHeight="1" x14ac:dyDescent="0.25">
      <c r="A148" s="1442"/>
      <c r="B148" s="1406"/>
      <c r="C148" s="1410"/>
      <c r="D148" s="1406"/>
      <c r="E148" s="3648"/>
      <c r="F148" s="3649"/>
      <c r="G148" s="2166"/>
      <c r="H148" s="3556"/>
      <c r="I148" s="2166"/>
      <c r="J148" s="3556"/>
      <c r="K148" s="3337"/>
      <c r="L148" s="3546"/>
      <c r="M148" s="3337"/>
      <c r="N148" s="3553"/>
      <c r="O148" s="2054">
        <v>12</v>
      </c>
      <c r="P148" s="2057"/>
      <c r="Q148" s="2055"/>
      <c r="R148" s="3549"/>
      <c r="S148" s="3506"/>
      <c r="T148" s="2055"/>
      <c r="U148" s="2055"/>
      <c r="V148" s="1417" t="s">
        <v>2176</v>
      </c>
      <c r="W148" s="1448">
        <v>10000000</v>
      </c>
      <c r="X148" s="1525" t="s">
        <v>2173</v>
      </c>
      <c r="Y148" s="1548">
        <v>61</v>
      </c>
      <c r="Z148" s="1397" t="s">
        <v>1905</v>
      </c>
      <c r="AA148" s="2111"/>
      <c r="AB148" s="2111"/>
      <c r="AC148" s="3509"/>
      <c r="AD148" s="2111"/>
      <c r="AE148" s="2111"/>
      <c r="AF148" s="2111"/>
      <c r="AG148" s="2111"/>
      <c r="AH148" s="2111"/>
      <c r="AI148" s="2111"/>
      <c r="AJ148" s="2111"/>
      <c r="AK148" s="2111"/>
      <c r="AL148" s="2111"/>
      <c r="AM148" s="2111"/>
      <c r="AN148" s="2111"/>
      <c r="AO148" s="2111"/>
      <c r="AP148" s="2111"/>
      <c r="AQ148" s="3545"/>
      <c r="AR148" s="3545"/>
      <c r="AS148" s="2111"/>
    </row>
    <row r="149" spans="1:45" ht="65.25" customHeight="1" x14ac:dyDescent="0.25">
      <c r="A149" s="1442"/>
      <c r="B149" s="1406"/>
      <c r="C149" s="1410"/>
      <c r="D149" s="1406"/>
      <c r="E149" s="3648"/>
      <c r="F149" s="3649"/>
      <c r="G149" s="2166">
        <v>1905022</v>
      </c>
      <c r="H149" s="2711" t="s">
        <v>1043</v>
      </c>
      <c r="I149" s="2166">
        <v>1905022</v>
      </c>
      <c r="J149" s="2711" t="s">
        <v>1043</v>
      </c>
      <c r="K149" s="3508">
        <v>190502200</v>
      </c>
      <c r="L149" s="3557" t="s">
        <v>1044</v>
      </c>
      <c r="M149" s="3508">
        <v>190502200</v>
      </c>
      <c r="N149" s="3554" t="s">
        <v>1044</v>
      </c>
      <c r="O149" s="2702">
        <v>12</v>
      </c>
      <c r="P149" s="2057"/>
      <c r="Q149" s="2055"/>
      <c r="R149" s="3555">
        <f>SUM(W149:W152)/S145</f>
        <v>0.37254901960784315</v>
      </c>
      <c r="S149" s="3506"/>
      <c r="T149" s="2055"/>
      <c r="U149" s="2055" t="s">
        <v>2177</v>
      </c>
      <c r="V149" s="1416" t="s">
        <v>2178</v>
      </c>
      <c r="W149" s="800">
        <v>14000000</v>
      </c>
      <c r="X149" s="1525" t="s">
        <v>2179</v>
      </c>
      <c r="Y149" s="1548">
        <v>61</v>
      </c>
      <c r="Z149" s="1397" t="s">
        <v>1905</v>
      </c>
      <c r="AA149" s="2111"/>
      <c r="AB149" s="2111"/>
      <c r="AC149" s="3509"/>
      <c r="AD149" s="2111"/>
      <c r="AE149" s="2111"/>
      <c r="AF149" s="2111"/>
      <c r="AG149" s="2111"/>
      <c r="AH149" s="2111"/>
      <c r="AI149" s="2111"/>
      <c r="AJ149" s="2111"/>
      <c r="AK149" s="2111"/>
      <c r="AL149" s="2111"/>
      <c r="AM149" s="2111"/>
      <c r="AN149" s="2111"/>
      <c r="AO149" s="2111"/>
      <c r="AP149" s="2111"/>
      <c r="AQ149" s="3545"/>
      <c r="AR149" s="3545"/>
      <c r="AS149" s="2111"/>
    </row>
    <row r="150" spans="1:45" ht="62.25" customHeight="1" x14ac:dyDescent="0.25">
      <c r="A150" s="1442"/>
      <c r="B150" s="1406"/>
      <c r="C150" s="1410"/>
      <c r="D150" s="1406"/>
      <c r="E150" s="3648"/>
      <c r="F150" s="3649"/>
      <c r="G150" s="2166"/>
      <c r="H150" s="2712"/>
      <c r="I150" s="2166"/>
      <c r="J150" s="2712"/>
      <c r="K150" s="3509"/>
      <c r="L150" s="3591"/>
      <c r="M150" s="3509"/>
      <c r="N150" s="3593"/>
      <c r="O150" s="2703"/>
      <c r="P150" s="2057"/>
      <c r="Q150" s="2055"/>
      <c r="R150" s="3617"/>
      <c r="S150" s="3506"/>
      <c r="T150" s="2055"/>
      <c r="U150" s="2055"/>
      <c r="V150" s="1416" t="s">
        <v>2180</v>
      </c>
      <c r="W150" s="800">
        <v>19000000</v>
      </c>
      <c r="X150" s="1525" t="s">
        <v>2179</v>
      </c>
      <c r="Y150" s="1548">
        <v>61</v>
      </c>
      <c r="Z150" s="1397" t="s">
        <v>1905</v>
      </c>
      <c r="AA150" s="2111"/>
      <c r="AB150" s="2111"/>
      <c r="AC150" s="3509"/>
      <c r="AD150" s="2111"/>
      <c r="AE150" s="2111"/>
      <c r="AF150" s="2111"/>
      <c r="AG150" s="2111"/>
      <c r="AH150" s="2111"/>
      <c r="AI150" s="2111"/>
      <c r="AJ150" s="2111"/>
      <c r="AK150" s="2111"/>
      <c r="AL150" s="2111"/>
      <c r="AM150" s="2111"/>
      <c r="AN150" s="2111"/>
      <c r="AO150" s="2111"/>
      <c r="AP150" s="2111"/>
      <c r="AQ150" s="3545"/>
      <c r="AR150" s="3545"/>
      <c r="AS150" s="2111"/>
    </row>
    <row r="151" spans="1:45" ht="40.5" customHeight="1" x14ac:dyDescent="0.25">
      <c r="A151" s="1442"/>
      <c r="B151" s="1406"/>
      <c r="C151" s="1410"/>
      <c r="D151" s="1406"/>
      <c r="E151" s="3648"/>
      <c r="F151" s="3649"/>
      <c r="G151" s="2166"/>
      <c r="H151" s="2712"/>
      <c r="I151" s="2166"/>
      <c r="J151" s="2712"/>
      <c r="K151" s="3509"/>
      <c r="L151" s="3591"/>
      <c r="M151" s="3509"/>
      <c r="N151" s="3593"/>
      <c r="O151" s="2703"/>
      <c r="P151" s="2057"/>
      <c r="Q151" s="2055"/>
      <c r="R151" s="3617"/>
      <c r="S151" s="3506"/>
      <c r="T151" s="2055"/>
      <c r="U151" s="2055"/>
      <c r="V151" s="1416" t="s">
        <v>2181</v>
      </c>
      <c r="W151" s="800">
        <v>12000000</v>
      </c>
      <c r="X151" s="1525" t="s">
        <v>2179</v>
      </c>
      <c r="Y151" s="1548">
        <v>61</v>
      </c>
      <c r="Z151" s="1397" t="s">
        <v>1905</v>
      </c>
      <c r="AA151" s="2111"/>
      <c r="AB151" s="2111"/>
      <c r="AC151" s="3509"/>
      <c r="AD151" s="2111"/>
      <c r="AE151" s="2111"/>
      <c r="AF151" s="2111"/>
      <c r="AG151" s="2111"/>
      <c r="AH151" s="2111"/>
      <c r="AI151" s="2111"/>
      <c r="AJ151" s="2111"/>
      <c r="AK151" s="2111"/>
      <c r="AL151" s="2111"/>
      <c r="AM151" s="2111"/>
      <c r="AN151" s="2111"/>
      <c r="AO151" s="2111"/>
      <c r="AP151" s="2111"/>
      <c r="AQ151" s="3545"/>
      <c r="AR151" s="3545"/>
      <c r="AS151" s="2111"/>
    </row>
    <row r="152" spans="1:45" ht="40.5" customHeight="1" x14ac:dyDescent="0.25">
      <c r="A152" s="1442"/>
      <c r="B152" s="1406"/>
      <c r="C152" s="1410"/>
      <c r="D152" s="1406"/>
      <c r="E152" s="3648"/>
      <c r="F152" s="3649"/>
      <c r="G152" s="2166"/>
      <c r="H152" s="3026"/>
      <c r="I152" s="2166"/>
      <c r="J152" s="3026"/>
      <c r="K152" s="3336"/>
      <c r="L152" s="3592"/>
      <c r="M152" s="3336"/>
      <c r="N152" s="3594"/>
      <c r="O152" s="3618"/>
      <c r="P152" s="2057"/>
      <c r="Q152" s="2055"/>
      <c r="R152" s="3549"/>
      <c r="S152" s="3506"/>
      <c r="T152" s="2055"/>
      <c r="U152" s="2055"/>
      <c r="V152" s="1417" t="s">
        <v>2182</v>
      </c>
      <c r="W152" s="1448">
        <v>12000000</v>
      </c>
      <c r="X152" s="1525" t="s">
        <v>2179</v>
      </c>
      <c r="Y152" s="1548">
        <v>61</v>
      </c>
      <c r="Z152" s="1397" t="s">
        <v>1905</v>
      </c>
      <c r="AA152" s="2111"/>
      <c r="AB152" s="2111"/>
      <c r="AC152" s="3509"/>
      <c r="AD152" s="2111"/>
      <c r="AE152" s="2111"/>
      <c r="AF152" s="2111"/>
      <c r="AG152" s="2111"/>
      <c r="AH152" s="2111"/>
      <c r="AI152" s="2111"/>
      <c r="AJ152" s="2111"/>
      <c r="AK152" s="2111"/>
      <c r="AL152" s="2111"/>
      <c r="AM152" s="2111"/>
      <c r="AN152" s="2111"/>
      <c r="AO152" s="2111"/>
      <c r="AP152" s="2111"/>
      <c r="AQ152" s="3545"/>
      <c r="AR152" s="3545"/>
      <c r="AS152" s="2111"/>
    </row>
    <row r="153" spans="1:45" ht="62.25" customHeight="1" x14ac:dyDescent="0.25">
      <c r="A153" s="1442"/>
      <c r="B153" s="1406"/>
      <c r="C153" s="1410"/>
      <c r="D153" s="1406"/>
      <c r="E153" s="3648"/>
      <c r="F153" s="3649"/>
      <c r="G153" s="2166" t="s">
        <v>62</v>
      </c>
      <c r="H153" s="3556" t="s">
        <v>2183</v>
      </c>
      <c r="I153" s="2166">
        <v>1905015</v>
      </c>
      <c r="J153" s="3556" t="s">
        <v>745</v>
      </c>
      <c r="K153" s="3337" t="s">
        <v>62</v>
      </c>
      <c r="L153" s="3546" t="s">
        <v>2184</v>
      </c>
      <c r="M153" s="3337" t="s">
        <v>2185</v>
      </c>
      <c r="N153" s="3553" t="s">
        <v>2107</v>
      </c>
      <c r="O153" s="3595">
        <v>1</v>
      </c>
      <c r="P153" s="2057"/>
      <c r="Q153" s="2055"/>
      <c r="R153" s="3515">
        <f>SUM(W153:W158)/S145</f>
        <v>0.37908496732026142</v>
      </c>
      <c r="S153" s="3506"/>
      <c r="T153" s="2055"/>
      <c r="U153" s="2055" t="s">
        <v>2186</v>
      </c>
      <c r="V153" s="1416" t="s">
        <v>2187</v>
      </c>
      <c r="W153" s="800">
        <v>18000000</v>
      </c>
      <c r="X153" s="1525" t="s">
        <v>2188</v>
      </c>
      <c r="Y153" s="1548">
        <v>61</v>
      </c>
      <c r="Z153" s="1397" t="s">
        <v>1905</v>
      </c>
      <c r="AA153" s="2111"/>
      <c r="AB153" s="2111"/>
      <c r="AC153" s="3509"/>
      <c r="AD153" s="2111"/>
      <c r="AE153" s="2111"/>
      <c r="AF153" s="2111"/>
      <c r="AG153" s="2111"/>
      <c r="AH153" s="2111"/>
      <c r="AI153" s="2111"/>
      <c r="AJ153" s="2111"/>
      <c r="AK153" s="2111"/>
      <c r="AL153" s="2111"/>
      <c r="AM153" s="2111"/>
      <c r="AN153" s="2111"/>
      <c r="AO153" s="2111"/>
      <c r="AP153" s="2111"/>
      <c r="AQ153" s="3545"/>
      <c r="AR153" s="3545"/>
      <c r="AS153" s="2111"/>
    </row>
    <row r="154" spans="1:45" ht="40.5" customHeight="1" x14ac:dyDescent="0.25">
      <c r="A154" s="1442"/>
      <c r="B154" s="1406"/>
      <c r="C154" s="1410"/>
      <c r="D154" s="1406"/>
      <c r="E154" s="3648"/>
      <c r="F154" s="3649"/>
      <c r="G154" s="2166"/>
      <c r="H154" s="3556"/>
      <c r="I154" s="2166"/>
      <c r="J154" s="3556"/>
      <c r="K154" s="3337"/>
      <c r="L154" s="3546"/>
      <c r="M154" s="3337"/>
      <c r="N154" s="3553"/>
      <c r="O154" s="3595"/>
      <c r="P154" s="2057"/>
      <c r="Q154" s="2055"/>
      <c r="R154" s="3515"/>
      <c r="S154" s="3506"/>
      <c r="T154" s="2055"/>
      <c r="U154" s="2055"/>
      <c r="V154" s="1416" t="s">
        <v>2189</v>
      </c>
      <c r="W154" s="800">
        <v>8000000</v>
      </c>
      <c r="X154" s="1525" t="s">
        <v>2188</v>
      </c>
      <c r="Y154" s="1548">
        <v>61</v>
      </c>
      <c r="Z154" s="1397" t="s">
        <v>1905</v>
      </c>
      <c r="AA154" s="2111"/>
      <c r="AB154" s="2111"/>
      <c r="AC154" s="3509"/>
      <c r="AD154" s="2111"/>
      <c r="AE154" s="2111"/>
      <c r="AF154" s="2111"/>
      <c r="AG154" s="2111"/>
      <c r="AH154" s="2111"/>
      <c r="AI154" s="2111"/>
      <c r="AJ154" s="2111"/>
      <c r="AK154" s="2111"/>
      <c r="AL154" s="2111"/>
      <c r="AM154" s="2111"/>
      <c r="AN154" s="2111"/>
      <c r="AO154" s="2111"/>
      <c r="AP154" s="2111"/>
      <c r="AQ154" s="3545"/>
      <c r="AR154" s="3545"/>
      <c r="AS154" s="2111"/>
    </row>
    <row r="155" spans="1:45" ht="40.5" customHeight="1" x14ac:dyDescent="0.25">
      <c r="A155" s="1442"/>
      <c r="B155" s="1406"/>
      <c r="C155" s="1410"/>
      <c r="D155" s="1406"/>
      <c r="E155" s="3648"/>
      <c r="F155" s="3649"/>
      <c r="G155" s="2166"/>
      <c r="H155" s="3556"/>
      <c r="I155" s="2166"/>
      <c r="J155" s="3556"/>
      <c r="K155" s="3337"/>
      <c r="L155" s="3546"/>
      <c r="M155" s="3337"/>
      <c r="N155" s="3553"/>
      <c r="O155" s="3595"/>
      <c r="P155" s="2057"/>
      <c r="Q155" s="2055"/>
      <c r="R155" s="3515"/>
      <c r="S155" s="3506"/>
      <c r="T155" s="2055"/>
      <c r="U155" s="2055"/>
      <c r="V155" s="1416" t="s">
        <v>2190</v>
      </c>
      <c r="W155" s="800">
        <v>8000000</v>
      </c>
      <c r="X155" s="1525" t="s">
        <v>2188</v>
      </c>
      <c r="Y155" s="1548">
        <v>61</v>
      </c>
      <c r="Z155" s="1397" t="s">
        <v>1905</v>
      </c>
      <c r="AA155" s="2111"/>
      <c r="AB155" s="2111"/>
      <c r="AC155" s="3509"/>
      <c r="AD155" s="2111"/>
      <c r="AE155" s="2111"/>
      <c r="AF155" s="2111"/>
      <c r="AG155" s="2111"/>
      <c r="AH155" s="2111"/>
      <c r="AI155" s="2111"/>
      <c r="AJ155" s="2111"/>
      <c r="AK155" s="2111"/>
      <c r="AL155" s="2111"/>
      <c r="AM155" s="2111"/>
      <c r="AN155" s="2111"/>
      <c r="AO155" s="2111"/>
      <c r="AP155" s="2111"/>
      <c r="AQ155" s="3545"/>
      <c r="AR155" s="3545"/>
      <c r="AS155" s="2111"/>
    </row>
    <row r="156" spans="1:45" ht="40.5" customHeight="1" x14ac:dyDescent="0.25">
      <c r="A156" s="1442"/>
      <c r="B156" s="1406"/>
      <c r="C156" s="1410"/>
      <c r="D156" s="1406"/>
      <c r="E156" s="3648"/>
      <c r="F156" s="3649"/>
      <c r="G156" s="2166"/>
      <c r="H156" s="3556"/>
      <c r="I156" s="2166"/>
      <c r="J156" s="3556"/>
      <c r="K156" s="3337"/>
      <c r="L156" s="3546"/>
      <c r="M156" s="3337"/>
      <c r="N156" s="3553"/>
      <c r="O156" s="3595"/>
      <c r="P156" s="2057"/>
      <c r="Q156" s="2055"/>
      <c r="R156" s="3515"/>
      <c r="S156" s="3506"/>
      <c r="T156" s="2055"/>
      <c r="U156" s="2055"/>
      <c r="V156" s="1416" t="s">
        <v>2191</v>
      </c>
      <c r="W156" s="800">
        <v>8000000</v>
      </c>
      <c r="X156" s="1525" t="s">
        <v>2188</v>
      </c>
      <c r="Y156" s="1548">
        <v>61</v>
      </c>
      <c r="Z156" s="1397" t="s">
        <v>1905</v>
      </c>
      <c r="AA156" s="2111"/>
      <c r="AB156" s="2111"/>
      <c r="AC156" s="3509"/>
      <c r="AD156" s="2111"/>
      <c r="AE156" s="2111"/>
      <c r="AF156" s="2111"/>
      <c r="AG156" s="2111"/>
      <c r="AH156" s="2111"/>
      <c r="AI156" s="2111"/>
      <c r="AJ156" s="2111"/>
      <c r="AK156" s="2111"/>
      <c r="AL156" s="2111"/>
      <c r="AM156" s="2111"/>
      <c r="AN156" s="2111"/>
      <c r="AO156" s="2111"/>
      <c r="AP156" s="2111"/>
      <c r="AQ156" s="3545"/>
      <c r="AR156" s="3545"/>
      <c r="AS156" s="2111"/>
    </row>
    <row r="157" spans="1:45" ht="40.5" customHeight="1" x14ac:dyDescent="0.25">
      <c r="A157" s="1442"/>
      <c r="B157" s="1406"/>
      <c r="C157" s="1410"/>
      <c r="D157" s="1406"/>
      <c r="E157" s="3648"/>
      <c r="F157" s="3649"/>
      <c r="G157" s="2166"/>
      <c r="H157" s="3556"/>
      <c r="I157" s="2166"/>
      <c r="J157" s="3556"/>
      <c r="K157" s="3337"/>
      <c r="L157" s="3546"/>
      <c r="M157" s="3337"/>
      <c r="N157" s="3553"/>
      <c r="O157" s="3595"/>
      <c r="P157" s="2057"/>
      <c r="Q157" s="2055"/>
      <c r="R157" s="3515"/>
      <c r="S157" s="3506"/>
      <c r="T157" s="2055"/>
      <c r="U157" s="2055"/>
      <c r="V157" s="1416" t="s">
        <v>2192</v>
      </c>
      <c r="W157" s="800">
        <v>8000000</v>
      </c>
      <c r="X157" s="1525" t="s">
        <v>2188</v>
      </c>
      <c r="Y157" s="1548">
        <v>61</v>
      </c>
      <c r="Z157" s="1397" t="s">
        <v>1905</v>
      </c>
      <c r="AA157" s="2111"/>
      <c r="AB157" s="2111"/>
      <c r="AC157" s="3509"/>
      <c r="AD157" s="2111"/>
      <c r="AE157" s="2111"/>
      <c r="AF157" s="2111"/>
      <c r="AG157" s="2111"/>
      <c r="AH157" s="2111"/>
      <c r="AI157" s="2111"/>
      <c r="AJ157" s="2111"/>
      <c r="AK157" s="2111"/>
      <c r="AL157" s="2111"/>
      <c r="AM157" s="2111"/>
      <c r="AN157" s="2111"/>
      <c r="AO157" s="2111"/>
      <c r="AP157" s="2111"/>
      <c r="AQ157" s="3545"/>
      <c r="AR157" s="3545"/>
      <c r="AS157" s="2111"/>
    </row>
    <row r="158" spans="1:45" ht="40.5" customHeight="1" x14ac:dyDescent="0.25">
      <c r="A158" s="1442"/>
      <c r="B158" s="1406"/>
      <c r="C158" s="1410"/>
      <c r="D158" s="1406"/>
      <c r="E158" s="3648"/>
      <c r="F158" s="3649"/>
      <c r="G158" s="2166"/>
      <c r="H158" s="3556"/>
      <c r="I158" s="2166"/>
      <c r="J158" s="3556"/>
      <c r="K158" s="3337"/>
      <c r="L158" s="3546"/>
      <c r="M158" s="3337"/>
      <c r="N158" s="3553"/>
      <c r="O158" s="3595"/>
      <c r="P158" s="2057"/>
      <c r="Q158" s="2055"/>
      <c r="R158" s="3515"/>
      <c r="S158" s="3506"/>
      <c r="T158" s="2055"/>
      <c r="U158" s="2055"/>
      <c r="V158" s="1416" t="s">
        <v>2193</v>
      </c>
      <c r="W158" s="800">
        <v>8000000</v>
      </c>
      <c r="X158" s="1525" t="s">
        <v>2188</v>
      </c>
      <c r="Y158" s="1548">
        <v>61</v>
      </c>
      <c r="Z158" s="1397" t="s">
        <v>1905</v>
      </c>
      <c r="AA158" s="2165"/>
      <c r="AB158" s="2111"/>
      <c r="AC158" s="3509"/>
      <c r="AD158" s="2111"/>
      <c r="AE158" s="2111"/>
      <c r="AF158" s="2111"/>
      <c r="AG158" s="2111"/>
      <c r="AH158" s="2111"/>
      <c r="AI158" s="2111"/>
      <c r="AJ158" s="2111"/>
      <c r="AK158" s="2111"/>
      <c r="AL158" s="2111"/>
      <c r="AM158" s="2111"/>
      <c r="AN158" s="2111"/>
      <c r="AO158" s="2111"/>
      <c r="AP158" s="2111"/>
      <c r="AQ158" s="3545"/>
      <c r="AR158" s="3545"/>
      <c r="AS158" s="2111"/>
    </row>
    <row r="159" spans="1:45" ht="74.25" customHeight="1" x14ac:dyDescent="0.25">
      <c r="A159" s="1442"/>
      <c r="B159" s="1406"/>
      <c r="C159" s="1410"/>
      <c r="D159" s="1406"/>
      <c r="E159" s="3648"/>
      <c r="F159" s="3649"/>
      <c r="G159" s="2166">
        <v>1905023</v>
      </c>
      <c r="H159" s="3616" t="s">
        <v>2194</v>
      </c>
      <c r="I159" s="2166">
        <v>1905023</v>
      </c>
      <c r="J159" s="3616" t="s">
        <v>2194</v>
      </c>
      <c r="K159" s="3608">
        <v>190502300</v>
      </c>
      <c r="L159" s="3606" t="s">
        <v>2195</v>
      </c>
      <c r="M159" s="3608">
        <v>190502300</v>
      </c>
      <c r="N159" s="3609" t="s">
        <v>2195</v>
      </c>
      <c r="O159" s="3611">
        <v>12</v>
      </c>
      <c r="P159" s="3612" t="s">
        <v>2196</v>
      </c>
      <c r="Q159" s="3613" t="s">
        <v>2197</v>
      </c>
      <c r="R159" s="3515">
        <f>SUM(W159:W163)/S159</f>
        <v>0.58011049723756902</v>
      </c>
      <c r="S159" s="3506">
        <f>SUM(W159:W167)</f>
        <v>181000000</v>
      </c>
      <c r="T159" s="2055" t="s">
        <v>2198</v>
      </c>
      <c r="U159" s="2055" t="s">
        <v>2199</v>
      </c>
      <c r="V159" s="1416" t="s">
        <v>2200</v>
      </c>
      <c r="W159" s="800">
        <v>21000000</v>
      </c>
      <c r="X159" s="1525" t="s">
        <v>2201</v>
      </c>
      <c r="Y159" s="1548">
        <v>61</v>
      </c>
      <c r="Z159" s="1397" t="s">
        <v>1905</v>
      </c>
      <c r="AA159" s="2148">
        <v>289394</v>
      </c>
      <c r="AB159" s="2148">
        <v>279112</v>
      </c>
      <c r="AC159" s="3508">
        <v>63164</v>
      </c>
      <c r="AD159" s="2148">
        <v>45607</v>
      </c>
      <c r="AE159" s="2148">
        <v>365607</v>
      </c>
      <c r="AF159" s="2148">
        <v>75612</v>
      </c>
      <c r="AG159" s="2148">
        <v>2145</v>
      </c>
      <c r="AH159" s="2148">
        <v>12718</v>
      </c>
      <c r="AI159" s="2148">
        <v>26</v>
      </c>
      <c r="AJ159" s="2148">
        <v>37</v>
      </c>
      <c r="AK159" s="2148">
        <v>0</v>
      </c>
      <c r="AL159" s="2148">
        <v>0</v>
      </c>
      <c r="AM159" s="2148">
        <v>78</v>
      </c>
      <c r="AN159" s="2148">
        <v>16897</v>
      </c>
      <c r="AO159" s="2148">
        <v>852</v>
      </c>
      <c r="AP159" s="2148">
        <v>568506</v>
      </c>
      <c r="AQ159" s="3505">
        <v>44197</v>
      </c>
      <c r="AR159" s="3505">
        <v>44561</v>
      </c>
      <c r="AS159" s="2148" t="s">
        <v>1906</v>
      </c>
    </row>
    <row r="160" spans="1:45" ht="57" customHeight="1" x14ac:dyDescent="0.25">
      <c r="A160" s="1442"/>
      <c r="B160" s="1406"/>
      <c r="C160" s="1410"/>
      <c r="D160" s="1406"/>
      <c r="E160" s="3648"/>
      <c r="F160" s="3649"/>
      <c r="G160" s="2166"/>
      <c r="H160" s="2541"/>
      <c r="I160" s="2166"/>
      <c r="J160" s="2541"/>
      <c r="K160" s="3605"/>
      <c r="L160" s="3607"/>
      <c r="M160" s="3605"/>
      <c r="N160" s="3610"/>
      <c r="O160" s="2093"/>
      <c r="P160" s="2122"/>
      <c r="Q160" s="3614"/>
      <c r="R160" s="3515"/>
      <c r="S160" s="3506"/>
      <c r="T160" s="2055"/>
      <c r="U160" s="2055"/>
      <c r="V160" s="1416" t="s">
        <v>2202</v>
      </c>
      <c r="W160" s="800">
        <v>20000000</v>
      </c>
      <c r="X160" s="1525" t="s">
        <v>2201</v>
      </c>
      <c r="Y160" s="1548">
        <v>61</v>
      </c>
      <c r="Z160" s="1397" t="s">
        <v>1905</v>
      </c>
      <c r="AA160" s="2111"/>
      <c r="AB160" s="2111"/>
      <c r="AC160" s="3509"/>
      <c r="AD160" s="2111"/>
      <c r="AE160" s="2111"/>
      <c r="AF160" s="2111"/>
      <c r="AG160" s="2111"/>
      <c r="AH160" s="2111"/>
      <c r="AI160" s="2111"/>
      <c r="AJ160" s="2111"/>
      <c r="AK160" s="2111"/>
      <c r="AL160" s="2111"/>
      <c r="AM160" s="2111"/>
      <c r="AN160" s="2111"/>
      <c r="AO160" s="2111"/>
      <c r="AP160" s="2111"/>
      <c r="AQ160" s="3545"/>
      <c r="AR160" s="3545"/>
      <c r="AS160" s="2111"/>
    </row>
    <row r="161" spans="1:45" ht="57" customHeight="1" x14ac:dyDescent="0.25">
      <c r="A161" s="1442"/>
      <c r="B161" s="1406"/>
      <c r="C161" s="1410"/>
      <c r="D161" s="1406"/>
      <c r="E161" s="3648"/>
      <c r="F161" s="3649"/>
      <c r="G161" s="2166"/>
      <c r="H161" s="2541"/>
      <c r="I161" s="2166"/>
      <c r="J161" s="2541"/>
      <c r="K161" s="3605"/>
      <c r="L161" s="3607"/>
      <c r="M161" s="3605"/>
      <c r="N161" s="3610"/>
      <c r="O161" s="2093"/>
      <c r="P161" s="2122"/>
      <c r="Q161" s="3614"/>
      <c r="R161" s="3515"/>
      <c r="S161" s="3506"/>
      <c r="T161" s="2055"/>
      <c r="U161" s="2055"/>
      <c r="V161" s="1416" t="s">
        <v>2203</v>
      </c>
      <c r="W161" s="800">
        <v>22000000</v>
      </c>
      <c r="X161" s="1525" t="s">
        <v>2201</v>
      </c>
      <c r="Y161" s="1548">
        <v>61</v>
      </c>
      <c r="Z161" s="1397" t="s">
        <v>1905</v>
      </c>
      <c r="AA161" s="2111"/>
      <c r="AB161" s="2111"/>
      <c r="AC161" s="3509"/>
      <c r="AD161" s="2111"/>
      <c r="AE161" s="2111"/>
      <c r="AF161" s="2111"/>
      <c r="AG161" s="2111"/>
      <c r="AH161" s="2111"/>
      <c r="AI161" s="2111"/>
      <c r="AJ161" s="2111"/>
      <c r="AK161" s="2111"/>
      <c r="AL161" s="2111"/>
      <c r="AM161" s="2111"/>
      <c r="AN161" s="2111"/>
      <c r="AO161" s="2111"/>
      <c r="AP161" s="2111"/>
      <c r="AQ161" s="3545"/>
      <c r="AR161" s="3545"/>
      <c r="AS161" s="2111"/>
    </row>
    <row r="162" spans="1:45" ht="57" customHeight="1" x14ac:dyDescent="0.25">
      <c r="A162" s="1442"/>
      <c r="B162" s="1406"/>
      <c r="C162" s="1410"/>
      <c r="D162" s="1406"/>
      <c r="E162" s="3648"/>
      <c r="F162" s="3649"/>
      <c r="G162" s="2166"/>
      <c r="H162" s="2541"/>
      <c r="I162" s="2166"/>
      <c r="J162" s="2541"/>
      <c r="K162" s="3605"/>
      <c r="L162" s="3607"/>
      <c r="M162" s="3605"/>
      <c r="N162" s="3610"/>
      <c r="O162" s="2093"/>
      <c r="P162" s="2122"/>
      <c r="Q162" s="3614"/>
      <c r="R162" s="3515"/>
      <c r="S162" s="3506"/>
      <c r="T162" s="2055"/>
      <c r="U162" s="2055"/>
      <c r="V162" s="1416" t="s">
        <v>2204</v>
      </c>
      <c r="W162" s="800">
        <v>22000000</v>
      </c>
      <c r="X162" s="1525" t="s">
        <v>2201</v>
      </c>
      <c r="Y162" s="1548">
        <v>61</v>
      </c>
      <c r="Z162" s="1397" t="s">
        <v>1905</v>
      </c>
      <c r="AA162" s="2111"/>
      <c r="AB162" s="2111"/>
      <c r="AC162" s="3509"/>
      <c r="AD162" s="2111"/>
      <c r="AE162" s="2111"/>
      <c r="AF162" s="2111"/>
      <c r="AG162" s="2111"/>
      <c r="AH162" s="2111"/>
      <c r="AI162" s="2111"/>
      <c r="AJ162" s="2111"/>
      <c r="AK162" s="2111"/>
      <c r="AL162" s="2111"/>
      <c r="AM162" s="2111"/>
      <c r="AN162" s="2111"/>
      <c r="AO162" s="2111"/>
      <c r="AP162" s="2111"/>
      <c r="AQ162" s="3545"/>
      <c r="AR162" s="3545"/>
      <c r="AS162" s="2111"/>
    </row>
    <row r="163" spans="1:45" ht="84" customHeight="1" x14ac:dyDescent="0.25">
      <c r="A163" s="1442"/>
      <c r="B163" s="1406"/>
      <c r="C163" s="1410"/>
      <c r="D163" s="1406"/>
      <c r="E163" s="3648"/>
      <c r="F163" s="3649"/>
      <c r="G163" s="2166"/>
      <c r="H163" s="2541"/>
      <c r="I163" s="2166"/>
      <c r="J163" s="2541"/>
      <c r="K163" s="3605"/>
      <c r="L163" s="3607"/>
      <c r="M163" s="3605"/>
      <c r="N163" s="3610"/>
      <c r="O163" s="2093"/>
      <c r="P163" s="2122"/>
      <c r="Q163" s="3614"/>
      <c r="R163" s="3515"/>
      <c r="S163" s="3506"/>
      <c r="T163" s="2055"/>
      <c r="U163" s="2055"/>
      <c r="V163" s="1416" t="s">
        <v>2205</v>
      </c>
      <c r="W163" s="800">
        <v>20000000</v>
      </c>
      <c r="X163" s="1525" t="s">
        <v>2201</v>
      </c>
      <c r="Y163" s="1548">
        <v>61</v>
      </c>
      <c r="Z163" s="1397" t="s">
        <v>1905</v>
      </c>
      <c r="AA163" s="2111"/>
      <c r="AB163" s="2111"/>
      <c r="AC163" s="3509"/>
      <c r="AD163" s="2111"/>
      <c r="AE163" s="2111"/>
      <c r="AF163" s="2111"/>
      <c r="AG163" s="2111"/>
      <c r="AH163" s="2111"/>
      <c r="AI163" s="2111"/>
      <c r="AJ163" s="2111"/>
      <c r="AK163" s="2111"/>
      <c r="AL163" s="2111"/>
      <c r="AM163" s="2111"/>
      <c r="AN163" s="2111"/>
      <c r="AO163" s="2111"/>
      <c r="AP163" s="2111"/>
      <c r="AQ163" s="3545"/>
      <c r="AR163" s="3545"/>
      <c r="AS163" s="2111"/>
    </row>
    <row r="164" spans="1:45" ht="57" customHeight="1" x14ac:dyDescent="0.25">
      <c r="A164" s="1442"/>
      <c r="B164" s="1406"/>
      <c r="C164" s="1410"/>
      <c r="D164" s="1406"/>
      <c r="E164" s="3648"/>
      <c r="F164" s="3649"/>
      <c r="G164" s="2166">
        <v>1905031</v>
      </c>
      <c r="H164" s="2541" t="s">
        <v>2084</v>
      </c>
      <c r="I164" s="2166">
        <v>1905031</v>
      </c>
      <c r="J164" s="2541" t="s">
        <v>2084</v>
      </c>
      <c r="K164" s="3605">
        <v>190503100</v>
      </c>
      <c r="L164" s="3607" t="s">
        <v>2085</v>
      </c>
      <c r="M164" s="3605">
        <v>190503100</v>
      </c>
      <c r="N164" s="3610" t="s">
        <v>2085</v>
      </c>
      <c r="O164" s="2572">
        <v>12</v>
      </c>
      <c r="P164" s="2122"/>
      <c r="Q164" s="3614"/>
      <c r="R164" s="3515">
        <f>SUM(W164:W167)/S159</f>
        <v>0.41988950276243092</v>
      </c>
      <c r="S164" s="3506"/>
      <c r="T164" s="2055"/>
      <c r="U164" s="2055" t="s">
        <v>2206</v>
      </c>
      <c r="V164" s="1416" t="s">
        <v>2207</v>
      </c>
      <c r="W164" s="800">
        <v>26000000</v>
      </c>
      <c r="X164" s="1525" t="s">
        <v>2208</v>
      </c>
      <c r="Y164" s="1548">
        <v>61</v>
      </c>
      <c r="Z164" s="1397" t="s">
        <v>1905</v>
      </c>
      <c r="AA164" s="2111"/>
      <c r="AB164" s="2111"/>
      <c r="AC164" s="3509"/>
      <c r="AD164" s="2111"/>
      <c r="AE164" s="2111"/>
      <c r="AF164" s="2111"/>
      <c r="AG164" s="2111"/>
      <c r="AH164" s="2111"/>
      <c r="AI164" s="2111"/>
      <c r="AJ164" s="2111"/>
      <c r="AK164" s="2111"/>
      <c r="AL164" s="2111"/>
      <c r="AM164" s="2111"/>
      <c r="AN164" s="2111"/>
      <c r="AO164" s="2111"/>
      <c r="AP164" s="2111"/>
      <c r="AQ164" s="3545"/>
      <c r="AR164" s="3545"/>
      <c r="AS164" s="2111"/>
    </row>
    <row r="165" spans="1:45" ht="57" customHeight="1" x14ac:dyDescent="0.25">
      <c r="A165" s="1442"/>
      <c r="B165" s="1406"/>
      <c r="C165" s="1410"/>
      <c r="D165" s="1406"/>
      <c r="E165" s="3648"/>
      <c r="F165" s="3649"/>
      <c r="G165" s="2166"/>
      <c r="H165" s="2541"/>
      <c r="I165" s="2166"/>
      <c r="J165" s="2541"/>
      <c r="K165" s="3605"/>
      <c r="L165" s="3607"/>
      <c r="M165" s="3605"/>
      <c r="N165" s="3610"/>
      <c r="O165" s="2572"/>
      <c r="P165" s="2122"/>
      <c r="Q165" s="3614"/>
      <c r="R165" s="3515"/>
      <c r="S165" s="3506"/>
      <c r="T165" s="2055"/>
      <c r="U165" s="2055"/>
      <c r="V165" s="1416" t="s">
        <v>2202</v>
      </c>
      <c r="W165" s="800">
        <f>10000000+10000000</f>
        <v>20000000</v>
      </c>
      <c r="X165" s="1525" t="s">
        <v>2208</v>
      </c>
      <c r="Y165" s="1548">
        <v>61</v>
      </c>
      <c r="Z165" s="1397" t="s">
        <v>1905</v>
      </c>
      <c r="AA165" s="2111"/>
      <c r="AB165" s="2111"/>
      <c r="AC165" s="3509"/>
      <c r="AD165" s="2111"/>
      <c r="AE165" s="2111"/>
      <c r="AF165" s="2111"/>
      <c r="AG165" s="2111"/>
      <c r="AH165" s="2111"/>
      <c r="AI165" s="2111"/>
      <c r="AJ165" s="2111"/>
      <c r="AK165" s="2111"/>
      <c r="AL165" s="2111"/>
      <c r="AM165" s="2111"/>
      <c r="AN165" s="2111"/>
      <c r="AO165" s="2111"/>
      <c r="AP165" s="2111"/>
      <c r="AQ165" s="3545"/>
      <c r="AR165" s="3545"/>
      <c r="AS165" s="2111"/>
    </row>
    <row r="166" spans="1:45" ht="57" customHeight="1" x14ac:dyDescent="0.25">
      <c r="A166" s="1442"/>
      <c r="B166" s="1406"/>
      <c r="C166" s="1410"/>
      <c r="D166" s="1406"/>
      <c r="E166" s="3648"/>
      <c r="F166" s="3649"/>
      <c r="G166" s="2166"/>
      <c r="H166" s="2541"/>
      <c r="I166" s="2166"/>
      <c r="J166" s="2541"/>
      <c r="K166" s="3605"/>
      <c r="L166" s="3607"/>
      <c r="M166" s="3605"/>
      <c r="N166" s="3610"/>
      <c r="O166" s="2572"/>
      <c r="P166" s="2122"/>
      <c r="Q166" s="3614"/>
      <c r="R166" s="3515"/>
      <c r="S166" s="3506"/>
      <c r="T166" s="2055"/>
      <c r="U166" s="2055"/>
      <c r="V166" s="1416" t="s">
        <v>2209</v>
      </c>
      <c r="W166" s="800">
        <v>10000000</v>
      </c>
      <c r="X166" s="1525" t="s">
        <v>2208</v>
      </c>
      <c r="Y166" s="1548">
        <v>61</v>
      </c>
      <c r="Z166" s="1397" t="s">
        <v>1905</v>
      </c>
      <c r="AA166" s="2111"/>
      <c r="AB166" s="2111"/>
      <c r="AC166" s="3509"/>
      <c r="AD166" s="2111"/>
      <c r="AE166" s="2111"/>
      <c r="AF166" s="2111"/>
      <c r="AG166" s="2111"/>
      <c r="AH166" s="2111"/>
      <c r="AI166" s="2111"/>
      <c r="AJ166" s="2111"/>
      <c r="AK166" s="2111"/>
      <c r="AL166" s="2111"/>
      <c r="AM166" s="2111"/>
      <c r="AN166" s="2111"/>
      <c r="AO166" s="2111"/>
      <c r="AP166" s="2111"/>
      <c r="AQ166" s="3545"/>
      <c r="AR166" s="3545"/>
      <c r="AS166" s="2111"/>
    </row>
    <row r="167" spans="1:45" ht="57" customHeight="1" x14ac:dyDescent="0.25">
      <c r="A167" s="1442"/>
      <c r="B167" s="1406"/>
      <c r="C167" s="1410"/>
      <c r="D167" s="1406"/>
      <c r="E167" s="3648"/>
      <c r="F167" s="3649"/>
      <c r="G167" s="2166"/>
      <c r="H167" s="2541"/>
      <c r="I167" s="2166"/>
      <c r="J167" s="2541"/>
      <c r="K167" s="3605"/>
      <c r="L167" s="3607"/>
      <c r="M167" s="3605"/>
      <c r="N167" s="3610"/>
      <c r="O167" s="2572"/>
      <c r="P167" s="2098"/>
      <c r="Q167" s="3615"/>
      <c r="R167" s="3555"/>
      <c r="S167" s="3507"/>
      <c r="T167" s="2056"/>
      <c r="U167" s="2055"/>
      <c r="V167" s="1416" t="s">
        <v>2210</v>
      </c>
      <c r="W167" s="800">
        <v>20000000</v>
      </c>
      <c r="X167" s="1525" t="s">
        <v>2208</v>
      </c>
      <c r="Y167" s="1548">
        <v>61</v>
      </c>
      <c r="Z167" s="1397" t="s">
        <v>1905</v>
      </c>
      <c r="AA167" s="2165"/>
      <c r="AB167" s="2111"/>
      <c r="AC167" s="3509"/>
      <c r="AD167" s="2111"/>
      <c r="AE167" s="2111"/>
      <c r="AF167" s="2111"/>
      <c r="AG167" s="2111"/>
      <c r="AH167" s="2111"/>
      <c r="AI167" s="2111"/>
      <c r="AJ167" s="2111"/>
      <c r="AK167" s="2111"/>
      <c r="AL167" s="2111"/>
      <c r="AM167" s="2111"/>
      <c r="AN167" s="2111"/>
      <c r="AO167" s="2111"/>
      <c r="AP167" s="2111"/>
      <c r="AQ167" s="3545"/>
      <c r="AR167" s="3545"/>
      <c r="AS167" s="2111"/>
    </row>
    <row r="168" spans="1:45" ht="52.5" customHeight="1" x14ac:dyDescent="0.25">
      <c r="A168" s="1442"/>
      <c r="B168" s="1406"/>
      <c r="C168" s="1410"/>
      <c r="D168" s="1406"/>
      <c r="E168" s="3648"/>
      <c r="F168" s="3649"/>
      <c r="G168" s="2166">
        <v>1905012</v>
      </c>
      <c r="H168" s="3319" t="s">
        <v>2211</v>
      </c>
      <c r="I168" s="2166">
        <v>1905012</v>
      </c>
      <c r="J168" s="3319" t="s">
        <v>2211</v>
      </c>
      <c r="K168" s="3529">
        <v>190501200</v>
      </c>
      <c r="L168" s="3600" t="s">
        <v>2211</v>
      </c>
      <c r="M168" s="3529">
        <v>190501200</v>
      </c>
      <c r="N168" s="3596" t="s">
        <v>2211</v>
      </c>
      <c r="O168" s="3598">
        <v>1</v>
      </c>
      <c r="P168" s="2057" t="s">
        <v>2212</v>
      </c>
      <c r="Q168" s="2055" t="s">
        <v>2213</v>
      </c>
      <c r="R168" s="3515">
        <f>SUM(W168:W171)/S168</f>
        <v>0.13071895424836602</v>
      </c>
      <c r="S168" s="3506">
        <f>SUM(W168:W182)</f>
        <v>153000000</v>
      </c>
      <c r="T168" s="2119" t="s">
        <v>2214</v>
      </c>
      <c r="U168" s="2055" t="s">
        <v>2215</v>
      </c>
      <c r="V168" s="1416" t="s">
        <v>2216</v>
      </c>
      <c r="W168" s="800">
        <v>6000000</v>
      </c>
      <c r="X168" s="1525" t="s">
        <v>2217</v>
      </c>
      <c r="Y168" s="1548">
        <v>61</v>
      </c>
      <c r="Z168" s="1397" t="s">
        <v>1905</v>
      </c>
      <c r="AA168" s="2148">
        <v>289394</v>
      </c>
      <c r="AB168" s="2148">
        <v>279112</v>
      </c>
      <c r="AC168" s="3508">
        <v>63164</v>
      </c>
      <c r="AD168" s="2148">
        <v>45607</v>
      </c>
      <c r="AE168" s="2148">
        <v>365607</v>
      </c>
      <c r="AF168" s="2148">
        <v>75612</v>
      </c>
      <c r="AG168" s="2148">
        <v>2145</v>
      </c>
      <c r="AH168" s="2148">
        <v>12718</v>
      </c>
      <c r="AI168" s="2148">
        <v>26</v>
      </c>
      <c r="AJ168" s="2148">
        <v>37</v>
      </c>
      <c r="AK168" s="2148">
        <v>0</v>
      </c>
      <c r="AL168" s="2148">
        <v>0</v>
      </c>
      <c r="AM168" s="2148">
        <v>78</v>
      </c>
      <c r="AN168" s="2148">
        <v>16897</v>
      </c>
      <c r="AO168" s="2148">
        <v>852</v>
      </c>
      <c r="AP168" s="2148">
        <v>568506</v>
      </c>
      <c r="AQ168" s="3505">
        <v>44197</v>
      </c>
      <c r="AR168" s="3505">
        <v>44561</v>
      </c>
      <c r="AS168" s="2148" t="s">
        <v>1906</v>
      </c>
    </row>
    <row r="169" spans="1:45" ht="52.5" customHeight="1" x14ac:dyDescent="0.25">
      <c r="A169" s="1442"/>
      <c r="B169" s="1406"/>
      <c r="C169" s="1410"/>
      <c r="D169" s="1406"/>
      <c r="E169" s="3648"/>
      <c r="F169" s="3649"/>
      <c r="G169" s="2166"/>
      <c r="H169" s="3266"/>
      <c r="I169" s="2166"/>
      <c r="J169" s="3266"/>
      <c r="K169" s="3511"/>
      <c r="L169" s="3601"/>
      <c r="M169" s="3511"/>
      <c r="N169" s="3597"/>
      <c r="O169" s="2992"/>
      <c r="P169" s="2057"/>
      <c r="Q169" s="2055"/>
      <c r="R169" s="3515"/>
      <c r="S169" s="3506"/>
      <c r="T169" s="2119"/>
      <c r="U169" s="2055"/>
      <c r="V169" s="1416" t="s">
        <v>2218</v>
      </c>
      <c r="W169" s="800">
        <v>6000000</v>
      </c>
      <c r="X169" s="1525" t="s">
        <v>2217</v>
      </c>
      <c r="Y169" s="1548">
        <v>61</v>
      </c>
      <c r="Z169" s="1397" t="s">
        <v>1905</v>
      </c>
      <c r="AA169" s="2111"/>
      <c r="AB169" s="2111"/>
      <c r="AC169" s="3509"/>
      <c r="AD169" s="2111"/>
      <c r="AE169" s="2111"/>
      <c r="AF169" s="2111"/>
      <c r="AG169" s="2111"/>
      <c r="AH169" s="2111"/>
      <c r="AI169" s="2111"/>
      <c r="AJ169" s="2111"/>
      <c r="AK169" s="2111"/>
      <c r="AL169" s="2111"/>
      <c r="AM169" s="2111"/>
      <c r="AN169" s="2111"/>
      <c r="AO169" s="2111"/>
      <c r="AP169" s="2111"/>
      <c r="AQ169" s="3545"/>
      <c r="AR169" s="3545"/>
      <c r="AS169" s="2111"/>
    </row>
    <row r="170" spans="1:45" ht="52.5" customHeight="1" x14ac:dyDescent="0.25">
      <c r="A170" s="1442"/>
      <c r="B170" s="1406"/>
      <c r="C170" s="1410"/>
      <c r="D170" s="1406"/>
      <c r="E170" s="3648"/>
      <c r="F170" s="3649"/>
      <c r="G170" s="2166"/>
      <c r="H170" s="3266"/>
      <c r="I170" s="2166"/>
      <c r="J170" s="3266"/>
      <c r="K170" s="3511"/>
      <c r="L170" s="3601"/>
      <c r="M170" s="3511"/>
      <c r="N170" s="3597"/>
      <c r="O170" s="2992"/>
      <c r="P170" s="2057"/>
      <c r="Q170" s="2055"/>
      <c r="R170" s="3515"/>
      <c r="S170" s="3506"/>
      <c r="T170" s="2119"/>
      <c r="U170" s="2055"/>
      <c r="V170" s="1416" t="s">
        <v>2219</v>
      </c>
      <c r="W170" s="800">
        <v>4000000</v>
      </c>
      <c r="X170" s="1525" t="s">
        <v>2217</v>
      </c>
      <c r="Y170" s="1548">
        <v>61</v>
      </c>
      <c r="Z170" s="1397" t="s">
        <v>1905</v>
      </c>
      <c r="AA170" s="2111"/>
      <c r="AB170" s="2111"/>
      <c r="AC170" s="3509"/>
      <c r="AD170" s="2111"/>
      <c r="AE170" s="2111"/>
      <c r="AF170" s="2111"/>
      <c r="AG170" s="2111"/>
      <c r="AH170" s="2111"/>
      <c r="AI170" s="2111"/>
      <c r="AJ170" s="2111"/>
      <c r="AK170" s="2111"/>
      <c r="AL170" s="2111"/>
      <c r="AM170" s="2111"/>
      <c r="AN170" s="2111"/>
      <c r="AO170" s="2111"/>
      <c r="AP170" s="2111"/>
      <c r="AQ170" s="3545"/>
      <c r="AR170" s="3545"/>
      <c r="AS170" s="2111"/>
    </row>
    <row r="171" spans="1:45" ht="52.5" customHeight="1" x14ac:dyDescent="0.25">
      <c r="A171" s="1442"/>
      <c r="B171" s="1406"/>
      <c r="C171" s="1410"/>
      <c r="D171" s="1406"/>
      <c r="E171" s="3648"/>
      <c r="F171" s="3649"/>
      <c r="G171" s="2166"/>
      <c r="H171" s="3267"/>
      <c r="I171" s="2166"/>
      <c r="J171" s="3267"/>
      <c r="K171" s="3512"/>
      <c r="L171" s="3604"/>
      <c r="M171" s="3512"/>
      <c r="N171" s="3602"/>
      <c r="O171" s="3603"/>
      <c r="P171" s="2057"/>
      <c r="Q171" s="2055"/>
      <c r="R171" s="3515"/>
      <c r="S171" s="3506"/>
      <c r="T171" s="2119"/>
      <c r="U171" s="2055"/>
      <c r="V171" s="1416" t="s">
        <v>2220</v>
      </c>
      <c r="W171" s="800">
        <v>4000000</v>
      </c>
      <c r="X171" s="1525" t="s">
        <v>2217</v>
      </c>
      <c r="Y171" s="1548">
        <v>61</v>
      </c>
      <c r="Z171" s="1397" t="s">
        <v>1905</v>
      </c>
      <c r="AA171" s="2111"/>
      <c r="AB171" s="2111"/>
      <c r="AC171" s="3509"/>
      <c r="AD171" s="2111"/>
      <c r="AE171" s="2111"/>
      <c r="AF171" s="2111"/>
      <c r="AG171" s="2111"/>
      <c r="AH171" s="2111"/>
      <c r="AI171" s="2111"/>
      <c r="AJ171" s="2111"/>
      <c r="AK171" s="2111"/>
      <c r="AL171" s="2111"/>
      <c r="AM171" s="2111"/>
      <c r="AN171" s="2111"/>
      <c r="AO171" s="2111"/>
      <c r="AP171" s="2111"/>
      <c r="AQ171" s="3545"/>
      <c r="AR171" s="3545"/>
      <c r="AS171" s="2111"/>
    </row>
    <row r="172" spans="1:45" ht="52.5" customHeight="1" x14ac:dyDescent="0.25">
      <c r="A172" s="1442"/>
      <c r="B172" s="1406"/>
      <c r="C172" s="1410"/>
      <c r="D172" s="1406"/>
      <c r="E172" s="3648"/>
      <c r="F172" s="3649"/>
      <c r="G172" s="2166">
        <v>1905026</v>
      </c>
      <c r="H172" s="3319" t="s">
        <v>2221</v>
      </c>
      <c r="I172" s="2166">
        <v>1905026</v>
      </c>
      <c r="J172" s="3319" t="s">
        <v>2221</v>
      </c>
      <c r="K172" s="3529">
        <v>190502600</v>
      </c>
      <c r="L172" s="3600" t="s">
        <v>2222</v>
      </c>
      <c r="M172" s="3529">
        <v>190502600</v>
      </c>
      <c r="N172" s="3596" t="s">
        <v>2222</v>
      </c>
      <c r="O172" s="3598">
        <v>12</v>
      </c>
      <c r="P172" s="2057"/>
      <c r="Q172" s="2055"/>
      <c r="R172" s="3515">
        <f>SUM(W172:W177)/S168</f>
        <v>0.37908496732026142</v>
      </c>
      <c r="S172" s="3506"/>
      <c r="T172" s="2119"/>
      <c r="U172" s="2056" t="s">
        <v>2223</v>
      </c>
      <c r="V172" s="1416" t="s">
        <v>2224</v>
      </c>
      <c r="W172" s="800">
        <v>10000000</v>
      </c>
      <c r="X172" s="1525" t="s">
        <v>2225</v>
      </c>
      <c r="Y172" s="1548">
        <v>61</v>
      </c>
      <c r="Z172" s="1397" t="s">
        <v>1905</v>
      </c>
      <c r="AA172" s="2111"/>
      <c r="AB172" s="2111"/>
      <c r="AC172" s="3509"/>
      <c r="AD172" s="2111"/>
      <c r="AE172" s="2111"/>
      <c r="AF172" s="2111"/>
      <c r="AG172" s="2111"/>
      <c r="AH172" s="2111"/>
      <c r="AI172" s="2111"/>
      <c r="AJ172" s="2111"/>
      <c r="AK172" s="2111"/>
      <c r="AL172" s="2111"/>
      <c r="AM172" s="2111"/>
      <c r="AN172" s="2111"/>
      <c r="AO172" s="2111"/>
      <c r="AP172" s="2111"/>
      <c r="AQ172" s="3545"/>
      <c r="AR172" s="3545"/>
      <c r="AS172" s="2111"/>
    </row>
    <row r="173" spans="1:45" ht="52.5" customHeight="1" x14ac:dyDescent="0.25">
      <c r="A173" s="1442"/>
      <c r="B173" s="1406"/>
      <c r="C173" s="1410"/>
      <c r="D173" s="1406"/>
      <c r="E173" s="3648"/>
      <c r="F173" s="3649"/>
      <c r="G173" s="2166"/>
      <c r="H173" s="3266"/>
      <c r="I173" s="2166"/>
      <c r="J173" s="3266"/>
      <c r="K173" s="3511"/>
      <c r="L173" s="3601"/>
      <c r="M173" s="3511"/>
      <c r="N173" s="3597"/>
      <c r="O173" s="2992"/>
      <c r="P173" s="2057"/>
      <c r="Q173" s="2055"/>
      <c r="R173" s="3515"/>
      <c r="S173" s="3506"/>
      <c r="T173" s="2119"/>
      <c r="U173" s="2965"/>
      <c r="V173" s="1416" t="s">
        <v>2226</v>
      </c>
      <c r="W173" s="800">
        <v>10000000</v>
      </c>
      <c r="X173" s="1525" t="s">
        <v>2225</v>
      </c>
      <c r="Y173" s="1548">
        <v>61</v>
      </c>
      <c r="Z173" s="1397" t="s">
        <v>1905</v>
      </c>
      <c r="AA173" s="2111"/>
      <c r="AB173" s="2111"/>
      <c r="AC173" s="3509"/>
      <c r="AD173" s="2111"/>
      <c r="AE173" s="2111"/>
      <c r="AF173" s="2111"/>
      <c r="AG173" s="2111"/>
      <c r="AH173" s="2111"/>
      <c r="AI173" s="2111"/>
      <c r="AJ173" s="2111"/>
      <c r="AK173" s="2111"/>
      <c r="AL173" s="2111"/>
      <c r="AM173" s="2111"/>
      <c r="AN173" s="2111"/>
      <c r="AO173" s="2111"/>
      <c r="AP173" s="2111"/>
      <c r="AQ173" s="3545"/>
      <c r="AR173" s="3545"/>
      <c r="AS173" s="2111"/>
    </row>
    <row r="174" spans="1:45" ht="52.5" customHeight="1" x14ac:dyDescent="0.25">
      <c r="A174" s="1442"/>
      <c r="B174" s="1406"/>
      <c r="C174" s="1410"/>
      <c r="D174" s="1406"/>
      <c r="E174" s="3648"/>
      <c r="F174" s="3649"/>
      <c r="G174" s="2166"/>
      <c r="H174" s="3266"/>
      <c r="I174" s="2166"/>
      <c r="J174" s="3266"/>
      <c r="K174" s="3511"/>
      <c r="L174" s="3601"/>
      <c r="M174" s="3511"/>
      <c r="N174" s="3597"/>
      <c r="O174" s="2992"/>
      <c r="P174" s="2057"/>
      <c r="Q174" s="2055"/>
      <c r="R174" s="3515"/>
      <c r="S174" s="3506"/>
      <c r="T174" s="2119"/>
      <c r="U174" s="2965"/>
      <c r="V174" s="1416" t="s">
        <v>2227</v>
      </c>
      <c r="W174" s="800">
        <v>10000000</v>
      </c>
      <c r="X174" s="1525" t="s">
        <v>2225</v>
      </c>
      <c r="Y174" s="1548">
        <v>61</v>
      </c>
      <c r="Z174" s="1397" t="s">
        <v>1905</v>
      </c>
      <c r="AA174" s="2111"/>
      <c r="AB174" s="2111"/>
      <c r="AC174" s="3509"/>
      <c r="AD174" s="2111"/>
      <c r="AE174" s="2111"/>
      <c r="AF174" s="2111"/>
      <c r="AG174" s="2111"/>
      <c r="AH174" s="2111"/>
      <c r="AI174" s="2111"/>
      <c r="AJ174" s="2111"/>
      <c r="AK174" s="2111"/>
      <c r="AL174" s="2111"/>
      <c r="AM174" s="2111"/>
      <c r="AN174" s="2111"/>
      <c r="AO174" s="2111"/>
      <c r="AP174" s="2111"/>
      <c r="AQ174" s="3545"/>
      <c r="AR174" s="3545"/>
      <c r="AS174" s="2111"/>
    </row>
    <row r="175" spans="1:45" ht="52.5" customHeight="1" x14ac:dyDescent="0.25">
      <c r="A175" s="1442"/>
      <c r="B175" s="1406"/>
      <c r="C175" s="1410"/>
      <c r="D175" s="1406"/>
      <c r="E175" s="3648"/>
      <c r="F175" s="3649"/>
      <c r="G175" s="2166"/>
      <c r="H175" s="3266"/>
      <c r="I175" s="2166"/>
      <c r="J175" s="3266"/>
      <c r="K175" s="3511"/>
      <c r="L175" s="3601"/>
      <c r="M175" s="3511"/>
      <c r="N175" s="3597"/>
      <c r="O175" s="2992"/>
      <c r="P175" s="2057"/>
      <c r="Q175" s="2055"/>
      <c r="R175" s="3515"/>
      <c r="S175" s="3506"/>
      <c r="T175" s="2119"/>
      <c r="U175" s="2965"/>
      <c r="V175" s="1416" t="s">
        <v>2228</v>
      </c>
      <c r="W175" s="800">
        <v>10000000</v>
      </c>
      <c r="X175" s="1525" t="s">
        <v>2225</v>
      </c>
      <c r="Y175" s="1548">
        <v>61</v>
      </c>
      <c r="Z175" s="1397" t="s">
        <v>1905</v>
      </c>
      <c r="AA175" s="2111"/>
      <c r="AB175" s="2111"/>
      <c r="AC175" s="3509"/>
      <c r="AD175" s="2111"/>
      <c r="AE175" s="2111"/>
      <c r="AF175" s="2111"/>
      <c r="AG175" s="2111"/>
      <c r="AH175" s="2111"/>
      <c r="AI175" s="2111"/>
      <c r="AJ175" s="2111"/>
      <c r="AK175" s="2111"/>
      <c r="AL175" s="2111"/>
      <c r="AM175" s="2111"/>
      <c r="AN175" s="2111"/>
      <c r="AO175" s="2111"/>
      <c r="AP175" s="2111"/>
      <c r="AQ175" s="3545"/>
      <c r="AR175" s="3545"/>
      <c r="AS175" s="2111"/>
    </row>
    <row r="176" spans="1:45" ht="52.5" customHeight="1" x14ac:dyDescent="0.25">
      <c r="A176" s="1442"/>
      <c r="B176" s="1406"/>
      <c r="C176" s="1410"/>
      <c r="D176" s="1406"/>
      <c r="E176" s="3648"/>
      <c r="F176" s="3649"/>
      <c r="G176" s="2166"/>
      <c r="H176" s="3266"/>
      <c r="I176" s="2166"/>
      <c r="J176" s="3266"/>
      <c r="K176" s="3511"/>
      <c r="L176" s="3601"/>
      <c r="M176" s="3511"/>
      <c r="N176" s="3597"/>
      <c r="O176" s="2992"/>
      <c r="P176" s="2057"/>
      <c r="Q176" s="2055"/>
      <c r="R176" s="3515"/>
      <c r="S176" s="3506"/>
      <c r="T176" s="2119"/>
      <c r="U176" s="2965"/>
      <c r="V176" s="1416" t="s">
        <v>2229</v>
      </c>
      <c r="W176" s="800">
        <v>10000000</v>
      </c>
      <c r="X176" s="1525" t="s">
        <v>2225</v>
      </c>
      <c r="Y176" s="1548">
        <v>61</v>
      </c>
      <c r="Z176" s="1397" t="s">
        <v>1905</v>
      </c>
      <c r="AA176" s="2111"/>
      <c r="AB176" s="2111"/>
      <c r="AC176" s="3509"/>
      <c r="AD176" s="2111"/>
      <c r="AE176" s="2111"/>
      <c r="AF176" s="2111"/>
      <c r="AG176" s="2111"/>
      <c r="AH176" s="2111"/>
      <c r="AI176" s="2111"/>
      <c r="AJ176" s="2111"/>
      <c r="AK176" s="2111"/>
      <c r="AL176" s="2111"/>
      <c r="AM176" s="2111"/>
      <c r="AN176" s="2111"/>
      <c r="AO176" s="2111"/>
      <c r="AP176" s="2111"/>
      <c r="AQ176" s="3545"/>
      <c r="AR176" s="3545"/>
      <c r="AS176" s="2111"/>
    </row>
    <row r="177" spans="1:45" ht="52.5" customHeight="1" x14ac:dyDescent="0.25">
      <c r="A177" s="1442"/>
      <c r="B177" s="1406"/>
      <c r="C177" s="1410"/>
      <c r="D177" s="1406"/>
      <c r="E177" s="3648"/>
      <c r="F177" s="3649"/>
      <c r="G177" s="2166"/>
      <c r="H177" s="3266"/>
      <c r="I177" s="2166"/>
      <c r="J177" s="3266"/>
      <c r="K177" s="3511"/>
      <c r="L177" s="3601"/>
      <c r="M177" s="3511"/>
      <c r="N177" s="3597"/>
      <c r="O177" s="2992"/>
      <c r="P177" s="2057"/>
      <c r="Q177" s="2055"/>
      <c r="R177" s="3515"/>
      <c r="S177" s="3506"/>
      <c r="T177" s="2119"/>
      <c r="U177" s="2965"/>
      <c r="V177" s="1416" t="s">
        <v>2230</v>
      </c>
      <c r="W177" s="800">
        <v>8000000</v>
      </c>
      <c r="X177" s="1525" t="s">
        <v>2225</v>
      </c>
      <c r="Y177" s="1548">
        <v>61</v>
      </c>
      <c r="Z177" s="1397" t="s">
        <v>1905</v>
      </c>
      <c r="AA177" s="2111"/>
      <c r="AB177" s="2111"/>
      <c r="AC177" s="3509"/>
      <c r="AD177" s="2111"/>
      <c r="AE177" s="2111"/>
      <c r="AF177" s="2111"/>
      <c r="AG177" s="2111"/>
      <c r="AH177" s="2111"/>
      <c r="AI177" s="2111"/>
      <c r="AJ177" s="2111"/>
      <c r="AK177" s="2111"/>
      <c r="AL177" s="2111"/>
      <c r="AM177" s="2111"/>
      <c r="AN177" s="2111"/>
      <c r="AO177" s="2111"/>
      <c r="AP177" s="2111"/>
      <c r="AQ177" s="3545"/>
      <c r="AR177" s="3545"/>
      <c r="AS177" s="2111"/>
    </row>
    <row r="178" spans="1:45" ht="52.5" customHeight="1" x14ac:dyDescent="0.25">
      <c r="A178" s="1442"/>
      <c r="B178" s="1406"/>
      <c r="C178" s="1410"/>
      <c r="D178" s="1406"/>
      <c r="E178" s="3648"/>
      <c r="F178" s="3649"/>
      <c r="G178" s="2166">
        <v>1905027</v>
      </c>
      <c r="H178" s="3556" t="s">
        <v>2231</v>
      </c>
      <c r="I178" s="2166">
        <v>1905027</v>
      </c>
      <c r="J178" s="3556" t="s">
        <v>2231</v>
      </c>
      <c r="K178" s="3337">
        <v>190502700</v>
      </c>
      <c r="L178" s="3546" t="s">
        <v>2232</v>
      </c>
      <c r="M178" s="3337">
        <v>190502700</v>
      </c>
      <c r="N178" s="3553" t="s">
        <v>2232</v>
      </c>
      <c r="O178" s="3595">
        <v>12</v>
      </c>
      <c r="P178" s="2057"/>
      <c r="Q178" s="2055"/>
      <c r="R178" s="3515">
        <f>SUM(W178:W182)/S168</f>
        <v>0.49019607843137253</v>
      </c>
      <c r="S178" s="3506"/>
      <c r="T178" s="2119"/>
      <c r="U178" s="2965"/>
      <c r="V178" s="1416" t="s">
        <v>2233</v>
      </c>
      <c r="W178" s="800">
        <f>7000000+7000000+7000000</f>
        <v>21000000</v>
      </c>
      <c r="X178" s="1525" t="s">
        <v>2234</v>
      </c>
      <c r="Y178" s="1548">
        <v>61</v>
      </c>
      <c r="Z178" s="1397" t="s">
        <v>1905</v>
      </c>
      <c r="AA178" s="2111"/>
      <c r="AB178" s="2111"/>
      <c r="AC178" s="3509"/>
      <c r="AD178" s="2111"/>
      <c r="AE178" s="2111"/>
      <c r="AF178" s="2111"/>
      <c r="AG178" s="2111"/>
      <c r="AH178" s="2111"/>
      <c r="AI178" s="2111"/>
      <c r="AJ178" s="2111"/>
      <c r="AK178" s="2111"/>
      <c r="AL178" s="2111"/>
      <c r="AM178" s="2111"/>
      <c r="AN178" s="2111"/>
      <c r="AO178" s="2111"/>
      <c r="AP178" s="2111"/>
      <c r="AQ178" s="3545"/>
      <c r="AR178" s="3545"/>
      <c r="AS178" s="2111"/>
    </row>
    <row r="179" spans="1:45" ht="52.5" customHeight="1" x14ac:dyDescent="0.25">
      <c r="A179" s="1442"/>
      <c r="B179" s="1406"/>
      <c r="C179" s="1410"/>
      <c r="D179" s="1406"/>
      <c r="E179" s="3648"/>
      <c r="F179" s="3649"/>
      <c r="G179" s="2166"/>
      <c r="H179" s="3556"/>
      <c r="I179" s="2166"/>
      <c r="J179" s="3556"/>
      <c r="K179" s="3337"/>
      <c r="L179" s="3546"/>
      <c r="M179" s="3337"/>
      <c r="N179" s="3553"/>
      <c r="O179" s="3595"/>
      <c r="P179" s="2057"/>
      <c r="Q179" s="2055"/>
      <c r="R179" s="3515"/>
      <c r="S179" s="3506"/>
      <c r="T179" s="2119"/>
      <c r="U179" s="2965"/>
      <c r="V179" s="1416" t="s">
        <v>2235</v>
      </c>
      <c r="W179" s="800">
        <f>5000000+7000000</f>
        <v>12000000</v>
      </c>
      <c r="X179" s="1525" t="s">
        <v>2234</v>
      </c>
      <c r="Y179" s="1548">
        <v>61</v>
      </c>
      <c r="Z179" s="1397" t="s">
        <v>1905</v>
      </c>
      <c r="AA179" s="2111"/>
      <c r="AB179" s="2111"/>
      <c r="AC179" s="3509"/>
      <c r="AD179" s="2111"/>
      <c r="AE179" s="2111"/>
      <c r="AF179" s="2111"/>
      <c r="AG179" s="2111"/>
      <c r="AH179" s="2111"/>
      <c r="AI179" s="2111"/>
      <c r="AJ179" s="2111"/>
      <c r="AK179" s="2111"/>
      <c r="AL179" s="2111"/>
      <c r="AM179" s="2111"/>
      <c r="AN179" s="2111"/>
      <c r="AO179" s="2111"/>
      <c r="AP179" s="2111"/>
      <c r="AQ179" s="3545"/>
      <c r="AR179" s="3545"/>
      <c r="AS179" s="2111"/>
    </row>
    <row r="180" spans="1:45" ht="52.5" customHeight="1" x14ac:dyDescent="0.25">
      <c r="A180" s="1442"/>
      <c r="B180" s="1406"/>
      <c r="C180" s="1410"/>
      <c r="D180" s="1406"/>
      <c r="E180" s="3648"/>
      <c r="F180" s="3649"/>
      <c r="G180" s="2166"/>
      <c r="H180" s="3556"/>
      <c r="I180" s="2166"/>
      <c r="J180" s="3556"/>
      <c r="K180" s="3337"/>
      <c r="L180" s="3546"/>
      <c r="M180" s="3337"/>
      <c r="N180" s="3553"/>
      <c r="O180" s="3595"/>
      <c r="P180" s="2057"/>
      <c r="Q180" s="2055"/>
      <c r="R180" s="3515"/>
      <c r="S180" s="3506"/>
      <c r="T180" s="2119"/>
      <c r="U180" s="2965"/>
      <c r="V180" s="1416" t="s">
        <v>2236</v>
      </c>
      <c r="W180" s="800">
        <v>14000000</v>
      </c>
      <c r="X180" s="1525" t="s">
        <v>2234</v>
      </c>
      <c r="Y180" s="1548">
        <v>61</v>
      </c>
      <c r="Z180" s="1397" t="s">
        <v>1905</v>
      </c>
      <c r="AA180" s="2111"/>
      <c r="AB180" s="2111"/>
      <c r="AC180" s="3509"/>
      <c r="AD180" s="2111"/>
      <c r="AE180" s="2111"/>
      <c r="AF180" s="2111"/>
      <c r="AG180" s="2111"/>
      <c r="AH180" s="2111"/>
      <c r="AI180" s="2111"/>
      <c r="AJ180" s="2111"/>
      <c r="AK180" s="2111"/>
      <c r="AL180" s="2111"/>
      <c r="AM180" s="2111"/>
      <c r="AN180" s="2111"/>
      <c r="AO180" s="2111"/>
      <c r="AP180" s="2111"/>
      <c r="AQ180" s="3545"/>
      <c r="AR180" s="3545"/>
      <c r="AS180" s="2111"/>
    </row>
    <row r="181" spans="1:45" ht="52.5" customHeight="1" x14ac:dyDescent="0.25">
      <c r="A181" s="1442"/>
      <c r="B181" s="1406"/>
      <c r="C181" s="1410"/>
      <c r="D181" s="1406"/>
      <c r="E181" s="3648"/>
      <c r="F181" s="3649"/>
      <c r="G181" s="2166"/>
      <c r="H181" s="3556"/>
      <c r="I181" s="2166"/>
      <c r="J181" s="3556"/>
      <c r="K181" s="3337"/>
      <c r="L181" s="3546"/>
      <c r="M181" s="3337"/>
      <c r="N181" s="3553"/>
      <c r="O181" s="3595"/>
      <c r="P181" s="2057"/>
      <c r="Q181" s="2055"/>
      <c r="R181" s="3515"/>
      <c r="S181" s="3506"/>
      <c r="T181" s="2119"/>
      <c r="U181" s="2965"/>
      <c r="V181" s="1416" t="s">
        <v>2230</v>
      </c>
      <c r="W181" s="800">
        <v>10000000</v>
      </c>
      <c r="X181" s="1525" t="s">
        <v>2234</v>
      </c>
      <c r="Y181" s="1548">
        <v>61</v>
      </c>
      <c r="Z181" s="1397" t="s">
        <v>1905</v>
      </c>
      <c r="AA181" s="2111"/>
      <c r="AB181" s="2111"/>
      <c r="AC181" s="3509"/>
      <c r="AD181" s="2111"/>
      <c r="AE181" s="2111"/>
      <c r="AF181" s="2111"/>
      <c r="AG181" s="2111"/>
      <c r="AH181" s="2111"/>
      <c r="AI181" s="2111"/>
      <c r="AJ181" s="2111"/>
      <c r="AK181" s="2111"/>
      <c r="AL181" s="2111"/>
      <c r="AM181" s="2111"/>
      <c r="AN181" s="2111"/>
      <c r="AO181" s="2111"/>
      <c r="AP181" s="2111"/>
      <c r="AQ181" s="3545"/>
      <c r="AR181" s="3545"/>
      <c r="AS181" s="2111"/>
    </row>
    <row r="182" spans="1:45" ht="52.5" customHeight="1" x14ac:dyDescent="0.25">
      <c r="A182" s="1442"/>
      <c r="B182" s="1406"/>
      <c r="C182" s="1410"/>
      <c r="D182" s="1406"/>
      <c r="E182" s="3648"/>
      <c r="F182" s="3649"/>
      <c r="G182" s="2166"/>
      <c r="H182" s="3556"/>
      <c r="I182" s="2166"/>
      <c r="J182" s="3556"/>
      <c r="K182" s="3337"/>
      <c r="L182" s="3546"/>
      <c r="M182" s="3337"/>
      <c r="N182" s="3553"/>
      <c r="O182" s="3595"/>
      <c r="P182" s="2057"/>
      <c r="Q182" s="2055"/>
      <c r="R182" s="3515"/>
      <c r="S182" s="3506"/>
      <c r="T182" s="2119"/>
      <c r="U182" s="2966"/>
      <c r="V182" s="1416" t="s">
        <v>2237</v>
      </c>
      <c r="W182" s="800">
        <f>11000000+7000000</f>
        <v>18000000</v>
      </c>
      <c r="X182" s="1525" t="s">
        <v>2234</v>
      </c>
      <c r="Y182" s="1548">
        <v>61</v>
      </c>
      <c r="Z182" s="1397" t="s">
        <v>1905</v>
      </c>
      <c r="AA182" s="2165"/>
      <c r="AB182" s="2165"/>
      <c r="AC182" s="3336"/>
      <c r="AD182" s="2165"/>
      <c r="AE182" s="2165"/>
      <c r="AF182" s="2165"/>
      <c r="AG182" s="2165"/>
      <c r="AH182" s="2165"/>
      <c r="AI182" s="2165"/>
      <c r="AJ182" s="2165"/>
      <c r="AK182" s="2165"/>
      <c r="AL182" s="2165"/>
      <c r="AM182" s="2165"/>
      <c r="AN182" s="2165"/>
      <c r="AO182" s="2165"/>
      <c r="AP182" s="2165"/>
      <c r="AQ182" s="3599"/>
      <c r="AR182" s="3599"/>
      <c r="AS182" s="2165"/>
    </row>
    <row r="183" spans="1:45" ht="57.75" customHeight="1" x14ac:dyDescent="0.25">
      <c r="A183" s="1442"/>
      <c r="B183" s="1406"/>
      <c r="C183" s="1410"/>
      <c r="D183" s="1406"/>
      <c r="E183" s="3648"/>
      <c r="F183" s="3649"/>
      <c r="G183" s="2166" t="s">
        <v>62</v>
      </c>
      <c r="H183" s="3556" t="s">
        <v>2238</v>
      </c>
      <c r="I183" s="2166" t="s">
        <v>2239</v>
      </c>
      <c r="J183" s="3556" t="s">
        <v>1427</v>
      </c>
      <c r="K183" s="3337" t="s">
        <v>62</v>
      </c>
      <c r="L183" s="3546" t="s">
        <v>2122</v>
      </c>
      <c r="M183" s="3337" t="s">
        <v>2240</v>
      </c>
      <c r="N183" s="3553" t="s">
        <v>1695</v>
      </c>
      <c r="O183" s="3548">
        <v>4</v>
      </c>
      <c r="P183" s="2057" t="s">
        <v>2241</v>
      </c>
      <c r="Q183" s="2055" t="s">
        <v>2242</v>
      </c>
      <c r="R183" s="3515">
        <f>SUM(W183:W189)/S183</f>
        <v>0.17866969925693699</v>
      </c>
      <c r="S183" s="3506">
        <f>SUM(W183:W195)</f>
        <v>531707393</v>
      </c>
      <c r="T183" s="2055" t="s">
        <v>2243</v>
      </c>
      <c r="U183" s="2055" t="s">
        <v>2244</v>
      </c>
      <c r="V183" s="1416" t="s">
        <v>2245</v>
      </c>
      <c r="W183" s="800">
        <v>20000000</v>
      </c>
      <c r="X183" s="1525" t="s">
        <v>2246</v>
      </c>
      <c r="Y183" s="1548">
        <v>61</v>
      </c>
      <c r="Z183" s="1397" t="s">
        <v>1905</v>
      </c>
      <c r="AA183" s="2148">
        <v>292684</v>
      </c>
      <c r="AB183" s="2148">
        <v>282326</v>
      </c>
      <c r="AC183" s="3508">
        <v>135912</v>
      </c>
      <c r="AD183" s="2148">
        <v>45122</v>
      </c>
      <c r="AE183" s="2148">
        <v>307101</v>
      </c>
      <c r="AF183" s="2148">
        <v>86875</v>
      </c>
      <c r="AG183" s="2148">
        <v>2145</v>
      </c>
      <c r="AH183" s="2148">
        <v>12718</v>
      </c>
      <c r="AI183" s="2148">
        <v>26</v>
      </c>
      <c r="AJ183" s="2148">
        <v>37</v>
      </c>
      <c r="AK183" s="2148">
        <v>0</v>
      </c>
      <c r="AL183" s="2148">
        <v>0</v>
      </c>
      <c r="AM183" s="2148">
        <v>53164</v>
      </c>
      <c r="AN183" s="2148">
        <v>16982</v>
      </c>
      <c r="AO183" s="2148">
        <v>60013</v>
      </c>
      <c r="AP183" s="2148">
        <v>575010</v>
      </c>
      <c r="AQ183" s="3505">
        <v>44197</v>
      </c>
      <c r="AR183" s="3505">
        <v>44561</v>
      </c>
      <c r="AS183" s="2148" t="s">
        <v>1906</v>
      </c>
    </row>
    <row r="184" spans="1:45" ht="57.75" customHeight="1" x14ac:dyDescent="0.25">
      <c r="A184" s="1442"/>
      <c r="B184" s="1406"/>
      <c r="C184" s="1410"/>
      <c r="D184" s="1406"/>
      <c r="E184" s="3648"/>
      <c r="F184" s="3649"/>
      <c r="G184" s="2166"/>
      <c r="H184" s="3556"/>
      <c r="I184" s="2166"/>
      <c r="J184" s="3556"/>
      <c r="K184" s="3337"/>
      <c r="L184" s="3546"/>
      <c r="M184" s="3337"/>
      <c r="N184" s="3553"/>
      <c r="O184" s="3548"/>
      <c r="P184" s="2057"/>
      <c r="Q184" s="2055"/>
      <c r="R184" s="3515"/>
      <c r="S184" s="3506"/>
      <c r="T184" s="2055"/>
      <c r="U184" s="2055"/>
      <c r="V184" s="1416" t="s">
        <v>2247</v>
      </c>
      <c r="W184" s="800">
        <v>10000000</v>
      </c>
      <c r="X184" s="1525" t="s">
        <v>2246</v>
      </c>
      <c r="Y184" s="1548">
        <v>61</v>
      </c>
      <c r="Z184" s="1397" t="s">
        <v>1905</v>
      </c>
      <c r="AA184" s="2111"/>
      <c r="AB184" s="2111"/>
      <c r="AC184" s="3509"/>
      <c r="AD184" s="2111"/>
      <c r="AE184" s="2111"/>
      <c r="AF184" s="2111"/>
      <c r="AG184" s="2111"/>
      <c r="AH184" s="2111"/>
      <c r="AI184" s="2111"/>
      <c r="AJ184" s="2111"/>
      <c r="AK184" s="2111"/>
      <c r="AL184" s="2111"/>
      <c r="AM184" s="2111"/>
      <c r="AN184" s="2111"/>
      <c r="AO184" s="2111"/>
      <c r="AP184" s="2111"/>
      <c r="AQ184" s="3545"/>
      <c r="AR184" s="3545"/>
      <c r="AS184" s="2111"/>
    </row>
    <row r="185" spans="1:45" ht="36" customHeight="1" x14ac:dyDescent="0.25">
      <c r="A185" s="1442"/>
      <c r="B185" s="1406"/>
      <c r="C185" s="1410"/>
      <c r="D185" s="1406"/>
      <c r="E185" s="3648"/>
      <c r="F185" s="3649"/>
      <c r="G185" s="2166"/>
      <c r="H185" s="3556"/>
      <c r="I185" s="2166"/>
      <c r="J185" s="3556"/>
      <c r="K185" s="3337"/>
      <c r="L185" s="3546"/>
      <c r="M185" s="3337"/>
      <c r="N185" s="3553"/>
      <c r="O185" s="3548"/>
      <c r="P185" s="2057"/>
      <c r="Q185" s="2055"/>
      <c r="R185" s="3515"/>
      <c r="S185" s="3506"/>
      <c r="T185" s="2055"/>
      <c r="U185" s="2055"/>
      <c r="V185" s="2181" t="s">
        <v>2248</v>
      </c>
      <c r="W185" s="800">
        <v>10000000</v>
      </c>
      <c r="X185" s="1525" t="s">
        <v>2246</v>
      </c>
      <c r="Y185" s="1548">
        <v>61</v>
      </c>
      <c r="Z185" s="1397" t="s">
        <v>1905</v>
      </c>
      <c r="AA185" s="2111"/>
      <c r="AB185" s="2111"/>
      <c r="AC185" s="3509"/>
      <c r="AD185" s="2111"/>
      <c r="AE185" s="2111"/>
      <c r="AF185" s="2111"/>
      <c r="AG185" s="2111"/>
      <c r="AH185" s="2111"/>
      <c r="AI185" s="2111"/>
      <c r="AJ185" s="2111"/>
      <c r="AK185" s="2111"/>
      <c r="AL185" s="2111"/>
      <c r="AM185" s="2111"/>
      <c r="AN185" s="2111"/>
      <c r="AO185" s="2111"/>
      <c r="AP185" s="2111"/>
      <c r="AQ185" s="3545"/>
      <c r="AR185" s="3545"/>
      <c r="AS185" s="2111"/>
    </row>
    <row r="186" spans="1:45" ht="36" customHeight="1" x14ac:dyDescent="0.25">
      <c r="A186" s="1442"/>
      <c r="B186" s="1406"/>
      <c r="C186" s="1410"/>
      <c r="D186" s="1406"/>
      <c r="E186" s="3648"/>
      <c r="F186" s="3649"/>
      <c r="G186" s="2166"/>
      <c r="H186" s="3556"/>
      <c r="I186" s="2166"/>
      <c r="J186" s="3556"/>
      <c r="K186" s="3337"/>
      <c r="L186" s="3546"/>
      <c r="M186" s="3337"/>
      <c r="N186" s="3553"/>
      <c r="O186" s="3548"/>
      <c r="P186" s="2057"/>
      <c r="Q186" s="2055"/>
      <c r="R186" s="3515"/>
      <c r="S186" s="3506"/>
      <c r="T186" s="2055"/>
      <c r="U186" s="2055"/>
      <c r="V186" s="3221"/>
      <c r="W186" s="800">
        <v>10000000</v>
      </c>
      <c r="X186" s="1525" t="s">
        <v>2246</v>
      </c>
      <c r="Y186" s="1548">
        <v>61</v>
      </c>
      <c r="Z186" s="1397" t="s">
        <v>1905</v>
      </c>
      <c r="AA186" s="2111"/>
      <c r="AB186" s="2111"/>
      <c r="AC186" s="3509"/>
      <c r="AD186" s="2111"/>
      <c r="AE186" s="2111"/>
      <c r="AF186" s="2111"/>
      <c r="AG186" s="2111"/>
      <c r="AH186" s="2111"/>
      <c r="AI186" s="2111"/>
      <c r="AJ186" s="2111"/>
      <c r="AK186" s="2111"/>
      <c r="AL186" s="2111"/>
      <c r="AM186" s="2111"/>
      <c r="AN186" s="2111"/>
      <c r="AO186" s="2111"/>
      <c r="AP186" s="2111"/>
      <c r="AQ186" s="3545"/>
      <c r="AR186" s="3545"/>
      <c r="AS186" s="2111"/>
    </row>
    <row r="187" spans="1:45" ht="57.75" customHeight="1" x14ac:dyDescent="0.25">
      <c r="A187" s="1442"/>
      <c r="B187" s="1406"/>
      <c r="C187" s="1410"/>
      <c r="D187" s="1406"/>
      <c r="E187" s="3648"/>
      <c r="F187" s="3649"/>
      <c r="G187" s="2166"/>
      <c r="H187" s="3556"/>
      <c r="I187" s="2166"/>
      <c r="J187" s="3556"/>
      <c r="K187" s="3337"/>
      <c r="L187" s="3546"/>
      <c r="M187" s="3337"/>
      <c r="N187" s="3553"/>
      <c r="O187" s="3548"/>
      <c r="P187" s="2057"/>
      <c r="Q187" s="2055"/>
      <c r="R187" s="3515"/>
      <c r="S187" s="3506"/>
      <c r="T187" s="2055"/>
      <c r="U187" s="2055"/>
      <c r="V187" s="1416" t="s">
        <v>2249</v>
      </c>
      <c r="W187" s="800">
        <v>10000000</v>
      </c>
      <c r="X187" s="1525" t="s">
        <v>2246</v>
      </c>
      <c r="Y187" s="1548">
        <v>61</v>
      </c>
      <c r="Z187" s="1397" t="s">
        <v>1905</v>
      </c>
      <c r="AA187" s="2111"/>
      <c r="AB187" s="2111"/>
      <c r="AC187" s="3509"/>
      <c r="AD187" s="2111"/>
      <c r="AE187" s="2111"/>
      <c r="AF187" s="2111"/>
      <c r="AG187" s="2111"/>
      <c r="AH187" s="2111"/>
      <c r="AI187" s="2111"/>
      <c r="AJ187" s="2111"/>
      <c r="AK187" s="2111"/>
      <c r="AL187" s="2111"/>
      <c r="AM187" s="2111"/>
      <c r="AN187" s="2111"/>
      <c r="AO187" s="2111"/>
      <c r="AP187" s="2111"/>
      <c r="AQ187" s="3545"/>
      <c r="AR187" s="3545"/>
      <c r="AS187" s="2111"/>
    </row>
    <row r="188" spans="1:45" ht="57.75" customHeight="1" x14ac:dyDescent="0.25">
      <c r="A188" s="1442"/>
      <c r="B188" s="1406"/>
      <c r="C188" s="1410"/>
      <c r="D188" s="1406"/>
      <c r="E188" s="3648"/>
      <c r="F188" s="3649"/>
      <c r="G188" s="2166"/>
      <c r="H188" s="3556"/>
      <c r="I188" s="2166"/>
      <c r="J188" s="3556"/>
      <c r="K188" s="3337"/>
      <c r="L188" s="3546"/>
      <c r="M188" s="3337"/>
      <c r="N188" s="3553"/>
      <c r="O188" s="3548"/>
      <c r="P188" s="2057"/>
      <c r="Q188" s="2055"/>
      <c r="R188" s="3515"/>
      <c r="S188" s="3506"/>
      <c r="T188" s="2055"/>
      <c r="U188" s="2055"/>
      <c r="V188" s="1416" t="s">
        <v>2250</v>
      </c>
      <c r="W188" s="800">
        <v>25000000</v>
      </c>
      <c r="X188" s="1525" t="s">
        <v>2246</v>
      </c>
      <c r="Y188" s="1548">
        <v>61</v>
      </c>
      <c r="Z188" s="1397" t="s">
        <v>1905</v>
      </c>
      <c r="AA188" s="2111"/>
      <c r="AB188" s="2111"/>
      <c r="AC188" s="3509"/>
      <c r="AD188" s="2111"/>
      <c r="AE188" s="2111"/>
      <c r="AF188" s="2111"/>
      <c r="AG188" s="2111"/>
      <c r="AH188" s="2111"/>
      <c r="AI188" s="2111"/>
      <c r="AJ188" s="2111"/>
      <c r="AK188" s="2111"/>
      <c r="AL188" s="2111"/>
      <c r="AM188" s="2111"/>
      <c r="AN188" s="2111"/>
      <c r="AO188" s="2111"/>
      <c r="AP188" s="2111"/>
      <c r="AQ188" s="3545"/>
      <c r="AR188" s="3545"/>
      <c r="AS188" s="2111"/>
    </row>
    <row r="189" spans="1:45" ht="57.75" customHeight="1" x14ac:dyDescent="0.25">
      <c r="A189" s="1442"/>
      <c r="B189" s="1406"/>
      <c r="C189" s="1410"/>
      <c r="D189" s="1406"/>
      <c r="E189" s="3648"/>
      <c r="F189" s="3649"/>
      <c r="G189" s="2166"/>
      <c r="H189" s="3556"/>
      <c r="I189" s="2166"/>
      <c r="J189" s="3556"/>
      <c r="K189" s="3337"/>
      <c r="L189" s="3546"/>
      <c r="M189" s="3337"/>
      <c r="N189" s="3553"/>
      <c r="O189" s="3548"/>
      <c r="P189" s="2057"/>
      <c r="Q189" s="2055"/>
      <c r="R189" s="3515"/>
      <c r="S189" s="3506"/>
      <c r="T189" s="2055"/>
      <c r="U189" s="2055"/>
      <c r="V189" s="1416" t="s">
        <v>2251</v>
      </c>
      <c r="W189" s="800">
        <v>10000000</v>
      </c>
      <c r="X189" s="1525" t="s">
        <v>2246</v>
      </c>
      <c r="Y189" s="1548">
        <v>61</v>
      </c>
      <c r="Z189" s="1397" t="s">
        <v>1905</v>
      </c>
      <c r="AA189" s="2111"/>
      <c r="AB189" s="2111"/>
      <c r="AC189" s="3509"/>
      <c r="AD189" s="2111"/>
      <c r="AE189" s="2111"/>
      <c r="AF189" s="2111"/>
      <c r="AG189" s="2111"/>
      <c r="AH189" s="2111"/>
      <c r="AI189" s="2111"/>
      <c r="AJ189" s="2111"/>
      <c r="AK189" s="2111"/>
      <c r="AL189" s="2111"/>
      <c r="AM189" s="2111"/>
      <c r="AN189" s="2111"/>
      <c r="AO189" s="2111"/>
      <c r="AP189" s="2111"/>
      <c r="AQ189" s="3545"/>
      <c r="AR189" s="3545"/>
      <c r="AS189" s="2111"/>
    </row>
    <row r="190" spans="1:45" ht="40.5" customHeight="1" x14ac:dyDescent="0.25">
      <c r="A190" s="1442"/>
      <c r="B190" s="1406"/>
      <c r="C190" s="1410"/>
      <c r="D190" s="1406"/>
      <c r="E190" s="3648"/>
      <c r="F190" s="3649"/>
      <c r="G190" s="2166">
        <v>1905026</v>
      </c>
      <c r="H190" s="3556" t="s">
        <v>2221</v>
      </c>
      <c r="I190" s="2166">
        <v>1905026</v>
      </c>
      <c r="J190" s="3556" t="s">
        <v>2221</v>
      </c>
      <c r="K190" s="3337">
        <v>190502600</v>
      </c>
      <c r="L190" s="3546" t="s">
        <v>2222</v>
      </c>
      <c r="M190" s="3337">
        <v>190502600</v>
      </c>
      <c r="N190" s="3553" t="s">
        <v>2222</v>
      </c>
      <c r="O190" s="2123">
        <v>12</v>
      </c>
      <c r="P190" s="2057"/>
      <c r="Q190" s="2055"/>
      <c r="R190" s="3515">
        <f>SUM(W190:W195)/S183</f>
        <v>0.82133030074306301</v>
      </c>
      <c r="S190" s="3506"/>
      <c r="T190" s="2055"/>
      <c r="U190" s="2055" t="s">
        <v>2252</v>
      </c>
      <c r="V190" s="2181" t="s">
        <v>2253</v>
      </c>
      <c r="W190" s="800">
        <f>36000000</f>
        <v>36000000</v>
      </c>
      <c r="X190" s="1525" t="s">
        <v>2254</v>
      </c>
      <c r="Y190" s="1548">
        <v>61</v>
      </c>
      <c r="Z190" s="1397" t="s">
        <v>1905</v>
      </c>
      <c r="AA190" s="2111"/>
      <c r="AB190" s="2111"/>
      <c r="AC190" s="3509"/>
      <c r="AD190" s="2111"/>
      <c r="AE190" s="2111"/>
      <c r="AF190" s="2111"/>
      <c r="AG190" s="2111"/>
      <c r="AH190" s="2111"/>
      <c r="AI190" s="2111"/>
      <c r="AJ190" s="2111"/>
      <c r="AK190" s="2111"/>
      <c r="AL190" s="2111"/>
      <c r="AM190" s="2111"/>
      <c r="AN190" s="2111"/>
      <c r="AO190" s="2111"/>
      <c r="AP190" s="2111"/>
      <c r="AQ190" s="3545"/>
      <c r="AR190" s="3545"/>
      <c r="AS190" s="2111"/>
    </row>
    <row r="191" spans="1:45" ht="40.5" customHeight="1" x14ac:dyDescent="0.25">
      <c r="A191" s="1442"/>
      <c r="B191" s="1406"/>
      <c r="C191" s="1410"/>
      <c r="D191" s="1406"/>
      <c r="E191" s="3648"/>
      <c r="F191" s="3649"/>
      <c r="G191" s="2166"/>
      <c r="H191" s="3556"/>
      <c r="I191" s="2166"/>
      <c r="J191" s="3556"/>
      <c r="K191" s="3337"/>
      <c r="L191" s="3546"/>
      <c r="M191" s="3337"/>
      <c r="N191" s="3553"/>
      <c r="O191" s="2124"/>
      <c r="P191" s="2057"/>
      <c r="Q191" s="2055"/>
      <c r="R191" s="3515"/>
      <c r="S191" s="3506"/>
      <c r="T191" s="2055"/>
      <c r="U191" s="2055"/>
      <c r="V191" s="3220"/>
      <c r="W191" s="800">
        <v>130000000</v>
      </c>
      <c r="X191" s="1525" t="s">
        <v>2255</v>
      </c>
      <c r="Y191" s="1548">
        <v>20</v>
      </c>
      <c r="Z191" s="1397" t="s">
        <v>77</v>
      </c>
      <c r="AA191" s="2111"/>
      <c r="AB191" s="2111"/>
      <c r="AC191" s="3509"/>
      <c r="AD191" s="2111"/>
      <c r="AE191" s="2111"/>
      <c r="AF191" s="2111"/>
      <c r="AG191" s="2111"/>
      <c r="AH191" s="2111"/>
      <c r="AI191" s="2111"/>
      <c r="AJ191" s="2111"/>
      <c r="AK191" s="2111"/>
      <c r="AL191" s="2111"/>
      <c r="AM191" s="2111"/>
      <c r="AN191" s="2111"/>
      <c r="AO191" s="2111"/>
      <c r="AP191" s="2111"/>
      <c r="AQ191" s="3545"/>
      <c r="AR191" s="3545"/>
      <c r="AS191" s="2111"/>
    </row>
    <row r="192" spans="1:45" ht="40.5" customHeight="1" x14ac:dyDescent="0.25">
      <c r="A192" s="1442"/>
      <c r="B192" s="1406"/>
      <c r="C192" s="1410"/>
      <c r="D192" s="1406"/>
      <c r="E192" s="3648"/>
      <c r="F192" s="3649"/>
      <c r="G192" s="2166"/>
      <c r="H192" s="3556"/>
      <c r="I192" s="2166"/>
      <c r="J192" s="3556"/>
      <c r="K192" s="3337"/>
      <c r="L192" s="3546"/>
      <c r="M192" s="3337"/>
      <c r="N192" s="3553"/>
      <c r="O192" s="2124"/>
      <c r="P192" s="2057"/>
      <c r="Q192" s="2055"/>
      <c r="R192" s="3515"/>
      <c r="S192" s="3506"/>
      <c r="T192" s="2055"/>
      <c r="U192" s="2055"/>
      <c r="V192" s="3220"/>
      <c r="W192" s="800">
        <v>210707393</v>
      </c>
      <c r="X192" s="1525" t="s">
        <v>2256</v>
      </c>
      <c r="Y192" s="1548">
        <v>111</v>
      </c>
      <c r="Z192" s="1397" t="s">
        <v>2257</v>
      </c>
      <c r="AA192" s="2111"/>
      <c r="AB192" s="2111"/>
      <c r="AC192" s="3509"/>
      <c r="AD192" s="2111"/>
      <c r="AE192" s="2111"/>
      <c r="AF192" s="2111"/>
      <c r="AG192" s="2111"/>
      <c r="AH192" s="2111"/>
      <c r="AI192" s="2111"/>
      <c r="AJ192" s="2111"/>
      <c r="AK192" s="2111"/>
      <c r="AL192" s="2111"/>
      <c r="AM192" s="2111"/>
      <c r="AN192" s="2111"/>
      <c r="AO192" s="2111"/>
      <c r="AP192" s="2111"/>
      <c r="AQ192" s="3545"/>
      <c r="AR192" s="3545"/>
      <c r="AS192" s="2111"/>
    </row>
    <row r="193" spans="1:45" ht="57.75" customHeight="1" x14ac:dyDescent="0.25">
      <c r="A193" s="1442"/>
      <c r="B193" s="1406"/>
      <c r="C193" s="1410"/>
      <c r="D193" s="1406"/>
      <c r="E193" s="3648"/>
      <c r="F193" s="3649"/>
      <c r="G193" s="2166"/>
      <c r="H193" s="3556"/>
      <c r="I193" s="2166"/>
      <c r="J193" s="3556"/>
      <c r="K193" s="3337"/>
      <c r="L193" s="3546"/>
      <c r="M193" s="3337"/>
      <c r="N193" s="3553"/>
      <c r="O193" s="2124"/>
      <c r="P193" s="2057"/>
      <c r="Q193" s="2055"/>
      <c r="R193" s="3515"/>
      <c r="S193" s="3506"/>
      <c r="T193" s="2055"/>
      <c r="U193" s="2055"/>
      <c r="V193" s="1416" t="s">
        <v>2258</v>
      </c>
      <c r="W193" s="800">
        <v>10000000</v>
      </c>
      <c r="X193" s="1525" t="s">
        <v>2254</v>
      </c>
      <c r="Y193" s="1548">
        <v>61</v>
      </c>
      <c r="Z193" s="1397" t="s">
        <v>1905</v>
      </c>
      <c r="AA193" s="2111"/>
      <c r="AB193" s="2111"/>
      <c r="AC193" s="3509"/>
      <c r="AD193" s="2111"/>
      <c r="AE193" s="2111"/>
      <c r="AF193" s="2111"/>
      <c r="AG193" s="2111"/>
      <c r="AH193" s="2111"/>
      <c r="AI193" s="2111"/>
      <c r="AJ193" s="2111"/>
      <c r="AK193" s="2111"/>
      <c r="AL193" s="2111"/>
      <c r="AM193" s="2111"/>
      <c r="AN193" s="2111"/>
      <c r="AO193" s="2111"/>
      <c r="AP193" s="2111"/>
      <c r="AQ193" s="3545"/>
      <c r="AR193" s="3545"/>
      <c r="AS193" s="2111"/>
    </row>
    <row r="194" spans="1:45" ht="57.75" customHeight="1" x14ac:dyDescent="0.25">
      <c r="A194" s="1442"/>
      <c r="B194" s="1406"/>
      <c r="C194" s="1410"/>
      <c r="D194" s="1406"/>
      <c r="E194" s="3648"/>
      <c r="F194" s="3649"/>
      <c r="G194" s="2166"/>
      <c r="H194" s="3556"/>
      <c r="I194" s="2166"/>
      <c r="J194" s="3556"/>
      <c r="K194" s="3337"/>
      <c r="L194" s="3546"/>
      <c r="M194" s="3337"/>
      <c r="N194" s="3553"/>
      <c r="O194" s="2124"/>
      <c r="P194" s="2057"/>
      <c r="Q194" s="2055"/>
      <c r="R194" s="3515"/>
      <c r="S194" s="3506"/>
      <c r="T194" s="2055"/>
      <c r="U194" s="2055"/>
      <c r="V194" s="1416" t="s">
        <v>2259</v>
      </c>
      <c r="W194" s="800">
        <f>26000000+14000000</f>
        <v>40000000</v>
      </c>
      <c r="X194" s="1525" t="s">
        <v>2254</v>
      </c>
      <c r="Y194" s="1548">
        <v>61</v>
      </c>
      <c r="Z194" s="1397" t="s">
        <v>1905</v>
      </c>
      <c r="AA194" s="2111"/>
      <c r="AB194" s="2111"/>
      <c r="AC194" s="3509"/>
      <c r="AD194" s="2111"/>
      <c r="AE194" s="2111"/>
      <c r="AF194" s="2111"/>
      <c r="AG194" s="2111"/>
      <c r="AH194" s="2111"/>
      <c r="AI194" s="2111"/>
      <c r="AJ194" s="2111"/>
      <c r="AK194" s="2111"/>
      <c r="AL194" s="2111"/>
      <c r="AM194" s="2111"/>
      <c r="AN194" s="2111"/>
      <c r="AO194" s="2111"/>
      <c r="AP194" s="2111"/>
      <c r="AQ194" s="3545"/>
      <c r="AR194" s="3545"/>
      <c r="AS194" s="2111"/>
    </row>
    <row r="195" spans="1:45" ht="57.75" customHeight="1" x14ac:dyDescent="0.25">
      <c r="A195" s="1442"/>
      <c r="B195" s="1406"/>
      <c r="C195" s="1410"/>
      <c r="D195" s="1406"/>
      <c r="E195" s="3648"/>
      <c r="F195" s="3649"/>
      <c r="G195" s="2166"/>
      <c r="H195" s="3556"/>
      <c r="I195" s="2166"/>
      <c r="J195" s="3556"/>
      <c r="K195" s="3337"/>
      <c r="L195" s="3546"/>
      <c r="M195" s="3337"/>
      <c r="N195" s="3553"/>
      <c r="O195" s="2125"/>
      <c r="P195" s="2057"/>
      <c r="Q195" s="2055"/>
      <c r="R195" s="3515"/>
      <c r="S195" s="3506"/>
      <c r="T195" s="2055"/>
      <c r="U195" s="2055"/>
      <c r="V195" s="1416" t="s">
        <v>2260</v>
      </c>
      <c r="W195" s="1557">
        <v>10000000</v>
      </c>
      <c r="X195" s="1525" t="s">
        <v>2254</v>
      </c>
      <c r="Y195" s="1548">
        <v>61</v>
      </c>
      <c r="Z195" s="1397" t="s">
        <v>1905</v>
      </c>
      <c r="AA195" s="2165"/>
      <c r="AB195" s="2111"/>
      <c r="AC195" s="3509"/>
      <c r="AD195" s="2111"/>
      <c r="AE195" s="2111"/>
      <c r="AF195" s="2111"/>
      <c r="AG195" s="2111"/>
      <c r="AH195" s="2111"/>
      <c r="AI195" s="2111"/>
      <c r="AJ195" s="2111"/>
      <c r="AK195" s="2111"/>
      <c r="AL195" s="2111"/>
      <c r="AM195" s="2111"/>
      <c r="AN195" s="2111"/>
      <c r="AO195" s="2111"/>
      <c r="AP195" s="2111"/>
      <c r="AQ195" s="3545"/>
      <c r="AR195" s="3545"/>
      <c r="AS195" s="2111"/>
    </row>
    <row r="196" spans="1:45" ht="99.75" customHeight="1" x14ac:dyDescent="0.25">
      <c r="A196" s="1442"/>
      <c r="B196" s="1406"/>
      <c r="C196" s="1410"/>
      <c r="D196" s="1406"/>
      <c r="E196" s="3648"/>
      <c r="F196" s="3649"/>
      <c r="G196" s="1413">
        <v>1905014</v>
      </c>
      <c r="H196" s="1559" t="s">
        <v>173</v>
      </c>
      <c r="I196" s="1413">
        <v>1905014</v>
      </c>
      <c r="J196" s="1559" t="s">
        <v>173</v>
      </c>
      <c r="K196" s="1560">
        <v>190501400</v>
      </c>
      <c r="L196" s="1561" t="s">
        <v>816</v>
      </c>
      <c r="M196" s="1560">
        <v>190501400</v>
      </c>
      <c r="N196" s="1562" t="s">
        <v>816</v>
      </c>
      <c r="O196" s="4">
        <v>12</v>
      </c>
      <c r="P196" s="2057" t="s">
        <v>2261</v>
      </c>
      <c r="Q196" s="2055" t="s">
        <v>2262</v>
      </c>
      <c r="R196" s="1553">
        <f>W196/S196</f>
        <v>0.19403819802573716</v>
      </c>
      <c r="S196" s="3506">
        <f>SUM(W196:W210)</f>
        <v>221605851</v>
      </c>
      <c r="T196" s="2055" t="s">
        <v>2263</v>
      </c>
      <c r="U196" s="1563" t="s">
        <v>2264</v>
      </c>
      <c r="V196" s="1417" t="s">
        <v>2265</v>
      </c>
      <c r="W196" s="1448">
        <v>43000000</v>
      </c>
      <c r="X196" s="1564" t="s">
        <v>2266</v>
      </c>
      <c r="Y196" s="1421">
        <v>61</v>
      </c>
      <c r="Z196" s="1398" t="s">
        <v>1905</v>
      </c>
      <c r="AA196" s="3569">
        <v>289394</v>
      </c>
      <c r="AB196" s="3569">
        <v>279112</v>
      </c>
      <c r="AC196" s="3570">
        <v>63164</v>
      </c>
      <c r="AD196" s="3569">
        <v>45607</v>
      </c>
      <c r="AE196" s="3569">
        <v>365607</v>
      </c>
      <c r="AF196" s="3569">
        <v>75612</v>
      </c>
      <c r="AG196" s="3569">
        <v>2145</v>
      </c>
      <c r="AH196" s="3569">
        <v>12718</v>
      </c>
      <c r="AI196" s="3569">
        <v>26</v>
      </c>
      <c r="AJ196" s="3569">
        <v>37</v>
      </c>
      <c r="AK196" s="3569">
        <v>0</v>
      </c>
      <c r="AL196" s="3569">
        <v>0</v>
      </c>
      <c r="AM196" s="3569">
        <v>78</v>
      </c>
      <c r="AN196" s="3569">
        <v>16897</v>
      </c>
      <c r="AO196" s="3569">
        <v>852</v>
      </c>
      <c r="AP196" s="3569">
        <v>568506</v>
      </c>
      <c r="AQ196" s="3505"/>
      <c r="AR196" s="3505"/>
      <c r="AS196" s="2148" t="s">
        <v>1906</v>
      </c>
    </row>
    <row r="197" spans="1:45" ht="54" customHeight="1" x14ac:dyDescent="0.25">
      <c r="A197" s="1442"/>
      <c r="B197" s="1406"/>
      <c r="C197" s="1410"/>
      <c r="D197" s="1406"/>
      <c r="E197" s="3648"/>
      <c r="F197" s="3649"/>
      <c r="G197" s="2166">
        <v>1905026</v>
      </c>
      <c r="H197" s="3556" t="s">
        <v>2267</v>
      </c>
      <c r="I197" s="2166">
        <v>1905026</v>
      </c>
      <c r="J197" s="3556" t="s">
        <v>2267</v>
      </c>
      <c r="K197" s="3337">
        <v>190502600</v>
      </c>
      <c r="L197" s="3546" t="s">
        <v>2222</v>
      </c>
      <c r="M197" s="3337">
        <v>190502600</v>
      </c>
      <c r="N197" s="3553" t="s">
        <v>2222</v>
      </c>
      <c r="O197" s="3548">
        <v>12</v>
      </c>
      <c r="P197" s="2057"/>
      <c r="Q197" s="2055"/>
      <c r="R197" s="3515">
        <f>SUM(W197:W210)/S196</f>
        <v>0.80596180197426281</v>
      </c>
      <c r="S197" s="3506"/>
      <c r="T197" s="2055"/>
      <c r="U197" s="2055" t="s">
        <v>2268</v>
      </c>
      <c r="V197" s="2181" t="s">
        <v>2269</v>
      </c>
      <c r="W197" s="1448">
        <v>17000000</v>
      </c>
      <c r="X197" s="1525" t="s">
        <v>2270</v>
      </c>
      <c r="Y197" s="1421">
        <v>113</v>
      </c>
      <c r="Z197" s="1398" t="s">
        <v>2271</v>
      </c>
      <c r="AA197" s="3566"/>
      <c r="AB197" s="3566"/>
      <c r="AC197" s="3571"/>
      <c r="AD197" s="3566"/>
      <c r="AE197" s="3566"/>
      <c r="AF197" s="3566"/>
      <c r="AG197" s="3566"/>
      <c r="AH197" s="3566"/>
      <c r="AI197" s="3566"/>
      <c r="AJ197" s="3566"/>
      <c r="AK197" s="3566"/>
      <c r="AL197" s="3566"/>
      <c r="AM197" s="3566"/>
      <c r="AN197" s="3566"/>
      <c r="AO197" s="3566"/>
      <c r="AP197" s="3566"/>
      <c r="AQ197" s="3545"/>
      <c r="AR197" s="3545"/>
      <c r="AS197" s="2111"/>
    </row>
    <row r="198" spans="1:45" ht="31.5" customHeight="1" x14ac:dyDescent="0.25">
      <c r="A198" s="1442"/>
      <c r="B198" s="1406"/>
      <c r="C198" s="1410"/>
      <c r="D198" s="1406"/>
      <c r="E198" s="3648"/>
      <c r="F198" s="3649"/>
      <c r="G198" s="2166"/>
      <c r="H198" s="3556"/>
      <c r="I198" s="2166"/>
      <c r="J198" s="3556"/>
      <c r="K198" s="3337"/>
      <c r="L198" s="3546"/>
      <c r="M198" s="3337"/>
      <c r="N198" s="3553"/>
      <c r="O198" s="3548"/>
      <c r="P198" s="2057"/>
      <c r="Q198" s="2055"/>
      <c r="R198" s="3515"/>
      <c r="S198" s="3506"/>
      <c r="T198" s="2055"/>
      <c r="U198" s="2055"/>
      <c r="V198" s="3221"/>
      <c r="W198" s="800">
        <v>4927171</v>
      </c>
      <c r="X198" s="1525" t="s">
        <v>2272</v>
      </c>
      <c r="Y198" s="1565">
        <v>114</v>
      </c>
      <c r="Z198" s="1397" t="s">
        <v>2273</v>
      </c>
      <c r="AA198" s="3566"/>
      <c r="AB198" s="3566"/>
      <c r="AC198" s="3571"/>
      <c r="AD198" s="3566"/>
      <c r="AE198" s="3566"/>
      <c r="AF198" s="3566"/>
      <c r="AG198" s="3566"/>
      <c r="AH198" s="3566"/>
      <c r="AI198" s="3566"/>
      <c r="AJ198" s="3566"/>
      <c r="AK198" s="3566"/>
      <c r="AL198" s="3566"/>
      <c r="AM198" s="3566"/>
      <c r="AN198" s="3566"/>
      <c r="AO198" s="3566"/>
      <c r="AP198" s="3566"/>
      <c r="AQ198" s="3545"/>
      <c r="AR198" s="3545"/>
      <c r="AS198" s="2111"/>
    </row>
    <row r="199" spans="1:45" ht="60.75" customHeight="1" x14ac:dyDescent="0.25">
      <c r="A199" s="1442"/>
      <c r="B199" s="1406"/>
      <c r="C199" s="1410"/>
      <c r="D199" s="1406"/>
      <c r="E199" s="3648"/>
      <c r="F199" s="3649"/>
      <c r="G199" s="2166"/>
      <c r="H199" s="3556"/>
      <c r="I199" s="2166"/>
      <c r="J199" s="3556"/>
      <c r="K199" s="3337"/>
      <c r="L199" s="3546"/>
      <c r="M199" s="3337"/>
      <c r="N199" s="3553"/>
      <c r="O199" s="3548"/>
      <c r="P199" s="2057"/>
      <c r="Q199" s="2055"/>
      <c r="R199" s="3515"/>
      <c r="S199" s="3506"/>
      <c r="T199" s="2055"/>
      <c r="U199" s="2055"/>
      <c r="V199" s="1416" t="s">
        <v>2274</v>
      </c>
      <c r="W199" s="800">
        <f>15000000+838724</f>
        <v>15838724</v>
      </c>
      <c r="X199" s="1525" t="s">
        <v>2270</v>
      </c>
      <c r="Y199" s="1565">
        <v>113</v>
      </c>
      <c r="Z199" s="1397" t="s">
        <v>2271</v>
      </c>
      <c r="AA199" s="3566"/>
      <c r="AB199" s="3566"/>
      <c r="AC199" s="3571"/>
      <c r="AD199" s="3566"/>
      <c r="AE199" s="3566"/>
      <c r="AF199" s="3566"/>
      <c r="AG199" s="3566"/>
      <c r="AH199" s="3566"/>
      <c r="AI199" s="3566"/>
      <c r="AJ199" s="3566"/>
      <c r="AK199" s="3566"/>
      <c r="AL199" s="3566"/>
      <c r="AM199" s="3566"/>
      <c r="AN199" s="3566"/>
      <c r="AO199" s="3566"/>
      <c r="AP199" s="3566"/>
      <c r="AQ199" s="3545"/>
      <c r="AR199" s="3545"/>
      <c r="AS199" s="2111"/>
    </row>
    <row r="200" spans="1:45" ht="27.75" customHeight="1" x14ac:dyDescent="0.25">
      <c r="A200" s="1442"/>
      <c r="B200" s="1406"/>
      <c r="C200" s="1410"/>
      <c r="D200" s="1406"/>
      <c r="E200" s="3648"/>
      <c r="F200" s="3649"/>
      <c r="G200" s="2166"/>
      <c r="H200" s="3556"/>
      <c r="I200" s="2166"/>
      <c r="J200" s="3556"/>
      <c r="K200" s="3337"/>
      <c r="L200" s="3546"/>
      <c r="M200" s="3337"/>
      <c r="N200" s="3553"/>
      <c r="O200" s="3548"/>
      <c r="P200" s="2057"/>
      <c r="Q200" s="2055"/>
      <c r="R200" s="3515"/>
      <c r="S200" s="3506"/>
      <c r="T200" s="2055"/>
      <c r="U200" s="2055"/>
      <c r="V200" s="2181" t="s">
        <v>2275</v>
      </c>
      <c r="W200" s="1448">
        <f>14000000-1000000</f>
        <v>13000000</v>
      </c>
      <c r="X200" s="1525" t="s">
        <v>2270</v>
      </c>
      <c r="Y200" s="1421">
        <v>113</v>
      </c>
      <c r="Z200" s="1398" t="s">
        <v>2271</v>
      </c>
      <c r="AA200" s="3566"/>
      <c r="AB200" s="3566"/>
      <c r="AC200" s="3571"/>
      <c r="AD200" s="3566"/>
      <c r="AE200" s="3566"/>
      <c r="AF200" s="3566"/>
      <c r="AG200" s="3566"/>
      <c r="AH200" s="3566"/>
      <c r="AI200" s="3566"/>
      <c r="AJ200" s="3566"/>
      <c r="AK200" s="3566"/>
      <c r="AL200" s="3566"/>
      <c r="AM200" s="3566"/>
      <c r="AN200" s="3566"/>
      <c r="AO200" s="3566"/>
      <c r="AP200" s="3566"/>
      <c r="AQ200" s="3545"/>
      <c r="AR200" s="3545"/>
      <c r="AS200" s="2111"/>
    </row>
    <row r="201" spans="1:45" ht="54" customHeight="1" x14ac:dyDescent="0.25">
      <c r="A201" s="1442"/>
      <c r="B201" s="1406"/>
      <c r="C201" s="1410"/>
      <c r="D201" s="1406"/>
      <c r="E201" s="3648"/>
      <c r="F201" s="3649"/>
      <c r="G201" s="2166"/>
      <c r="H201" s="3556"/>
      <c r="I201" s="2166"/>
      <c r="J201" s="3556"/>
      <c r="K201" s="3337"/>
      <c r="L201" s="3546"/>
      <c r="M201" s="3337"/>
      <c r="N201" s="3553"/>
      <c r="O201" s="3548"/>
      <c r="P201" s="2057"/>
      <c r="Q201" s="2055"/>
      <c r="R201" s="3515"/>
      <c r="S201" s="3506"/>
      <c r="T201" s="2055"/>
      <c r="U201" s="2055"/>
      <c r="V201" s="3221"/>
      <c r="W201" s="800">
        <v>1000000</v>
      </c>
      <c r="X201" s="1525" t="s">
        <v>2272</v>
      </c>
      <c r="Y201" s="1565">
        <v>114</v>
      </c>
      <c r="Z201" s="1397" t="s">
        <v>2273</v>
      </c>
      <c r="AA201" s="3566"/>
      <c r="AB201" s="3566"/>
      <c r="AC201" s="3571"/>
      <c r="AD201" s="3566"/>
      <c r="AE201" s="3566"/>
      <c r="AF201" s="3566"/>
      <c r="AG201" s="3566"/>
      <c r="AH201" s="3566"/>
      <c r="AI201" s="3566"/>
      <c r="AJ201" s="3566"/>
      <c r="AK201" s="3566"/>
      <c r="AL201" s="3566"/>
      <c r="AM201" s="3566"/>
      <c r="AN201" s="3566"/>
      <c r="AO201" s="3566"/>
      <c r="AP201" s="3566"/>
      <c r="AQ201" s="3545"/>
      <c r="AR201" s="3545"/>
      <c r="AS201" s="2111"/>
    </row>
    <row r="202" spans="1:45" ht="43.5" customHeight="1" x14ac:dyDescent="0.25">
      <c r="A202" s="1442"/>
      <c r="B202" s="1406"/>
      <c r="C202" s="1410"/>
      <c r="D202" s="1406"/>
      <c r="E202" s="3648"/>
      <c r="F202" s="3649"/>
      <c r="G202" s="2166"/>
      <c r="H202" s="3556"/>
      <c r="I202" s="2166"/>
      <c r="J202" s="3556"/>
      <c r="K202" s="3337"/>
      <c r="L202" s="3546"/>
      <c r="M202" s="3337"/>
      <c r="N202" s="3553"/>
      <c r="O202" s="3548"/>
      <c r="P202" s="2057"/>
      <c r="Q202" s="2055"/>
      <c r="R202" s="3515"/>
      <c r="S202" s="3506"/>
      <c r="T202" s="2055"/>
      <c r="U202" s="2055"/>
      <c r="V202" s="2181" t="s">
        <v>2276</v>
      </c>
      <c r="W202" s="1448">
        <f>14000000-2541113</f>
        <v>11458887</v>
      </c>
      <c r="X202" s="1525" t="s">
        <v>2270</v>
      </c>
      <c r="Y202" s="1421">
        <v>113</v>
      </c>
      <c r="Z202" s="1398" t="s">
        <v>2271</v>
      </c>
      <c r="AA202" s="3566"/>
      <c r="AB202" s="3566"/>
      <c r="AC202" s="3571"/>
      <c r="AD202" s="3566"/>
      <c r="AE202" s="3566"/>
      <c r="AF202" s="3566"/>
      <c r="AG202" s="3566"/>
      <c r="AH202" s="3566"/>
      <c r="AI202" s="3566"/>
      <c r="AJ202" s="3566"/>
      <c r="AK202" s="3566"/>
      <c r="AL202" s="3566"/>
      <c r="AM202" s="3566"/>
      <c r="AN202" s="3566"/>
      <c r="AO202" s="3566"/>
      <c r="AP202" s="3566"/>
      <c r="AQ202" s="3545"/>
      <c r="AR202" s="3545"/>
      <c r="AS202" s="2111"/>
    </row>
    <row r="203" spans="1:45" ht="42.75" customHeight="1" x14ac:dyDescent="0.25">
      <c r="A203" s="1442"/>
      <c r="B203" s="1406"/>
      <c r="C203" s="1410"/>
      <c r="D203" s="1406"/>
      <c r="E203" s="3648"/>
      <c r="F203" s="3649"/>
      <c r="G203" s="2166"/>
      <c r="H203" s="3556"/>
      <c r="I203" s="2166"/>
      <c r="J203" s="3556"/>
      <c r="K203" s="3337"/>
      <c r="L203" s="3546"/>
      <c r="M203" s="3337"/>
      <c r="N203" s="3553"/>
      <c r="O203" s="3548"/>
      <c r="P203" s="2057"/>
      <c r="Q203" s="2055"/>
      <c r="R203" s="3515"/>
      <c r="S203" s="3506"/>
      <c r="T203" s="2055"/>
      <c r="U203" s="2055"/>
      <c r="V203" s="3221"/>
      <c r="W203" s="800">
        <v>1000000</v>
      </c>
      <c r="X203" s="1525" t="s">
        <v>2272</v>
      </c>
      <c r="Y203" s="1565">
        <v>114</v>
      </c>
      <c r="Z203" s="1397" t="s">
        <v>2273</v>
      </c>
      <c r="AA203" s="3566"/>
      <c r="AB203" s="3566"/>
      <c r="AC203" s="3571"/>
      <c r="AD203" s="3566"/>
      <c r="AE203" s="3566"/>
      <c r="AF203" s="3566"/>
      <c r="AG203" s="3566"/>
      <c r="AH203" s="3566"/>
      <c r="AI203" s="3566"/>
      <c r="AJ203" s="3566"/>
      <c r="AK203" s="3566"/>
      <c r="AL203" s="3566"/>
      <c r="AM203" s="3566"/>
      <c r="AN203" s="3566"/>
      <c r="AO203" s="3566"/>
      <c r="AP203" s="3566"/>
      <c r="AQ203" s="3545"/>
      <c r="AR203" s="3545"/>
      <c r="AS203" s="2111"/>
    </row>
    <row r="204" spans="1:45" ht="24" customHeight="1" x14ac:dyDescent="0.25">
      <c r="A204" s="1442"/>
      <c r="B204" s="1406"/>
      <c r="C204" s="1410"/>
      <c r="D204" s="1406"/>
      <c r="E204" s="3648"/>
      <c r="F204" s="3649"/>
      <c r="G204" s="2166"/>
      <c r="H204" s="3556"/>
      <c r="I204" s="2166"/>
      <c r="J204" s="3556"/>
      <c r="K204" s="3337"/>
      <c r="L204" s="3546"/>
      <c r="M204" s="3337"/>
      <c r="N204" s="3553"/>
      <c r="O204" s="3548"/>
      <c r="P204" s="2057"/>
      <c r="Q204" s="2055"/>
      <c r="R204" s="3515"/>
      <c r="S204" s="3506"/>
      <c r="T204" s="2055"/>
      <c r="U204" s="2055"/>
      <c r="V204" s="2181" t="s">
        <v>2277</v>
      </c>
      <c r="W204" s="1448">
        <v>14000000</v>
      </c>
      <c r="X204" s="1525" t="s">
        <v>2270</v>
      </c>
      <c r="Y204" s="1421">
        <v>113</v>
      </c>
      <c r="Z204" s="1398" t="s">
        <v>2271</v>
      </c>
      <c r="AA204" s="3566"/>
      <c r="AB204" s="3566"/>
      <c r="AC204" s="3571"/>
      <c r="AD204" s="3566"/>
      <c r="AE204" s="3566"/>
      <c r="AF204" s="3566"/>
      <c r="AG204" s="3566"/>
      <c r="AH204" s="3566"/>
      <c r="AI204" s="3566"/>
      <c r="AJ204" s="3566"/>
      <c r="AK204" s="3566"/>
      <c r="AL204" s="3566"/>
      <c r="AM204" s="3566"/>
      <c r="AN204" s="3566"/>
      <c r="AO204" s="3566"/>
      <c r="AP204" s="3566"/>
      <c r="AQ204" s="3545"/>
      <c r="AR204" s="3545"/>
      <c r="AS204" s="2111"/>
    </row>
    <row r="205" spans="1:45" ht="43.5" customHeight="1" x14ac:dyDescent="0.25">
      <c r="A205" s="1442"/>
      <c r="B205" s="1406"/>
      <c r="C205" s="1410"/>
      <c r="D205" s="1406"/>
      <c r="E205" s="3648"/>
      <c r="F205" s="3649"/>
      <c r="G205" s="2166"/>
      <c r="H205" s="3556"/>
      <c r="I205" s="2166"/>
      <c r="J205" s="3556"/>
      <c r="K205" s="3337"/>
      <c r="L205" s="3546"/>
      <c r="M205" s="3337"/>
      <c r="N205" s="3553"/>
      <c r="O205" s="3548"/>
      <c r="P205" s="2057"/>
      <c r="Q205" s="2055"/>
      <c r="R205" s="3515"/>
      <c r="S205" s="3506"/>
      <c r="T205" s="2055"/>
      <c r="U205" s="2055"/>
      <c r="V205" s="3221"/>
      <c r="W205" s="800">
        <v>1000000</v>
      </c>
      <c r="X205" s="1525" t="s">
        <v>2272</v>
      </c>
      <c r="Y205" s="1565">
        <v>114</v>
      </c>
      <c r="Z205" s="1397" t="s">
        <v>2273</v>
      </c>
      <c r="AA205" s="3566"/>
      <c r="AB205" s="3566"/>
      <c r="AC205" s="3571"/>
      <c r="AD205" s="3566"/>
      <c r="AE205" s="3566"/>
      <c r="AF205" s="3566"/>
      <c r="AG205" s="3566"/>
      <c r="AH205" s="3566"/>
      <c r="AI205" s="3566"/>
      <c r="AJ205" s="3566"/>
      <c r="AK205" s="3566"/>
      <c r="AL205" s="3566"/>
      <c r="AM205" s="3566"/>
      <c r="AN205" s="3566"/>
      <c r="AO205" s="3566"/>
      <c r="AP205" s="3566"/>
      <c r="AQ205" s="3545"/>
      <c r="AR205" s="3545"/>
      <c r="AS205" s="2111"/>
    </row>
    <row r="206" spans="1:45" ht="49.5" customHeight="1" x14ac:dyDescent="0.25">
      <c r="A206" s="1442"/>
      <c r="B206" s="1406"/>
      <c r="C206" s="1410"/>
      <c r="D206" s="1406"/>
      <c r="E206" s="3648"/>
      <c r="F206" s="3649"/>
      <c r="G206" s="2166"/>
      <c r="H206" s="3556"/>
      <c r="I206" s="2166"/>
      <c r="J206" s="3556"/>
      <c r="K206" s="3337"/>
      <c r="L206" s="3546"/>
      <c r="M206" s="3337"/>
      <c r="N206" s="3553"/>
      <c r="O206" s="3548"/>
      <c r="P206" s="2057"/>
      <c r="Q206" s="2055"/>
      <c r="R206" s="3515"/>
      <c r="S206" s="3506"/>
      <c r="T206" s="2055"/>
      <c r="U206" s="2055"/>
      <c r="V206" s="1408" t="s">
        <v>2278</v>
      </c>
      <c r="W206" s="800">
        <v>15000000</v>
      </c>
      <c r="X206" s="1525" t="s">
        <v>2270</v>
      </c>
      <c r="Y206" s="1565">
        <v>113</v>
      </c>
      <c r="Z206" s="1397" t="s">
        <v>2271</v>
      </c>
      <c r="AA206" s="3566"/>
      <c r="AB206" s="3566"/>
      <c r="AC206" s="3571"/>
      <c r="AD206" s="3566"/>
      <c r="AE206" s="3566"/>
      <c r="AF206" s="3566"/>
      <c r="AG206" s="3566"/>
      <c r="AH206" s="3566"/>
      <c r="AI206" s="3566"/>
      <c r="AJ206" s="3566"/>
      <c r="AK206" s="3566"/>
      <c r="AL206" s="3566"/>
      <c r="AM206" s="3566"/>
      <c r="AN206" s="3566"/>
      <c r="AO206" s="3566"/>
      <c r="AP206" s="3566"/>
      <c r="AQ206" s="3545"/>
      <c r="AR206" s="3545"/>
      <c r="AS206" s="2111"/>
    </row>
    <row r="207" spans="1:45" ht="52.5" customHeight="1" x14ac:dyDescent="0.25">
      <c r="A207" s="1442"/>
      <c r="B207" s="1406"/>
      <c r="C207" s="1410"/>
      <c r="D207" s="1406"/>
      <c r="E207" s="3648"/>
      <c r="F207" s="3649"/>
      <c r="G207" s="2166"/>
      <c r="H207" s="3556"/>
      <c r="I207" s="2166"/>
      <c r="J207" s="3556"/>
      <c r="K207" s="3337"/>
      <c r="L207" s="3546"/>
      <c r="M207" s="3337"/>
      <c r="N207" s="3553"/>
      <c r="O207" s="3548"/>
      <c r="P207" s="2057"/>
      <c r="Q207" s="2055"/>
      <c r="R207" s="3515"/>
      <c r="S207" s="3506"/>
      <c r="T207" s="2055"/>
      <c r="U207" s="2055"/>
      <c r="V207" s="2181" t="s">
        <v>2279</v>
      </c>
      <c r="W207" s="1448">
        <v>35000000</v>
      </c>
      <c r="X207" s="1525" t="s">
        <v>2270</v>
      </c>
      <c r="Y207" s="1421">
        <v>113</v>
      </c>
      <c r="Z207" s="1398" t="s">
        <v>2271</v>
      </c>
      <c r="AA207" s="3566"/>
      <c r="AB207" s="3566"/>
      <c r="AC207" s="3571"/>
      <c r="AD207" s="3566"/>
      <c r="AE207" s="3566"/>
      <c r="AF207" s="3566"/>
      <c r="AG207" s="3566"/>
      <c r="AH207" s="3566"/>
      <c r="AI207" s="3566"/>
      <c r="AJ207" s="3566"/>
      <c r="AK207" s="3566"/>
      <c r="AL207" s="3566"/>
      <c r="AM207" s="3566"/>
      <c r="AN207" s="3566"/>
      <c r="AO207" s="3566"/>
      <c r="AP207" s="3566"/>
      <c r="AQ207" s="3545"/>
      <c r="AR207" s="3545"/>
      <c r="AS207" s="2111"/>
    </row>
    <row r="208" spans="1:45" ht="48.75" customHeight="1" x14ac:dyDescent="0.25">
      <c r="A208" s="1442"/>
      <c r="B208" s="1406"/>
      <c r="C208" s="1410"/>
      <c r="D208" s="1406"/>
      <c r="E208" s="3648"/>
      <c r="F208" s="3649"/>
      <c r="G208" s="2166"/>
      <c r="H208" s="3556"/>
      <c r="I208" s="2166"/>
      <c r="J208" s="3556"/>
      <c r="K208" s="3337"/>
      <c r="L208" s="3546"/>
      <c r="M208" s="3337"/>
      <c r="N208" s="3553"/>
      <c r="O208" s="3548"/>
      <c r="P208" s="2057"/>
      <c r="Q208" s="2055"/>
      <c r="R208" s="3515"/>
      <c r="S208" s="3506"/>
      <c r="T208" s="2055"/>
      <c r="U208" s="2055"/>
      <c r="V208" s="3221"/>
      <c r="W208" s="800">
        <v>8000000</v>
      </c>
      <c r="X208" s="1525" t="s">
        <v>2272</v>
      </c>
      <c r="Y208" s="1565">
        <v>114</v>
      </c>
      <c r="Z208" s="1397" t="s">
        <v>2273</v>
      </c>
      <c r="AA208" s="3566"/>
      <c r="AB208" s="3566"/>
      <c r="AC208" s="3571"/>
      <c r="AD208" s="3566"/>
      <c r="AE208" s="3566"/>
      <c r="AF208" s="3566"/>
      <c r="AG208" s="3566"/>
      <c r="AH208" s="3566"/>
      <c r="AI208" s="3566"/>
      <c r="AJ208" s="3566"/>
      <c r="AK208" s="3566"/>
      <c r="AL208" s="3566"/>
      <c r="AM208" s="3566"/>
      <c r="AN208" s="3566"/>
      <c r="AO208" s="3566"/>
      <c r="AP208" s="3566"/>
      <c r="AQ208" s="3545"/>
      <c r="AR208" s="3545"/>
      <c r="AS208" s="2111"/>
    </row>
    <row r="209" spans="1:45" ht="57.75" customHeight="1" x14ac:dyDescent="0.25">
      <c r="A209" s="1442"/>
      <c r="B209" s="1406"/>
      <c r="C209" s="1410"/>
      <c r="D209" s="1406"/>
      <c r="E209" s="3648"/>
      <c r="F209" s="3649"/>
      <c r="G209" s="2166"/>
      <c r="H209" s="3556"/>
      <c r="I209" s="2166"/>
      <c r="J209" s="3556"/>
      <c r="K209" s="3337"/>
      <c r="L209" s="3546"/>
      <c r="M209" s="3337"/>
      <c r="N209" s="3553"/>
      <c r="O209" s="3548"/>
      <c r="P209" s="2057"/>
      <c r="Q209" s="2055"/>
      <c r="R209" s="3515"/>
      <c r="S209" s="3506"/>
      <c r="T209" s="2055"/>
      <c r="U209" s="2055"/>
      <c r="V209" s="2181" t="s">
        <v>2280</v>
      </c>
      <c r="W209" s="1448">
        <v>31072829</v>
      </c>
      <c r="X209" s="1525" t="s">
        <v>2270</v>
      </c>
      <c r="Y209" s="1421">
        <v>113</v>
      </c>
      <c r="Z209" s="1398" t="s">
        <v>2271</v>
      </c>
      <c r="AA209" s="3566"/>
      <c r="AB209" s="3566"/>
      <c r="AC209" s="3571"/>
      <c r="AD209" s="3566"/>
      <c r="AE209" s="3566"/>
      <c r="AF209" s="3566"/>
      <c r="AG209" s="3566"/>
      <c r="AH209" s="3566"/>
      <c r="AI209" s="3566"/>
      <c r="AJ209" s="3566"/>
      <c r="AK209" s="3566"/>
      <c r="AL209" s="3566"/>
      <c r="AM209" s="3566"/>
      <c r="AN209" s="3566"/>
      <c r="AO209" s="3566"/>
      <c r="AP209" s="3566"/>
      <c r="AQ209" s="3545"/>
      <c r="AR209" s="3545"/>
      <c r="AS209" s="2111"/>
    </row>
    <row r="210" spans="1:45" ht="54" customHeight="1" x14ac:dyDescent="0.25">
      <c r="A210" s="1442"/>
      <c r="B210" s="1406"/>
      <c r="C210" s="1410"/>
      <c r="D210" s="1406"/>
      <c r="E210" s="3648"/>
      <c r="F210" s="3649"/>
      <c r="G210" s="2166"/>
      <c r="H210" s="3556"/>
      <c r="I210" s="2166"/>
      <c r="J210" s="3556"/>
      <c r="K210" s="3337"/>
      <c r="L210" s="3546"/>
      <c r="M210" s="3337"/>
      <c r="N210" s="3553"/>
      <c r="O210" s="3548"/>
      <c r="P210" s="2057"/>
      <c r="Q210" s="2055"/>
      <c r="R210" s="3515"/>
      <c r="S210" s="3506"/>
      <c r="T210" s="2055"/>
      <c r="U210" s="2055"/>
      <c r="V210" s="3221"/>
      <c r="W210" s="800">
        <v>10308240</v>
      </c>
      <c r="X210" s="1525" t="s">
        <v>2272</v>
      </c>
      <c r="Y210" s="1565">
        <v>114</v>
      </c>
      <c r="Z210" s="1397" t="s">
        <v>2273</v>
      </c>
      <c r="AA210" s="3566"/>
      <c r="AB210" s="3566"/>
      <c r="AC210" s="3571"/>
      <c r="AD210" s="3566"/>
      <c r="AE210" s="3566"/>
      <c r="AF210" s="3566"/>
      <c r="AG210" s="3566"/>
      <c r="AH210" s="3566"/>
      <c r="AI210" s="3566"/>
      <c r="AJ210" s="3566"/>
      <c r="AK210" s="3566"/>
      <c r="AL210" s="3566"/>
      <c r="AM210" s="3566"/>
      <c r="AN210" s="3566"/>
      <c r="AO210" s="3566"/>
      <c r="AP210" s="3566"/>
      <c r="AQ210" s="3545"/>
      <c r="AR210" s="3545"/>
      <c r="AS210" s="2111"/>
    </row>
    <row r="211" spans="1:45" ht="63.75" customHeight="1" x14ac:dyDescent="0.25">
      <c r="A211" s="1442"/>
      <c r="B211" s="1406"/>
      <c r="C211" s="1410"/>
      <c r="D211" s="1406"/>
      <c r="E211" s="3648"/>
      <c r="F211" s="3649"/>
      <c r="G211" s="2094">
        <v>1905026</v>
      </c>
      <c r="H211" s="3163" t="s">
        <v>2221</v>
      </c>
      <c r="I211" s="2094">
        <v>1905026</v>
      </c>
      <c r="J211" s="3163" t="s">
        <v>2221</v>
      </c>
      <c r="K211" s="3508">
        <v>190502600</v>
      </c>
      <c r="L211" s="3557" t="s">
        <v>2222</v>
      </c>
      <c r="M211" s="3508">
        <v>190502600</v>
      </c>
      <c r="N211" s="3554" t="s">
        <v>2222</v>
      </c>
      <c r="O211" s="2148">
        <v>12</v>
      </c>
      <c r="P211" s="2058" t="s">
        <v>2281</v>
      </c>
      <c r="Q211" s="2056" t="s">
        <v>2282</v>
      </c>
      <c r="R211" s="3586">
        <f>SUM(W211:W214)/S211</f>
        <v>1</v>
      </c>
      <c r="S211" s="3507">
        <f>SUM(W211:W214)</f>
        <v>1100000000</v>
      </c>
      <c r="T211" s="2056" t="s">
        <v>2283</v>
      </c>
      <c r="U211" s="2056" t="s">
        <v>2284</v>
      </c>
      <c r="V211" s="1416" t="s">
        <v>2285</v>
      </c>
      <c r="W211" s="800">
        <f>100000000-30000000</f>
        <v>70000000</v>
      </c>
      <c r="X211" s="1566" t="s">
        <v>2286</v>
      </c>
      <c r="Y211" s="1565">
        <v>20</v>
      </c>
      <c r="Z211" s="1567" t="s">
        <v>77</v>
      </c>
      <c r="AA211" s="3580">
        <v>295972</v>
      </c>
      <c r="AB211" s="3580">
        <v>285580</v>
      </c>
      <c r="AC211" s="3585">
        <v>135545</v>
      </c>
      <c r="AD211" s="3580">
        <v>44254</v>
      </c>
      <c r="AE211" s="3580">
        <v>309146</v>
      </c>
      <c r="AF211" s="3580">
        <v>92607</v>
      </c>
      <c r="AG211" s="3580">
        <v>2145</v>
      </c>
      <c r="AH211" s="3580">
        <v>12718</v>
      </c>
      <c r="AI211" s="3580">
        <v>26</v>
      </c>
      <c r="AJ211" s="3580">
        <v>37</v>
      </c>
      <c r="AK211" s="3580">
        <v>0</v>
      </c>
      <c r="AL211" s="3580">
        <v>0</v>
      </c>
      <c r="AM211" s="3580">
        <v>44350</v>
      </c>
      <c r="AN211" s="3580">
        <v>21944</v>
      </c>
      <c r="AO211" s="3580">
        <v>75687</v>
      </c>
      <c r="AP211" s="3580">
        <v>59.68</v>
      </c>
      <c r="AQ211" s="3579">
        <v>44197</v>
      </c>
      <c r="AR211" s="3579">
        <v>44561</v>
      </c>
      <c r="AS211" s="3580" t="s">
        <v>1906</v>
      </c>
    </row>
    <row r="212" spans="1:45" ht="79.5" customHeight="1" x14ac:dyDescent="0.25">
      <c r="A212" s="1442"/>
      <c r="B212" s="1406"/>
      <c r="C212" s="1410"/>
      <c r="D212" s="1406"/>
      <c r="E212" s="3648"/>
      <c r="F212" s="3649"/>
      <c r="G212" s="2072"/>
      <c r="H212" s="3002"/>
      <c r="I212" s="2072"/>
      <c r="J212" s="3002"/>
      <c r="K212" s="3509"/>
      <c r="L212" s="3591"/>
      <c r="M212" s="3509"/>
      <c r="N212" s="3593"/>
      <c r="O212" s="2111"/>
      <c r="P212" s="2169"/>
      <c r="Q212" s="2965"/>
      <c r="R212" s="3587"/>
      <c r="S212" s="3589"/>
      <c r="T212" s="2965"/>
      <c r="U212" s="2965"/>
      <c r="V212" s="1416" t="s">
        <v>2287</v>
      </c>
      <c r="W212" s="800">
        <v>400000000</v>
      </c>
      <c r="X212" s="1525" t="s">
        <v>2286</v>
      </c>
      <c r="Y212" s="1568">
        <v>20</v>
      </c>
      <c r="Z212" s="1569" t="s">
        <v>77</v>
      </c>
      <c r="AA212" s="3580"/>
      <c r="AB212" s="3580"/>
      <c r="AC212" s="3585"/>
      <c r="AD212" s="3580"/>
      <c r="AE212" s="3580"/>
      <c r="AF212" s="3580"/>
      <c r="AG212" s="3580"/>
      <c r="AH212" s="3580"/>
      <c r="AI212" s="3580"/>
      <c r="AJ212" s="3580"/>
      <c r="AK212" s="3580"/>
      <c r="AL212" s="3580"/>
      <c r="AM212" s="3580"/>
      <c r="AN212" s="3580"/>
      <c r="AO212" s="3580"/>
      <c r="AP212" s="3580"/>
      <c r="AQ212" s="3579"/>
      <c r="AR212" s="3579"/>
      <c r="AS212" s="3580"/>
    </row>
    <row r="213" spans="1:45" ht="37.5" customHeight="1" x14ac:dyDescent="0.25">
      <c r="A213" s="1442"/>
      <c r="B213" s="1406"/>
      <c r="C213" s="1410"/>
      <c r="D213" s="1406"/>
      <c r="E213" s="3648"/>
      <c r="F213" s="3649"/>
      <c r="G213" s="2072"/>
      <c r="H213" s="3002"/>
      <c r="I213" s="2072"/>
      <c r="J213" s="3002"/>
      <c r="K213" s="3509"/>
      <c r="L213" s="3591"/>
      <c r="M213" s="3509"/>
      <c r="N213" s="3593"/>
      <c r="O213" s="2111"/>
      <c r="P213" s="2169"/>
      <c r="Q213" s="2965"/>
      <c r="R213" s="3587"/>
      <c r="S213" s="3589"/>
      <c r="T213" s="2965"/>
      <c r="U213" s="2965"/>
      <c r="V213" s="2181" t="s">
        <v>2288</v>
      </c>
      <c r="W213" s="800">
        <v>30000000</v>
      </c>
      <c r="X213" s="1525" t="s">
        <v>2286</v>
      </c>
      <c r="Y213" s="1568">
        <v>20</v>
      </c>
      <c r="Z213" s="1569" t="s">
        <v>77</v>
      </c>
      <c r="AA213" s="3580"/>
      <c r="AB213" s="3580"/>
      <c r="AC213" s="3585"/>
      <c r="AD213" s="3580"/>
      <c r="AE213" s="3580"/>
      <c r="AF213" s="3580"/>
      <c r="AG213" s="3580"/>
      <c r="AH213" s="3580"/>
      <c r="AI213" s="3580"/>
      <c r="AJ213" s="3580"/>
      <c r="AK213" s="3580"/>
      <c r="AL213" s="3580"/>
      <c r="AM213" s="3580"/>
      <c r="AN213" s="3580"/>
      <c r="AO213" s="3580"/>
      <c r="AP213" s="3580"/>
      <c r="AQ213" s="3579"/>
      <c r="AR213" s="3579"/>
      <c r="AS213" s="3580"/>
    </row>
    <row r="214" spans="1:45" ht="47.25" customHeight="1" x14ac:dyDescent="0.25">
      <c r="A214" s="1442"/>
      <c r="B214" s="1406"/>
      <c r="C214" s="1410"/>
      <c r="D214" s="1406"/>
      <c r="E214" s="3648"/>
      <c r="F214" s="3649"/>
      <c r="G214" s="2092"/>
      <c r="H214" s="3590"/>
      <c r="I214" s="2092"/>
      <c r="J214" s="3590"/>
      <c r="K214" s="3336"/>
      <c r="L214" s="3592"/>
      <c r="M214" s="3336"/>
      <c r="N214" s="3594"/>
      <c r="O214" s="2165"/>
      <c r="P214" s="2170"/>
      <c r="Q214" s="2966"/>
      <c r="R214" s="3588"/>
      <c r="S214" s="3550"/>
      <c r="T214" s="2966"/>
      <c r="U214" s="2966"/>
      <c r="V214" s="3221"/>
      <c r="W214" s="800">
        <v>600000000</v>
      </c>
      <c r="X214" s="1525" t="s">
        <v>2289</v>
      </c>
      <c r="Y214" s="1568">
        <v>88</v>
      </c>
      <c r="Z214" s="1569" t="s">
        <v>2290</v>
      </c>
      <c r="AA214" s="3580"/>
      <c r="AB214" s="3580"/>
      <c r="AC214" s="3585"/>
      <c r="AD214" s="3580"/>
      <c r="AE214" s="3580"/>
      <c r="AF214" s="3580"/>
      <c r="AG214" s="3580"/>
      <c r="AH214" s="3580"/>
      <c r="AI214" s="3580"/>
      <c r="AJ214" s="3580"/>
      <c r="AK214" s="3580"/>
      <c r="AL214" s="3580"/>
      <c r="AM214" s="3580"/>
      <c r="AN214" s="3580"/>
      <c r="AO214" s="3580"/>
      <c r="AP214" s="3580"/>
      <c r="AQ214" s="3579"/>
      <c r="AR214" s="3579"/>
      <c r="AS214" s="3580"/>
    </row>
    <row r="215" spans="1:45" ht="94.5" customHeight="1" x14ac:dyDescent="0.25">
      <c r="A215" s="1442"/>
      <c r="B215" s="1406"/>
      <c r="C215" s="1410"/>
      <c r="D215" s="1406"/>
      <c r="E215" s="3648"/>
      <c r="F215" s="3649"/>
      <c r="G215" s="3581">
        <v>1905029</v>
      </c>
      <c r="H215" s="3582" t="s">
        <v>2291</v>
      </c>
      <c r="I215" s="3581">
        <v>1905030</v>
      </c>
      <c r="J215" s="3582" t="s">
        <v>2291</v>
      </c>
      <c r="K215" s="3583">
        <v>190502900</v>
      </c>
      <c r="L215" s="3584" t="s">
        <v>2292</v>
      </c>
      <c r="M215" s="3583">
        <v>190503000</v>
      </c>
      <c r="N215" s="3578" t="s">
        <v>2292</v>
      </c>
      <c r="O215" s="3548">
        <v>60</v>
      </c>
      <c r="P215" s="2057" t="s">
        <v>2293</v>
      </c>
      <c r="Q215" s="2055" t="s">
        <v>2294</v>
      </c>
      <c r="R215" s="3515">
        <f>SUM(W215:W216)/S215</f>
        <v>1</v>
      </c>
      <c r="S215" s="3506">
        <f>SUM(W215:W216)</f>
        <v>20000000</v>
      </c>
      <c r="T215" s="2055" t="s">
        <v>2295</v>
      </c>
      <c r="U215" s="2055" t="s">
        <v>2296</v>
      </c>
      <c r="V215" s="1416" t="s">
        <v>2297</v>
      </c>
      <c r="W215" s="800">
        <v>10000000</v>
      </c>
      <c r="X215" s="1525" t="s">
        <v>2298</v>
      </c>
      <c r="Y215" s="1565">
        <v>61</v>
      </c>
      <c r="Z215" s="1397" t="s">
        <v>1905</v>
      </c>
      <c r="AA215" s="3527">
        <v>292684</v>
      </c>
      <c r="AB215" s="3527">
        <v>282326</v>
      </c>
      <c r="AC215" s="3576">
        <v>135912</v>
      </c>
      <c r="AD215" s="3527">
        <v>45122</v>
      </c>
      <c r="AE215" s="3527">
        <v>307101</v>
      </c>
      <c r="AF215" s="3527">
        <v>86875</v>
      </c>
      <c r="AG215" s="3527">
        <v>2145</v>
      </c>
      <c r="AH215" s="3527">
        <v>12718</v>
      </c>
      <c r="AI215" s="3527">
        <v>26</v>
      </c>
      <c r="AJ215" s="3527">
        <v>37</v>
      </c>
      <c r="AK215" s="3527">
        <v>0</v>
      </c>
      <c r="AL215" s="3527">
        <v>0</v>
      </c>
      <c r="AM215" s="3527">
        <v>0</v>
      </c>
      <c r="AN215" s="3527">
        <v>41.542999999999999</v>
      </c>
      <c r="AO215" s="3527">
        <v>88.56</v>
      </c>
      <c r="AP215" s="3527">
        <v>575010</v>
      </c>
      <c r="AQ215" s="3574">
        <v>44197</v>
      </c>
      <c r="AR215" s="3574">
        <v>44561</v>
      </c>
      <c r="AS215" s="2412" t="s">
        <v>1906</v>
      </c>
    </row>
    <row r="216" spans="1:45" ht="94.5" customHeight="1" x14ac:dyDescent="0.25">
      <c r="A216" s="1442"/>
      <c r="B216" s="1406"/>
      <c r="C216" s="1410"/>
      <c r="D216" s="1406"/>
      <c r="E216" s="3648"/>
      <c r="F216" s="3649"/>
      <c r="G216" s="3581"/>
      <c r="H216" s="3582"/>
      <c r="I216" s="3581"/>
      <c r="J216" s="3582"/>
      <c r="K216" s="3583"/>
      <c r="L216" s="3584"/>
      <c r="M216" s="3583"/>
      <c r="N216" s="3578"/>
      <c r="O216" s="3548"/>
      <c r="P216" s="2057"/>
      <c r="Q216" s="2055"/>
      <c r="R216" s="3515"/>
      <c r="S216" s="3506"/>
      <c r="T216" s="2055"/>
      <c r="U216" s="2055"/>
      <c r="V216" s="1416" t="s">
        <v>2299</v>
      </c>
      <c r="W216" s="800">
        <v>10000000</v>
      </c>
      <c r="X216" s="1525" t="s">
        <v>2298</v>
      </c>
      <c r="Y216" s="1565">
        <v>61</v>
      </c>
      <c r="Z216" s="1397" t="s">
        <v>1905</v>
      </c>
      <c r="AA216" s="3528"/>
      <c r="AB216" s="3528"/>
      <c r="AC216" s="3577"/>
      <c r="AD216" s="3528"/>
      <c r="AE216" s="3528"/>
      <c r="AF216" s="3528"/>
      <c r="AG216" s="3528"/>
      <c r="AH216" s="3528"/>
      <c r="AI216" s="3528"/>
      <c r="AJ216" s="3528"/>
      <c r="AK216" s="3528"/>
      <c r="AL216" s="3528"/>
      <c r="AM216" s="3528"/>
      <c r="AN216" s="3528"/>
      <c r="AO216" s="3528"/>
      <c r="AP216" s="3528"/>
      <c r="AQ216" s="3575"/>
      <c r="AR216" s="3575"/>
      <c r="AS216" s="2412"/>
    </row>
    <row r="217" spans="1:45" ht="57.75" customHeight="1" x14ac:dyDescent="0.25">
      <c r="A217" s="1442"/>
      <c r="B217" s="1406"/>
      <c r="C217" s="1410"/>
      <c r="D217" s="1406"/>
      <c r="E217" s="3648"/>
      <c r="F217" s="3649"/>
      <c r="G217" s="2166">
        <v>1905025</v>
      </c>
      <c r="H217" s="3556" t="s">
        <v>2300</v>
      </c>
      <c r="I217" s="2166">
        <v>1905025</v>
      </c>
      <c r="J217" s="3556" t="s">
        <v>2300</v>
      </c>
      <c r="K217" s="3337">
        <v>190502500</v>
      </c>
      <c r="L217" s="3546" t="s">
        <v>2301</v>
      </c>
      <c r="M217" s="3337">
        <v>190502500</v>
      </c>
      <c r="N217" s="3553" t="s">
        <v>2301</v>
      </c>
      <c r="O217" s="2123">
        <v>12</v>
      </c>
      <c r="P217" s="2058" t="s">
        <v>2302</v>
      </c>
      <c r="Q217" s="2055" t="s">
        <v>2303</v>
      </c>
      <c r="R217" s="3515">
        <f>SUM(W217:W222)/S217</f>
        <v>1</v>
      </c>
      <c r="S217" s="3506">
        <f>SUM(W217:W222)</f>
        <v>84414100</v>
      </c>
      <c r="T217" s="2055" t="s">
        <v>2304</v>
      </c>
      <c r="U217" s="2055" t="s">
        <v>2305</v>
      </c>
      <c r="V217" s="1416" t="s">
        <v>2306</v>
      </c>
      <c r="W217" s="800">
        <f>7000000+7000000</f>
        <v>14000000</v>
      </c>
      <c r="X217" s="1525" t="s">
        <v>2307</v>
      </c>
      <c r="Y217" s="1565">
        <v>61</v>
      </c>
      <c r="Z217" s="1397" t="s">
        <v>1905</v>
      </c>
      <c r="AA217" s="2148">
        <v>292684</v>
      </c>
      <c r="AB217" s="2148">
        <v>282326</v>
      </c>
      <c r="AC217" s="3508">
        <v>135912</v>
      </c>
      <c r="AD217" s="2148">
        <v>45122</v>
      </c>
      <c r="AE217" s="2148">
        <v>0</v>
      </c>
      <c r="AF217" s="2148">
        <v>0</v>
      </c>
      <c r="AG217" s="2148">
        <v>2145</v>
      </c>
      <c r="AH217" s="2148">
        <v>12718</v>
      </c>
      <c r="AI217" s="2148">
        <v>26</v>
      </c>
      <c r="AJ217" s="2148">
        <v>37</v>
      </c>
      <c r="AK217" s="2148">
        <v>0</v>
      </c>
      <c r="AL217" s="2148">
        <v>0</v>
      </c>
      <c r="AM217" s="2148">
        <v>53164</v>
      </c>
      <c r="AN217" s="2148">
        <v>16982</v>
      </c>
      <c r="AO217" s="2148">
        <v>60013</v>
      </c>
      <c r="AP217" s="2148">
        <v>575010</v>
      </c>
      <c r="AQ217" s="3505">
        <v>44197</v>
      </c>
      <c r="AR217" s="3505">
        <v>44561</v>
      </c>
      <c r="AS217" s="2148" t="s">
        <v>1906</v>
      </c>
    </row>
    <row r="218" spans="1:45" ht="88.5" customHeight="1" x14ac:dyDescent="0.25">
      <c r="A218" s="1442"/>
      <c r="B218" s="1406"/>
      <c r="C218" s="1410"/>
      <c r="D218" s="1406"/>
      <c r="E218" s="3648"/>
      <c r="F218" s="3649"/>
      <c r="G218" s="2166"/>
      <c r="H218" s="3556"/>
      <c r="I218" s="2166"/>
      <c r="J218" s="3556"/>
      <c r="K218" s="3337"/>
      <c r="L218" s="3546"/>
      <c r="M218" s="3337"/>
      <c r="N218" s="3553"/>
      <c r="O218" s="2124"/>
      <c r="P218" s="2169"/>
      <c r="Q218" s="2055"/>
      <c r="R218" s="3515"/>
      <c r="S218" s="3506"/>
      <c r="T218" s="2055"/>
      <c r="U218" s="3573"/>
      <c r="V218" s="1416" t="s">
        <v>2308</v>
      </c>
      <c r="W218" s="800">
        <f>14000000+7000000+7000000</f>
        <v>28000000</v>
      </c>
      <c r="X218" s="1525" t="s">
        <v>2307</v>
      </c>
      <c r="Y218" s="1565">
        <v>61</v>
      </c>
      <c r="Z218" s="1397" t="s">
        <v>1905</v>
      </c>
      <c r="AA218" s="2111"/>
      <c r="AB218" s="2111"/>
      <c r="AC218" s="3509"/>
      <c r="AD218" s="2111"/>
      <c r="AE218" s="2111"/>
      <c r="AF218" s="2111"/>
      <c r="AG218" s="2111"/>
      <c r="AH218" s="2111"/>
      <c r="AI218" s="2111"/>
      <c r="AJ218" s="2111"/>
      <c r="AK218" s="2111"/>
      <c r="AL218" s="2111"/>
      <c r="AM218" s="2111"/>
      <c r="AN218" s="2111"/>
      <c r="AO218" s="2111"/>
      <c r="AP218" s="2111"/>
      <c r="AQ218" s="2111"/>
      <c r="AR218" s="2111"/>
      <c r="AS218" s="2111"/>
    </row>
    <row r="219" spans="1:45" ht="59.25" customHeight="1" x14ac:dyDescent="0.25">
      <c r="A219" s="1442"/>
      <c r="B219" s="1406"/>
      <c r="C219" s="1410"/>
      <c r="D219" s="1406"/>
      <c r="E219" s="3648"/>
      <c r="F219" s="3649"/>
      <c r="G219" s="2166"/>
      <c r="H219" s="3556"/>
      <c r="I219" s="2166"/>
      <c r="J219" s="3556"/>
      <c r="K219" s="3337"/>
      <c r="L219" s="3546"/>
      <c r="M219" s="3337"/>
      <c r="N219" s="3553"/>
      <c r="O219" s="2124"/>
      <c r="P219" s="2169"/>
      <c r="Q219" s="2055"/>
      <c r="R219" s="3515"/>
      <c r="S219" s="3506"/>
      <c r="T219" s="2055"/>
      <c r="U219" s="3573"/>
      <c r="V219" s="1416" t="s">
        <v>2309</v>
      </c>
      <c r="W219" s="800">
        <v>7000000</v>
      </c>
      <c r="X219" s="1525" t="s">
        <v>2307</v>
      </c>
      <c r="Y219" s="1565">
        <v>61</v>
      </c>
      <c r="Z219" s="1397" t="s">
        <v>1905</v>
      </c>
      <c r="AA219" s="2111"/>
      <c r="AB219" s="2111"/>
      <c r="AC219" s="3509"/>
      <c r="AD219" s="2111"/>
      <c r="AE219" s="2111"/>
      <c r="AF219" s="2111"/>
      <c r="AG219" s="2111"/>
      <c r="AH219" s="2111"/>
      <c r="AI219" s="2111"/>
      <c r="AJ219" s="2111"/>
      <c r="AK219" s="2111"/>
      <c r="AL219" s="2111"/>
      <c r="AM219" s="2111"/>
      <c r="AN219" s="2111"/>
      <c r="AO219" s="2111"/>
      <c r="AP219" s="2111"/>
      <c r="AQ219" s="2111"/>
      <c r="AR219" s="2111"/>
      <c r="AS219" s="2111"/>
    </row>
    <row r="220" spans="1:45" ht="48" customHeight="1" x14ac:dyDescent="0.25">
      <c r="A220" s="1442"/>
      <c r="B220" s="1406"/>
      <c r="C220" s="1410"/>
      <c r="D220" s="1406"/>
      <c r="E220" s="3648"/>
      <c r="F220" s="3649"/>
      <c r="G220" s="2166"/>
      <c r="H220" s="3556"/>
      <c r="I220" s="2166"/>
      <c r="J220" s="3556"/>
      <c r="K220" s="3337"/>
      <c r="L220" s="3546"/>
      <c r="M220" s="3337"/>
      <c r="N220" s="3553"/>
      <c r="O220" s="2124"/>
      <c r="P220" s="2169"/>
      <c r="Q220" s="2055"/>
      <c r="R220" s="3515"/>
      <c r="S220" s="3506"/>
      <c r="T220" s="2055"/>
      <c r="U220" s="3573"/>
      <c r="V220" s="1416" t="s">
        <v>2310</v>
      </c>
      <c r="W220" s="800">
        <f>7414100+7000000</f>
        <v>14414100</v>
      </c>
      <c r="X220" s="1525" t="s">
        <v>2307</v>
      </c>
      <c r="Y220" s="1565">
        <v>61</v>
      </c>
      <c r="Z220" s="1397" t="s">
        <v>1905</v>
      </c>
      <c r="AA220" s="2111"/>
      <c r="AB220" s="2111"/>
      <c r="AC220" s="3509"/>
      <c r="AD220" s="2111"/>
      <c r="AE220" s="2111"/>
      <c r="AF220" s="2111"/>
      <c r="AG220" s="2111"/>
      <c r="AH220" s="2111"/>
      <c r="AI220" s="2111"/>
      <c r="AJ220" s="2111"/>
      <c r="AK220" s="2111"/>
      <c r="AL220" s="2111"/>
      <c r="AM220" s="2111"/>
      <c r="AN220" s="2111"/>
      <c r="AO220" s="2111"/>
      <c r="AP220" s="2111"/>
      <c r="AQ220" s="2111"/>
      <c r="AR220" s="2111"/>
      <c r="AS220" s="2111"/>
    </row>
    <row r="221" spans="1:45" ht="108" customHeight="1" x14ac:dyDescent="0.25">
      <c r="A221" s="1442"/>
      <c r="B221" s="1406"/>
      <c r="C221" s="1410"/>
      <c r="D221" s="1406"/>
      <c r="E221" s="3648"/>
      <c r="F221" s="3649"/>
      <c r="G221" s="2166"/>
      <c r="H221" s="3556"/>
      <c r="I221" s="2166"/>
      <c r="J221" s="3556"/>
      <c r="K221" s="3337"/>
      <c r="L221" s="3546"/>
      <c r="M221" s="3337"/>
      <c r="N221" s="3553"/>
      <c r="O221" s="2124"/>
      <c r="P221" s="2169"/>
      <c r="Q221" s="2055"/>
      <c r="R221" s="3515"/>
      <c r="S221" s="3506"/>
      <c r="T221" s="2055"/>
      <c r="U221" s="3573"/>
      <c r="V221" s="1416" t="s">
        <v>2311</v>
      </c>
      <c r="W221" s="800">
        <f>7000000+7000000</f>
        <v>14000000</v>
      </c>
      <c r="X221" s="1525" t="s">
        <v>2307</v>
      </c>
      <c r="Y221" s="1565">
        <v>61</v>
      </c>
      <c r="Z221" s="1397" t="s">
        <v>1905</v>
      </c>
      <c r="AA221" s="2111"/>
      <c r="AB221" s="2111"/>
      <c r="AC221" s="3509"/>
      <c r="AD221" s="2111"/>
      <c r="AE221" s="2111"/>
      <c r="AF221" s="2111"/>
      <c r="AG221" s="2111"/>
      <c r="AH221" s="2111"/>
      <c r="AI221" s="2111"/>
      <c r="AJ221" s="2111"/>
      <c r="AK221" s="2111"/>
      <c r="AL221" s="2111"/>
      <c r="AM221" s="2111"/>
      <c r="AN221" s="2111"/>
      <c r="AO221" s="2111"/>
      <c r="AP221" s="2111"/>
      <c r="AQ221" s="2111"/>
      <c r="AR221" s="2111"/>
      <c r="AS221" s="2111"/>
    </row>
    <row r="222" spans="1:45" ht="67.5" customHeight="1" x14ac:dyDescent="0.25">
      <c r="A222" s="1442"/>
      <c r="B222" s="1406"/>
      <c r="C222" s="1410"/>
      <c r="D222" s="1406"/>
      <c r="E222" s="3648"/>
      <c r="F222" s="3649"/>
      <c r="G222" s="2166"/>
      <c r="H222" s="3556"/>
      <c r="I222" s="2166"/>
      <c r="J222" s="3556"/>
      <c r="K222" s="3337"/>
      <c r="L222" s="3546"/>
      <c r="M222" s="3337"/>
      <c r="N222" s="3553"/>
      <c r="O222" s="2125"/>
      <c r="P222" s="2170"/>
      <c r="Q222" s="2055"/>
      <c r="R222" s="3515"/>
      <c r="S222" s="3506"/>
      <c r="T222" s="2055"/>
      <c r="U222" s="3573"/>
      <c r="V222" s="1416" t="s">
        <v>2312</v>
      </c>
      <c r="W222" s="800">
        <v>7000000</v>
      </c>
      <c r="X222" s="1564" t="s">
        <v>2307</v>
      </c>
      <c r="Y222" s="1565">
        <v>61</v>
      </c>
      <c r="Z222" s="1397" t="s">
        <v>1905</v>
      </c>
      <c r="AA222" s="2165"/>
      <c r="AB222" s="2111"/>
      <c r="AC222" s="3509"/>
      <c r="AD222" s="2111"/>
      <c r="AE222" s="2111"/>
      <c r="AF222" s="2111"/>
      <c r="AG222" s="2111"/>
      <c r="AH222" s="2111"/>
      <c r="AI222" s="2111"/>
      <c r="AJ222" s="2111"/>
      <c r="AK222" s="2111"/>
      <c r="AL222" s="2111"/>
      <c r="AM222" s="2111"/>
      <c r="AN222" s="2111"/>
      <c r="AO222" s="2111"/>
      <c r="AP222" s="2111"/>
      <c r="AQ222" s="2111"/>
      <c r="AR222" s="2111"/>
      <c r="AS222" s="2111"/>
    </row>
    <row r="223" spans="1:45" ht="55.5" customHeight="1" x14ac:dyDescent="0.25">
      <c r="A223" s="1442"/>
      <c r="B223" s="1406"/>
      <c r="C223" s="1410"/>
      <c r="D223" s="1406"/>
      <c r="E223" s="3648"/>
      <c r="F223" s="3649"/>
      <c r="G223" s="2166">
        <v>1905015</v>
      </c>
      <c r="H223" s="3556" t="s">
        <v>745</v>
      </c>
      <c r="I223" s="2166">
        <v>1905015</v>
      </c>
      <c r="J223" s="3556" t="s">
        <v>745</v>
      </c>
      <c r="K223" s="3337">
        <v>190501503</v>
      </c>
      <c r="L223" s="3546" t="s">
        <v>2313</v>
      </c>
      <c r="M223" s="3337">
        <v>190501503</v>
      </c>
      <c r="N223" s="3553" t="s">
        <v>2313</v>
      </c>
      <c r="O223" s="3548">
        <v>15</v>
      </c>
      <c r="P223" s="2057" t="s">
        <v>2314</v>
      </c>
      <c r="Q223" s="2055" t="s">
        <v>2315</v>
      </c>
      <c r="R223" s="3515">
        <f>SUM(W223:W233)/S223</f>
        <v>1</v>
      </c>
      <c r="S223" s="3506">
        <f>SUM(W223:W233)</f>
        <v>320000000</v>
      </c>
      <c r="T223" s="2055" t="s">
        <v>2316</v>
      </c>
      <c r="U223" s="2055" t="s">
        <v>2317</v>
      </c>
      <c r="V223" s="1395" t="s">
        <v>2318</v>
      </c>
      <c r="W223" s="800">
        <v>20000000</v>
      </c>
      <c r="X223" s="1525" t="s">
        <v>2319</v>
      </c>
      <c r="Y223" s="1565">
        <v>61</v>
      </c>
      <c r="Z223" s="1570" t="s">
        <v>2320</v>
      </c>
      <c r="AA223" s="3569">
        <v>292684</v>
      </c>
      <c r="AB223" s="3569">
        <v>282326</v>
      </c>
      <c r="AC223" s="3570">
        <v>135912</v>
      </c>
      <c r="AD223" s="3569">
        <v>45122</v>
      </c>
      <c r="AE223" s="3569">
        <v>0</v>
      </c>
      <c r="AF223" s="3569">
        <v>0</v>
      </c>
      <c r="AG223" s="3569">
        <v>2145</v>
      </c>
      <c r="AH223" s="3569">
        <v>12718</v>
      </c>
      <c r="AI223" s="3569">
        <v>26</v>
      </c>
      <c r="AJ223" s="3569">
        <v>37</v>
      </c>
      <c r="AK223" s="3569">
        <v>0</v>
      </c>
      <c r="AL223" s="3569">
        <v>0</v>
      </c>
      <c r="AM223" s="3569">
        <v>53164</v>
      </c>
      <c r="AN223" s="3569">
        <v>16982</v>
      </c>
      <c r="AO223" s="3569">
        <v>60013</v>
      </c>
      <c r="AP223" s="3569">
        <v>575010</v>
      </c>
      <c r="AQ223" s="3565">
        <v>44197</v>
      </c>
      <c r="AR223" s="3565">
        <v>44561</v>
      </c>
      <c r="AS223" s="2148" t="s">
        <v>1906</v>
      </c>
    </row>
    <row r="224" spans="1:45" ht="68.25" customHeight="1" x14ac:dyDescent="0.25">
      <c r="A224" s="1442"/>
      <c r="B224" s="1406"/>
      <c r="C224" s="1410"/>
      <c r="D224" s="1406"/>
      <c r="E224" s="3648"/>
      <c r="F224" s="3649"/>
      <c r="G224" s="2166"/>
      <c r="H224" s="3556"/>
      <c r="I224" s="2166"/>
      <c r="J224" s="3556"/>
      <c r="K224" s="3337"/>
      <c r="L224" s="3546"/>
      <c r="M224" s="3337"/>
      <c r="N224" s="3553"/>
      <c r="O224" s="3548"/>
      <c r="P224" s="2057"/>
      <c r="Q224" s="2055"/>
      <c r="R224" s="3515"/>
      <c r="S224" s="3506"/>
      <c r="T224" s="2055"/>
      <c r="U224" s="2055"/>
      <c r="V224" s="1395" t="s">
        <v>2321</v>
      </c>
      <c r="W224" s="800">
        <v>50000000</v>
      </c>
      <c r="X224" s="1525" t="s">
        <v>2319</v>
      </c>
      <c r="Y224" s="1565">
        <v>61</v>
      </c>
      <c r="Z224" s="1570" t="s">
        <v>2320</v>
      </c>
      <c r="AA224" s="3566"/>
      <c r="AB224" s="3566"/>
      <c r="AC224" s="3571"/>
      <c r="AD224" s="3566"/>
      <c r="AE224" s="3566"/>
      <c r="AF224" s="3566"/>
      <c r="AG224" s="3566"/>
      <c r="AH224" s="3566"/>
      <c r="AI224" s="3566"/>
      <c r="AJ224" s="3566"/>
      <c r="AK224" s="3566"/>
      <c r="AL224" s="3566"/>
      <c r="AM224" s="3566"/>
      <c r="AN224" s="3566"/>
      <c r="AO224" s="3566"/>
      <c r="AP224" s="3566"/>
      <c r="AQ224" s="3566"/>
      <c r="AR224" s="3566"/>
      <c r="AS224" s="2111"/>
    </row>
    <row r="225" spans="1:45" ht="54.75" customHeight="1" x14ac:dyDescent="0.25">
      <c r="A225" s="1442"/>
      <c r="B225" s="1406"/>
      <c r="C225" s="1410"/>
      <c r="D225" s="1406"/>
      <c r="E225" s="3648"/>
      <c r="F225" s="3649"/>
      <c r="G225" s="2166"/>
      <c r="H225" s="3556"/>
      <c r="I225" s="2166"/>
      <c r="J225" s="3556"/>
      <c r="K225" s="3337"/>
      <c r="L225" s="3546"/>
      <c r="M225" s="3337"/>
      <c r="N225" s="3553"/>
      <c r="O225" s="3548"/>
      <c r="P225" s="2057"/>
      <c r="Q225" s="2055"/>
      <c r="R225" s="3515"/>
      <c r="S225" s="3506"/>
      <c r="T225" s="2055"/>
      <c r="U225" s="2055"/>
      <c r="V225" s="2055" t="s">
        <v>2322</v>
      </c>
      <c r="W225" s="3568">
        <v>30000000</v>
      </c>
      <c r="X225" s="1525" t="s">
        <v>2319</v>
      </c>
      <c r="Y225" s="1565">
        <v>61</v>
      </c>
      <c r="Z225" s="1570" t="s">
        <v>2320</v>
      </c>
      <c r="AA225" s="3566"/>
      <c r="AB225" s="3566"/>
      <c r="AC225" s="3571"/>
      <c r="AD225" s="3566"/>
      <c r="AE225" s="3566"/>
      <c r="AF225" s="3566"/>
      <c r="AG225" s="3566"/>
      <c r="AH225" s="3566"/>
      <c r="AI225" s="3566"/>
      <c r="AJ225" s="3566"/>
      <c r="AK225" s="3566"/>
      <c r="AL225" s="3566"/>
      <c r="AM225" s="3566"/>
      <c r="AN225" s="3566"/>
      <c r="AO225" s="3566"/>
      <c r="AP225" s="3566"/>
      <c r="AQ225" s="3566"/>
      <c r="AR225" s="3566"/>
      <c r="AS225" s="2111"/>
    </row>
    <row r="226" spans="1:45" ht="30.75" customHeight="1" x14ac:dyDescent="0.25">
      <c r="A226" s="1442"/>
      <c r="B226" s="1406"/>
      <c r="C226" s="1410"/>
      <c r="D226" s="1406"/>
      <c r="E226" s="3648"/>
      <c r="F226" s="3649"/>
      <c r="G226" s="2166"/>
      <c r="H226" s="3556"/>
      <c r="I226" s="2166"/>
      <c r="J226" s="3556"/>
      <c r="K226" s="3337"/>
      <c r="L226" s="3546"/>
      <c r="M226" s="3337"/>
      <c r="N226" s="3553"/>
      <c r="O226" s="3548"/>
      <c r="P226" s="2057"/>
      <c r="Q226" s="2055"/>
      <c r="R226" s="3515"/>
      <c r="S226" s="3506"/>
      <c r="T226" s="2055"/>
      <c r="U226" s="2055"/>
      <c r="V226" s="2055"/>
      <c r="W226" s="3568"/>
      <c r="X226" s="1525" t="s">
        <v>2319</v>
      </c>
      <c r="Y226" s="1565">
        <v>61</v>
      </c>
      <c r="Z226" s="1570" t="s">
        <v>2320</v>
      </c>
      <c r="AA226" s="3566"/>
      <c r="AB226" s="3566"/>
      <c r="AC226" s="3571"/>
      <c r="AD226" s="3566"/>
      <c r="AE226" s="3566"/>
      <c r="AF226" s="3566"/>
      <c r="AG226" s="3566"/>
      <c r="AH226" s="3566"/>
      <c r="AI226" s="3566"/>
      <c r="AJ226" s="3566"/>
      <c r="AK226" s="3566"/>
      <c r="AL226" s="3566"/>
      <c r="AM226" s="3566"/>
      <c r="AN226" s="3566"/>
      <c r="AO226" s="3566"/>
      <c r="AP226" s="3566"/>
      <c r="AQ226" s="3566"/>
      <c r="AR226" s="3566"/>
      <c r="AS226" s="2111"/>
    </row>
    <row r="227" spans="1:45" ht="90.75" customHeight="1" x14ac:dyDescent="0.25">
      <c r="A227" s="1442"/>
      <c r="B227" s="1406"/>
      <c r="C227" s="1410"/>
      <c r="D227" s="1406"/>
      <c r="E227" s="3648"/>
      <c r="F227" s="3649"/>
      <c r="G227" s="2166"/>
      <c r="H227" s="3556"/>
      <c r="I227" s="2166"/>
      <c r="J227" s="3556"/>
      <c r="K227" s="3337"/>
      <c r="L227" s="3546"/>
      <c r="M227" s="3337"/>
      <c r="N227" s="3553"/>
      <c r="O227" s="3548"/>
      <c r="P227" s="2057"/>
      <c r="Q227" s="2055"/>
      <c r="R227" s="3515"/>
      <c r="S227" s="3506"/>
      <c r="T227" s="2055"/>
      <c r="U227" s="2055"/>
      <c r="V227" s="1395" t="s">
        <v>2323</v>
      </c>
      <c r="W227" s="800">
        <v>55000000</v>
      </c>
      <c r="X227" s="1525" t="s">
        <v>2319</v>
      </c>
      <c r="Y227" s="1565">
        <v>61</v>
      </c>
      <c r="Z227" s="1570" t="s">
        <v>2320</v>
      </c>
      <c r="AA227" s="3566"/>
      <c r="AB227" s="3566"/>
      <c r="AC227" s="3571"/>
      <c r="AD227" s="3566"/>
      <c r="AE227" s="3566"/>
      <c r="AF227" s="3566"/>
      <c r="AG227" s="3566"/>
      <c r="AH227" s="3566"/>
      <c r="AI227" s="3566"/>
      <c r="AJ227" s="3566"/>
      <c r="AK227" s="3566"/>
      <c r="AL227" s="3566"/>
      <c r="AM227" s="3566"/>
      <c r="AN227" s="3566"/>
      <c r="AO227" s="3566"/>
      <c r="AP227" s="3566"/>
      <c r="AQ227" s="3566"/>
      <c r="AR227" s="3566"/>
      <c r="AS227" s="2111"/>
    </row>
    <row r="228" spans="1:45" ht="54" customHeight="1" x14ac:dyDescent="0.25">
      <c r="A228" s="1442"/>
      <c r="B228" s="1406"/>
      <c r="C228" s="1410"/>
      <c r="D228" s="1406"/>
      <c r="E228" s="3648"/>
      <c r="F228" s="3649"/>
      <c r="G228" s="2166"/>
      <c r="H228" s="3556"/>
      <c r="I228" s="2166"/>
      <c r="J228" s="3556"/>
      <c r="K228" s="3337"/>
      <c r="L228" s="3546"/>
      <c r="M228" s="3337"/>
      <c r="N228" s="3553"/>
      <c r="O228" s="3548"/>
      <c r="P228" s="2057"/>
      <c r="Q228" s="2055"/>
      <c r="R228" s="3515"/>
      <c r="S228" s="3506"/>
      <c r="T228" s="2055"/>
      <c r="U228" s="2055"/>
      <c r="V228" s="1395" t="s">
        <v>2324</v>
      </c>
      <c r="W228" s="800">
        <v>4000000</v>
      </c>
      <c r="X228" s="1525" t="s">
        <v>2319</v>
      </c>
      <c r="Y228" s="1565">
        <v>61</v>
      </c>
      <c r="Z228" s="1570" t="s">
        <v>2320</v>
      </c>
      <c r="AA228" s="3566"/>
      <c r="AB228" s="3566"/>
      <c r="AC228" s="3571"/>
      <c r="AD228" s="3566"/>
      <c r="AE228" s="3566"/>
      <c r="AF228" s="3566"/>
      <c r="AG228" s="3566"/>
      <c r="AH228" s="3566"/>
      <c r="AI228" s="3566"/>
      <c r="AJ228" s="3566"/>
      <c r="AK228" s="3566"/>
      <c r="AL228" s="3566"/>
      <c r="AM228" s="3566"/>
      <c r="AN228" s="3566"/>
      <c r="AO228" s="3566"/>
      <c r="AP228" s="3566"/>
      <c r="AQ228" s="3566"/>
      <c r="AR228" s="3566"/>
      <c r="AS228" s="2111"/>
    </row>
    <row r="229" spans="1:45" ht="65.25" customHeight="1" x14ac:dyDescent="0.25">
      <c r="A229" s="1442"/>
      <c r="B229" s="1406"/>
      <c r="C229" s="1410"/>
      <c r="D229" s="1406"/>
      <c r="E229" s="3648"/>
      <c r="F229" s="3649"/>
      <c r="G229" s="2166"/>
      <c r="H229" s="3556"/>
      <c r="I229" s="2166"/>
      <c r="J229" s="3556"/>
      <c r="K229" s="3337"/>
      <c r="L229" s="3546"/>
      <c r="M229" s="3337"/>
      <c r="N229" s="3553"/>
      <c r="O229" s="3548"/>
      <c r="P229" s="2057"/>
      <c r="Q229" s="2055"/>
      <c r="R229" s="3515"/>
      <c r="S229" s="3506"/>
      <c r="T229" s="2055"/>
      <c r="U229" s="2055"/>
      <c r="V229" s="1395" t="s">
        <v>2325</v>
      </c>
      <c r="W229" s="800">
        <v>20000000</v>
      </c>
      <c r="X229" s="1525" t="s">
        <v>2319</v>
      </c>
      <c r="Y229" s="1565">
        <v>61</v>
      </c>
      <c r="Z229" s="1570" t="s">
        <v>2320</v>
      </c>
      <c r="AA229" s="3566"/>
      <c r="AB229" s="3566"/>
      <c r="AC229" s="3571"/>
      <c r="AD229" s="3566"/>
      <c r="AE229" s="3566"/>
      <c r="AF229" s="3566"/>
      <c r="AG229" s="3566"/>
      <c r="AH229" s="3566"/>
      <c r="AI229" s="3566"/>
      <c r="AJ229" s="3566"/>
      <c r="AK229" s="3566"/>
      <c r="AL229" s="3566"/>
      <c r="AM229" s="3566"/>
      <c r="AN229" s="3566"/>
      <c r="AO229" s="3566"/>
      <c r="AP229" s="3566"/>
      <c r="AQ229" s="3566"/>
      <c r="AR229" s="3566"/>
      <c r="AS229" s="2111"/>
    </row>
    <row r="230" spans="1:45" ht="52.5" customHeight="1" x14ac:dyDescent="0.25">
      <c r="A230" s="1442"/>
      <c r="B230" s="1406"/>
      <c r="C230" s="1410"/>
      <c r="D230" s="1406"/>
      <c r="E230" s="3648"/>
      <c r="F230" s="3649"/>
      <c r="G230" s="2166"/>
      <c r="H230" s="3556"/>
      <c r="I230" s="2166"/>
      <c r="J230" s="3556"/>
      <c r="K230" s="3337"/>
      <c r="L230" s="3546"/>
      <c r="M230" s="3337"/>
      <c r="N230" s="3553"/>
      <c r="O230" s="3548"/>
      <c r="P230" s="2057"/>
      <c r="Q230" s="2055"/>
      <c r="R230" s="3515"/>
      <c r="S230" s="3506"/>
      <c r="T230" s="2055"/>
      <c r="U230" s="2055"/>
      <c r="V230" s="1395" t="s">
        <v>2326</v>
      </c>
      <c r="W230" s="800">
        <v>12000000</v>
      </c>
      <c r="X230" s="1525" t="s">
        <v>2319</v>
      </c>
      <c r="Y230" s="1565">
        <v>61</v>
      </c>
      <c r="Z230" s="1570" t="s">
        <v>2320</v>
      </c>
      <c r="AA230" s="3566"/>
      <c r="AB230" s="3566"/>
      <c r="AC230" s="3571"/>
      <c r="AD230" s="3566"/>
      <c r="AE230" s="3566"/>
      <c r="AF230" s="3566"/>
      <c r="AG230" s="3566"/>
      <c r="AH230" s="3566"/>
      <c r="AI230" s="3566"/>
      <c r="AJ230" s="3566"/>
      <c r="AK230" s="3566"/>
      <c r="AL230" s="3566"/>
      <c r="AM230" s="3566"/>
      <c r="AN230" s="3566"/>
      <c r="AO230" s="3566"/>
      <c r="AP230" s="3566"/>
      <c r="AQ230" s="3566"/>
      <c r="AR230" s="3566"/>
      <c r="AS230" s="2111"/>
    </row>
    <row r="231" spans="1:45" ht="99.75" customHeight="1" x14ac:dyDescent="0.25">
      <c r="A231" s="1442"/>
      <c r="B231" s="1406"/>
      <c r="C231" s="1410"/>
      <c r="D231" s="1406"/>
      <c r="E231" s="3648"/>
      <c r="F231" s="3649"/>
      <c r="G231" s="2166"/>
      <c r="H231" s="3556"/>
      <c r="I231" s="2166"/>
      <c r="J231" s="3556"/>
      <c r="K231" s="3337"/>
      <c r="L231" s="3546"/>
      <c r="M231" s="3337"/>
      <c r="N231" s="3553"/>
      <c r="O231" s="3548"/>
      <c r="P231" s="2057"/>
      <c r="Q231" s="2055"/>
      <c r="R231" s="3515"/>
      <c r="S231" s="3506"/>
      <c r="T231" s="2055"/>
      <c r="U231" s="2055"/>
      <c r="V231" s="1395" t="s">
        <v>2327</v>
      </c>
      <c r="W231" s="800">
        <v>40000000</v>
      </c>
      <c r="X231" s="1525" t="s">
        <v>2319</v>
      </c>
      <c r="Y231" s="1565">
        <v>61</v>
      </c>
      <c r="Z231" s="1570" t="s">
        <v>2320</v>
      </c>
      <c r="AA231" s="3566"/>
      <c r="AB231" s="3566"/>
      <c r="AC231" s="3571"/>
      <c r="AD231" s="3566"/>
      <c r="AE231" s="3566"/>
      <c r="AF231" s="3566"/>
      <c r="AG231" s="3566"/>
      <c r="AH231" s="3566"/>
      <c r="AI231" s="3566"/>
      <c r="AJ231" s="3566"/>
      <c r="AK231" s="3566"/>
      <c r="AL231" s="3566"/>
      <c r="AM231" s="3566"/>
      <c r="AN231" s="3566"/>
      <c r="AO231" s="3566"/>
      <c r="AP231" s="3566"/>
      <c r="AQ231" s="3566"/>
      <c r="AR231" s="3566"/>
      <c r="AS231" s="2111"/>
    </row>
    <row r="232" spans="1:45" ht="56.25" customHeight="1" x14ac:dyDescent="0.25">
      <c r="A232" s="1442"/>
      <c r="B232" s="1406"/>
      <c r="C232" s="1410"/>
      <c r="D232" s="1406"/>
      <c r="E232" s="3648"/>
      <c r="F232" s="3649"/>
      <c r="G232" s="2166"/>
      <c r="H232" s="3556"/>
      <c r="I232" s="2166"/>
      <c r="J232" s="3556"/>
      <c r="K232" s="3337"/>
      <c r="L232" s="3546"/>
      <c r="M232" s="3337"/>
      <c r="N232" s="3553"/>
      <c r="O232" s="3548"/>
      <c r="P232" s="2057"/>
      <c r="Q232" s="2055"/>
      <c r="R232" s="3515"/>
      <c r="S232" s="3506"/>
      <c r="T232" s="2055"/>
      <c r="U232" s="2055"/>
      <c r="V232" s="1395" t="s">
        <v>2328</v>
      </c>
      <c r="W232" s="800">
        <v>54000000</v>
      </c>
      <c r="X232" s="1525" t="s">
        <v>2319</v>
      </c>
      <c r="Y232" s="1565">
        <v>61</v>
      </c>
      <c r="Z232" s="1570" t="s">
        <v>2320</v>
      </c>
      <c r="AA232" s="3566"/>
      <c r="AB232" s="3566"/>
      <c r="AC232" s="3571"/>
      <c r="AD232" s="3566"/>
      <c r="AE232" s="3566"/>
      <c r="AF232" s="3566"/>
      <c r="AG232" s="3566"/>
      <c r="AH232" s="3566"/>
      <c r="AI232" s="3566"/>
      <c r="AJ232" s="3566"/>
      <c r="AK232" s="3566"/>
      <c r="AL232" s="3566"/>
      <c r="AM232" s="3566"/>
      <c r="AN232" s="3566"/>
      <c r="AO232" s="3566"/>
      <c r="AP232" s="3566"/>
      <c r="AQ232" s="3566"/>
      <c r="AR232" s="3566"/>
      <c r="AS232" s="2111"/>
    </row>
    <row r="233" spans="1:45" ht="45" customHeight="1" x14ac:dyDescent="0.25">
      <c r="A233" s="1442"/>
      <c r="B233" s="1406"/>
      <c r="C233" s="1410"/>
      <c r="D233" s="1406"/>
      <c r="E233" s="3648"/>
      <c r="F233" s="3649"/>
      <c r="G233" s="2166"/>
      <c r="H233" s="3556"/>
      <c r="I233" s="2166"/>
      <c r="J233" s="3556"/>
      <c r="K233" s="3337"/>
      <c r="L233" s="3546"/>
      <c r="M233" s="3337"/>
      <c r="N233" s="3553"/>
      <c r="O233" s="3548"/>
      <c r="P233" s="2057"/>
      <c r="Q233" s="2055"/>
      <c r="R233" s="3515"/>
      <c r="S233" s="3506"/>
      <c r="T233" s="2055"/>
      <c r="U233" s="2055"/>
      <c r="V233" s="1395" t="s">
        <v>2329</v>
      </c>
      <c r="W233" s="800">
        <v>35000000</v>
      </c>
      <c r="X233" s="1525" t="s">
        <v>2319</v>
      </c>
      <c r="Y233" s="1565">
        <v>61</v>
      </c>
      <c r="Z233" s="1570" t="s">
        <v>2320</v>
      </c>
      <c r="AA233" s="3567"/>
      <c r="AB233" s="3567"/>
      <c r="AC233" s="3572"/>
      <c r="AD233" s="3567"/>
      <c r="AE233" s="3567"/>
      <c r="AF233" s="3567"/>
      <c r="AG233" s="3567"/>
      <c r="AH233" s="3567"/>
      <c r="AI233" s="3567"/>
      <c r="AJ233" s="3567"/>
      <c r="AK233" s="3567"/>
      <c r="AL233" s="3567"/>
      <c r="AM233" s="3567"/>
      <c r="AN233" s="3567"/>
      <c r="AO233" s="3567"/>
      <c r="AP233" s="3567"/>
      <c r="AQ233" s="3567"/>
      <c r="AR233" s="3567"/>
      <c r="AS233" s="2165"/>
    </row>
    <row r="234" spans="1:45" ht="78.75" customHeight="1" x14ac:dyDescent="0.25">
      <c r="A234" s="1442"/>
      <c r="B234" s="1406"/>
      <c r="C234" s="1410"/>
      <c r="D234" s="1406"/>
      <c r="E234" s="3648"/>
      <c r="F234" s="3649"/>
      <c r="G234" s="2166" t="s">
        <v>1105</v>
      </c>
      <c r="H234" s="3556" t="s">
        <v>2330</v>
      </c>
      <c r="I234" s="2166" t="s">
        <v>2331</v>
      </c>
      <c r="J234" s="3556" t="s">
        <v>2332</v>
      </c>
      <c r="K234" s="3337" t="s">
        <v>1105</v>
      </c>
      <c r="L234" s="3546" t="s">
        <v>2333</v>
      </c>
      <c r="M234" s="3337" t="s">
        <v>2334</v>
      </c>
      <c r="N234" s="3553" t="s">
        <v>2335</v>
      </c>
      <c r="O234" s="2054">
        <v>1</v>
      </c>
      <c r="P234" s="2057" t="s">
        <v>2336</v>
      </c>
      <c r="Q234" s="2055" t="s">
        <v>2337</v>
      </c>
      <c r="R234" s="3515">
        <f>SUM(W234:W240)/S234</f>
        <v>1</v>
      </c>
      <c r="S234" s="3506">
        <f>SUM(W234:W240)</f>
        <v>321904376</v>
      </c>
      <c r="T234" s="2055" t="s">
        <v>2338</v>
      </c>
      <c r="U234" s="2055" t="s">
        <v>2339</v>
      </c>
      <c r="V234" s="2056" t="s">
        <v>2340</v>
      </c>
      <c r="W234" s="800">
        <f>50000000+50000000</f>
        <v>100000000</v>
      </c>
      <c r="X234" s="1566" t="s">
        <v>2341</v>
      </c>
      <c r="Y234" s="1571">
        <v>20</v>
      </c>
      <c r="Z234" s="1398" t="s">
        <v>77</v>
      </c>
      <c r="AA234" s="2148">
        <v>292684</v>
      </c>
      <c r="AB234" s="3551">
        <v>282326</v>
      </c>
      <c r="AC234" s="3562">
        <v>135912</v>
      </c>
      <c r="AD234" s="3551">
        <v>45122</v>
      </c>
      <c r="AE234" s="3551">
        <v>365607</v>
      </c>
      <c r="AF234" s="3551">
        <v>86875</v>
      </c>
      <c r="AG234" s="3551">
        <v>2145</v>
      </c>
      <c r="AH234" s="3551">
        <v>12718</v>
      </c>
      <c r="AI234" s="3551">
        <v>26</v>
      </c>
      <c r="AJ234" s="3551">
        <v>37</v>
      </c>
      <c r="AK234" s="3551">
        <v>0</v>
      </c>
      <c r="AL234" s="3551">
        <v>0</v>
      </c>
      <c r="AM234" s="3551">
        <v>53164</v>
      </c>
      <c r="AN234" s="3551">
        <v>16982</v>
      </c>
      <c r="AO234" s="3551">
        <v>60013</v>
      </c>
      <c r="AP234" s="3551">
        <v>575010</v>
      </c>
      <c r="AQ234" s="3560">
        <v>44197</v>
      </c>
      <c r="AR234" s="3560">
        <v>44561</v>
      </c>
      <c r="AS234" s="3551" t="s">
        <v>1906</v>
      </c>
    </row>
    <row r="235" spans="1:45" ht="78.75" customHeight="1" x14ac:dyDescent="0.25">
      <c r="A235" s="1442"/>
      <c r="B235" s="1406"/>
      <c r="C235" s="1410"/>
      <c r="D235" s="1406"/>
      <c r="E235" s="3648"/>
      <c r="F235" s="3649"/>
      <c r="G235" s="2166"/>
      <c r="H235" s="3556"/>
      <c r="I235" s="2166"/>
      <c r="J235" s="3556"/>
      <c r="K235" s="3337"/>
      <c r="L235" s="3546"/>
      <c r="M235" s="3337"/>
      <c r="N235" s="3553"/>
      <c r="O235" s="2054"/>
      <c r="P235" s="2057"/>
      <c r="Q235" s="2055"/>
      <c r="R235" s="3515"/>
      <c r="S235" s="3506"/>
      <c r="T235" s="2055"/>
      <c r="U235" s="2055"/>
      <c r="V235" s="2966"/>
      <c r="W235" s="800">
        <v>21904376</v>
      </c>
      <c r="X235" s="1525" t="s">
        <v>2342</v>
      </c>
      <c r="Y235" s="1571">
        <v>88</v>
      </c>
      <c r="Z235" s="1398" t="s">
        <v>2290</v>
      </c>
      <c r="AA235" s="2111"/>
      <c r="AB235" s="3552"/>
      <c r="AC235" s="3563"/>
      <c r="AD235" s="3552"/>
      <c r="AE235" s="3552"/>
      <c r="AF235" s="3552"/>
      <c r="AG235" s="3552"/>
      <c r="AH235" s="3552"/>
      <c r="AI235" s="3552"/>
      <c r="AJ235" s="3552"/>
      <c r="AK235" s="3552"/>
      <c r="AL235" s="3552"/>
      <c r="AM235" s="3552"/>
      <c r="AN235" s="3552"/>
      <c r="AO235" s="3552"/>
      <c r="AP235" s="3552"/>
      <c r="AQ235" s="3561"/>
      <c r="AR235" s="3561"/>
      <c r="AS235" s="3552"/>
    </row>
    <row r="236" spans="1:45" ht="77.25" customHeight="1" x14ac:dyDescent="0.25">
      <c r="A236" s="1442"/>
      <c r="B236" s="1406"/>
      <c r="C236" s="1410"/>
      <c r="D236" s="1406"/>
      <c r="E236" s="3648"/>
      <c r="F236" s="3649"/>
      <c r="G236" s="2166"/>
      <c r="H236" s="3556"/>
      <c r="I236" s="2166"/>
      <c r="J236" s="3556"/>
      <c r="K236" s="3337"/>
      <c r="L236" s="3546"/>
      <c r="M236" s="3337"/>
      <c r="N236" s="3553"/>
      <c r="O236" s="2054"/>
      <c r="P236" s="2057"/>
      <c r="Q236" s="2055"/>
      <c r="R236" s="3515"/>
      <c r="S236" s="3506"/>
      <c r="T236" s="2055"/>
      <c r="U236" s="2055"/>
      <c r="V236" s="1395" t="s">
        <v>2343</v>
      </c>
      <c r="W236" s="800">
        <f>50000000-50000000</f>
        <v>0</v>
      </c>
      <c r="X236" s="1525" t="s">
        <v>2341</v>
      </c>
      <c r="Y236" s="1571">
        <v>20</v>
      </c>
      <c r="Z236" s="1398" t="s">
        <v>77</v>
      </c>
      <c r="AA236" s="2111"/>
      <c r="AB236" s="3552"/>
      <c r="AC236" s="3563"/>
      <c r="AD236" s="3552"/>
      <c r="AE236" s="3552"/>
      <c r="AF236" s="3552"/>
      <c r="AG236" s="3552"/>
      <c r="AH236" s="3552"/>
      <c r="AI236" s="3552"/>
      <c r="AJ236" s="3552"/>
      <c r="AK236" s="3552"/>
      <c r="AL236" s="3552"/>
      <c r="AM236" s="3552"/>
      <c r="AN236" s="3552"/>
      <c r="AO236" s="3552"/>
      <c r="AP236" s="3552"/>
      <c r="AQ236" s="3552"/>
      <c r="AR236" s="3552"/>
      <c r="AS236" s="3552"/>
    </row>
    <row r="237" spans="1:45" ht="90" customHeight="1" x14ac:dyDescent="0.25">
      <c r="A237" s="1442"/>
      <c r="B237" s="1406"/>
      <c r="C237" s="1410"/>
      <c r="D237" s="1406"/>
      <c r="E237" s="3648"/>
      <c r="F237" s="3649"/>
      <c r="G237" s="2166"/>
      <c r="H237" s="3556"/>
      <c r="I237" s="2166"/>
      <c r="J237" s="3556"/>
      <c r="K237" s="3337"/>
      <c r="L237" s="3546"/>
      <c r="M237" s="3337"/>
      <c r="N237" s="3553"/>
      <c r="O237" s="2054"/>
      <c r="P237" s="2057"/>
      <c r="Q237" s="2055"/>
      <c r="R237" s="3515"/>
      <c r="S237" s="3506"/>
      <c r="T237" s="2055"/>
      <c r="U237" s="2055"/>
      <c r="V237" s="1395" t="s">
        <v>2344</v>
      </c>
      <c r="W237" s="800">
        <v>50000000</v>
      </c>
      <c r="X237" s="1525" t="s">
        <v>2341</v>
      </c>
      <c r="Y237" s="1571">
        <v>20</v>
      </c>
      <c r="Z237" s="1398" t="s">
        <v>77</v>
      </c>
      <c r="AA237" s="2111"/>
      <c r="AB237" s="3552"/>
      <c r="AC237" s="3563"/>
      <c r="AD237" s="3552"/>
      <c r="AE237" s="3552"/>
      <c r="AF237" s="3552"/>
      <c r="AG237" s="3552"/>
      <c r="AH237" s="3552"/>
      <c r="AI237" s="3552"/>
      <c r="AJ237" s="3552"/>
      <c r="AK237" s="3552"/>
      <c r="AL237" s="3552"/>
      <c r="AM237" s="3552"/>
      <c r="AN237" s="3552"/>
      <c r="AO237" s="3552"/>
      <c r="AP237" s="3552"/>
      <c r="AQ237" s="3552"/>
      <c r="AR237" s="3552"/>
      <c r="AS237" s="3552"/>
    </row>
    <row r="238" spans="1:45" ht="65.25" customHeight="1" x14ac:dyDescent="0.25">
      <c r="A238" s="1442"/>
      <c r="B238" s="1406"/>
      <c r="C238" s="1410"/>
      <c r="D238" s="1406"/>
      <c r="E238" s="3648"/>
      <c r="F238" s="3649"/>
      <c r="G238" s="2166"/>
      <c r="H238" s="3556"/>
      <c r="I238" s="2166"/>
      <c r="J238" s="3556"/>
      <c r="K238" s="3337"/>
      <c r="L238" s="3546"/>
      <c r="M238" s="3337"/>
      <c r="N238" s="3553"/>
      <c r="O238" s="2054"/>
      <c r="P238" s="2057"/>
      <c r="Q238" s="2055"/>
      <c r="R238" s="3515"/>
      <c r="S238" s="3506"/>
      <c r="T238" s="2055"/>
      <c r="U238" s="2055"/>
      <c r="V238" s="1395" t="s">
        <v>2345</v>
      </c>
      <c r="W238" s="800">
        <f>50000000+50000000</f>
        <v>100000000</v>
      </c>
      <c r="X238" s="1525" t="s">
        <v>2341</v>
      </c>
      <c r="Y238" s="1571">
        <v>20</v>
      </c>
      <c r="Z238" s="1398" t="s">
        <v>77</v>
      </c>
      <c r="AA238" s="2111"/>
      <c r="AB238" s="3552"/>
      <c r="AC238" s="3563"/>
      <c r="AD238" s="3552"/>
      <c r="AE238" s="3552"/>
      <c r="AF238" s="3552"/>
      <c r="AG238" s="3552"/>
      <c r="AH238" s="3552"/>
      <c r="AI238" s="3552"/>
      <c r="AJ238" s="3552"/>
      <c r="AK238" s="3552"/>
      <c r="AL238" s="3552"/>
      <c r="AM238" s="3552"/>
      <c r="AN238" s="3552"/>
      <c r="AO238" s="3552"/>
      <c r="AP238" s="3552"/>
      <c r="AQ238" s="3552"/>
      <c r="AR238" s="3552"/>
      <c r="AS238" s="3552"/>
    </row>
    <row r="239" spans="1:45" ht="107.25" customHeight="1" x14ac:dyDescent="0.25">
      <c r="A239" s="1442"/>
      <c r="B239" s="1406"/>
      <c r="C239" s="1410"/>
      <c r="D239" s="1406"/>
      <c r="E239" s="3648"/>
      <c r="F239" s="3649"/>
      <c r="G239" s="2166"/>
      <c r="H239" s="3556"/>
      <c r="I239" s="2166"/>
      <c r="J239" s="3556"/>
      <c r="K239" s="3337"/>
      <c r="L239" s="3546"/>
      <c r="M239" s="3337"/>
      <c r="N239" s="3553"/>
      <c r="O239" s="2054"/>
      <c r="P239" s="2057"/>
      <c r="Q239" s="2055"/>
      <c r="R239" s="3515"/>
      <c r="S239" s="3506"/>
      <c r="T239" s="2055"/>
      <c r="U239" s="2055"/>
      <c r="V239" s="1395" t="s">
        <v>2346</v>
      </c>
      <c r="W239" s="800">
        <f>50000000-50000000</f>
        <v>0</v>
      </c>
      <c r="X239" s="1525" t="s">
        <v>2341</v>
      </c>
      <c r="Y239" s="1571">
        <v>20</v>
      </c>
      <c r="Z239" s="1398" t="s">
        <v>77</v>
      </c>
      <c r="AA239" s="2111"/>
      <c r="AB239" s="3552"/>
      <c r="AC239" s="3563"/>
      <c r="AD239" s="3552"/>
      <c r="AE239" s="3552"/>
      <c r="AF239" s="3552"/>
      <c r="AG239" s="3552"/>
      <c r="AH239" s="3552"/>
      <c r="AI239" s="3552"/>
      <c r="AJ239" s="3552"/>
      <c r="AK239" s="3552"/>
      <c r="AL239" s="3552"/>
      <c r="AM239" s="3552"/>
      <c r="AN239" s="3552"/>
      <c r="AO239" s="3552"/>
      <c r="AP239" s="3552"/>
      <c r="AQ239" s="3552"/>
      <c r="AR239" s="3552"/>
      <c r="AS239" s="3552"/>
    </row>
    <row r="240" spans="1:45" ht="69" customHeight="1" x14ac:dyDescent="0.25">
      <c r="A240" s="1442"/>
      <c r="B240" s="1406"/>
      <c r="C240" s="1410"/>
      <c r="D240" s="1406"/>
      <c r="E240" s="3648"/>
      <c r="F240" s="3649"/>
      <c r="G240" s="2166"/>
      <c r="H240" s="3556"/>
      <c r="I240" s="2166"/>
      <c r="J240" s="3556"/>
      <c r="K240" s="3337"/>
      <c r="L240" s="3546"/>
      <c r="M240" s="3337"/>
      <c r="N240" s="3553"/>
      <c r="O240" s="2054"/>
      <c r="P240" s="2057"/>
      <c r="Q240" s="2055"/>
      <c r="R240" s="3515"/>
      <c r="S240" s="3506"/>
      <c r="T240" s="2055"/>
      <c r="U240" s="2055"/>
      <c r="V240" s="1572" t="s">
        <v>2347</v>
      </c>
      <c r="W240" s="800">
        <v>50000000</v>
      </c>
      <c r="X240" s="1525" t="s">
        <v>2341</v>
      </c>
      <c r="Y240" s="1571">
        <v>20</v>
      </c>
      <c r="Z240" s="1397" t="s">
        <v>77</v>
      </c>
      <c r="AA240" s="2165"/>
      <c r="AB240" s="3552"/>
      <c r="AC240" s="3563"/>
      <c r="AD240" s="3552"/>
      <c r="AE240" s="3552"/>
      <c r="AF240" s="3552"/>
      <c r="AG240" s="3552"/>
      <c r="AH240" s="3552"/>
      <c r="AI240" s="3552"/>
      <c r="AJ240" s="3552"/>
      <c r="AK240" s="3552"/>
      <c r="AL240" s="3552"/>
      <c r="AM240" s="3552"/>
      <c r="AN240" s="3552"/>
      <c r="AO240" s="3552"/>
      <c r="AP240" s="3552"/>
      <c r="AQ240" s="3552"/>
      <c r="AR240" s="3552"/>
      <c r="AS240" s="3552"/>
    </row>
    <row r="241" spans="1:45" ht="42.75" customHeight="1" x14ac:dyDescent="0.25">
      <c r="A241" s="1442"/>
      <c r="B241" s="1406"/>
      <c r="C241" s="1410"/>
      <c r="D241" s="1406"/>
      <c r="E241" s="3648"/>
      <c r="F241" s="3649"/>
      <c r="G241" s="2166">
        <v>1905031</v>
      </c>
      <c r="H241" s="3556" t="s">
        <v>2084</v>
      </c>
      <c r="I241" s="2166">
        <v>1905031</v>
      </c>
      <c r="J241" s="3556" t="s">
        <v>2084</v>
      </c>
      <c r="K241" s="3337">
        <v>190503100</v>
      </c>
      <c r="L241" s="3546" t="s">
        <v>2085</v>
      </c>
      <c r="M241" s="3337">
        <v>190503100</v>
      </c>
      <c r="N241" s="3553" t="s">
        <v>2085</v>
      </c>
      <c r="O241" s="3548">
        <v>12</v>
      </c>
      <c r="P241" s="2057" t="s">
        <v>2348</v>
      </c>
      <c r="Q241" s="2055" t="s">
        <v>2349</v>
      </c>
      <c r="R241" s="3515">
        <f>SUM(W241:W250)/S241</f>
        <v>1</v>
      </c>
      <c r="S241" s="3506">
        <f>SUM(W241:W250)</f>
        <v>1760866325.49</v>
      </c>
      <c r="T241" s="2056" t="s">
        <v>2350</v>
      </c>
      <c r="U241" s="2055" t="s">
        <v>2351</v>
      </c>
      <c r="V241" s="2056" t="s">
        <v>2352</v>
      </c>
      <c r="W241" s="1573">
        <f>265850000+245000000+63682049</f>
        <v>574532049</v>
      </c>
      <c r="X241" s="1525" t="s">
        <v>2353</v>
      </c>
      <c r="Y241" s="1565">
        <v>61</v>
      </c>
      <c r="Z241" s="1398" t="s">
        <v>2320</v>
      </c>
      <c r="AA241" s="2148">
        <v>289394</v>
      </c>
      <c r="AB241" s="3551">
        <v>279112</v>
      </c>
      <c r="AC241" s="3562">
        <v>63164</v>
      </c>
      <c r="AD241" s="3551">
        <v>45607</v>
      </c>
      <c r="AE241" s="3551">
        <v>365607</v>
      </c>
      <c r="AF241" s="3551">
        <v>75612</v>
      </c>
      <c r="AG241" s="3551">
        <v>2145</v>
      </c>
      <c r="AH241" s="3551">
        <v>12718</v>
      </c>
      <c r="AI241" s="3551">
        <v>26</v>
      </c>
      <c r="AJ241" s="3551">
        <v>37</v>
      </c>
      <c r="AK241" s="3551">
        <v>0</v>
      </c>
      <c r="AL241" s="3551">
        <v>0</v>
      </c>
      <c r="AM241" s="3551">
        <v>78</v>
      </c>
      <c r="AN241" s="3551">
        <v>16897</v>
      </c>
      <c r="AO241" s="3551">
        <v>852</v>
      </c>
      <c r="AP241" s="3551">
        <v>568506</v>
      </c>
      <c r="AQ241" s="3560">
        <v>44197</v>
      </c>
      <c r="AR241" s="3560">
        <v>44561</v>
      </c>
      <c r="AS241" s="3551" t="s">
        <v>1906</v>
      </c>
    </row>
    <row r="242" spans="1:45" ht="39.75" customHeight="1" x14ac:dyDescent="0.25">
      <c r="A242" s="1442"/>
      <c r="B242" s="1406"/>
      <c r="C242" s="1410"/>
      <c r="D242" s="1406"/>
      <c r="E242" s="3648"/>
      <c r="F242" s="3649"/>
      <c r="G242" s="2166"/>
      <c r="H242" s="3556"/>
      <c r="I242" s="2166"/>
      <c r="J242" s="3556"/>
      <c r="K242" s="3337"/>
      <c r="L242" s="3546"/>
      <c r="M242" s="3337"/>
      <c r="N242" s="3553"/>
      <c r="O242" s="3548"/>
      <c r="P242" s="2057"/>
      <c r="Q242" s="2055"/>
      <c r="R242" s="3515"/>
      <c r="S242" s="3506"/>
      <c r="T242" s="2965"/>
      <c r="U242" s="2055"/>
      <c r="V242" s="2966"/>
      <c r="W242" s="1573">
        <v>274704276.49000001</v>
      </c>
      <c r="X242" s="1525" t="s">
        <v>2354</v>
      </c>
      <c r="Y242" s="1565">
        <v>98</v>
      </c>
      <c r="Z242" s="1398" t="s">
        <v>2355</v>
      </c>
      <c r="AA242" s="2111"/>
      <c r="AB242" s="3552"/>
      <c r="AC242" s="3563"/>
      <c r="AD242" s="3552"/>
      <c r="AE242" s="3552"/>
      <c r="AF242" s="3552"/>
      <c r="AG242" s="3552"/>
      <c r="AH242" s="3552"/>
      <c r="AI242" s="3552"/>
      <c r="AJ242" s="3552"/>
      <c r="AK242" s="3552"/>
      <c r="AL242" s="3552"/>
      <c r="AM242" s="3552"/>
      <c r="AN242" s="3552"/>
      <c r="AO242" s="3552"/>
      <c r="AP242" s="3552"/>
      <c r="AQ242" s="3561"/>
      <c r="AR242" s="3561"/>
      <c r="AS242" s="3552"/>
    </row>
    <row r="243" spans="1:45" ht="45.75" customHeight="1" x14ac:dyDescent="0.25">
      <c r="A243" s="1442"/>
      <c r="B243" s="1406"/>
      <c r="C243" s="1410"/>
      <c r="D243" s="1406"/>
      <c r="E243" s="3648"/>
      <c r="F243" s="3649"/>
      <c r="G243" s="2166"/>
      <c r="H243" s="3556"/>
      <c r="I243" s="2166"/>
      <c r="J243" s="3556"/>
      <c r="K243" s="3337"/>
      <c r="L243" s="3546"/>
      <c r="M243" s="3337"/>
      <c r="N243" s="3553"/>
      <c r="O243" s="3548"/>
      <c r="P243" s="2057"/>
      <c r="Q243" s="2055"/>
      <c r="R243" s="3515"/>
      <c r="S243" s="3506"/>
      <c r="T243" s="2965"/>
      <c r="U243" s="2055"/>
      <c r="V243" s="2056" t="s">
        <v>2356</v>
      </c>
      <c r="W243" s="1573">
        <v>23000000</v>
      </c>
      <c r="X243" s="1525" t="s">
        <v>2353</v>
      </c>
      <c r="Y243" s="1565">
        <v>61</v>
      </c>
      <c r="Z243" s="1398" t="s">
        <v>2320</v>
      </c>
      <c r="AA243" s="2111"/>
      <c r="AB243" s="3552"/>
      <c r="AC243" s="3563"/>
      <c r="AD243" s="3552"/>
      <c r="AE243" s="3552"/>
      <c r="AF243" s="3552"/>
      <c r="AG243" s="3552"/>
      <c r="AH243" s="3552"/>
      <c r="AI243" s="3552"/>
      <c r="AJ243" s="3552"/>
      <c r="AK243" s="3552"/>
      <c r="AL243" s="3552"/>
      <c r="AM243" s="3552"/>
      <c r="AN243" s="3552"/>
      <c r="AO243" s="3552"/>
      <c r="AP243" s="3552"/>
      <c r="AQ243" s="3552"/>
      <c r="AR243" s="3552"/>
      <c r="AS243" s="3552"/>
    </row>
    <row r="244" spans="1:45" ht="48" customHeight="1" x14ac:dyDescent="0.25">
      <c r="A244" s="1442"/>
      <c r="B244" s="1406"/>
      <c r="C244" s="1410"/>
      <c r="D244" s="1406"/>
      <c r="E244" s="3648"/>
      <c r="F244" s="3649"/>
      <c r="G244" s="2166"/>
      <c r="H244" s="3556"/>
      <c r="I244" s="2166"/>
      <c r="J244" s="3556"/>
      <c r="K244" s="3337"/>
      <c r="L244" s="3546"/>
      <c r="M244" s="3337"/>
      <c r="N244" s="3553"/>
      <c r="O244" s="3548"/>
      <c r="P244" s="2057"/>
      <c r="Q244" s="2055"/>
      <c r="R244" s="3515"/>
      <c r="S244" s="3506"/>
      <c r="T244" s="2965"/>
      <c r="U244" s="2055"/>
      <c r="V244" s="2966"/>
      <c r="W244" s="1573">
        <v>58630000</v>
      </c>
      <c r="X244" s="1525" t="s">
        <v>2354</v>
      </c>
      <c r="Y244" s="1565">
        <v>98</v>
      </c>
      <c r="Z244" s="1398" t="s">
        <v>2355</v>
      </c>
      <c r="AA244" s="2111"/>
      <c r="AB244" s="3552"/>
      <c r="AC244" s="3563"/>
      <c r="AD244" s="3552"/>
      <c r="AE244" s="3552"/>
      <c r="AF244" s="3552"/>
      <c r="AG244" s="3552"/>
      <c r="AH244" s="3552"/>
      <c r="AI244" s="3552"/>
      <c r="AJ244" s="3552"/>
      <c r="AK244" s="3552"/>
      <c r="AL244" s="3552"/>
      <c r="AM244" s="3552"/>
      <c r="AN244" s="3552"/>
      <c r="AO244" s="3552"/>
      <c r="AP244" s="3552"/>
      <c r="AQ244" s="3552"/>
      <c r="AR244" s="3552"/>
      <c r="AS244" s="3552"/>
    </row>
    <row r="245" spans="1:45" ht="62.25" customHeight="1" x14ac:dyDescent="0.25">
      <c r="A245" s="1442"/>
      <c r="B245" s="1406"/>
      <c r="C245" s="1410"/>
      <c r="D245" s="1406"/>
      <c r="E245" s="3648"/>
      <c r="F245" s="3649"/>
      <c r="G245" s="2166"/>
      <c r="H245" s="3556"/>
      <c r="I245" s="2166"/>
      <c r="J245" s="3556"/>
      <c r="K245" s="3337"/>
      <c r="L245" s="3546"/>
      <c r="M245" s="3337"/>
      <c r="N245" s="3553"/>
      <c r="O245" s="3548"/>
      <c r="P245" s="2057"/>
      <c r="Q245" s="2055"/>
      <c r="R245" s="3515"/>
      <c r="S245" s="3506"/>
      <c r="T245" s="2965"/>
      <c r="U245" s="2055"/>
      <c r="V245" s="1395" t="s">
        <v>2357</v>
      </c>
      <c r="W245" s="1573">
        <v>350000000</v>
      </c>
      <c r="X245" s="1525" t="s">
        <v>2353</v>
      </c>
      <c r="Y245" s="1565">
        <v>61</v>
      </c>
      <c r="Z245" s="1398" t="s">
        <v>2320</v>
      </c>
      <c r="AA245" s="2111"/>
      <c r="AB245" s="3552"/>
      <c r="AC245" s="3563"/>
      <c r="AD245" s="3552"/>
      <c r="AE245" s="3552"/>
      <c r="AF245" s="3552"/>
      <c r="AG245" s="3552"/>
      <c r="AH245" s="3552"/>
      <c r="AI245" s="3552"/>
      <c r="AJ245" s="3552"/>
      <c r="AK245" s="3552"/>
      <c r="AL245" s="3552"/>
      <c r="AM245" s="3552"/>
      <c r="AN245" s="3552"/>
      <c r="AO245" s="3552"/>
      <c r="AP245" s="3552"/>
      <c r="AQ245" s="3552"/>
      <c r="AR245" s="3552"/>
      <c r="AS245" s="3552"/>
    </row>
    <row r="246" spans="1:45" ht="55.5" customHeight="1" x14ac:dyDescent="0.25">
      <c r="A246" s="1442"/>
      <c r="B246" s="1406"/>
      <c r="C246" s="1410"/>
      <c r="D246" s="1406"/>
      <c r="E246" s="3648"/>
      <c r="F246" s="3649"/>
      <c r="G246" s="2166"/>
      <c r="H246" s="3556"/>
      <c r="I246" s="2166"/>
      <c r="J246" s="3556"/>
      <c r="K246" s="3337"/>
      <c r="L246" s="3546"/>
      <c r="M246" s="3337"/>
      <c r="N246" s="3553"/>
      <c r="O246" s="3548"/>
      <c r="P246" s="2057"/>
      <c r="Q246" s="2055"/>
      <c r="R246" s="3515"/>
      <c r="S246" s="3506"/>
      <c r="T246" s="2965"/>
      <c r="U246" s="2055"/>
      <c r="V246" s="1395" t="s">
        <v>2358</v>
      </c>
      <c r="W246" s="1573">
        <v>130000000</v>
      </c>
      <c r="X246" s="1525" t="s">
        <v>2353</v>
      </c>
      <c r="Y246" s="1421">
        <v>61</v>
      </c>
      <c r="Z246" s="1398" t="s">
        <v>2320</v>
      </c>
      <c r="AA246" s="2111"/>
      <c r="AB246" s="3552"/>
      <c r="AC246" s="3563"/>
      <c r="AD246" s="3552"/>
      <c r="AE246" s="3552"/>
      <c r="AF246" s="3552"/>
      <c r="AG246" s="3552"/>
      <c r="AH246" s="3552"/>
      <c r="AI246" s="3552"/>
      <c r="AJ246" s="3552"/>
      <c r="AK246" s="3552"/>
      <c r="AL246" s="3552"/>
      <c r="AM246" s="3552"/>
      <c r="AN246" s="3552"/>
      <c r="AO246" s="3552"/>
      <c r="AP246" s="3552"/>
      <c r="AQ246" s="3552"/>
      <c r="AR246" s="3552"/>
      <c r="AS246" s="3552"/>
    </row>
    <row r="247" spans="1:45" ht="45.75" customHeight="1" x14ac:dyDescent="0.25">
      <c r="A247" s="1442"/>
      <c r="B247" s="1406"/>
      <c r="C247" s="1410"/>
      <c r="D247" s="1406"/>
      <c r="E247" s="3648"/>
      <c r="F247" s="3649"/>
      <c r="G247" s="2166"/>
      <c r="H247" s="3556"/>
      <c r="I247" s="2166"/>
      <c r="J247" s="3556"/>
      <c r="K247" s="3337"/>
      <c r="L247" s="3546"/>
      <c r="M247" s="3337"/>
      <c r="N247" s="3553"/>
      <c r="O247" s="3548"/>
      <c r="P247" s="2057"/>
      <c r="Q247" s="2055"/>
      <c r="R247" s="3515"/>
      <c r="S247" s="3506"/>
      <c r="T247" s="2965"/>
      <c r="U247" s="2055"/>
      <c r="V247" s="1396" t="s">
        <v>2359</v>
      </c>
      <c r="W247" s="1573">
        <f>200000000-200000000</f>
        <v>0</v>
      </c>
      <c r="X247" s="1525" t="s">
        <v>2353</v>
      </c>
      <c r="Y247" s="1421">
        <v>61</v>
      </c>
      <c r="Z247" s="1398" t="s">
        <v>2320</v>
      </c>
      <c r="AA247" s="2111"/>
      <c r="AB247" s="3552"/>
      <c r="AC247" s="3563"/>
      <c r="AD247" s="3552"/>
      <c r="AE247" s="3552"/>
      <c r="AF247" s="3552"/>
      <c r="AG247" s="3552"/>
      <c r="AH247" s="3552"/>
      <c r="AI247" s="3552"/>
      <c r="AJ247" s="3552"/>
      <c r="AK247" s="3552"/>
      <c r="AL247" s="3552"/>
      <c r="AM247" s="3552"/>
      <c r="AN247" s="3552"/>
      <c r="AO247" s="3552"/>
      <c r="AP247" s="3552"/>
      <c r="AQ247" s="3552"/>
      <c r="AR247" s="3552"/>
      <c r="AS247" s="3552"/>
    </row>
    <row r="248" spans="1:45" ht="55.5" customHeight="1" x14ac:dyDescent="0.25">
      <c r="A248" s="1442"/>
      <c r="B248" s="1406"/>
      <c r="C248" s="1410"/>
      <c r="D248" s="1406"/>
      <c r="E248" s="3648"/>
      <c r="F248" s="3649"/>
      <c r="G248" s="2166"/>
      <c r="H248" s="3556"/>
      <c r="I248" s="2166"/>
      <c r="J248" s="3556"/>
      <c r="K248" s="3337"/>
      <c r="L248" s="3546"/>
      <c r="M248" s="3337"/>
      <c r="N248" s="3553"/>
      <c r="O248" s="3548"/>
      <c r="P248" s="2057"/>
      <c r="Q248" s="2055"/>
      <c r="R248" s="3515"/>
      <c r="S248" s="3506"/>
      <c r="T248" s="2965"/>
      <c r="U248" s="2055"/>
      <c r="V248" s="1395" t="s">
        <v>2360</v>
      </c>
      <c r="W248" s="1573">
        <v>250000000</v>
      </c>
      <c r="X248" s="1525" t="s">
        <v>2353</v>
      </c>
      <c r="Y248" s="1421">
        <v>61</v>
      </c>
      <c r="Z248" s="1398" t="s">
        <v>2320</v>
      </c>
      <c r="AA248" s="2111"/>
      <c r="AB248" s="3552"/>
      <c r="AC248" s="3563"/>
      <c r="AD248" s="3552"/>
      <c r="AE248" s="3552"/>
      <c r="AF248" s="3552"/>
      <c r="AG248" s="3552"/>
      <c r="AH248" s="3552"/>
      <c r="AI248" s="3552"/>
      <c r="AJ248" s="3552"/>
      <c r="AK248" s="3552"/>
      <c r="AL248" s="3552"/>
      <c r="AM248" s="3552"/>
      <c r="AN248" s="3552"/>
      <c r="AO248" s="3552"/>
      <c r="AP248" s="3552"/>
      <c r="AQ248" s="3552"/>
      <c r="AR248" s="3552"/>
      <c r="AS248" s="3552"/>
    </row>
    <row r="249" spans="1:45" ht="55.5" customHeight="1" x14ac:dyDescent="0.25">
      <c r="A249" s="1442"/>
      <c r="B249" s="1406"/>
      <c r="C249" s="1410"/>
      <c r="D249" s="1406"/>
      <c r="E249" s="3648"/>
      <c r="F249" s="3649"/>
      <c r="G249" s="2166"/>
      <c r="H249" s="2711"/>
      <c r="I249" s="2166"/>
      <c r="J249" s="2711"/>
      <c r="K249" s="3508"/>
      <c r="L249" s="3557"/>
      <c r="M249" s="3508"/>
      <c r="N249" s="3554"/>
      <c r="O249" s="2123"/>
      <c r="P249" s="2058"/>
      <c r="Q249" s="2056"/>
      <c r="R249" s="3555"/>
      <c r="S249" s="3507"/>
      <c r="T249" s="2965"/>
      <c r="U249" s="2056"/>
      <c r="V249" s="1396" t="s">
        <v>2361</v>
      </c>
      <c r="W249" s="1574">
        <f>45000000-45000000</f>
        <v>0</v>
      </c>
      <c r="X249" s="1564" t="s">
        <v>2353</v>
      </c>
      <c r="Y249" s="1421">
        <v>61</v>
      </c>
      <c r="Z249" s="1398" t="s">
        <v>2320</v>
      </c>
      <c r="AA249" s="2111"/>
      <c r="AB249" s="3552"/>
      <c r="AC249" s="3563"/>
      <c r="AD249" s="3552"/>
      <c r="AE249" s="3552"/>
      <c r="AF249" s="3552"/>
      <c r="AG249" s="3552"/>
      <c r="AH249" s="3552"/>
      <c r="AI249" s="3552"/>
      <c r="AJ249" s="3552"/>
      <c r="AK249" s="3552"/>
      <c r="AL249" s="3552"/>
      <c r="AM249" s="3552"/>
      <c r="AN249" s="3552"/>
      <c r="AO249" s="3552"/>
      <c r="AP249" s="3552"/>
      <c r="AQ249" s="3552"/>
      <c r="AR249" s="3552"/>
      <c r="AS249" s="3552"/>
    </row>
    <row r="250" spans="1:45" ht="62.25" customHeight="1" x14ac:dyDescent="0.25">
      <c r="A250" s="1442"/>
      <c r="B250" s="1406"/>
      <c r="C250" s="1410"/>
      <c r="D250" s="1406"/>
      <c r="E250" s="3650"/>
      <c r="F250" s="3651"/>
      <c r="G250" s="2166"/>
      <c r="H250" s="2711"/>
      <c r="I250" s="2166"/>
      <c r="J250" s="2711"/>
      <c r="K250" s="3508"/>
      <c r="L250" s="3557"/>
      <c r="M250" s="3508"/>
      <c r="N250" s="3554"/>
      <c r="O250" s="2123"/>
      <c r="P250" s="2058"/>
      <c r="Q250" s="2056"/>
      <c r="R250" s="3555"/>
      <c r="S250" s="3507"/>
      <c r="T250" s="2965"/>
      <c r="U250" s="2181"/>
      <c r="V250" s="1403" t="s">
        <v>2362</v>
      </c>
      <c r="W250" s="1575">
        <v>100000000</v>
      </c>
      <c r="X250" s="1525" t="s">
        <v>2354</v>
      </c>
      <c r="Y250" s="1565">
        <v>98</v>
      </c>
      <c r="Z250" s="1398" t="s">
        <v>2355</v>
      </c>
      <c r="AA250" s="3564"/>
      <c r="AB250" s="3552"/>
      <c r="AC250" s="3563"/>
      <c r="AD250" s="3552"/>
      <c r="AE250" s="3552"/>
      <c r="AF250" s="3552"/>
      <c r="AG250" s="3552"/>
      <c r="AH250" s="3552"/>
      <c r="AI250" s="3552"/>
      <c r="AJ250" s="3552"/>
      <c r="AK250" s="3552"/>
      <c r="AL250" s="3552"/>
      <c r="AM250" s="3552"/>
      <c r="AN250" s="3552"/>
      <c r="AO250" s="3552"/>
      <c r="AP250" s="3552"/>
      <c r="AQ250" s="3552"/>
      <c r="AR250" s="3552"/>
      <c r="AS250" s="3552"/>
    </row>
    <row r="251" spans="1:45" ht="27" customHeight="1" x14ac:dyDescent="0.25">
      <c r="A251" s="1442"/>
      <c r="B251" s="1406"/>
      <c r="C251" s="1410"/>
      <c r="D251" s="1406"/>
      <c r="E251" s="878">
        <v>1906</v>
      </c>
      <c r="F251" s="1541" t="s">
        <v>393</v>
      </c>
      <c r="G251" s="1576"/>
      <c r="H251" s="1576"/>
      <c r="I251" s="1576"/>
      <c r="J251" s="1576"/>
      <c r="K251" s="1576"/>
      <c r="L251" s="1576"/>
      <c r="M251" s="1576"/>
      <c r="N251" s="1576"/>
      <c r="O251" s="1576"/>
      <c r="P251" s="1576"/>
      <c r="Q251" s="864"/>
      <c r="R251" s="1576"/>
      <c r="S251" s="1577"/>
      <c r="T251" s="864"/>
      <c r="U251" s="864"/>
      <c r="V251" s="874"/>
      <c r="W251" s="873"/>
      <c r="X251" s="1545"/>
      <c r="Y251" s="1578"/>
      <c r="Z251" s="876"/>
      <c r="AA251" s="101"/>
      <c r="AB251" s="101"/>
      <c r="AC251" s="1579"/>
      <c r="AD251" s="101"/>
      <c r="AE251" s="101"/>
      <c r="AF251" s="101"/>
      <c r="AG251" s="101"/>
      <c r="AH251" s="101"/>
      <c r="AI251" s="101"/>
      <c r="AJ251" s="101"/>
      <c r="AK251" s="101"/>
      <c r="AL251" s="101"/>
      <c r="AM251" s="101"/>
      <c r="AN251" s="101"/>
      <c r="AO251" s="101"/>
      <c r="AP251" s="101"/>
      <c r="AQ251" s="101"/>
      <c r="AR251" s="101"/>
      <c r="AS251" s="1140"/>
    </row>
    <row r="252" spans="1:45" ht="133.5" customHeight="1" x14ac:dyDescent="0.25">
      <c r="A252" s="1442"/>
      <c r="B252" s="1406"/>
      <c r="C252" s="1410"/>
      <c r="D252" s="1406"/>
      <c r="E252" s="2334"/>
      <c r="F252" s="2125"/>
      <c r="G252" s="1449">
        <v>1906032</v>
      </c>
      <c r="H252" s="1412" t="s">
        <v>2363</v>
      </c>
      <c r="I252" s="1449">
        <v>1906032</v>
      </c>
      <c r="J252" s="1412" t="s">
        <v>2363</v>
      </c>
      <c r="K252" s="1580">
        <v>190603200</v>
      </c>
      <c r="L252" s="1581" t="s">
        <v>2364</v>
      </c>
      <c r="M252" s="1580">
        <v>190603200</v>
      </c>
      <c r="N252" s="1412" t="s">
        <v>2364</v>
      </c>
      <c r="O252" s="1409">
        <v>1500</v>
      </c>
      <c r="P252" s="2170" t="s">
        <v>2365</v>
      </c>
      <c r="Q252" s="2966" t="s">
        <v>2366</v>
      </c>
      <c r="R252" s="3549">
        <f>SUM(W252:W265)/S252</f>
        <v>1</v>
      </c>
      <c r="S252" s="3550">
        <f>SUM(W252:W265)</f>
        <v>31351259122</v>
      </c>
      <c r="T252" s="2966" t="s">
        <v>2367</v>
      </c>
      <c r="U252" s="2966" t="s">
        <v>2368</v>
      </c>
      <c r="V252" s="1431" t="s">
        <v>2369</v>
      </c>
      <c r="W252" s="1438">
        <v>0</v>
      </c>
      <c r="X252" s="1582"/>
      <c r="Y252" s="1423">
        <v>20</v>
      </c>
      <c r="Z252" s="1414" t="s">
        <v>77</v>
      </c>
      <c r="AA252" s="2111">
        <v>292684</v>
      </c>
      <c r="AB252" s="2111">
        <v>282326</v>
      </c>
      <c r="AC252" s="3509">
        <v>135912</v>
      </c>
      <c r="AD252" s="2111">
        <v>45122</v>
      </c>
      <c r="AE252" s="2111">
        <v>365607</v>
      </c>
      <c r="AF252" s="2111">
        <v>75612</v>
      </c>
      <c r="AG252" s="2111">
        <v>2145</v>
      </c>
      <c r="AH252" s="2111">
        <v>12718</v>
      </c>
      <c r="AI252" s="2111">
        <v>26</v>
      </c>
      <c r="AJ252" s="2111">
        <v>37</v>
      </c>
      <c r="AK252" s="2111">
        <v>0</v>
      </c>
      <c r="AL252" s="2111">
        <v>0</v>
      </c>
      <c r="AM252" s="2111">
        <v>53164</v>
      </c>
      <c r="AN252" s="2111">
        <v>16982</v>
      </c>
      <c r="AO252" s="2111">
        <v>60013</v>
      </c>
      <c r="AP252" s="2111">
        <v>575010</v>
      </c>
      <c r="AQ252" s="3545">
        <v>44197</v>
      </c>
      <c r="AR252" s="3545">
        <v>44561</v>
      </c>
      <c r="AS252" s="2111" t="s">
        <v>1906</v>
      </c>
    </row>
    <row r="253" spans="1:45" ht="96" customHeight="1" x14ac:dyDescent="0.25">
      <c r="A253" s="1442"/>
      <c r="B253" s="1406"/>
      <c r="C253" s="1410"/>
      <c r="D253" s="1406"/>
      <c r="E253" s="3547"/>
      <c r="F253" s="3548"/>
      <c r="G253" s="2118" t="s">
        <v>62</v>
      </c>
      <c r="H253" s="2119" t="s">
        <v>2370</v>
      </c>
      <c r="I253" s="2118">
        <v>1906023</v>
      </c>
      <c r="J253" s="2119" t="s">
        <v>2371</v>
      </c>
      <c r="K253" s="3337" t="s">
        <v>62</v>
      </c>
      <c r="L253" s="3546" t="s">
        <v>2372</v>
      </c>
      <c r="M253" s="3337">
        <v>190602300</v>
      </c>
      <c r="N253" s="2119" t="s">
        <v>2373</v>
      </c>
      <c r="O253" s="3548">
        <v>19899</v>
      </c>
      <c r="P253" s="2057"/>
      <c r="Q253" s="2055"/>
      <c r="R253" s="3515"/>
      <c r="S253" s="3506"/>
      <c r="T253" s="2055"/>
      <c r="U253" s="2055"/>
      <c r="V253" s="2181" t="s">
        <v>2374</v>
      </c>
      <c r="W253" s="1583">
        <v>3444818759</v>
      </c>
      <c r="X253" s="1525" t="s">
        <v>2375</v>
      </c>
      <c r="Y253" s="1565">
        <v>154</v>
      </c>
      <c r="Z253" s="1397" t="s">
        <v>2376</v>
      </c>
      <c r="AA253" s="2111"/>
      <c r="AB253" s="2111"/>
      <c r="AC253" s="3509"/>
      <c r="AD253" s="2111"/>
      <c r="AE253" s="2111"/>
      <c r="AF253" s="2111"/>
      <c r="AG253" s="2111"/>
      <c r="AH253" s="2111"/>
      <c r="AI253" s="2111"/>
      <c r="AJ253" s="2111"/>
      <c r="AK253" s="2111"/>
      <c r="AL253" s="2111"/>
      <c r="AM253" s="2111"/>
      <c r="AN253" s="2111"/>
      <c r="AO253" s="2111"/>
      <c r="AP253" s="2111"/>
      <c r="AQ253" s="2111"/>
      <c r="AR253" s="2111"/>
      <c r="AS253" s="2111"/>
    </row>
    <row r="254" spans="1:45" ht="73.5" customHeight="1" x14ac:dyDescent="0.25">
      <c r="A254" s="1442"/>
      <c r="B254" s="1406"/>
      <c r="C254" s="1410"/>
      <c r="D254" s="1406"/>
      <c r="E254" s="3547"/>
      <c r="F254" s="3548"/>
      <c r="G254" s="2118"/>
      <c r="H254" s="2119"/>
      <c r="I254" s="2118"/>
      <c r="J254" s="2119"/>
      <c r="K254" s="3337"/>
      <c r="L254" s="3546"/>
      <c r="M254" s="3337"/>
      <c r="N254" s="2119"/>
      <c r="O254" s="3548"/>
      <c r="P254" s="2057"/>
      <c r="Q254" s="2055"/>
      <c r="R254" s="3515"/>
      <c r="S254" s="3506"/>
      <c r="T254" s="2055"/>
      <c r="U254" s="2055"/>
      <c r="V254" s="3220"/>
      <c r="W254" s="1583">
        <v>12803999183</v>
      </c>
      <c r="X254" s="1525" t="s">
        <v>2377</v>
      </c>
      <c r="Y254" s="1565">
        <v>154</v>
      </c>
      <c r="Z254" s="1397" t="s">
        <v>2376</v>
      </c>
      <c r="AA254" s="2111"/>
      <c r="AB254" s="2111"/>
      <c r="AC254" s="3509"/>
      <c r="AD254" s="2111"/>
      <c r="AE254" s="2111"/>
      <c r="AF254" s="2111"/>
      <c r="AG254" s="2111"/>
      <c r="AH254" s="2111"/>
      <c r="AI254" s="2111"/>
      <c r="AJ254" s="2111"/>
      <c r="AK254" s="2111"/>
      <c r="AL254" s="2111"/>
      <c r="AM254" s="2111"/>
      <c r="AN254" s="2111"/>
      <c r="AO254" s="2111"/>
      <c r="AP254" s="2111"/>
      <c r="AQ254" s="2111"/>
      <c r="AR254" s="2111"/>
      <c r="AS254" s="2111"/>
    </row>
    <row r="255" spans="1:45" ht="73.5" customHeight="1" x14ac:dyDescent="0.25">
      <c r="A255" s="1442"/>
      <c r="B255" s="1406"/>
      <c r="C255" s="1410"/>
      <c r="D255" s="1406"/>
      <c r="E255" s="3547"/>
      <c r="F255" s="3548"/>
      <c r="G255" s="2118"/>
      <c r="H255" s="2119"/>
      <c r="I255" s="2118"/>
      <c r="J255" s="2119"/>
      <c r="K255" s="3337"/>
      <c r="L255" s="3546"/>
      <c r="M255" s="3337"/>
      <c r="N255" s="2119"/>
      <c r="O255" s="3548"/>
      <c r="P255" s="2057"/>
      <c r="Q255" s="2055"/>
      <c r="R255" s="3515"/>
      <c r="S255" s="3506"/>
      <c r="T255" s="2055"/>
      <c r="U255" s="2055"/>
      <c r="V255" s="3220"/>
      <c r="W255" s="1583">
        <v>562403426</v>
      </c>
      <c r="X255" s="1525" t="s">
        <v>2378</v>
      </c>
      <c r="Y255" s="1565">
        <v>154</v>
      </c>
      <c r="Z255" s="1397" t="s">
        <v>2376</v>
      </c>
      <c r="AA255" s="2111"/>
      <c r="AB255" s="2111"/>
      <c r="AC255" s="3509"/>
      <c r="AD255" s="2111"/>
      <c r="AE255" s="2111"/>
      <c r="AF255" s="2111"/>
      <c r="AG255" s="2111"/>
      <c r="AH255" s="2111"/>
      <c r="AI255" s="2111"/>
      <c r="AJ255" s="2111"/>
      <c r="AK255" s="2111"/>
      <c r="AL255" s="2111"/>
      <c r="AM255" s="2111"/>
      <c r="AN255" s="2111"/>
      <c r="AO255" s="2111"/>
      <c r="AP255" s="2111"/>
      <c r="AQ255" s="2111"/>
      <c r="AR255" s="2111"/>
      <c r="AS255" s="2111"/>
    </row>
    <row r="256" spans="1:45" ht="73.5" customHeight="1" x14ac:dyDescent="0.25">
      <c r="A256" s="1442"/>
      <c r="B256" s="1406"/>
      <c r="C256" s="1410"/>
      <c r="D256" s="1406"/>
      <c r="E256" s="3547"/>
      <c r="F256" s="3548"/>
      <c r="G256" s="2118"/>
      <c r="H256" s="2119"/>
      <c r="I256" s="2118"/>
      <c r="J256" s="2119"/>
      <c r="K256" s="3337"/>
      <c r="L256" s="3546"/>
      <c r="M256" s="3337"/>
      <c r="N256" s="2119"/>
      <c r="O256" s="3548"/>
      <c r="P256" s="2057"/>
      <c r="Q256" s="2055"/>
      <c r="R256" s="3515"/>
      <c r="S256" s="3506"/>
      <c r="T256" s="2055"/>
      <c r="U256" s="2055"/>
      <c r="V256" s="3220"/>
      <c r="W256" s="1583">
        <v>949202444</v>
      </c>
      <c r="X256" s="1525" t="s">
        <v>2379</v>
      </c>
      <c r="Y256" s="1565">
        <v>154</v>
      </c>
      <c r="Z256" s="1397" t="s">
        <v>2376</v>
      </c>
      <c r="AA256" s="2111"/>
      <c r="AB256" s="2111"/>
      <c r="AC256" s="3509"/>
      <c r="AD256" s="2111"/>
      <c r="AE256" s="2111"/>
      <c r="AF256" s="2111"/>
      <c r="AG256" s="2111"/>
      <c r="AH256" s="2111"/>
      <c r="AI256" s="2111"/>
      <c r="AJ256" s="2111"/>
      <c r="AK256" s="2111"/>
      <c r="AL256" s="2111"/>
      <c r="AM256" s="2111"/>
      <c r="AN256" s="2111"/>
      <c r="AO256" s="2111"/>
      <c r="AP256" s="2111"/>
      <c r="AQ256" s="2111"/>
      <c r="AR256" s="2111"/>
      <c r="AS256" s="2111"/>
    </row>
    <row r="257" spans="1:45" ht="73.5" customHeight="1" x14ac:dyDescent="0.25">
      <c r="A257" s="1442"/>
      <c r="B257" s="1406"/>
      <c r="C257" s="1410"/>
      <c r="D257" s="1406"/>
      <c r="E257" s="3547"/>
      <c r="F257" s="3548"/>
      <c r="G257" s="2118"/>
      <c r="H257" s="2119"/>
      <c r="I257" s="2118"/>
      <c r="J257" s="2119"/>
      <c r="K257" s="3337"/>
      <c r="L257" s="3546"/>
      <c r="M257" s="3337"/>
      <c r="N257" s="2119"/>
      <c r="O257" s="3548"/>
      <c r="P257" s="2057"/>
      <c r="Q257" s="2055"/>
      <c r="R257" s="3515"/>
      <c r="S257" s="3506"/>
      <c r="T257" s="2055"/>
      <c r="U257" s="2055"/>
      <c r="V257" s="3220"/>
      <c r="W257" s="1583">
        <v>235833982</v>
      </c>
      <c r="X257" s="1525" t="s">
        <v>2380</v>
      </c>
      <c r="Y257" s="1565">
        <v>154</v>
      </c>
      <c r="Z257" s="1397" t="s">
        <v>2376</v>
      </c>
      <c r="AA257" s="2111"/>
      <c r="AB257" s="2111"/>
      <c r="AC257" s="3509"/>
      <c r="AD257" s="2111"/>
      <c r="AE257" s="2111"/>
      <c r="AF257" s="2111"/>
      <c r="AG257" s="2111"/>
      <c r="AH257" s="2111"/>
      <c r="AI257" s="2111"/>
      <c r="AJ257" s="2111"/>
      <c r="AK257" s="2111"/>
      <c r="AL257" s="2111"/>
      <c r="AM257" s="2111"/>
      <c r="AN257" s="2111"/>
      <c r="AO257" s="2111"/>
      <c r="AP257" s="2111"/>
      <c r="AQ257" s="2111"/>
      <c r="AR257" s="2111"/>
      <c r="AS257" s="2111"/>
    </row>
    <row r="258" spans="1:45" ht="73.5" customHeight="1" x14ac:dyDescent="0.25">
      <c r="A258" s="1442"/>
      <c r="B258" s="1406"/>
      <c r="C258" s="1410"/>
      <c r="D258" s="1406"/>
      <c r="E258" s="3547"/>
      <c r="F258" s="3548"/>
      <c r="G258" s="2118"/>
      <c r="H258" s="2119"/>
      <c r="I258" s="2118"/>
      <c r="J258" s="2119"/>
      <c r="K258" s="3337"/>
      <c r="L258" s="3546"/>
      <c r="M258" s="3337"/>
      <c r="N258" s="2119"/>
      <c r="O258" s="3548"/>
      <c r="P258" s="2057"/>
      <c r="Q258" s="2055"/>
      <c r="R258" s="3515"/>
      <c r="S258" s="3506"/>
      <c r="T258" s="2055"/>
      <c r="U258" s="2055"/>
      <c r="V258" s="3220"/>
      <c r="W258" s="1583">
        <v>2767170866</v>
      </c>
      <c r="X258" s="1525" t="s">
        <v>2381</v>
      </c>
      <c r="Y258" s="1565">
        <v>154</v>
      </c>
      <c r="Z258" s="1397" t="s">
        <v>2376</v>
      </c>
      <c r="AA258" s="2111"/>
      <c r="AB258" s="2111"/>
      <c r="AC258" s="3509"/>
      <c r="AD258" s="2111"/>
      <c r="AE258" s="2111"/>
      <c r="AF258" s="2111"/>
      <c r="AG258" s="2111"/>
      <c r="AH258" s="2111"/>
      <c r="AI258" s="2111"/>
      <c r="AJ258" s="2111"/>
      <c r="AK258" s="2111"/>
      <c r="AL258" s="2111"/>
      <c r="AM258" s="2111"/>
      <c r="AN258" s="2111"/>
      <c r="AO258" s="2111"/>
      <c r="AP258" s="2111"/>
      <c r="AQ258" s="2111"/>
      <c r="AR258" s="2111"/>
      <c r="AS258" s="2111"/>
    </row>
    <row r="259" spans="1:45" ht="73.5" customHeight="1" x14ac:dyDescent="0.25">
      <c r="A259" s="1442"/>
      <c r="B259" s="1406"/>
      <c r="C259" s="1410"/>
      <c r="D259" s="1406"/>
      <c r="E259" s="3547"/>
      <c r="F259" s="3548"/>
      <c r="G259" s="2118"/>
      <c r="H259" s="2119"/>
      <c r="I259" s="2118"/>
      <c r="J259" s="2119"/>
      <c r="K259" s="3337"/>
      <c r="L259" s="3546"/>
      <c r="M259" s="3337"/>
      <c r="N259" s="2119"/>
      <c r="O259" s="3548"/>
      <c r="P259" s="2057"/>
      <c r="Q259" s="2055"/>
      <c r="R259" s="3515"/>
      <c r="S259" s="3506"/>
      <c r="T259" s="2055"/>
      <c r="U259" s="2055"/>
      <c r="V259" s="3220"/>
      <c r="W259" s="1583">
        <v>4232306721</v>
      </c>
      <c r="X259" s="1525" t="s">
        <v>2382</v>
      </c>
      <c r="Y259" s="1565">
        <v>154</v>
      </c>
      <c r="Z259" s="1397" t="s">
        <v>2376</v>
      </c>
      <c r="AA259" s="2111"/>
      <c r="AB259" s="2111"/>
      <c r="AC259" s="3509"/>
      <c r="AD259" s="2111"/>
      <c r="AE259" s="2111"/>
      <c r="AF259" s="2111"/>
      <c r="AG259" s="2111"/>
      <c r="AH259" s="2111"/>
      <c r="AI259" s="2111"/>
      <c r="AJ259" s="2111"/>
      <c r="AK259" s="2111"/>
      <c r="AL259" s="2111"/>
      <c r="AM259" s="2111"/>
      <c r="AN259" s="2111"/>
      <c r="AO259" s="2111"/>
      <c r="AP259" s="2111"/>
      <c r="AQ259" s="2111"/>
      <c r="AR259" s="2111"/>
      <c r="AS259" s="2111"/>
    </row>
    <row r="260" spans="1:45" ht="73.5" customHeight="1" x14ac:dyDescent="0.25">
      <c r="A260" s="1442"/>
      <c r="B260" s="1406"/>
      <c r="C260" s="1410"/>
      <c r="D260" s="1406"/>
      <c r="E260" s="3547"/>
      <c r="F260" s="3548"/>
      <c r="G260" s="2118"/>
      <c r="H260" s="2119"/>
      <c r="I260" s="2118"/>
      <c r="J260" s="2119"/>
      <c r="K260" s="3337"/>
      <c r="L260" s="3546"/>
      <c r="M260" s="3337"/>
      <c r="N260" s="2119"/>
      <c r="O260" s="3548"/>
      <c r="P260" s="2057"/>
      <c r="Q260" s="2055"/>
      <c r="R260" s="3515"/>
      <c r="S260" s="3506"/>
      <c r="T260" s="2055"/>
      <c r="U260" s="2055"/>
      <c r="V260" s="3220"/>
      <c r="W260" s="1583">
        <v>432297116</v>
      </c>
      <c r="X260" s="1525" t="s">
        <v>2383</v>
      </c>
      <c r="Y260" s="1565">
        <v>154</v>
      </c>
      <c r="Z260" s="1397" t="s">
        <v>2376</v>
      </c>
      <c r="AA260" s="2111"/>
      <c r="AB260" s="2111"/>
      <c r="AC260" s="3509"/>
      <c r="AD260" s="2111"/>
      <c r="AE260" s="2111"/>
      <c r="AF260" s="2111"/>
      <c r="AG260" s="2111"/>
      <c r="AH260" s="2111"/>
      <c r="AI260" s="2111"/>
      <c r="AJ260" s="2111"/>
      <c r="AK260" s="2111"/>
      <c r="AL260" s="2111"/>
      <c r="AM260" s="2111"/>
      <c r="AN260" s="2111"/>
      <c r="AO260" s="2111"/>
      <c r="AP260" s="2111"/>
      <c r="AQ260" s="2111"/>
      <c r="AR260" s="2111"/>
      <c r="AS260" s="2111"/>
    </row>
    <row r="261" spans="1:45" ht="73.5" customHeight="1" x14ac:dyDescent="0.25">
      <c r="A261" s="1442"/>
      <c r="B261" s="1406"/>
      <c r="C261" s="1410"/>
      <c r="D261" s="1406"/>
      <c r="E261" s="3547"/>
      <c r="F261" s="3548"/>
      <c r="G261" s="2118"/>
      <c r="H261" s="2119"/>
      <c r="I261" s="2118"/>
      <c r="J261" s="2119"/>
      <c r="K261" s="3337"/>
      <c r="L261" s="3546"/>
      <c r="M261" s="3337"/>
      <c r="N261" s="2119"/>
      <c r="O261" s="3548"/>
      <c r="P261" s="2057"/>
      <c r="Q261" s="2055"/>
      <c r="R261" s="3515"/>
      <c r="S261" s="3506"/>
      <c r="T261" s="2055"/>
      <c r="U261" s="2055"/>
      <c r="V261" s="3220"/>
      <c r="W261" s="1583">
        <v>787938412</v>
      </c>
      <c r="X261" s="1525" t="s">
        <v>2384</v>
      </c>
      <c r="Y261" s="1565">
        <v>154</v>
      </c>
      <c r="Z261" s="1397" t="s">
        <v>2376</v>
      </c>
      <c r="AA261" s="2111"/>
      <c r="AB261" s="2111"/>
      <c r="AC261" s="3509"/>
      <c r="AD261" s="2111"/>
      <c r="AE261" s="2111"/>
      <c r="AF261" s="2111"/>
      <c r="AG261" s="2111"/>
      <c r="AH261" s="2111"/>
      <c r="AI261" s="2111"/>
      <c r="AJ261" s="2111"/>
      <c r="AK261" s="2111"/>
      <c r="AL261" s="2111"/>
      <c r="AM261" s="2111"/>
      <c r="AN261" s="2111"/>
      <c r="AO261" s="2111"/>
      <c r="AP261" s="2111"/>
      <c r="AQ261" s="2111"/>
      <c r="AR261" s="2111"/>
      <c r="AS261" s="2111"/>
    </row>
    <row r="262" spans="1:45" ht="73.5" customHeight="1" x14ac:dyDescent="0.25">
      <c r="A262" s="1442"/>
      <c r="B262" s="1406"/>
      <c r="C262" s="1410"/>
      <c r="D262" s="1406"/>
      <c r="E262" s="3547"/>
      <c r="F262" s="3548"/>
      <c r="G262" s="2118"/>
      <c r="H262" s="2119"/>
      <c r="I262" s="2118"/>
      <c r="J262" s="2119"/>
      <c r="K262" s="3337"/>
      <c r="L262" s="3546"/>
      <c r="M262" s="3337"/>
      <c r="N262" s="2119"/>
      <c r="O262" s="3548"/>
      <c r="P262" s="2057"/>
      <c r="Q262" s="2055"/>
      <c r="R262" s="3515"/>
      <c r="S262" s="3506"/>
      <c r="T262" s="2055"/>
      <c r="U262" s="2055"/>
      <c r="V262" s="3220"/>
      <c r="W262" s="1583">
        <v>1806365756</v>
      </c>
      <c r="X262" s="1525" t="s">
        <v>2385</v>
      </c>
      <c r="Y262" s="1565">
        <v>154</v>
      </c>
      <c r="Z262" s="1397" t="s">
        <v>2376</v>
      </c>
      <c r="AA262" s="2111"/>
      <c r="AB262" s="2111"/>
      <c r="AC262" s="3509"/>
      <c r="AD262" s="2111"/>
      <c r="AE262" s="2111"/>
      <c r="AF262" s="2111"/>
      <c r="AG262" s="2111"/>
      <c r="AH262" s="2111"/>
      <c r="AI262" s="2111"/>
      <c r="AJ262" s="2111"/>
      <c r="AK262" s="2111"/>
      <c r="AL262" s="2111"/>
      <c r="AM262" s="2111"/>
      <c r="AN262" s="2111"/>
      <c r="AO262" s="2111"/>
      <c r="AP262" s="2111"/>
      <c r="AQ262" s="2111"/>
      <c r="AR262" s="2111"/>
      <c r="AS262" s="2111"/>
    </row>
    <row r="263" spans="1:45" ht="73.5" customHeight="1" x14ac:dyDescent="0.25">
      <c r="A263" s="1442"/>
      <c r="B263" s="1406"/>
      <c r="C263" s="1410"/>
      <c r="D263" s="1406"/>
      <c r="E263" s="3547"/>
      <c r="F263" s="3548"/>
      <c r="G263" s="2118"/>
      <c r="H263" s="2119"/>
      <c r="I263" s="2118"/>
      <c r="J263" s="2119"/>
      <c r="K263" s="3337"/>
      <c r="L263" s="3546"/>
      <c r="M263" s="3337"/>
      <c r="N263" s="2119"/>
      <c r="O263" s="3548"/>
      <c r="P263" s="2057"/>
      <c r="Q263" s="2055"/>
      <c r="R263" s="3515"/>
      <c r="S263" s="3506"/>
      <c r="T263" s="2055"/>
      <c r="U263" s="2055"/>
      <c r="V263" s="3220"/>
      <c r="W263" s="1583">
        <v>509995874</v>
      </c>
      <c r="X263" s="1525" t="s">
        <v>2386</v>
      </c>
      <c r="Y263" s="1565">
        <v>154</v>
      </c>
      <c r="Z263" s="1397" t="s">
        <v>2376</v>
      </c>
      <c r="AA263" s="2111"/>
      <c r="AB263" s="2111"/>
      <c r="AC263" s="3509"/>
      <c r="AD263" s="2111"/>
      <c r="AE263" s="2111"/>
      <c r="AF263" s="2111"/>
      <c r="AG263" s="2111"/>
      <c r="AH263" s="2111"/>
      <c r="AI263" s="2111"/>
      <c r="AJ263" s="2111"/>
      <c r="AK263" s="2111"/>
      <c r="AL263" s="2111"/>
      <c r="AM263" s="2111"/>
      <c r="AN263" s="2111"/>
      <c r="AO263" s="2111"/>
      <c r="AP263" s="2111"/>
      <c r="AQ263" s="2111"/>
      <c r="AR263" s="2111"/>
      <c r="AS263" s="2111"/>
    </row>
    <row r="264" spans="1:45" ht="69" customHeight="1" x14ac:dyDescent="0.25">
      <c r="A264" s="1442"/>
      <c r="B264" s="1406"/>
      <c r="C264" s="1410"/>
      <c r="D264" s="1406"/>
      <c r="E264" s="3547"/>
      <c r="F264" s="3548"/>
      <c r="G264" s="2118"/>
      <c r="H264" s="2119"/>
      <c r="I264" s="2118"/>
      <c r="J264" s="2119"/>
      <c r="K264" s="3337"/>
      <c r="L264" s="3546"/>
      <c r="M264" s="3337"/>
      <c r="N264" s="2119"/>
      <c r="O264" s="3548"/>
      <c r="P264" s="2057"/>
      <c r="Q264" s="2055"/>
      <c r="R264" s="3515"/>
      <c r="S264" s="3506"/>
      <c r="T264" s="2055"/>
      <c r="U264" s="2055"/>
      <c r="V264" s="3221"/>
      <c r="W264" s="1583">
        <v>2818926583</v>
      </c>
      <c r="X264" s="1525" t="s">
        <v>2387</v>
      </c>
      <c r="Y264" s="1565">
        <v>154</v>
      </c>
      <c r="Z264" s="1397" t="s">
        <v>2376</v>
      </c>
      <c r="AA264" s="2111"/>
      <c r="AB264" s="2111"/>
      <c r="AC264" s="3509"/>
      <c r="AD264" s="2111"/>
      <c r="AE264" s="2111"/>
      <c r="AF264" s="2111"/>
      <c r="AG264" s="2111"/>
      <c r="AH264" s="2111"/>
      <c r="AI264" s="2111"/>
      <c r="AJ264" s="2111"/>
      <c r="AK264" s="2111"/>
      <c r="AL264" s="2111"/>
      <c r="AM264" s="2111"/>
      <c r="AN264" s="2111"/>
      <c r="AO264" s="2111"/>
      <c r="AP264" s="2111"/>
      <c r="AQ264" s="2111"/>
      <c r="AR264" s="2111"/>
      <c r="AS264" s="2111"/>
    </row>
    <row r="265" spans="1:45" ht="105" customHeight="1" x14ac:dyDescent="0.25">
      <c r="A265" s="1442"/>
      <c r="B265" s="1406"/>
      <c r="C265" s="1410"/>
      <c r="D265" s="1406"/>
      <c r="E265" s="3547"/>
      <c r="F265" s="3548"/>
      <c r="G265" s="2118"/>
      <c r="H265" s="2119"/>
      <c r="I265" s="2118"/>
      <c r="J265" s="2119"/>
      <c r="K265" s="3337"/>
      <c r="L265" s="3546"/>
      <c r="M265" s="3337"/>
      <c r="N265" s="2119"/>
      <c r="O265" s="3548"/>
      <c r="P265" s="2057"/>
      <c r="Q265" s="2055"/>
      <c r="R265" s="3515"/>
      <c r="S265" s="3506"/>
      <c r="T265" s="2055"/>
      <c r="U265" s="2055"/>
      <c r="V265" s="1395" t="s">
        <v>2388</v>
      </c>
      <c r="W265" s="1439">
        <v>0</v>
      </c>
      <c r="X265" s="1582"/>
      <c r="Y265" s="1565">
        <v>20</v>
      </c>
      <c r="Z265" s="1397" t="s">
        <v>77</v>
      </c>
      <c r="AA265" s="2165"/>
      <c r="AB265" s="2111"/>
      <c r="AC265" s="3509"/>
      <c r="AD265" s="2111"/>
      <c r="AE265" s="2111"/>
      <c r="AF265" s="2111"/>
      <c r="AG265" s="2111"/>
      <c r="AH265" s="2111"/>
      <c r="AI265" s="2111"/>
      <c r="AJ265" s="2111"/>
      <c r="AK265" s="2111"/>
      <c r="AL265" s="2111"/>
      <c r="AM265" s="2111"/>
      <c r="AN265" s="2111"/>
      <c r="AO265" s="2111"/>
      <c r="AP265" s="2111"/>
      <c r="AQ265" s="2111"/>
      <c r="AR265" s="2111"/>
      <c r="AS265" s="2111"/>
    </row>
    <row r="266" spans="1:45" ht="66" customHeight="1" x14ac:dyDescent="0.25">
      <c r="A266" s="1442"/>
      <c r="B266" s="1406"/>
      <c r="C266" s="1410"/>
      <c r="D266" s="1406"/>
      <c r="E266" s="3547"/>
      <c r="F266" s="3548"/>
      <c r="G266" s="2118" t="s">
        <v>62</v>
      </c>
      <c r="H266" s="3265" t="s">
        <v>2389</v>
      </c>
      <c r="I266" s="2118">
        <v>1906023</v>
      </c>
      <c r="J266" s="3265" t="s">
        <v>2371</v>
      </c>
      <c r="K266" s="3558" t="s">
        <v>62</v>
      </c>
      <c r="L266" s="3559" t="s">
        <v>2390</v>
      </c>
      <c r="M266" s="3558">
        <v>190602301</v>
      </c>
      <c r="N266" s="3265" t="s">
        <v>2373</v>
      </c>
      <c r="O266" s="3541">
        <v>60</v>
      </c>
      <c r="P266" s="2057" t="s">
        <v>2391</v>
      </c>
      <c r="Q266" s="2055" t="s">
        <v>2392</v>
      </c>
      <c r="R266" s="3540">
        <f>SUM(W266:W267)/S266</f>
        <v>0.10433143778502282</v>
      </c>
      <c r="S266" s="3506">
        <f>SUM(W266:W287)</f>
        <v>13633483743.710001</v>
      </c>
      <c r="T266" s="2055" t="s">
        <v>2393</v>
      </c>
      <c r="U266" s="2056" t="s">
        <v>2394</v>
      </c>
      <c r="V266" s="2056" t="s">
        <v>2395</v>
      </c>
      <c r="W266" s="800">
        <v>1361612640</v>
      </c>
      <c r="X266" s="1525" t="s">
        <v>2396</v>
      </c>
      <c r="Y266" s="1565">
        <v>110</v>
      </c>
      <c r="Z266" s="1584" t="s">
        <v>2397</v>
      </c>
      <c r="AA266" s="2148">
        <v>292684</v>
      </c>
      <c r="AB266" s="2148">
        <v>282326</v>
      </c>
      <c r="AC266" s="3508">
        <v>135912</v>
      </c>
      <c r="AD266" s="2148">
        <v>45122</v>
      </c>
      <c r="AE266" s="2148">
        <v>365607</v>
      </c>
      <c r="AF266" s="2148">
        <v>75612</v>
      </c>
      <c r="AG266" s="2148">
        <v>2145</v>
      </c>
      <c r="AH266" s="2148">
        <v>12718</v>
      </c>
      <c r="AI266" s="2148">
        <v>26</v>
      </c>
      <c r="AJ266" s="2148">
        <v>37</v>
      </c>
      <c r="AK266" s="2148">
        <v>0</v>
      </c>
      <c r="AL266" s="2148">
        <v>0</v>
      </c>
      <c r="AM266" s="2148">
        <v>53164</v>
      </c>
      <c r="AN266" s="2148">
        <v>16982</v>
      </c>
      <c r="AO266" s="2148">
        <v>60013</v>
      </c>
      <c r="AP266" s="2148">
        <v>575010</v>
      </c>
      <c r="AQ266" s="3505">
        <v>44197</v>
      </c>
      <c r="AR266" s="3505">
        <v>44561</v>
      </c>
      <c r="AS266" s="2148" t="s">
        <v>1906</v>
      </c>
    </row>
    <row r="267" spans="1:45" ht="44.25" customHeight="1" x14ac:dyDescent="0.25">
      <c r="A267" s="1442"/>
      <c r="B267" s="1406"/>
      <c r="C267" s="1410"/>
      <c r="D267" s="1406"/>
      <c r="E267" s="3547"/>
      <c r="F267" s="3548"/>
      <c r="G267" s="2118"/>
      <c r="H267" s="3267"/>
      <c r="I267" s="2118"/>
      <c r="J267" s="3267"/>
      <c r="K267" s="3536"/>
      <c r="L267" s="3539"/>
      <c r="M267" s="3536"/>
      <c r="N267" s="3267"/>
      <c r="O267" s="3542"/>
      <c r="P267" s="2057"/>
      <c r="Q267" s="2055"/>
      <c r="R267" s="3540"/>
      <c r="S267" s="3506"/>
      <c r="T267" s="2055"/>
      <c r="U267" s="2965"/>
      <c r="V267" s="2966"/>
      <c r="W267" s="800">
        <f>115688008-54899687</f>
        <v>60788321</v>
      </c>
      <c r="X267" s="1525" t="s">
        <v>2398</v>
      </c>
      <c r="Y267" s="1565">
        <v>155</v>
      </c>
      <c r="Z267" s="1584" t="s">
        <v>2399</v>
      </c>
      <c r="AA267" s="2111"/>
      <c r="AB267" s="2111"/>
      <c r="AC267" s="3509"/>
      <c r="AD267" s="2111"/>
      <c r="AE267" s="2111"/>
      <c r="AF267" s="2111"/>
      <c r="AG267" s="2111"/>
      <c r="AH267" s="2111"/>
      <c r="AI267" s="2111"/>
      <c r="AJ267" s="2111"/>
      <c r="AK267" s="2111"/>
      <c r="AL267" s="2111"/>
      <c r="AM267" s="2111"/>
      <c r="AN267" s="2111"/>
      <c r="AO267" s="2111"/>
      <c r="AP267" s="2111"/>
      <c r="AQ267" s="2111"/>
      <c r="AR267" s="2111"/>
      <c r="AS267" s="2111"/>
    </row>
    <row r="268" spans="1:45" ht="37.5" customHeight="1" x14ac:dyDescent="0.25">
      <c r="A268" s="1442"/>
      <c r="B268" s="1406"/>
      <c r="C268" s="1410"/>
      <c r="D268" s="1406"/>
      <c r="E268" s="3547"/>
      <c r="F268" s="3548"/>
      <c r="G268" s="2118" t="s">
        <v>62</v>
      </c>
      <c r="H268" s="3319" t="s">
        <v>2400</v>
      </c>
      <c r="I268" s="2118">
        <v>1906025</v>
      </c>
      <c r="J268" s="3319" t="s">
        <v>2401</v>
      </c>
      <c r="K268" s="3534" t="s">
        <v>62</v>
      </c>
      <c r="L268" s="3537" t="s">
        <v>2402</v>
      </c>
      <c r="M268" s="3534">
        <v>190602500</v>
      </c>
      <c r="N268" s="3319" t="s">
        <v>2403</v>
      </c>
      <c r="O268" s="3543">
        <v>100</v>
      </c>
      <c r="P268" s="2057"/>
      <c r="Q268" s="2055"/>
      <c r="R268" s="3540">
        <f>SUM(W268:W277)/S266</f>
        <v>0.15655523812721253</v>
      </c>
      <c r="S268" s="3506"/>
      <c r="T268" s="2055"/>
      <c r="U268" s="2965"/>
      <c r="V268" s="2056" t="s">
        <v>2404</v>
      </c>
      <c r="W268" s="800">
        <v>400000000</v>
      </c>
      <c r="X268" s="1525" t="s">
        <v>2405</v>
      </c>
      <c r="Y268" s="1565">
        <v>35</v>
      </c>
      <c r="Z268" s="1584" t="s">
        <v>2406</v>
      </c>
      <c r="AA268" s="2111"/>
      <c r="AB268" s="2111"/>
      <c r="AC268" s="3509"/>
      <c r="AD268" s="2111"/>
      <c r="AE268" s="2111"/>
      <c r="AF268" s="2111"/>
      <c r="AG268" s="2111"/>
      <c r="AH268" s="2111"/>
      <c r="AI268" s="2111"/>
      <c r="AJ268" s="2111"/>
      <c r="AK268" s="2111"/>
      <c r="AL268" s="2111"/>
      <c r="AM268" s="2111"/>
      <c r="AN268" s="2111"/>
      <c r="AO268" s="2111"/>
      <c r="AP268" s="2111"/>
      <c r="AQ268" s="2111"/>
      <c r="AR268" s="2111"/>
      <c r="AS268" s="2111"/>
    </row>
    <row r="269" spans="1:45" ht="57" customHeight="1" x14ac:dyDescent="0.25">
      <c r="A269" s="1442"/>
      <c r="B269" s="1406"/>
      <c r="C269" s="1410"/>
      <c r="D269" s="1406"/>
      <c r="E269" s="3547"/>
      <c r="F269" s="3548"/>
      <c r="G269" s="2118"/>
      <c r="H269" s="3266"/>
      <c r="I269" s="2118"/>
      <c r="J269" s="3266"/>
      <c r="K269" s="3535"/>
      <c r="L269" s="3538"/>
      <c r="M269" s="3535"/>
      <c r="N269" s="3266"/>
      <c r="O269" s="3544"/>
      <c r="P269" s="2057"/>
      <c r="Q269" s="2055"/>
      <c r="R269" s="3540"/>
      <c r="S269" s="3506"/>
      <c r="T269" s="2055"/>
      <c r="U269" s="2965"/>
      <c r="V269" s="2965"/>
      <c r="W269" s="800">
        <f>400000000-400000000</f>
        <v>0</v>
      </c>
      <c r="X269" s="1525" t="s">
        <v>2407</v>
      </c>
      <c r="Y269" s="1565">
        <v>91</v>
      </c>
      <c r="Z269" s="1584" t="s">
        <v>2408</v>
      </c>
      <c r="AA269" s="2111"/>
      <c r="AB269" s="2111"/>
      <c r="AC269" s="3509"/>
      <c r="AD269" s="2111"/>
      <c r="AE269" s="2111"/>
      <c r="AF269" s="2111"/>
      <c r="AG269" s="2111"/>
      <c r="AH269" s="2111"/>
      <c r="AI269" s="2111"/>
      <c r="AJ269" s="2111"/>
      <c r="AK269" s="2111"/>
      <c r="AL269" s="2111"/>
      <c r="AM269" s="2111"/>
      <c r="AN269" s="2111"/>
      <c r="AO269" s="2111"/>
      <c r="AP269" s="2111"/>
      <c r="AQ269" s="2111"/>
      <c r="AR269" s="2111"/>
      <c r="AS269" s="2111"/>
    </row>
    <row r="270" spans="1:45" ht="63.75" customHeight="1" x14ac:dyDescent="0.25">
      <c r="A270" s="1442"/>
      <c r="B270" s="1406"/>
      <c r="C270" s="1410"/>
      <c r="D270" s="1406"/>
      <c r="E270" s="3547"/>
      <c r="F270" s="3548"/>
      <c r="G270" s="2118"/>
      <c r="H270" s="3266"/>
      <c r="I270" s="2118"/>
      <c r="J270" s="3266"/>
      <c r="K270" s="3535"/>
      <c r="L270" s="3538"/>
      <c r="M270" s="3535"/>
      <c r="N270" s="3266"/>
      <c r="O270" s="3544"/>
      <c r="P270" s="2057"/>
      <c r="Q270" s="2055"/>
      <c r="R270" s="3540"/>
      <c r="S270" s="3506"/>
      <c r="T270" s="2055"/>
      <c r="U270" s="2965"/>
      <c r="V270" s="2965"/>
      <c r="W270" s="800">
        <f>33937548.72-33937548.72</f>
        <v>0</v>
      </c>
      <c r="X270" s="1525" t="s">
        <v>2409</v>
      </c>
      <c r="Y270" s="1565">
        <v>191</v>
      </c>
      <c r="Z270" s="1584" t="s">
        <v>2410</v>
      </c>
      <c r="AA270" s="2111"/>
      <c r="AB270" s="2111"/>
      <c r="AC270" s="3509"/>
      <c r="AD270" s="2111"/>
      <c r="AE270" s="2111"/>
      <c r="AF270" s="2111"/>
      <c r="AG270" s="2111"/>
      <c r="AH270" s="2111"/>
      <c r="AI270" s="2111"/>
      <c r="AJ270" s="2111"/>
      <c r="AK270" s="2111"/>
      <c r="AL270" s="2111"/>
      <c r="AM270" s="2111"/>
      <c r="AN270" s="2111"/>
      <c r="AO270" s="2111"/>
      <c r="AP270" s="2111"/>
      <c r="AQ270" s="2111"/>
      <c r="AR270" s="2111"/>
      <c r="AS270" s="2111"/>
    </row>
    <row r="271" spans="1:45" ht="45.75" customHeight="1" x14ac:dyDescent="0.25">
      <c r="A271" s="1442"/>
      <c r="B271" s="1406"/>
      <c r="C271" s="1410"/>
      <c r="D271" s="1406"/>
      <c r="E271" s="3547"/>
      <c r="F271" s="3548"/>
      <c r="G271" s="2118"/>
      <c r="H271" s="3266"/>
      <c r="I271" s="2118"/>
      <c r="J271" s="3266"/>
      <c r="K271" s="3535"/>
      <c r="L271" s="3538"/>
      <c r="M271" s="3535"/>
      <c r="N271" s="3266"/>
      <c r="O271" s="3544"/>
      <c r="P271" s="2057"/>
      <c r="Q271" s="2055"/>
      <c r="R271" s="3540"/>
      <c r="S271" s="3506"/>
      <c r="T271" s="2055"/>
      <c r="U271" s="2965"/>
      <c r="V271" s="2965"/>
      <c r="W271" s="800">
        <f>3434211.2-3434211.2</f>
        <v>0</v>
      </c>
      <c r="X271" s="1525" t="s">
        <v>2411</v>
      </c>
      <c r="Y271" s="1565">
        <v>97</v>
      </c>
      <c r="Z271" s="1584" t="s">
        <v>2412</v>
      </c>
      <c r="AA271" s="2111"/>
      <c r="AB271" s="2111"/>
      <c r="AC271" s="3509"/>
      <c r="AD271" s="2111"/>
      <c r="AE271" s="2111"/>
      <c r="AF271" s="2111"/>
      <c r="AG271" s="2111"/>
      <c r="AH271" s="2111"/>
      <c r="AI271" s="2111"/>
      <c r="AJ271" s="2111"/>
      <c r="AK271" s="2111"/>
      <c r="AL271" s="2111"/>
      <c r="AM271" s="2111"/>
      <c r="AN271" s="2111"/>
      <c r="AO271" s="2111"/>
      <c r="AP271" s="2111"/>
      <c r="AQ271" s="2111"/>
      <c r="AR271" s="2111"/>
      <c r="AS271" s="2111"/>
    </row>
    <row r="272" spans="1:45" ht="49.5" customHeight="1" x14ac:dyDescent="0.25">
      <c r="A272" s="1442"/>
      <c r="B272" s="1406"/>
      <c r="C272" s="1410"/>
      <c r="D272" s="1406"/>
      <c r="E272" s="3547"/>
      <c r="F272" s="3548"/>
      <c r="G272" s="2118"/>
      <c r="H272" s="3266"/>
      <c r="I272" s="2118"/>
      <c r="J272" s="3266"/>
      <c r="K272" s="3535"/>
      <c r="L272" s="3538"/>
      <c r="M272" s="3535"/>
      <c r="N272" s="3266"/>
      <c r="O272" s="3544"/>
      <c r="P272" s="2057"/>
      <c r="Q272" s="2055"/>
      <c r="R272" s="3540"/>
      <c r="S272" s="3506"/>
      <c r="T272" s="2055"/>
      <c r="U272" s="2965"/>
      <c r="V272" s="2965"/>
      <c r="W272" s="800">
        <f>3039348.21-3039348.21</f>
        <v>0</v>
      </c>
      <c r="X272" s="1525" t="s">
        <v>2413</v>
      </c>
      <c r="Y272" s="1565">
        <v>192</v>
      </c>
      <c r="Z272" s="1584" t="s">
        <v>2414</v>
      </c>
      <c r="AA272" s="2111"/>
      <c r="AB272" s="2111"/>
      <c r="AC272" s="3509"/>
      <c r="AD272" s="2111"/>
      <c r="AE272" s="2111"/>
      <c r="AF272" s="2111"/>
      <c r="AG272" s="2111"/>
      <c r="AH272" s="2111"/>
      <c r="AI272" s="2111"/>
      <c r="AJ272" s="2111"/>
      <c r="AK272" s="2111"/>
      <c r="AL272" s="2111"/>
      <c r="AM272" s="2111"/>
      <c r="AN272" s="2111"/>
      <c r="AO272" s="2111"/>
      <c r="AP272" s="2111"/>
      <c r="AQ272" s="2111"/>
      <c r="AR272" s="2111"/>
      <c r="AS272" s="2111"/>
    </row>
    <row r="273" spans="1:45" ht="67.5" customHeight="1" x14ac:dyDescent="0.25">
      <c r="A273" s="1442"/>
      <c r="B273" s="1406"/>
      <c r="C273" s="1410"/>
      <c r="D273" s="1406"/>
      <c r="E273" s="3547"/>
      <c r="F273" s="3548"/>
      <c r="G273" s="2118"/>
      <c r="H273" s="3266"/>
      <c r="I273" s="2118"/>
      <c r="J273" s="3266"/>
      <c r="K273" s="3535"/>
      <c r="L273" s="3538"/>
      <c r="M273" s="3535"/>
      <c r="N273" s="3266"/>
      <c r="O273" s="3544"/>
      <c r="P273" s="2057"/>
      <c r="Q273" s="2055"/>
      <c r="R273" s="3540"/>
      <c r="S273" s="3506"/>
      <c r="T273" s="2055"/>
      <c r="U273" s="2965"/>
      <c r="V273" s="2965"/>
      <c r="W273" s="800">
        <f>1216600524.1-1216600524.1</f>
        <v>0</v>
      </c>
      <c r="X273" s="1525" t="s">
        <v>2415</v>
      </c>
      <c r="Y273" s="1565">
        <v>193</v>
      </c>
      <c r="Z273" s="1584" t="s">
        <v>2416</v>
      </c>
      <c r="AA273" s="2111"/>
      <c r="AB273" s="2111"/>
      <c r="AC273" s="3509"/>
      <c r="AD273" s="2111"/>
      <c r="AE273" s="2111"/>
      <c r="AF273" s="2111"/>
      <c r="AG273" s="2111"/>
      <c r="AH273" s="2111"/>
      <c r="AI273" s="2111"/>
      <c r="AJ273" s="2111"/>
      <c r="AK273" s="2111"/>
      <c r="AL273" s="2111"/>
      <c r="AM273" s="2111"/>
      <c r="AN273" s="2111"/>
      <c r="AO273" s="2111"/>
      <c r="AP273" s="2111"/>
      <c r="AQ273" s="2111"/>
      <c r="AR273" s="2111"/>
      <c r="AS273" s="2111"/>
    </row>
    <row r="274" spans="1:45" ht="53.25" customHeight="1" x14ac:dyDescent="0.25">
      <c r="A274" s="1442"/>
      <c r="B274" s="1406"/>
      <c r="C274" s="1410"/>
      <c r="D274" s="1406"/>
      <c r="E274" s="3547"/>
      <c r="F274" s="3548"/>
      <c r="G274" s="2118"/>
      <c r="H274" s="3266"/>
      <c r="I274" s="2118"/>
      <c r="J274" s="3266"/>
      <c r="K274" s="3535"/>
      <c r="L274" s="3538"/>
      <c r="M274" s="3535"/>
      <c r="N274" s="3266"/>
      <c r="O274" s="3544"/>
      <c r="P274" s="2057"/>
      <c r="Q274" s="2055"/>
      <c r="R274" s="3540"/>
      <c r="S274" s="3506"/>
      <c r="T274" s="2055"/>
      <c r="U274" s="2965"/>
      <c r="V274" s="2965"/>
      <c r="W274" s="800">
        <f>22221326.62-22221326.62</f>
        <v>0</v>
      </c>
      <c r="X274" s="1525" t="s">
        <v>2417</v>
      </c>
      <c r="Y274" s="1565">
        <v>194</v>
      </c>
      <c r="Z274" s="1584" t="s">
        <v>2418</v>
      </c>
      <c r="AA274" s="2111"/>
      <c r="AB274" s="2111"/>
      <c r="AC274" s="3509"/>
      <c r="AD274" s="2111"/>
      <c r="AE274" s="2111"/>
      <c r="AF274" s="2111"/>
      <c r="AG274" s="2111"/>
      <c r="AH274" s="2111"/>
      <c r="AI274" s="2111"/>
      <c r="AJ274" s="2111"/>
      <c r="AK274" s="2111"/>
      <c r="AL274" s="2111"/>
      <c r="AM274" s="2111"/>
      <c r="AN274" s="2111"/>
      <c r="AO274" s="2111"/>
      <c r="AP274" s="2111"/>
      <c r="AQ274" s="2111"/>
      <c r="AR274" s="2111"/>
      <c r="AS274" s="2111"/>
    </row>
    <row r="275" spans="1:45" ht="51.75" customHeight="1" x14ac:dyDescent="0.25">
      <c r="A275" s="1442"/>
      <c r="B275" s="1406"/>
      <c r="C275" s="1410"/>
      <c r="D275" s="1406"/>
      <c r="E275" s="3547"/>
      <c r="F275" s="3548"/>
      <c r="G275" s="2118"/>
      <c r="H275" s="3266"/>
      <c r="I275" s="2118"/>
      <c r="J275" s="3266"/>
      <c r="K275" s="3535"/>
      <c r="L275" s="3538"/>
      <c r="M275" s="3535"/>
      <c r="N275" s="3266"/>
      <c r="O275" s="3544"/>
      <c r="P275" s="2057"/>
      <c r="Q275" s="2055"/>
      <c r="R275" s="3540"/>
      <c r="S275" s="3506"/>
      <c r="T275" s="2055"/>
      <c r="U275" s="2965"/>
      <c r="V275" s="2965"/>
      <c r="W275" s="800">
        <f>712647104.86-712647104.86</f>
        <v>0</v>
      </c>
      <c r="X275" s="1525" t="s">
        <v>2419</v>
      </c>
      <c r="Y275" s="1565">
        <v>96</v>
      </c>
      <c r="Z275" s="1584" t="s">
        <v>2420</v>
      </c>
      <c r="AA275" s="2111"/>
      <c r="AB275" s="2111"/>
      <c r="AC275" s="3509"/>
      <c r="AD275" s="2111"/>
      <c r="AE275" s="2111"/>
      <c r="AF275" s="2111"/>
      <c r="AG275" s="2111"/>
      <c r="AH275" s="2111"/>
      <c r="AI275" s="2111"/>
      <c r="AJ275" s="2111"/>
      <c r="AK275" s="2111"/>
      <c r="AL275" s="2111"/>
      <c r="AM275" s="2111"/>
      <c r="AN275" s="2111"/>
      <c r="AO275" s="2111"/>
      <c r="AP275" s="2111"/>
      <c r="AQ275" s="2111"/>
      <c r="AR275" s="2111"/>
      <c r="AS275" s="2111"/>
    </row>
    <row r="276" spans="1:45" ht="38.25" customHeight="1" x14ac:dyDescent="0.25">
      <c r="A276" s="1442"/>
      <c r="B276" s="1406"/>
      <c r="C276" s="1410"/>
      <c r="D276" s="1406"/>
      <c r="E276" s="3547"/>
      <c r="F276" s="3548"/>
      <c r="G276" s="2118"/>
      <c r="H276" s="3266"/>
      <c r="I276" s="2118"/>
      <c r="J276" s="3266"/>
      <c r="K276" s="3535"/>
      <c r="L276" s="3538"/>
      <c r="M276" s="3535"/>
      <c r="N276" s="3266"/>
      <c r="O276" s="3544"/>
      <c r="P276" s="2057"/>
      <c r="Q276" s="2055"/>
      <c r="R276" s="3540"/>
      <c r="S276" s="3506"/>
      <c r="T276" s="2055"/>
      <c r="U276" s="2965"/>
      <c r="V276" s="2965"/>
      <c r="W276" s="800">
        <f>2224028029-489634735</f>
        <v>1734393294</v>
      </c>
      <c r="X276" s="1525" t="s">
        <v>2421</v>
      </c>
      <c r="Y276" s="1565">
        <v>171</v>
      </c>
      <c r="Z276" s="1397" t="s">
        <v>2422</v>
      </c>
      <c r="AA276" s="2111"/>
      <c r="AB276" s="2111"/>
      <c r="AC276" s="3509"/>
      <c r="AD276" s="2111"/>
      <c r="AE276" s="2111"/>
      <c r="AF276" s="2111"/>
      <c r="AG276" s="2111"/>
      <c r="AH276" s="2111"/>
      <c r="AI276" s="2111"/>
      <c r="AJ276" s="2111"/>
      <c r="AK276" s="2111"/>
      <c r="AL276" s="2111"/>
      <c r="AM276" s="2111"/>
      <c r="AN276" s="2111"/>
      <c r="AO276" s="2111"/>
      <c r="AP276" s="2111"/>
      <c r="AQ276" s="2111"/>
      <c r="AR276" s="2111"/>
      <c r="AS276" s="2111"/>
    </row>
    <row r="277" spans="1:45" ht="36.75" customHeight="1" x14ac:dyDescent="0.25">
      <c r="A277" s="1442"/>
      <c r="B277" s="1406"/>
      <c r="C277" s="1410"/>
      <c r="D277" s="1406"/>
      <c r="E277" s="3547"/>
      <c r="F277" s="3548"/>
      <c r="G277" s="2118"/>
      <c r="H277" s="3267"/>
      <c r="I277" s="2118"/>
      <c r="J277" s="3267"/>
      <c r="K277" s="3536"/>
      <c r="L277" s="3539"/>
      <c r="M277" s="3536"/>
      <c r="N277" s="3267"/>
      <c r="O277" s="3542"/>
      <c r="P277" s="2057"/>
      <c r="Q277" s="2055"/>
      <c r="R277" s="3540"/>
      <c r="S277" s="3506"/>
      <c r="T277" s="2055"/>
      <c r="U277" s="2965"/>
      <c r="V277" s="2966"/>
      <c r="W277" s="800">
        <f>2224028029-2224028029</f>
        <v>0</v>
      </c>
      <c r="X277" s="1525" t="s">
        <v>2423</v>
      </c>
      <c r="Y277" s="1565">
        <v>171</v>
      </c>
      <c r="Z277" s="1397" t="s">
        <v>2422</v>
      </c>
      <c r="AA277" s="2111"/>
      <c r="AB277" s="2111"/>
      <c r="AC277" s="3509"/>
      <c r="AD277" s="2111"/>
      <c r="AE277" s="2111"/>
      <c r="AF277" s="2111"/>
      <c r="AG277" s="2111"/>
      <c r="AH277" s="2111"/>
      <c r="AI277" s="2111"/>
      <c r="AJ277" s="2111"/>
      <c r="AK277" s="2111"/>
      <c r="AL277" s="2111"/>
      <c r="AM277" s="2111"/>
      <c r="AN277" s="2111"/>
      <c r="AO277" s="2111"/>
      <c r="AP277" s="2111"/>
      <c r="AQ277" s="2111"/>
      <c r="AR277" s="2111"/>
      <c r="AS277" s="2111"/>
    </row>
    <row r="278" spans="1:45" ht="36.75" customHeight="1" x14ac:dyDescent="0.25">
      <c r="A278" s="1442"/>
      <c r="B278" s="1406"/>
      <c r="C278" s="1410"/>
      <c r="D278" s="1406"/>
      <c r="E278" s="3547"/>
      <c r="F278" s="3548"/>
      <c r="G278" s="2148" t="s">
        <v>62</v>
      </c>
      <c r="H278" s="3525" t="s">
        <v>2424</v>
      </c>
      <c r="I278" s="3526">
        <v>1906025</v>
      </c>
      <c r="J278" s="3525" t="s">
        <v>2401</v>
      </c>
      <c r="K278" s="3529" t="s">
        <v>62</v>
      </c>
      <c r="L278" s="3531" t="s">
        <v>2425</v>
      </c>
      <c r="M278" s="3529">
        <v>190602500</v>
      </c>
      <c r="N278" s="2103" t="s">
        <v>2403</v>
      </c>
      <c r="O278" s="3517">
        <v>100</v>
      </c>
      <c r="P278" s="2058"/>
      <c r="Q278" s="2055"/>
      <c r="R278" s="2869">
        <f>SUM(W278:W287)/S266</f>
        <v>0.73911332408776453</v>
      </c>
      <c r="S278" s="3506"/>
      <c r="T278" s="2055"/>
      <c r="U278" s="2965"/>
      <c r="V278" s="2056" t="s">
        <v>2426</v>
      </c>
      <c r="W278" s="800">
        <v>616192836</v>
      </c>
      <c r="X278" s="1525" t="s">
        <v>2427</v>
      </c>
      <c r="Y278" s="1565">
        <v>58</v>
      </c>
      <c r="Z278" s="1584" t="s">
        <v>2428</v>
      </c>
      <c r="AA278" s="2111"/>
      <c r="AB278" s="2111"/>
      <c r="AC278" s="3509"/>
      <c r="AD278" s="2111"/>
      <c r="AE278" s="2111"/>
      <c r="AF278" s="2111"/>
      <c r="AG278" s="2111"/>
      <c r="AH278" s="2111"/>
      <c r="AI278" s="2111"/>
      <c r="AJ278" s="2111"/>
      <c r="AK278" s="2111"/>
      <c r="AL278" s="2111"/>
      <c r="AM278" s="2111"/>
      <c r="AN278" s="2111"/>
      <c r="AO278" s="2111"/>
      <c r="AP278" s="2111"/>
      <c r="AQ278" s="2111"/>
      <c r="AR278" s="2111"/>
      <c r="AS278" s="2111"/>
    </row>
    <row r="279" spans="1:45" ht="36.75" customHeight="1" x14ac:dyDescent="0.25">
      <c r="A279" s="1442"/>
      <c r="B279" s="1406"/>
      <c r="C279" s="1410"/>
      <c r="D279" s="1406"/>
      <c r="E279" s="3547"/>
      <c r="F279" s="3548"/>
      <c r="G279" s="2111"/>
      <c r="H279" s="3292"/>
      <c r="I279" s="3527"/>
      <c r="J279" s="3292"/>
      <c r="K279" s="3511"/>
      <c r="L279" s="3532"/>
      <c r="M279" s="3511"/>
      <c r="N279" s="2104"/>
      <c r="O279" s="3518"/>
      <c r="P279" s="2058"/>
      <c r="Q279" s="2055"/>
      <c r="R279" s="2870"/>
      <c r="S279" s="3506"/>
      <c r="T279" s="2055"/>
      <c r="U279" s="2965"/>
      <c r="V279" s="2965"/>
      <c r="W279" s="800">
        <v>3068616589</v>
      </c>
      <c r="X279" s="1525" t="s">
        <v>2429</v>
      </c>
      <c r="Y279" s="1565">
        <v>58</v>
      </c>
      <c r="Z279" s="1584" t="s">
        <v>2428</v>
      </c>
      <c r="AA279" s="2111"/>
      <c r="AB279" s="2111"/>
      <c r="AC279" s="3509"/>
      <c r="AD279" s="2111"/>
      <c r="AE279" s="2111"/>
      <c r="AF279" s="2111"/>
      <c r="AG279" s="2111"/>
      <c r="AH279" s="2111"/>
      <c r="AI279" s="2111"/>
      <c r="AJ279" s="2111"/>
      <c r="AK279" s="2111"/>
      <c r="AL279" s="2111"/>
      <c r="AM279" s="2111"/>
      <c r="AN279" s="2111"/>
      <c r="AO279" s="2111"/>
      <c r="AP279" s="2111"/>
      <c r="AQ279" s="2111"/>
      <c r="AR279" s="2111"/>
      <c r="AS279" s="2111"/>
    </row>
    <row r="280" spans="1:45" ht="36.75" customHeight="1" x14ac:dyDescent="0.25">
      <c r="A280" s="1442"/>
      <c r="B280" s="1406"/>
      <c r="C280" s="1410"/>
      <c r="D280" s="1406"/>
      <c r="E280" s="3547"/>
      <c r="F280" s="3548"/>
      <c r="G280" s="2111"/>
      <c r="H280" s="3292"/>
      <c r="I280" s="3527"/>
      <c r="J280" s="3292"/>
      <c r="K280" s="3511"/>
      <c r="L280" s="3532"/>
      <c r="M280" s="3511"/>
      <c r="N280" s="2104"/>
      <c r="O280" s="3518"/>
      <c r="P280" s="2058"/>
      <c r="Q280" s="2055"/>
      <c r="R280" s="2870"/>
      <c r="S280" s="3506"/>
      <c r="T280" s="2055"/>
      <c r="U280" s="2965"/>
      <c r="V280" s="2965"/>
      <c r="W280" s="800">
        <v>400000000</v>
      </c>
      <c r="X280" s="1525" t="s">
        <v>2430</v>
      </c>
      <c r="Y280" s="1565">
        <v>91</v>
      </c>
      <c r="Z280" s="1584" t="s">
        <v>2408</v>
      </c>
      <c r="AA280" s="2111"/>
      <c r="AB280" s="2111"/>
      <c r="AC280" s="3509"/>
      <c r="AD280" s="2111"/>
      <c r="AE280" s="2111"/>
      <c r="AF280" s="2111"/>
      <c r="AG280" s="2111"/>
      <c r="AH280" s="2111"/>
      <c r="AI280" s="2111"/>
      <c r="AJ280" s="2111"/>
      <c r="AK280" s="2111"/>
      <c r="AL280" s="2111"/>
      <c r="AM280" s="2111"/>
      <c r="AN280" s="2111"/>
      <c r="AO280" s="2111"/>
      <c r="AP280" s="2111"/>
      <c r="AQ280" s="2111"/>
      <c r="AR280" s="2111"/>
      <c r="AS280" s="2111"/>
    </row>
    <row r="281" spans="1:45" ht="36.75" customHeight="1" x14ac:dyDescent="0.25">
      <c r="A281" s="1442"/>
      <c r="B281" s="1406"/>
      <c r="C281" s="1410"/>
      <c r="D281" s="1406"/>
      <c r="E281" s="3547"/>
      <c r="F281" s="3548"/>
      <c r="G281" s="2111"/>
      <c r="H281" s="3292"/>
      <c r="I281" s="3527"/>
      <c r="J281" s="3292"/>
      <c r="K281" s="3511"/>
      <c r="L281" s="3532"/>
      <c r="M281" s="3511"/>
      <c r="N281" s="2104"/>
      <c r="O281" s="3518"/>
      <c r="P281" s="2058"/>
      <c r="Q281" s="2055"/>
      <c r="R281" s="2870"/>
      <c r="S281" s="3506"/>
      <c r="T281" s="2055"/>
      <c r="U281" s="2965"/>
      <c r="V281" s="2965"/>
      <c r="W281" s="800">
        <v>33937548.719999999</v>
      </c>
      <c r="X281" s="1525" t="s">
        <v>2431</v>
      </c>
      <c r="Y281" s="1565">
        <v>191</v>
      </c>
      <c r="Z281" s="1584" t="s">
        <v>2410</v>
      </c>
      <c r="AA281" s="2111"/>
      <c r="AB281" s="2111"/>
      <c r="AC281" s="3509"/>
      <c r="AD281" s="2111"/>
      <c r="AE281" s="2111"/>
      <c r="AF281" s="2111"/>
      <c r="AG281" s="2111"/>
      <c r="AH281" s="2111"/>
      <c r="AI281" s="2111"/>
      <c r="AJ281" s="2111"/>
      <c r="AK281" s="2111"/>
      <c r="AL281" s="2111"/>
      <c r="AM281" s="2111"/>
      <c r="AN281" s="2111"/>
      <c r="AO281" s="2111"/>
      <c r="AP281" s="2111"/>
      <c r="AQ281" s="2111"/>
      <c r="AR281" s="2111"/>
      <c r="AS281" s="2111"/>
    </row>
    <row r="282" spans="1:45" ht="36.75" customHeight="1" x14ac:dyDescent="0.25">
      <c r="A282" s="1442"/>
      <c r="B282" s="1406"/>
      <c r="C282" s="1410"/>
      <c r="D282" s="1406"/>
      <c r="E282" s="3547"/>
      <c r="F282" s="3548"/>
      <c r="G282" s="2111"/>
      <c r="H282" s="3292"/>
      <c r="I282" s="3527"/>
      <c r="J282" s="3292"/>
      <c r="K282" s="3511"/>
      <c r="L282" s="3532"/>
      <c r="M282" s="3511"/>
      <c r="N282" s="2104"/>
      <c r="O282" s="3518"/>
      <c r="P282" s="2058"/>
      <c r="Q282" s="2055"/>
      <c r="R282" s="2870"/>
      <c r="S282" s="3506"/>
      <c r="T282" s="2055"/>
      <c r="U282" s="2965"/>
      <c r="V282" s="2965"/>
      <c r="W282" s="800">
        <v>3434211.2</v>
      </c>
      <c r="X282" s="1525" t="s">
        <v>2432</v>
      </c>
      <c r="Y282" s="1565">
        <v>97</v>
      </c>
      <c r="Z282" s="1584" t="s">
        <v>2412</v>
      </c>
      <c r="AA282" s="2111"/>
      <c r="AB282" s="2111"/>
      <c r="AC282" s="3509"/>
      <c r="AD282" s="2111"/>
      <c r="AE282" s="2111"/>
      <c r="AF282" s="2111"/>
      <c r="AG282" s="2111"/>
      <c r="AH282" s="2111"/>
      <c r="AI282" s="2111"/>
      <c r="AJ282" s="2111"/>
      <c r="AK282" s="2111"/>
      <c r="AL282" s="2111"/>
      <c r="AM282" s="2111"/>
      <c r="AN282" s="2111"/>
      <c r="AO282" s="2111"/>
      <c r="AP282" s="2111"/>
      <c r="AQ282" s="2111"/>
      <c r="AR282" s="2111"/>
      <c r="AS282" s="2111"/>
    </row>
    <row r="283" spans="1:45" ht="36.75" customHeight="1" x14ac:dyDescent="0.25">
      <c r="A283" s="1442"/>
      <c r="B283" s="1406"/>
      <c r="C283" s="1410"/>
      <c r="D283" s="1406"/>
      <c r="E283" s="3547"/>
      <c r="F283" s="3548"/>
      <c r="G283" s="2111"/>
      <c r="H283" s="3292"/>
      <c r="I283" s="3527"/>
      <c r="J283" s="3292"/>
      <c r="K283" s="3511"/>
      <c r="L283" s="3532"/>
      <c r="M283" s="3511"/>
      <c r="N283" s="2104"/>
      <c r="O283" s="3518"/>
      <c r="P283" s="2058"/>
      <c r="Q283" s="2055"/>
      <c r="R283" s="2870"/>
      <c r="S283" s="3506"/>
      <c r="T283" s="2055"/>
      <c r="U283" s="2965"/>
      <c r="V283" s="2965"/>
      <c r="W283" s="800">
        <v>3039348.21</v>
      </c>
      <c r="X283" s="1525" t="s">
        <v>2433</v>
      </c>
      <c r="Y283" s="1565">
        <v>192</v>
      </c>
      <c r="Z283" s="1584" t="s">
        <v>2414</v>
      </c>
      <c r="AA283" s="2111"/>
      <c r="AB283" s="2111"/>
      <c r="AC283" s="3509"/>
      <c r="AD283" s="2111"/>
      <c r="AE283" s="2111"/>
      <c r="AF283" s="2111"/>
      <c r="AG283" s="2111"/>
      <c r="AH283" s="2111"/>
      <c r="AI283" s="2111"/>
      <c r="AJ283" s="2111"/>
      <c r="AK283" s="2111"/>
      <c r="AL283" s="2111"/>
      <c r="AM283" s="2111"/>
      <c r="AN283" s="2111"/>
      <c r="AO283" s="2111"/>
      <c r="AP283" s="2111"/>
      <c r="AQ283" s="2111"/>
      <c r="AR283" s="2111"/>
      <c r="AS283" s="2111"/>
    </row>
    <row r="284" spans="1:45" ht="36.75" customHeight="1" x14ac:dyDescent="0.25">
      <c r="A284" s="1442"/>
      <c r="B284" s="1406"/>
      <c r="C284" s="1410"/>
      <c r="D284" s="1406"/>
      <c r="E284" s="3547"/>
      <c r="F284" s="3548"/>
      <c r="G284" s="2111"/>
      <c r="H284" s="3292"/>
      <c r="I284" s="3527"/>
      <c r="J284" s="3292"/>
      <c r="K284" s="3511"/>
      <c r="L284" s="3532"/>
      <c r="M284" s="3511"/>
      <c r="N284" s="2104"/>
      <c r="O284" s="3518"/>
      <c r="P284" s="2058"/>
      <c r="Q284" s="2055"/>
      <c r="R284" s="2870"/>
      <c r="S284" s="3506"/>
      <c r="T284" s="2055"/>
      <c r="U284" s="2965"/>
      <c r="V284" s="2965"/>
      <c r="W284" s="800">
        <v>1216600524.0999999</v>
      </c>
      <c r="X284" s="1525" t="s">
        <v>2434</v>
      </c>
      <c r="Y284" s="1565">
        <v>193</v>
      </c>
      <c r="Z284" s="1584" t="s">
        <v>2416</v>
      </c>
      <c r="AA284" s="2111"/>
      <c r="AB284" s="2111"/>
      <c r="AC284" s="3509"/>
      <c r="AD284" s="2111"/>
      <c r="AE284" s="2111"/>
      <c r="AF284" s="2111"/>
      <c r="AG284" s="2111"/>
      <c r="AH284" s="2111"/>
      <c r="AI284" s="2111"/>
      <c r="AJ284" s="2111"/>
      <c r="AK284" s="2111"/>
      <c r="AL284" s="2111"/>
      <c r="AM284" s="2111"/>
      <c r="AN284" s="2111"/>
      <c r="AO284" s="2111"/>
      <c r="AP284" s="2111"/>
      <c r="AQ284" s="2111"/>
      <c r="AR284" s="2111"/>
      <c r="AS284" s="2111"/>
    </row>
    <row r="285" spans="1:45" ht="36.75" customHeight="1" x14ac:dyDescent="0.25">
      <c r="A285" s="1442"/>
      <c r="B285" s="1406"/>
      <c r="C285" s="1410"/>
      <c r="D285" s="1406"/>
      <c r="E285" s="3547"/>
      <c r="F285" s="3548"/>
      <c r="G285" s="2111"/>
      <c r="H285" s="3292"/>
      <c r="I285" s="3527"/>
      <c r="J285" s="3292"/>
      <c r="K285" s="3511"/>
      <c r="L285" s="3532"/>
      <c r="M285" s="3511"/>
      <c r="N285" s="2104"/>
      <c r="O285" s="3518"/>
      <c r="P285" s="2058"/>
      <c r="Q285" s="2055"/>
      <c r="R285" s="2870"/>
      <c r="S285" s="3506"/>
      <c r="T285" s="2055"/>
      <c r="U285" s="2965"/>
      <c r="V285" s="2965"/>
      <c r="W285" s="800">
        <v>22221326.620000001</v>
      </c>
      <c r="X285" s="1525" t="s">
        <v>2435</v>
      </c>
      <c r="Y285" s="1565">
        <v>194</v>
      </c>
      <c r="Z285" s="1584" t="s">
        <v>2418</v>
      </c>
      <c r="AA285" s="2111"/>
      <c r="AB285" s="2111"/>
      <c r="AC285" s="3509"/>
      <c r="AD285" s="2111"/>
      <c r="AE285" s="2111"/>
      <c r="AF285" s="2111"/>
      <c r="AG285" s="2111"/>
      <c r="AH285" s="2111"/>
      <c r="AI285" s="2111"/>
      <c r="AJ285" s="2111"/>
      <c r="AK285" s="2111"/>
      <c r="AL285" s="2111"/>
      <c r="AM285" s="2111"/>
      <c r="AN285" s="2111"/>
      <c r="AO285" s="2111"/>
      <c r="AP285" s="2111"/>
      <c r="AQ285" s="2111"/>
      <c r="AR285" s="2111"/>
      <c r="AS285" s="2111"/>
    </row>
    <row r="286" spans="1:45" ht="36.75" customHeight="1" x14ac:dyDescent="0.25">
      <c r="A286" s="1442"/>
      <c r="B286" s="1406"/>
      <c r="C286" s="1410"/>
      <c r="D286" s="1406"/>
      <c r="E286" s="3547"/>
      <c r="F286" s="3548"/>
      <c r="G286" s="2111"/>
      <c r="H286" s="3292"/>
      <c r="I286" s="3527"/>
      <c r="J286" s="3292"/>
      <c r="K286" s="3511"/>
      <c r="L286" s="3532"/>
      <c r="M286" s="3511"/>
      <c r="N286" s="2104"/>
      <c r="O286" s="3518"/>
      <c r="P286" s="2058"/>
      <c r="Q286" s="2055"/>
      <c r="R286" s="2870"/>
      <c r="S286" s="3506"/>
      <c r="T286" s="2055"/>
      <c r="U286" s="2965"/>
      <c r="V286" s="2965"/>
      <c r="W286" s="800">
        <v>712647104.86000001</v>
      </c>
      <c r="X286" s="1525" t="s">
        <v>2436</v>
      </c>
      <c r="Y286" s="1565">
        <v>96</v>
      </c>
      <c r="Z286" s="1584" t="s">
        <v>2420</v>
      </c>
      <c r="AA286" s="2111"/>
      <c r="AB286" s="2111"/>
      <c r="AC286" s="3509"/>
      <c r="AD286" s="2111"/>
      <c r="AE286" s="2111"/>
      <c r="AF286" s="2111"/>
      <c r="AG286" s="2111"/>
      <c r="AH286" s="2111"/>
      <c r="AI286" s="2111"/>
      <c r="AJ286" s="2111"/>
      <c r="AK286" s="2111"/>
      <c r="AL286" s="2111"/>
      <c r="AM286" s="2111"/>
      <c r="AN286" s="2111"/>
      <c r="AO286" s="2111"/>
      <c r="AP286" s="2111"/>
      <c r="AQ286" s="2111"/>
      <c r="AR286" s="2111"/>
      <c r="AS286" s="2111"/>
    </row>
    <row r="287" spans="1:45" ht="59.25" customHeight="1" x14ac:dyDescent="0.25">
      <c r="A287" s="1442"/>
      <c r="B287" s="1406"/>
      <c r="C287" s="1410"/>
      <c r="D287" s="1406"/>
      <c r="E287" s="3547"/>
      <c r="F287" s="3548"/>
      <c r="G287" s="2165"/>
      <c r="H287" s="3293"/>
      <c r="I287" s="3528"/>
      <c r="J287" s="3293"/>
      <c r="K287" s="3530"/>
      <c r="L287" s="3533"/>
      <c r="M287" s="3530"/>
      <c r="N287" s="3516"/>
      <c r="O287" s="3519"/>
      <c r="P287" s="2058"/>
      <c r="Q287" s="2055"/>
      <c r="R287" s="2871"/>
      <c r="S287" s="3506"/>
      <c r="T287" s="2055"/>
      <c r="U287" s="2966"/>
      <c r="V287" s="2966"/>
      <c r="W287" s="800">
        <v>4000000000</v>
      </c>
      <c r="X287" s="1525" t="s">
        <v>2437</v>
      </c>
      <c r="Y287" s="1565">
        <v>88</v>
      </c>
      <c r="Z287" s="1398" t="s">
        <v>2290</v>
      </c>
      <c r="AA287" s="2165"/>
      <c r="AB287" s="2111"/>
      <c r="AC287" s="3509"/>
      <c r="AD287" s="2111"/>
      <c r="AE287" s="2111"/>
      <c r="AF287" s="2111"/>
      <c r="AG287" s="2111"/>
      <c r="AH287" s="2111"/>
      <c r="AI287" s="2111"/>
      <c r="AJ287" s="2111"/>
      <c r="AK287" s="2111"/>
      <c r="AL287" s="2111"/>
      <c r="AM287" s="2111"/>
      <c r="AN287" s="2111"/>
      <c r="AO287" s="2111"/>
      <c r="AP287" s="2111"/>
      <c r="AQ287" s="2111"/>
      <c r="AR287" s="2111"/>
      <c r="AS287" s="2111"/>
    </row>
    <row r="288" spans="1:45" s="80" customFormat="1" ht="53.25" customHeight="1" x14ac:dyDescent="0.25">
      <c r="A288" s="1585"/>
      <c r="B288" s="1428"/>
      <c r="C288" s="1427"/>
      <c r="D288" s="1428"/>
      <c r="E288" s="3547"/>
      <c r="F288" s="3548"/>
      <c r="G288" s="3520">
        <v>1906029</v>
      </c>
      <c r="H288" s="3273" t="s">
        <v>2438</v>
      </c>
      <c r="I288" s="3520">
        <v>1906029</v>
      </c>
      <c r="J288" s="3273" t="s">
        <v>2438</v>
      </c>
      <c r="K288" s="3510">
        <v>190602900</v>
      </c>
      <c r="L288" s="3522" t="s">
        <v>2439</v>
      </c>
      <c r="M288" s="3510">
        <v>190602900</v>
      </c>
      <c r="N288" s="3513" t="s">
        <v>2439</v>
      </c>
      <c r="O288" s="3514">
        <v>40</v>
      </c>
      <c r="P288" s="2058" t="s">
        <v>2440</v>
      </c>
      <c r="Q288" s="2055" t="s">
        <v>2441</v>
      </c>
      <c r="R288" s="3515">
        <f>SUM(W288:W295)/S288</f>
        <v>0.92063144724658397</v>
      </c>
      <c r="S288" s="3506">
        <f>SUM(W288:W299)</f>
        <v>1007955887.12</v>
      </c>
      <c r="T288" s="2055" t="s">
        <v>2442</v>
      </c>
      <c r="U288" s="2056" t="s">
        <v>2443</v>
      </c>
      <c r="V288" s="1418" t="s">
        <v>2444</v>
      </c>
      <c r="W288" s="800">
        <v>25390000</v>
      </c>
      <c r="X288" s="1447" t="s">
        <v>2445</v>
      </c>
      <c r="Y288" s="1586">
        <v>20</v>
      </c>
      <c r="Z288" s="1587" t="s">
        <v>77</v>
      </c>
      <c r="AA288" s="2148">
        <v>292684</v>
      </c>
      <c r="AB288" s="2148">
        <v>282326</v>
      </c>
      <c r="AC288" s="3508">
        <v>135912</v>
      </c>
      <c r="AD288" s="2148">
        <v>45122</v>
      </c>
      <c r="AE288" s="2148">
        <v>365607</v>
      </c>
      <c r="AF288" s="2148">
        <v>86875</v>
      </c>
      <c r="AG288" s="2148">
        <v>2145</v>
      </c>
      <c r="AH288" s="2148">
        <v>12718</v>
      </c>
      <c r="AI288" s="2148">
        <v>26</v>
      </c>
      <c r="AJ288" s="2148">
        <v>37</v>
      </c>
      <c r="AK288" s="2148">
        <v>0</v>
      </c>
      <c r="AL288" s="2148">
        <v>0</v>
      </c>
      <c r="AM288" s="2148">
        <v>53164</v>
      </c>
      <c r="AN288" s="2148">
        <v>16982</v>
      </c>
      <c r="AO288" s="2148">
        <v>60013</v>
      </c>
      <c r="AP288" s="2148">
        <v>575010</v>
      </c>
      <c r="AQ288" s="3505">
        <v>44197</v>
      </c>
      <c r="AR288" s="3505">
        <v>44561</v>
      </c>
      <c r="AS288" s="2148" t="s">
        <v>1906</v>
      </c>
    </row>
    <row r="289" spans="1:45" ht="84" customHeight="1" x14ac:dyDescent="0.25">
      <c r="A289" s="1442"/>
      <c r="B289" s="1406"/>
      <c r="C289" s="1410"/>
      <c r="D289" s="1406"/>
      <c r="E289" s="3547"/>
      <c r="F289" s="3548"/>
      <c r="G289" s="3181"/>
      <c r="H289" s="2709"/>
      <c r="I289" s="3181"/>
      <c r="J289" s="2709"/>
      <c r="K289" s="3511"/>
      <c r="L289" s="3523"/>
      <c r="M289" s="3511"/>
      <c r="N289" s="2274"/>
      <c r="O289" s="3514"/>
      <c r="P289" s="2169"/>
      <c r="Q289" s="2055"/>
      <c r="R289" s="3515"/>
      <c r="S289" s="3506"/>
      <c r="T289" s="2055"/>
      <c r="U289" s="2965"/>
      <c r="V289" s="1395" t="s">
        <v>2446</v>
      </c>
      <c r="W289" s="800">
        <v>20000000</v>
      </c>
      <c r="X289" s="1525" t="s">
        <v>2445</v>
      </c>
      <c r="Y289" s="1571">
        <v>20</v>
      </c>
      <c r="Z289" s="1584" t="s">
        <v>77</v>
      </c>
      <c r="AA289" s="2111"/>
      <c r="AB289" s="2111"/>
      <c r="AC289" s="3509"/>
      <c r="AD289" s="2111"/>
      <c r="AE289" s="2111"/>
      <c r="AF289" s="2111"/>
      <c r="AG289" s="2111"/>
      <c r="AH289" s="2111"/>
      <c r="AI289" s="2111"/>
      <c r="AJ289" s="2111"/>
      <c r="AK289" s="2111"/>
      <c r="AL289" s="2111"/>
      <c r="AM289" s="2111"/>
      <c r="AN289" s="2111"/>
      <c r="AO289" s="2111"/>
      <c r="AP289" s="2111"/>
      <c r="AQ289" s="2111"/>
      <c r="AR289" s="2111"/>
      <c r="AS289" s="2111"/>
    </row>
    <row r="290" spans="1:45" ht="93" customHeight="1" x14ac:dyDescent="0.25">
      <c r="A290" s="1442"/>
      <c r="B290" s="1406"/>
      <c r="C290" s="1410"/>
      <c r="D290" s="1406"/>
      <c r="E290" s="3547"/>
      <c r="F290" s="3548"/>
      <c r="G290" s="3181"/>
      <c r="H290" s="2709"/>
      <c r="I290" s="3181"/>
      <c r="J290" s="2709"/>
      <c r="K290" s="3511"/>
      <c r="L290" s="3523"/>
      <c r="M290" s="3511"/>
      <c r="N290" s="2274"/>
      <c r="O290" s="3514"/>
      <c r="P290" s="2169"/>
      <c r="Q290" s="2055"/>
      <c r="R290" s="3515"/>
      <c r="S290" s="3506"/>
      <c r="T290" s="2055"/>
      <c r="U290" s="2965"/>
      <c r="V290" s="1395" t="s">
        <v>2447</v>
      </c>
      <c r="W290" s="800">
        <v>20000000</v>
      </c>
      <c r="X290" s="1525" t="s">
        <v>2445</v>
      </c>
      <c r="Y290" s="1571">
        <v>20</v>
      </c>
      <c r="Z290" s="1584" t="s">
        <v>77</v>
      </c>
      <c r="AA290" s="2111"/>
      <c r="AB290" s="2111"/>
      <c r="AC290" s="3509"/>
      <c r="AD290" s="2111"/>
      <c r="AE290" s="2111"/>
      <c r="AF290" s="2111"/>
      <c r="AG290" s="2111"/>
      <c r="AH290" s="2111"/>
      <c r="AI290" s="2111"/>
      <c r="AJ290" s="2111"/>
      <c r="AK290" s="2111"/>
      <c r="AL290" s="2111"/>
      <c r="AM290" s="2111"/>
      <c r="AN290" s="2111"/>
      <c r="AO290" s="2111"/>
      <c r="AP290" s="2111"/>
      <c r="AQ290" s="2111"/>
      <c r="AR290" s="2111"/>
      <c r="AS290" s="2111"/>
    </row>
    <row r="291" spans="1:45" ht="85.5" customHeight="1" x14ac:dyDescent="0.25">
      <c r="A291" s="1442"/>
      <c r="B291" s="1406"/>
      <c r="C291" s="1410"/>
      <c r="D291" s="1406"/>
      <c r="E291" s="3547"/>
      <c r="F291" s="3548"/>
      <c r="G291" s="3181"/>
      <c r="H291" s="2709"/>
      <c r="I291" s="3181"/>
      <c r="J291" s="2709"/>
      <c r="K291" s="3511"/>
      <c r="L291" s="3523"/>
      <c r="M291" s="3511"/>
      <c r="N291" s="2274"/>
      <c r="O291" s="3514"/>
      <c r="P291" s="2169"/>
      <c r="Q291" s="2055"/>
      <c r="R291" s="3515"/>
      <c r="S291" s="3506"/>
      <c r="T291" s="2055"/>
      <c r="U291" s="2965"/>
      <c r="V291" s="1395" t="s">
        <v>2448</v>
      </c>
      <c r="W291" s="800">
        <v>20000000</v>
      </c>
      <c r="X291" s="1525" t="s">
        <v>2445</v>
      </c>
      <c r="Y291" s="1571">
        <v>20</v>
      </c>
      <c r="Z291" s="1584" t="s">
        <v>77</v>
      </c>
      <c r="AA291" s="2111"/>
      <c r="AB291" s="2111"/>
      <c r="AC291" s="3509"/>
      <c r="AD291" s="2111"/>
      <c r="AE291" s="2111"/>
      <c r="AF291" s="2111"/>
      <c r="AG291" s="2111"/>
      <c r="AH291" s="2111"/>
      <c r="AI291" s="2111"/>
      <c r="AJ291" s="2111"/>
      <c r="AK291" s="2111"/>
      <c r="AL291" s="2111"/>
      <c r="AM291" s="2111"/>
      <c r="AN291" s="2111"/>
      <c r="AO291" s="2111"/>
      <c r="AP291" s="2111"/>
      <c r="AQ291" s="2111"/>
      <c r="AR291" s="2111"/>
      <c r="AS291" s="2111"/>
    </row>
    <row r="292" spans="1:45" ht="69.75" customHeight="1" x14ac:dyDescent="0.25">
      <c r="A292" s="1442"/>
      <c r="B292" s="1406"/>
      <c r="C292" s="1410"/>
      <c r="D292" s="1406"/>
      <c r="E292" s="3547"/>
      <c r="F292" s="3548"/>
      <c r="G292" s="3181"/>
      <c r="H292" s="2709"/>
      <c r="I292" s="3181"/>
      <c r="J292" s="2709"/>
      <c r="K292" s="3511"/>
      <c r="L292" s="3523"/>
      <c r="M292" s="3511"/>
      <c r="N292" s="2274"/>
      <c r="O292" s="3514"/>
      <c r="P292" s="2169"/>
      <c r="Q292" s="2055"/>
      <c r="R292" s="3515"/>
      <c r="S292" s="3506"/>
      <c r="T292" s="2055"/>
      <c r="U292" s="2965"/>
      <c r="V292" s="1395" t="s">
        <v>2449</v>
      </c>
      <c r="W292" s="800">
        <v>15000000</v>
      </c>
      <c r="X292" s="1525" t="s">
        <v>2445</v>
      </c>
      <c r="Y292" s="1571">
        <v>20</v>
      </c>
      <c r="Z292" s="1584" t="s">
        <v>77</v>
      </c>
      <c r="AA292" s="2111"/>
      <c r="AB292" s="2111"/>
      <c r="AC292" s="3509"/>
      <c r="AD292" s="2111"/>
      <c r="AE292" s="2111"/>
      <c r="AF292" s="2111"/>
      <c r="AG292" s="2111"/>
      <c r="AH292" s="2111"/>
      <c r="AI292" s="2111"/>
      <c r="AJ292" s="2111"/>
      <c r="AK292" s="2111"/>
      <c r="AL292" s="2111"/>
      <c r="AM292" s="2111"/>
      <c r="AN292" s="2111"/>
      <c r="AO292" s="2111"/>
      <c r="AP292" s="2111"/>
      <c r="AQ292" s="2111"/>
      <c r="AR292" s="2111"/>
      <c r="AS292" s="2111"/>
    </row>
    <row r="293" spans="1:45" ht="69.75" customHeight="1" x14ac:dyDescent="0.25">
      <c r="A293" s="1442"/>
      <c r="B293" s="1406"/>
      <c r="C293" s="1410"/>
      <c r="D293" s="1406"/>
      <c r="E293" s="3547"/>
      <c r="F293" s="3548"/>
      <c r="G293" s="3181"/>
      <c r="H293" s="2709"/>
      <c r="I293" s="3181"/>
      <c r="J293" s="2709"/>
      <c r="K293" s="3511"/>
      <c r="L293" s="3523"/>
      <c r="M293" s="3511"/>
      <c r="N293" s="2274"/>
      <c r="O293" s="3514"/>
      <c r="P293" s="2169"/>
      <c r="Q293" s="2055"/>
      <c r="R293" s="3515"/>
      <c r="S293" s="3506"/>
      <c r="T293" s="2055"/>
      <c r="U293" s="2965"/>
      <c r="V293" s="2056" t="s">
        <v>2450</v>
      </c>
      <c r="W293" s="1557">
        <v>50000000</v>
      </c>
      <c r="X293" s="1525" t="s">
        <v>2445</v>
      </c>
      <c r="Y293" s="1571">
        <v>20</v>
      </c>
      <c r="Z293" s="1584" t="s">
        <v>77</v>
      </c>
      <c r="AA293" s="2111"/>
      <c r="AB293" s="2111"/>
      <c r="AC293" s="3509"/>
      <c r="AD293" s="2111"/>
      <c r="AE293" s="2111"/>
      <c r="AF293" s="2111"/>
      <c r="AG293" s="2111"/>
      <c r="AH293" s="2111"/>
      <c r="AI293" s="2111"/>
      <c r="AJ293" s="2111"/>
      <c r="AK293" s="2111"/>
      <c r="AL293" s="2111"/>
      <c r="AM293" s="2111"/>
      <c r="AN293" s="2111"/>
      <c r="AO293" s="2111"/>
      <c r="AP293" s="2111"/>
      <c r="AQ293" s="2111"/>
      <c r="AR293" s="2111"/>
      <c r="AS293" s="2111"/>
    </row>
    <row r="294" spans="1:45" ht="69.75" customHeight="1" x14ac:dyDescent="0.25">
      <c r="A294" s="1442"/>
      <c r="B294" s="1406"/>
      <c r="C294" s="1410"/>
      <c r="D294" s="1406"/>
      <c r="E294" s="3547"/>
      <c r="F294" s="3548"/>
      <c r="G294" s="3181"/>
      <c r="H294" s="2709"/>
      <c r="I294" s="3181"/>
      <c r="J294" s="2709"/>
      <c r="K294" s="3511"/>
      <c r="L294" s="3523"/>
      <c r="M294" s="3511"/>
      <c r="N294" s="2274"/>
      <c r="O294" s="3514"/>
      <c r="P294" s="2169"/>
      <c r="Q294" s="2055"/>
      <c r="R294" s="3515"/>
      <c r="S294" s="3506"/>
      <c r="T294" s="2055"/>
      <c r="U294" s="2965"/>
      <c r="V294" s="2965"/>
      <c r="W294" s="1557">
        <v>468599154.12</v>
      </c>
      <c r="X294" s="1525" t="s">
        <v>2451</v>
      </c>
      <c r="Y294" s="1571">
        <v>198</v>
      </c>
      <c r="Z294" s="1584" t="s">
        <v>2452</v>
      </c>
      <c r="AA294" s="2111"/>
      <c r="AB294" s="2111"/>
      <c r="AC294" s="3509"/>
      <c r="AD294" s="2111"/>
      <c r="AE294" s="2111"/>
      <c r="AF294" s="2111"/>
      <c r="AG294" s="2111"/>
      <c r="AH294" s="2111"/>
      <c r="AI294" s="2111"/>
      <c r="AJ294" s="2111"/>
      <c r="AK294" s="2111"/>
      <c r="AL294" s="2111"/>
      <c r="AM294" s="2111"/>
      <c r="AN294" s="2111"/>
      <c r="AO294" s="2111"/>
      <c r="AP294" s="2111"/>
      <c r="AQ294" s="2111"/>
      <c r="AR294" s="2111"/>
      <c r="AS294" s="2111"/>
    </row>
    <row r="295" spans="1:45" s="1588" customFormat="1" ht="69" customHeight="1" x14ac:dyDescent="0.25">
      <c r="A295" s="1442"/>
      <c r="B295" s="1406"/>
      <c r="C295" s="1410"/>
      <c r="D295" s="1406"/>
      <c r="E295" s="3547"/>
      <c r="F295" s="3548"/>
      <c r="G295" s="3521"/>
      <c r="H295" s="2710"/>
      <c r="I295" s="3521"/>
      <c r="J295" s="2710"/>
      <c r="K295" s="3512"/>
      <c r="L295" s="3524"/>
      <c r="M295" s="3512"/>
      <c r="N295" s="2250"/>
      <c r="O295" s="3514"/>
      <c r="P295" s="2169"/>
      <c r="Q295" s="2055"/>
      <c r="R295" s="3515"/>
      <c r="S295" s="3506"/>
      <c r="T295" s="2055"/>
      <c r="U295" s="2965"/>
      <c r="V295" s="2966"/>
      <c r="W295" s="1557">
        <v>308966733</v>
      </c>
      <c r="X295" s="1525" t="s">
        <v>2453</v>
      </c>
      <c r="Y295" s="1571">
        <v>180</v>
      </c>
      <c r="Z295" s="1584" t="s">
        <v>2454</v>
      </c>
      <c r="AA295" s="2111"/>
      <c r="AB295" s="2111"/>
      <c r="AC295" s="3509"/>
      <c r="AD295" s="2111"/>
      <c r="AE295" s="2111"/>
      <c r="AF295" s="2111"/>
      <c r="AG295" s="2111"/>
      <c r="AH295" s="2111"/>
      <c r="AI295" s="2111"/>
      <c r="AJ295" s="2111"/>
      <c r="AK295" s="2111"/>
      <c r="AL295" s="2111"/>
      <c r="AM295" s="2111"/>
      <c r="AN295" s="2111"/>
      <c r="AO295" s="2111"/>
      <c r="AP295" s="2111"/>
      <c r="AQ295" s="2111"/>
      <c r="AR295" s="2111"/>
      <c r="AS295" s="2111"/>
    </row>
    <row r="296" spans="1:45" ht="153.75" customHeight="1" x14ac:dyDescent="0.25">
      <c r="A296" s="1442"/>
      <c r="B296" s="1406"/>
      <c r="C296" s="1410"/>
      <c r="D296" s="1406"/>
      <c r="E296" s="3547"/>
      <c r="F296" s="3548"/>
      <c r="G296" s="1413">
        <v>1906032</v>
      </c>
      <c r="H296" s="1435" t="s">
        <v>2363</v>
      </c>
      <c r="I296" s="1413">
        <v>1906032</v>
      </c>
      <c r="J296" s="1435" t="s">
        <v>2363</v>
      </c>
      <c r="K296" s="1276">
        <v>190603200</v>
      </c>
      <c r="L296" s="1589" t="s">
        <v>2364</v>
      </c>
      <c r="M296" s="1276">
        <v>190603200</v>
      </c>
      <c r="N296" s="1435" t="s">
        <v>2364</v>
      </c>
      <c r="O296" s="1590">
        <v>1500</v>
      </c>
      <c r="P296" s="2169"/>
      <c r="Q296" s="2055"/>
      <c r="R296" s="1553">
        <f>W296/S288</f>
        <v>1.9842138188354015E-2</v>
      </c>
      <c r="S296" s="3506"/>
      <c r="T296" s="2055"/>
      <c r="U296" s="2966"/>
      <c r="V296" s="1395" t="s">
        <v>2455</v>
      </c>
      <c r="W296" s="1557">
        <v>20000000</v>
      </c>
      <c r="X296" s="1525" t="s">
        <v>2456</v>
      </c>
      <c r="Y296" s="1571">
        <v>20</v>
      </c>
      <c r="Z296" s="1584" t="s">
        <v>77</v>
      </c>
      <c r="AA296" s="2111"/>
      <c r="AB296" s="2111"/>
      <c r="AC296" s="3509"/>
      <c r="AD296" s="2111"/>
      <c r="AE296" s="2111"/>
      <c r="AF296" s="2111"/>
      <c r="AG296" s="2111"/>
      <c r="AH296" s="2111"/>
      <c r="AI296" s="2111"/>
      <c r="AJ296" s="2111"/>
      <c r="AK296" s="2111"/>
      <c r="AL296" s="2111"/>
      <c r="AM296" s="2111"/>
      <c r="AN296" s="2111"/>
      <c r="AO296" s="2111"/>
      <c r="AP296" s="2111"/>
      <c r="AQ296" s="2111"/>
      <c r="AR296" s="2111"/>
      <c r="AS296" s="2111"/>
    </row>
    <row r="297" spans="1:45" ht="84" customHeight="1" x14ac:dyDescent="0.25">
      <c r="A297" s="1442"/>
      <c r="B297" s="1406"/>
      <c r="C297" s="1410"/>
      <c r="D297" s="1406"/>
      <c r="E297" s="3547"/>
      <c r="F297" s="3548"/>
      <c r="G297" s="1413">
        <v>1906005</v>
      </c>
      <c r="H297" s="1435" t="s">
        <v>2457</v>
      </c>
      <c r="I297" s="1413">
        <v>1906005</v>
      </c>
      <c r="J297" s="1435" t="s">
        <v>2457</v>
      </c>
      <c r="K297" s="1276">
        <v>190600500</v>
      </c>
      <c r="L297" s="1591" t="s">
        <v>2457</v>
      </c>
      <c r="M297" s="1276">
        <v>190600500</v>
      </c>
      <c r="N297" s="1592" t="s">
        <v>2457</v>
      </c>
      <c r="O297" s="1433">
        <v>2</v>
      </c>
      <c r="P297" s="2169"/>
      <c r="Q297" s="2055"/>
      <c r="R297" s="1553">
        <f>W297/S288</f>
        <v>1.9842138188354015E-2</v>
      </c>
      <c r="S297" s="3506"/>
      <c r="T297" s="2055"/>
      <c r="U297" s="2056" t="s">
        <v>2458</v>
      </c>
      <c r="V297" s="1395" t="s">
        <v>2459</v>
      </c>
      <c r="W297" s="1557">
        <v>20000000</v>
      </c>
      <c r="X297" s="1525" t="s">
        <v>2460</v>
      </c>
      <c r="Y297" s="1571">
        <v>20</v>
      </c>
      <c r="Z297" s="1584" t="s">
        <v>77</v>
      </c>
      <c r="AA297" s="2111"/>
      <c r="AB297" s="2111"/>
      <c r="AC297" s="3509"/>
      <c r="AD297" s="2111"/>
      <c r="AE297" s="2111"/>
      <c r="AF297" s="2111"/>
      <c r="AG297" s="2111"/>
      <c r="AH297" s="2111"/>
      <c r="AI297" s="2111"/>
      <c r="AJ297" s="2111"/>
      <c r="AK297" s="2111"/>
      <c r="AL297" s="2111"/>
      <c r="AM297" s="2111"/>
      <c r="AN297" s="2111"/>
      <c r="AO297" s="2111"/>
      <c r="AP297" s="2111"/>
      <c r="AQ297" s="2111"/>
      <c r="AR297" s="2111"/>
      <c r="AS297" s="2111"/>
    </row>
    <row r="298" spans="1:45" ht="88.5" customHeight="1" x14ac:dyDescent="0.25">
      <c r="A298" s="1442"/>
      <c r="B298" s="1406"/>
      <c r="C298" s="1410"/>
      <c r="D298" s="1406"/>
      <c r="E298" s="3547"/>
      <c r="F298" s="3548"/>
      <c r="G298" s="1446">
        <v>1906022</v>
      </c>
      <c r="H298" s="1445" t="s">
        <v>2461</v>
      </c>
      <c r="I298" s="1446">
        <v>1906022</v>
      </c>
      <c r="J298" s="1445" t="s">
        <v>2461</v>
      </c>
      <c r="K298" s="1529">
        <v>190602200</v>
      </c>
      <c r="L298" s="1593" t="s">
        <v>2462</v>
      </c>
      <c r="M298" s="1529">
        <v>190602200</v>
      </c>
      <c r="N298" s="1405" t="s">
        <v>2462</v>
      </c>
      <c r="O298" s="1594">
        <v>1</v>
      </c>
      <c r="P298" s="2169"/>
      <c r="Q298" s="2055"/>
      <c r="R298" s="1553">
        <f>W298/S288</f>
        <v>1.9842138188354015E-2</v>
      </c>
      <c r="S298" s="3506"/>
      <c r="T298" s="2055"/>
      <c r="U298" s="2965"/>
      <c r="V298" s="1395" t="s">
        <v>2463</v>
      </c>
      <c r="W298" s="1557">
        <v>20000000</v>
      </c>
      <c r="X298" s="1525" t="s">
        <v>2464</v>
      </c>
      <c r="Y298" s="1571">
        <v>20</v>
      </c>
      <c r="Z298" s="1584" t="s">
        <v>77</v>
      </c>
      <c r="AA298" s="2111"/>
      <c r="AB298" s="2111"/>
      <c r="AC298" s="3509"/>
      <c r="AD298" s="2111"/>
      <c r="AE298" s="2111"/>
      <c r="AF298" s="2111"/>
      <c r="AG298" s="2111"/>
      <c r="AH298" s="2111"/>
      <c r="AI298" s="2111"/>
      <c r="AJ298" s="2111"/>
      <c r="AK298" s="2111"/>
      <c r="AL298" s="2111"/>
      <c r="AM298" s="2111"/>
      <c r="AN298" s="2111"/>
      <c r="AO298" s="2111"/>
      <c r="AP298" s="2111"/>
      <c r="AQ298" s="2111"/>
      <c r="AR298" s="2111"/>
      <c r="AS298" s="2111"/>
    </row>
    <row r="299" spans="1:45" ht="85.5" customHeight="1" x14ac:dyDescent="0.25">
      <c r="A299" s="1442"/>
      <c r="B299" s="1406"/>
      <c r="C299" s="1410"/>
      <c r="D299" s="1406"/>
      <c r="E299" s="2333"/>
      <c r="F299" s="2123"/>
      <c r="G299" s="1451" t="s">
        <v>62</v>
      </c>
      <c r="H299" s="1411" t="s">
        <v>2389</v>
      </c>
      <c r="I299" s="1451">
        <v>1906023</v>
      </c>
      <c r="J299" s="1404" t="s">
        <v>2389</v>
      </c>
      <c r="K299" s="1595" t="s">
        <v>62</v>
      </c>
      <c r="L299" s="1596" t="s">
        <v>2465</v>
      </c>
      <c r="M299" s="1595">
        <v>190602301</v>
      </c>
      <c r="N299" s="1444" t="s">
        <v>2466</v>
      </c>
      <c r="O299" s="1246">
        <v>40</v>
      </c>
      <c r="P299" s="2169"/>
      <c r="Q299" s="2056"/>
      <c r="R299" s="1597">
        <f>W299/S288</f>
        <v>1.9842138188354015E-2</v>
      </c>
      <c r="S299" s="3507"/>
      <c r="T299" s="2056"/>
      <c r="U299" s="2965"/>
      <c r="V299" s="1396" t="s">
        <v>2467</v>
      </c>
      <c r="W299" s="1537">
        <v>20000000</v>
      </c>
      <c r="X299" s="1564" t="s">
        <v>2468</v>
      </c>
      <c r="Y299" s="1598">
        <v>20</v>
      </c>
      <c r="Z299" s="1599" t="s">
        <v>77</v>
      </c>
      <c r="AA299" s="2111"/>
      <c r="AB299" s="2111"/>
      <c r="AC299" s="3509"/>
      <c r="AD299" s="2111"/>
      <c r="AE299" s="2111"/>
      <c r="AF299" s="2111"/>
      <c r="AG299" s="2111"/>
      <c r="AH299" s="2111"/>
      <c r="AI299" s="2111"/>
      <c r="AJ299" s="2111"/>
      <c r="AK299" s="2111"/>
      <c r="AL299" s="2111"/>
      <c r="AM299" s="2111"/>
      <c r="AN299" s="2111"/>
      <c r="AO299" s="2111"/>
      <c r="AP299" s="2111"/>
      <c r="AQ299" s="2111"/>
      <c r="AR299" s="2111"/>
      <c r="AS299" s="2111"/>
    </row>
    <row r="300" spans="1:45" ht="27" customHeight="1" x14ac:dyDescent="0.25">
      <c r="A300" s="1429"/>
      <c r="B300" s="676"/>
      <c r="C300" s="676"/>
      <c r="D300" s="676"/>
      <c r="E300" s="676"/>
      <c r="F300" s="676"/>
      <c r="G300" s="676"/>
      <c r="H300" s="1600"/>
      <c r="I300" s="676"/>
      <c r="J300" s="1601"/>
      <c r="K300" s="1430"/>
      <c r="L300" s="1601"/>
      <c r="M300" s="676"/>
      <c r="N300" s="1600"/>
      <c r="O300" s="676"/>
      <c r="P300" s="676"/>
      <c r="Q300" s="1600"/>
      <c r="R300" s="1602"/>
      <c r="S300" s="1603">
        <f>SUM(S9:S299)</f>
        <v>54459863533.529999</v>
      </c>
      <c r="T300" s="676"/>
      <c r="U300" s="676"/>
      <c r="V300" s="1604" t="s">
        <v>113</v>
      </c>
      <c r="W300" s="550">
        <f>SUM(W9:W299)</f>
        <v>54459863533.529999</v>
      </c>
      <c r="X300" s="1605"/>
      <c r="Y300" s="1430"/>
      <c r="Z300" s="676"/>
      <c r="AA300" s="1606"/>
      <c r="AB300" s="1606"/>
      <c r="AC300" s="1607"/>
      <c r="AD300" s="1606"/>
      <c r="AE300" s="1606"/>
      <c r="AF300" s="1606"/>
      <c r="AG300" s="1606"/>
      <c r="AH300" s="1606"/>
      <c r="AI300" s="1606"/>
      <c r="AJ300" s="1606"/>
      <c r="AK300" s="1606"/>
      <c r="AL300" s="1606"/>
      <c r="AM300" s="1606"/>
      <c r="AN300" s="1606"/>
      <c r="AO300" s="1606"/>
      <c r="AP300" s="1606"/>
      <c r="AQ300" s="1606"/>
      <c r="AR300" s="1606"/>
      <c r="AS300" s="1608"/>
    </row>
  </sheetData>
  <sheetProtection algorithmName="SHA-512" hashValue="V7m39fEp82+vsgzy2OILQ8+1m4/cJhf9RKUMVfmcFO35069SSfkp+HteW55Z5oGy2X9YOuzvVt/qQyTWpf5jAw==" saltValue="Nyc5GufxI68R4jUMfS01tw==" spinCount="100000" sheet="1" objects="1" scenarios="1"/>
  <mergeCells count="1086">
    <mergeCell ref="A1:AQ4"/>
    <mergeCell ref="A5:O6"/>
    <mergeCell ref="AA6:AO6"/>
    <mergeCell ref="A7:B7"/>
    <mergeCell ref="C7:D7"/>
    <mergeCell ref="E7:F7"/>
    <mergeCell ref="G7:J7"/>
    <mergeCell ref="K7:N7"/>
    <mergeCell ref="O7:W7"/>
    <mergeCell ref="X7:Z7"/>
    <mergeCell ref="AA12:AA45"/>
    <mergeCell ref="R15:R17"/>
    <mergeCell ref="K12:K14"/>
    <mergeCell ref="L12:L14"/>
    <mergeCell ref="M12:M14"/>
    <mergeCell ref="N12:N14"/>
    <mergeCell ref="O12:O14"/>
    <mergeCell ref="P12:P45"/>
    <mergeCell ref="M15:M17"/>
    <mergeCell ref="N15:N17"/>
    <mergeCell ref="O15:O17"/>
    <mergeCell ref="M18:M20"/>
    <mergeCell ref="AF12:AF45"/>
    <mergeCell ref="AG12:AG45"/>
    <mergeCell ref="N18:N20"/>
    <mergeCell ref="O18:O20"/>
    <mergeCell ref="R18:R20"/>
    <mergeCell ref="G21:G24"/>
    <mergeCell ref="AR7:AR8"/>
    <mergeCell ref="AS7:AS8"/>
    <mergeCell ref="B9:G9"/>
    <mergeCell ref="D10:I10"/>
    <mergeCell ref="A11:B96"/>
    <mergeCell ref="F11:S11"/>
    <mergeCell ref="G12:G14"/>
    <mergeCell ref="H12:H14"/>
    <mergeCell ref="I12:I14"/>
    <mergeCell ref="J12:J14"/>
    <mergeCell ref="AA7:AB7"/>
    <mergeCell ref="AC7:AF7"/>
    <mergeCell ref="AG7:AL7"/>
    <mergeCell ref="AM7:AO7"/>
    <mergeCell ref="AP7:AP8"/>
    <mergeCell ref="AQ7:AQ8"/>
    <mergeCell ref="AN12:AN45"/>
    <mergeCell ref="AO12:AO45"/>
    <mergeCell ref="AP12:AP45"/>
    <mergeCell ref="AQ12:AQ45"/>
    <mergeCell ref="AR12:AR45"/>
    <mergeCell ref="AS12:AS45"/>
    <mergeCell ref="AH12:AH45"/>
    <mergeCell ref="AI12:AI45"/>
    <mergeCell ref="AJ12:AJ45"/>
    <mergeCell ref="AK12:AK45"/>
    <mergeCell ref="AL12:AL45"/>
    <mergeCell ref="AM12:AM45"/>
    <mergeCell ref="J21:J24"/>
    <mergeCell ref="K21:K24"/>
    <mergeCell ref="AD12:AD45"/>
    <mergeCell ref="AE12:AE45"/>
    <mergeCell ref="G25:G41"/>
    <mergeCell ref="H25:H41"/>
    <mergeCell ref="I25:I41"/>
    <mergeCell ref="J25:J41"/>
    <mergeCell ref="K25:K41"/>
    <mergeCell ref="L25:L41"/>
    <mergeCell ref="M25:M41"/>
    <mergeCell ref="S12:S45"/>
    <mergeCell ref="T12:T45"/>
    <mergeCell ref="U12:U24"/>
    <mergeCell ref="M44:M45"/>
    <mergeCell ref="N44:N45"/>
    <mergeCell ref="O44:O45"/>
    <mergeCell ref="R44:R45"/>
    <mergeCell ref="L21:L24"/>
    <mergeCell ref="M21:M24"/>
    <mergeCell ref="G18:G20"/>
    <mergeCell ref="H18:H20"/>
    <mergeCell ref="I18:I20"/>
    <mergeCell ref="J18:J20"/>
    <mergeCell ref="K18:K20"/>
    <mergeCell ref="L18:L20"/>
    <mergeCell ref="G15:G17"/>
    <mergeCell ref="H15:H17"/>
    <mergeCell ref="I15:I17"/>
    <mergeCell ref="J15:J17"/>
    <mergeCell ref="K15:K17"/>
    <mergeCell ref="H21:H24"/>
    <mergeCell ref="I21:I24"/>
    <mergeCell ref="R12:R14"/>
    <mergeCell ref="U25:U45"/>
    <mergeCell ref="L15:L17"/>
    <mergeCell ref="Q12:Q45"/>
    <mergeCell ref="G44:G45"/>
    <mergeCell ref="H44:H45"/>
    <mergeCell ref="I44:I45"/>
    <mergeCell ref="J44:J45"/>
    <mergeCell ref="K44:K45"/>
    <mergeCell ref="L44:L45"/>
    <mergeCell ref="N25:N41"/>
    <mergeCell ref="O25:O41"/>
    <mergeCell ref="R25:R41"/>
    <mergeCell ref="AR46:AR62"/>
    <mergeCell ref="AS46:AS62"/>
    <mergeCell ref="G50:G62"/>
    <mergeCell ref="H50:H62"/>
    <mergeCell ref="I50:I62"/>
    <mergeCell ref="J50:J62"/>
    <mergeCell ref="K50:K62"/>
    <mergeCell ref="L50:L62"/>
    <mergeCell ref="AJ46:AJ62"/>
    <mergeCell ref="AK46:AK62"/>
    <mergeCell ref="AL46:AL62"/>
    <mergeCell ref="AM46:AM62"/>
    <mergeCell ref="AN46:AN62"/>
    <mergeCell ref="AO46:AO62"/>
    <mergeCell ref="AD46:AD62"/>
    <mergeCell ref="AE46:AE62"/>
    <mergeCell ref="AF46:AF62"/>
    <mergeCell ref="V27:V28"/>
    <mergeCell ref="V29:V30"/>
    <mergeCell ref="V32:V33"/>
    <mergeCell ref="V34:V35"/>
    <mergeCell ref="AQ46:AQ62"/>
    <mergeCell ref="R46:R49"/>
    <mergeCell ref="M50:M62"/>
    <mergeCell ref="N50:N62"/>
    <mergeCell ref="O50:O62"/>
    <mergeCell ref="R50:R62"/>
    <mergeCell ref="V36:V38"/>
    <mergeCell ref="V40:V41"/>
    <mergeCell ref="U50:U62"/>
    <mergeCell ref="M46:M49"/>
    <mergeCell ref="N46:N49"/>
    <mergeCell ref="O46:O49"/>
    <mergeCell ref="P46:P62"/>
    <mergeCell ref="Q46:Q62"/>
    <mergeCell ref="N63:N74"/>
    <mergeCell ref="O63:O74"/>
    <mergeCell ref="P63:P79"/>
    <mergeCell ref="Q63:Q79"/>
    <mergeCell ref="R63:R74"/>
    <mergeCell ref="M75:M77"/>
    <mergeCell ref="N75:N77"/>
    <mergeCell ref="O75:O77"/>
    <mergeCell ref="R75:R77"/>
    <mergeCell ref="AB12:AB45"/>
    <mergeCell ref="AC12:AC45"/>
    <mergeCell ref="N21:N24"/>
    <mergeCell ref="O21:O24"/>
    <mergeCell ref="R21:R24"/>
    <mergeCell ref="G75:G77"/>
    <mergeCell ref="H75:H77"/>
    <mergeCell ref="I75:I77"/>
    <mergeCell ref="J75:J77"/>
    <mergeCell ref="K75:K77"/>
    <mergeCell ref="L75:L77"/>
    <mergeCell ref="AO63:AO79"/>
    <mergeCell ref="AP63:AP79"/>
    <mergeCell ref="AQ63:AQ79"/>
    <mergeCell ref="M63:M74"/>
    <mergeCell ref="AG46:AG62"/>
    <mergeCell ref="AH46:AH62"/>
    <mergeCell ref="AI46:AI62"/>
    <mergeCell ref="S46:S62"/>
    <mergeCell ref="T46:T62"/>
    <mergeCell ref="U46:U49"/>
    <mergeCell ref="AA46:AA62"/>
    <mergeCell ref="AB46:AB62"/>
    <mergeCell ref="AC46:AC62"/>
    <mergeCell ref="G46:G49"/>
    <mergeCell ref="H46:H49"/>
    <mergeCell ref="I46:I49"/>
    <mergeCell ref="J46:J49"/>
    <mergeCell ref="K46:K49"/>
    <mergeCell ref="L46:L49"/>
    <mergeCell ref="G63:G74"/>
    <mergeCell ref="H63:H74"/>
    <mergeCell ref="I63:I74"/>
    <mergeCell ref="J63:J74"/>
    <mergeCell ref="K63:K74"/>
    <mergeCell ref="L63:L74"/>
    <mergeCell ref="AP46:AP62"/>
    <mergeCell ref="AR63:AR79"/>
    <mergeCell ref="AS63:AS79"/>
    <mergeCell ref="V65:V68"/>
    <mergeCell ref="V69:V71"/>
    <mergeCell ref="AI63:AI79"/>
    <mergeCell ref="AJ63:AJ79"/>
    <mergeCell ref="AK63:AK79"/>
    <mergeCell ref="AL63:AL79"/>
    <mergeCell ref="AM63:AM79"/>
    <mergeCell ref="AN63:AN79"/>
    <mergeCell ref="AC63:AC79"/>
    <mergeCell ref="AD63:AD79"/>
    <mergeCell ref="AE63:AE79"/>
    <mergeCell ref="AF63:AF79"/>
    <mergeCell ref="AG63:AG79"/>
    <mergeCell ref="AH63:AH79"/>
    <mergeCell ref="S63:S79"/>
    <mergeCell ref="T63:T79"/>
    <mergeCell ref="U63:U79"/>
    <mergeCell ref="V63:V64"/>
    <mergeCell ref="AA63:AA79"/>
    <mergeCell ref="AB63:AB79"/>
    <mergeCell ref="M80:M82"/>
    <mergeCell ref="N80:N82"/>
    <mergeCell ref="O80:O82"/>
    <mergeCell ref="P80:P82"/>
    <mergeCell ref="Q80:Q82"/>
    <mergeCell ref="R80:R82"/>
    <mergeCell ref="M78:M79"/>
    <mergeCell ref="N78:N79"/>
    <mergeCell ref="O78:O79"/>
    <mergeCell ref="R78:R79"/>
    <mergeCell ref="G80:G82"/>
    <mergeCell ref="H80:H82"/>
    <mergeCell ref="I80:I82"/>
    <mergeCell ref="J80:J82"/>
    <mergeCell ref="K80:K82"/>
    <mergeCell ref="L80:L82"/>
    <mergeCell ref="G78:G79"/>
    <mergeCell ref="H78:H79"/>
    <mergeCell ref="I78:I79"/>
    <mergeCell ref="J78:J79"/>
    <mergeCell ref="K78:K79"/>
    <mergeCell ref="L78:L79"/>
    <mergeCell ref="AP80:AP82"/>
    <mergeCell ref="AQ80:AQ82"/>
    <mergeCell ref="AR80:AR82"/>
    <mergeCell ref="AS80:AS82"/>
    <mergeCell ref="P83:P90"/>
    <mergeCell ref="Q83:Q90"/>
    <mergeCell ref="S83:S90"/>
    <mergeCell ref="T83:T90"/>
    <mergeCell ref="U83:U90"/>
    <mergeCell ref="AA83:AA90"/>
    <mergeCell ref="AJ80:AJ82"/>
    <mergeCell ref="AK80:AK82"/>
    <mergeCell ref="AL80:AL82"/>
    <mergeCell ref="AM80:AM82"/>
    <mergeCell ref="AN80:AN82"/>
    <mergeCell ref="AO80:AO82"/>
    <mergeCell ref="AD80:AD82"/>
    <mergeCell ref="AE80:AE82"/>
    <mergeCell ref="AF80:AF82"/>
    <mergeCell ref="AG80:AG82"/>
    <mergeCell ref="AH80:AH82"/>
    <mergeCell ref="AI80:AI82"/>
    <mergeCell ref="S80:S82"/>
    <mergeCell ref="T80:T82"/>
    <mergeCell ref="U80:U82"/>
    <mergeCell ref="AA80:AA82"/>
    <mergeCell ref="AB80:AB82"/>
    <mergeCell ref="AC80:AC82"/>
    <mergeCell ref="AN83:AN90"/>
    <mergeCell ref="AO83:AO90"/>
    <mergeCell ref="AP83:AP90"/>
    <mergeCell ref="AQ83:AQ90"/>
    <mergeCell ref="AR83:AR90"/>
    <mergeCell ref="AS83:AS90"/>
    <mergeCell ref="AH83:AH90"/>
    <mergeCell ref="AI83:AI90"/>
    <mergeCell ref="AJ83:AJ90"/>
    <mergeCell ref="AK83:AK90"/>
    <mergeCell ref="AL83:AL90"/>
    <mergeCell ref="AM83:AM90"/>
    <mergeCell ref="AB83:AB90"/>
    <mergeCell ref="AC83:AC90"/>
    <mergeCell ref="AD83:AD90"/>
    <mergeCell ref="AE83:AE90"/>
    <mergeCell ref="AF83:AF90"/>
    <mergeCell ref="AG83:AG90"/>
    <mergeCell ref="M89:M90"/>
    <mergeCell ref="N89:N90"/>
    <mergeCell ref="O89:O90"/>
    <mergeCell ref="R89:R90"/>
    <mergeCell ref="M94:M95"/>
    <mergeCell ref="N94:N95"/>
    <mergeCell ref="O94:O95"/>
    <mergeCell ref="R94:R95"/>
    <mergeCell ref="M85:M88"/>
    <mergeCell ref="N85:N88"/>
    <mergeCell ref="O85:O88"/>
    <mergeCell ref="R85:R88"/>
    <mergeCell ref="G89:G90"/>
    <mergeCell ref="H89:H90"/>
    <mergeCell ref="I89:I90"/>
    <mergeCell ref="J89:J90"/>
    <mergeCell ref="K89:K90"/>
    <mergeCell ref="L89:L90"/>
    <mergeCell ref="G85:G88"/>
    <mergeCell ref="H85:H88"/>
    <mergeCell ref="I85:I88"/>
    <mergeCell ref="J85:J88"/>
    <mergeCell ref="K85:K88"/>
    <mergeCell ref="L85:L88"/>
    <mergeCell ref="AP91:AP95"/>
    <mergeCell ref="AQ91:AQ95"/>
    <mergeCell ref="AR91:AR95"/>
    <mergeCell ref="AS91:AS95"/>
    <mergeCell ref="G94:G95"/>
    <mergeCell ref="H94:H95"/>
    <mergeCell ref="I94:I95"/>
    <mergeCell ref="J94:J95"/>
    <mergeCell ref="K94:K95"/>
    <mergeCell ref="L94:L95"/>
    <mergeCell ref="AJ91:AJ95"/>
    <mergeCell ref="AK91:AK95"/>
    <mergeCell ref="AL91:AL95"/>
    <mergeCell ref="AM91:AM95"/>
    <mergeCell ref="AN91:AN95"/>
    <mergeCell ref="AO91:AO95"/>
    <mergeCell ref="AD91:AD95"/>
    <mergeCell ref="AE91:AE95"/>
    <mergeCell ref="AF91:AF95"/>
    <mergeCell ref="AG91:AG95"/>
    <mergeCell ref="AH91:AH95"/>
    <mergeCell ref="AI91:AI95"/>
    <mergeCell ref="S91:S95"/>
    <mergeCell ref="T91:T95"/>
    <mergeCell ref="U91:U95"/>
    <mergeCell ref="AA91:AA95"/>
    <mergeCell ref="AB91:AB95"/>
    <mergeCell ref="AC91:AC95"/>
    <mergeCell ref="Y94:Y95"/>
    <mergeCell ref="Z94:Z95"/>
    <mergeCell ref="P91:P95"/>
    <mergeCell ref="Q91:Q95"/>
    <mergeCell ref="N97:N100"/>
    <mergeCell ref="O97:O100"/>
    <mergeCell ref="P97:P105"/>
    <mergeCell ref="Q97:Q105"/>
    <mergeCell ref="L101:L105"/>
    <mergeCell ref="M101:M105"/>
    <mergeCell ref="N101:N105"/>
    <mergeCell ref="O101:O105"/>
    <mergeCell ref="E97:F250"/>
    <mergeCell ref="G97:G100"/>
    <mergeCell ref="H97:H100"/>
    <mergeCell ref="I97:I100"/>
    <mergeCell ref="J97:J100"/>
    <mergeCell ref="K97:K100"/>
    <mergeCell ref="G107:G108"/>
    <mergeCell ref="H107:H108"/>
    <mergeCell ref="I107:I108"/>
    <mergeCell ref="J107:J108"/>
    <mergeCell ref="K107:K108"/>
    <mergeCell ref="L107:L108"/>
    <mergeCell ref="M107:M108"/>
    <mergeCell ref="N107:N108"/>
    <mergeCell ref="O107:O108"/>
    <mergeCell ref="P106:P122"/>
    <mergeCell ref="Q106:Q122"/>
    <mergeCell ref="L111:L115"/>
    <mergeCell ref="M111:M115"/>
    <mergeCell ref="N111:N115"/>
    <mergeCell ref="O111:O115"/>
    <mergeCell ref="G116:G117"/>
    <mergeCell ref="H116:H117"/>
    <mergeCell ref="I116:I117"/>
    <mergeCell ref="AO97:AO105"/>
    <mergeCell ref="AP97:AP105"/>
    <mergeCell ref="AQ97:AQ105"/>
    <mergeCell ref="AR97:AR105"/>
    <mergeCell ref="AS97:AS105"/>
    <mergeCell ref="G101:G105"/>
    <mergeCell ref="H101:H105"/>
    <mergeCell ref="I101:I105"/>
    <mergeCell ref="J101:J105"/>
    <mergeCell ref="K101:K105"/>
    <mergeCell ref="AI97:AI105"/>
    <mergeCell ref="AJ97:AJ105"/>
    <mergeCell ref="AK97:AK105"/>
    <mergeCell ref="AL97:AL105"/>
    <mergeCell ref="AM97:AM105"/>
    <mergeCell ref="AN97:AN105"/>
    <mergeCell ref="AC97:AC105"/>
    <mergeCell ref="AD97:AD105"/>
    <mergeCell ref="AE97:AE105"/>
    <mergeCell ref="AF97:AF105"/>
    <mergeCell ref="AG97:AG105"/>
    <mergeCell ref="AH97:AH105"/>
    <mergeCell ref="R97:R100"/>
    <mergeCell ref="S97:S105"/>
    <mergeCell ref="T97:T105"/>
    <mergeCell ref="U97:U100"/>
    <mergeCell ref="AA97:AA105"/>
    <mergeCell ref="AB97:AB105"/>
    <mergeCell ref="R101:R105"/>
    <mergeCell ref="U101:U105"/>
    <mergeCell ref="L97:L100"/>
    <mergeCell ref="M97:M100"/>
    <mergeCell ref="AO106:AO122"/>
    <mergeCell ref="AP106:AP122"/>
    <mergeCell ref="AQ106:AQ122"/>
    <mergeCell ref="AR106:AR122"/>
    <mergeCell ref="AS106:AS122"/>
    <mergeCell ref="AH106:AH122"/>
    <mergeCell ref="AI106:AI122"/>
    <mergeCell ref="AJ106:AJ122"/>
    <mergeCell ref="AK106:AK122"/>
    <mergeCell ref="AL106:AL122"/>
    <mergeCell ref="AM106:AM122"/>
    <mergeCell ref="AB106:AB122"/>
    <mergeCell ref="AC106:AC122"/>
    <mergeCell ref="AD106:AD122"/>
    <mergeCell ref="AE106:AE122"/>
    <mergeCell ref="AF106:AF122"/>
    <mergeCell ref="AG106:AG122"/>
    <mergeCell ref="G111:G115"/>
    <mergeCell ref="H111:H115"/>
    <mergeCell ref="I111:I115"/>
    <mergeCell ref="J111:J115"/>
    <mergeCell ref="K111:K115"/>
    <mergeCell ref="G109:G110"/>
    <mergeCell ref="H109:H110"/>
    <mergeCell ref="I109:I110"/>
    <mergeCell ref="J109:J110"/>
    <mergeCell ref="K109:K110"/>
    <mergeCell ref="L109:L110"/>
    <mergeCell ref="R107:R108"/>
    <mergeCell ref="S106:S122"/>
    <mergeCell ref="T106:T122"/>
    <mergeCell ref="U106:U108"/>
    <mergeCell ref="R111:R115"/>
    <mergeCell ref="AN106:AN122"/>
    <mergeCell ref="G123:G134"/>
    <mergeCell ref="H123:H134"/>
    <mergeCell ref="I123:I134"/>
    <mergeCell ref="J123:J134"/>
    <mergeCell ref="K123:K134"/>
    <mergeCell ref="L118:L120"/>
    <mergeCell ref="M118:M120"/>
    <mergeCell ref="N118:N120"/>
    <mergeCell ref="O118:O120"/>
    <mergeCell ref="R118:R120"/>
    <mergeCell ref="G121:G122"/>
    <mergeCell ref="H121:H122"/>
    <mergeCell ref="I121:I122"/>
    <mergeCell ref="J121:J122"/>
    <mergeCell ref="K121:K122"/>
    <mergeCell ref="L116:L117"/>
    <mergeCell ref="M116:M117"/>
    <mergeCell ref="N116:N117"/>
    <mergeCell ref="O116:O117"/>
    <mergeCell ref="R116:R117"/>
    <mergeCell ref="G118:G120"/>
    <mergeCell ref="H118:H120"/>
    <mergeCell ref="I118:I120"/>
    <mergeCell ref="J118:J120"/>
    <mergeCell ref="K118:K120"/>
    <mergeCell ref="J116:J117"/>
    <mergeCell ref="K116:K117"/>
    <mergeCell ref="AA123:AA144"/>
    <mergeCell ref="AB123:AB144"/>
    <mergeCell ref="R135:R144"/>
    <mergeCell ref="L123:L134"/>
    <mergeCell ref="M123:M134"/>
    <mergeCell ref="N123:N134"/>
    <mergeCell ref="O123:O134"/>
    <mergeCell ref="P123:P144"/>
    <mergeCell ref="Q123:Q144"/>
    <mergeCell ref="L135:L144"/>
    <mergeCell ref="M135:M144"/>
    <mergeCell ref="N135:N144"/>
    <mergeCell ref="O135:O144"/>
    <mergeCell ref="L121:L122"/>
    <mergeCell ref="M121:M122"/>
    <mergeCell ref="N121:N122"/>
    <mergeCell ref="O121:O122"/>
    <mergeCell ref="R121:R122"/>
    <mergeCell ref="AA106:AA122"/>
    <mergeCell ref="M109:M110"/>
    <mergeCell ref="N109:N110"/>
    <mergeCell ref="O109:O110"/>
    <mergeCell ref="R109:R110"/>
    <mergeCell ref="U109:U122"/>
    <mergeCell ref="G145:G148"/>
    <mergeCell ref="H145:H148"/>
    <mergeCell ref="I145:I148"/>
    <mergeCell ref="J145:J148"/>
    <mergeCell ref="K145:K148"/>
    <mergeCell ref="L145:L148"/>
    <mergeCell ref="AO123:AO144"/>
    <mergeCell ref="AP123:AP144"/>
    <mergeCell ref="AQ123:AQ144"/>
    <mergeCell ref="AR123:AR144"/>
    <mergeCell ref="AS123:AS144"/>
    <mergeCell ref="G135:G144"/>
    <mergeCell ref="H135:H144"/>
    <mergeCell ref="I135:I144"/>
    <mergeCell ref="J135:J144"/>
    <mergeCell ref="K135:K144"/>
    <mergeCell ref="AI123:AI144"/>
    <mergeCell ref="AJ123:AJ144"/>
    <mergeCell ref="AK123:AK144"/>
    <mergeCell ref="AL123:AL144"/>
    <mergeCell ref="AM123:AM144"/>
    <mergeCell ref="AN123:AN144"/>
    <mergeCell ref="AC123:AC144"/>
    <mergeCell ref="AD123:AD144"/>
    <mergeCell ref="AE123:AE144"/>
    <mergeCell ref="AF123:AF144"/>
    <mergeCell ref="AG123:AG144"/>
    <mergeCell ref="AH123:AH144"/>
    <mergeCell ref="R123:R134"/>
    <mergeCell ref="S123:S144"/>
    <mergeCell ref="T123:T144"/>
    <mergeCell ref="U123:U144"/>
    <mergeCell ref="AI145:AI158"/>
    <mergeCell ref="S145:S158"/>
    <mergeCell ref="T145:T158"/>
    <mergeCell ref="U145:U148"/>
    <mergeCell ref="AA145:AA158"/>
    <mergeCell ref="AB145:AB158"/>
    <mergeCell ref="AC145:AC158"/>
    <mergeCell ref="U149:U152"/>
    <mergeCell ref="M145:M148"/>
    <mergeCell ref="N145:N148"/>
    <mergeCell ref="O145:O148"/>
    <mergeCell ref="P145:P158"/>
    <mergeCell ref="Q145:Q158"/>
    <mergeCell ref="R145:R148"/>
    <mergeCell ref="M149:M152"/>
    <mergeCell ref="N149:N152"/>
    <mergeCell ref="O149:O152"/>
    <mergeCell ref="R149:R152"/>
    <mergeCell ref="G159:G163"/>
    <mergeCell ref="H159:H163"/>
    <mergeCell ref="I159:I163"/>
    <mergeCell ref="J159:J163"/>
    <mergeCell ref="K159:K163"/>
    <mergeCell ref="G153:G158"/>
    <mergeCell ref="H153:H158"/>
    <mergeCell ref="I153:I158"/>
    <mergeCell ref="J153:J158"/>
    <mergeCell ref="K153:K158"/>
    <mergeCell ref="L153:L158"/>
    <mergeCell ref="AP145:AP158"/>
    <mergeCell ref="AQ145:AQ158"/>
    <mergeCell ref="AR145:AR158"/>
    <mergeCell ref="AS145:AS158"/>
    <mergeCell ref="G149:G152"/>
    <mergeCell ref="H149:H152"/>
    <mergeCell ref="I149:I152"/>
    <mergeCell ref="J149:J152"/>
    <mergeCell ref="K149:K152"/>
    <mergeCell ref="L149:L152"/>
    <mergeCell ref="AJ145:AJ158"/>
    <mergeCell ref="AK145:AK158"/>
    <mergeCell ref="AL145:AL158"/>
    <mergeCell ref="AM145:AM158"/>
    <mergeCell ref="AN145:AN158"/>
    <mergeCell ref="AO145:AO158"/>
    <mergeCell ref="AD145:AD158"/>
    <mergeCell ref="AE145:AE158"/>
    <mergeCell ref="AF145:AF158"/>
    <mergeCell ref="AG145:AG158"/>
    <mergeCell ref="AH145:AH158"/>
    <mergeCell ref="AA159:AA167"/>
    <mergeCell ref="AB159:AB167"/>
    <mergeCell ref="R164:R167"/>
    <mergeCell ref="U164:U167"/>
    <mergeCell ref="L159:L163"/>
    <mergeCell ref="M159:M163"/>
    <mergeCell ref="N159:N163"/>
    <mergeCell ref="O159:O163"/>
    <mergeCell ref="P159:P167"/>
    <mergeCell ref="Q159:Q167"/>
    <mergeCell ref="L164:L167"/>
    <mergeCell ref="M164:M167"/>
    <mergeCell ref="N164:N167"/>
    <mergeCell ref="O164:O167"/>
    <mergeCell ref="M153:M158"/>
    <mergeCell ref="N153:N158"/>
    <mergeCell ref="O153:O158"/>
    <mergeCell ref="R153:R158"/>
    <mergeCell ref="U153:U158"/>
    <mergeCell ref="G168:G171"/>
    <mergeCell ref="H168:H171"/>
    <mergeCell ref="I168:I171"/>
    <mergeCell ref="J168:J171"/>
    <mergeCell ref="K168:K171"/>
    <mergeCell ref="L168:L171"/>
    <mergeCell ref="AO159:AO167"/>
    <mergeCell ref="AP159:AP167"/>
    <mergeCell ref="AQ159:AQ167"/>
    <mergeCell ref="AR159:AR167"/>
    <mergeCell ref="AS159:AS167"/>
    <mergeCell ref="G164:G167"/>
    <mergeCell ref="H164:H167"/>
    <mergeCell ref="I164:I167"/>
    <mergeCell ref="J164:J167"/>
    <mergeCell ref="K164:K167"/>
    <mergeCell ref="AI159:AI167"/>
    <mergeCell ref="AJ159:AJ167"/>
    <mergeCell ref="AK159:AK167"/>
    <mergeCell ref="AL159:AL167"/>
    <mergeCell ref="AM159:AM167"/>
    <mergeCell ref="AN159:AN167"/>
    <mergeCell ref="AC159:AC167"/>
    <mergeCell ref="AD159:AD167"/>
    <mergeCell ref="AE159:AE167"/>
    <mergeCell ref="AF159:AF167"/>
    <mergeCell ref="AG159:AG167"/>
    <mergeCell ref="AH159:AH167"/>
    <mergeCell ref="R159:R163"/>
    <mergeCell ref="S159:S167"/>
    <mergeCell ref="T159:T167"/>
    <mergeCell ref="U159:U163"/>
    <mergeCell ref="AP168:AP182"/>
    <mergeCell ref="AQ168:AQ182"/>
    <mergeCell ref="AR168:AR182"/>
    <mergeCell ref="AS168:AS182"/>
    <mergeCell ref="G172:G177"/>
    <mergeCell ref="H172:H177"/>
    <mergeCell ref="I172:I177"/>
    <mergeCell ref="J172:J177"/>
    <mergeCell ref="K172:K177"/>
    <mergeCell ref="L172:L177"/>
    <mergeCell ref="AJ168:AJ182"/>
    <mergeCell ref="AK168:AK182"/>
    <mergeCell ref="AL168:AL182"/>
    <mergeCell ref="AM168:AM182"/>
    <mergeCell ref="AN168:AN182"/>
    <mergeCell ref="AO168:AO182"/>
    <mergeCell ref="AD168:AD182"/>
    <mergeCell ref="AE168:AE182"/>
    <mergeCell ref="AF168:AF182"/>
    <mergeCell ref="AG168:AG182"/>
    <mergeCell ref="AH168:AH182"/>
    <mergeCell ref="AI168:AI182"/>
    <mergeCell ref="S168:S182"/>
    <mergeCell ref="T168:T182"/>
    <mergeCell ref="U168:U171"/>
    <mergeCell ref="AA168:AA182"/>
    <mergeCell ref="AB168:AB182"/>
    <mergeCell ref="AC168:AC182"/>
    <mergeCell ref="U172:U182"/>
    <mergeCell ref="M168:M171"/>
    <mergeCell ref="N168:N171"/>
    <mergeCell ref="O168:O171"/>
    <mergeCell ref="AB183:AB195"/>
    <mergeCell ref="AC183:AC195"/>
    <mergeCell ref="V190:V192"/>
    <mergeCell ref="M183:M189"/>
    <mergeCell ref="N183:N189"/>
    <mergeCell ref="O183:O189"/>
    <mergeCell ref="P183:P195"/>
    <mergeCell ref="Q183:Q195"/>
    <mergeCell ref="R183:R189"/>
    <mergeCell ref="M178:M182"/>
    <mergeCell ref="N178:N182"/>
    <mergeCell ref="O178:O182"/>
    <mergeCell ref="R178:R182"/>
    <mergeCell ref="G183:G189"/>
    <mergeCell ref="H183:H189"/>
    <mergeCell ref="I183:I189"/>
    <mergeCell ref="J183:J189"/>
    <mergeCell ref="K183:K189"/>
    <mergeCell ref="L183:L189"/>
    <mergeCell ref="G178:G182"/>
    <mergeCell ref="H178:H182"/>
    <mergeCell ref="I178:I182"/>
    <mergeCell ref="J178:J182"/>
    <mergeCell ref="K178:K182"/>
    <mergeCell ref="L178:L182"/>
    <mergeCell ref="P168:P182"/>
    <mergeCell ref="Q168:Q182"/>
    <mergeCell ref="R168:R171"/>
    <mergeCell ref="M172:M177"/>
    <mergeCell ref="N172:N177"/>
    <mergeCell ref="O172:O177"/>
    <mergeCell ref="R172:R177"/>
    <mergeCell ref="L190:L195"/>
    <mergeCell ref="M190:M195"/>
    <mergeCell ref="N190:N195"/>
    <mergeCell ref="O190:O195"/>
    <mergeCell ref="R190:R195"/>
    <mergeCell ref="U190:U195"/>
    <mergeCell ref="AP183:AP195"/>
    <mergeCell ref="AQ183:AQ195"/>
    <mergeCell ref="AR183:AR195"/>
    <mergeCell ref="AS183:AS195"/>
    <mergeCell ref="V185:V186"/>
    <mergeCell ref="G190:G195"/>
    <mergeCell ref="H190:H195"/>
    <mergeCell ref="I190:I195"/>
    <mergeCell ref="J190:J195"/>
    <mergeCell ref="K190:K195"/>
    <mergeCell ref="AJ183:AJ195"/>
    <mergeCell ref="AK183:AK195"/>
    <mergeCell ref="AL183:AL195"/>
    <mergeCell ref="AM183:AM195"/>
    <mergeCell ref="AN183:AN195"/>
    <mergeCell ref="AO183:AO195"/>
    <mergeCell ref="AD183:AD195"/>
    <mergeCell ref="AE183:AE195"/>
    <mergeCell ref="AF183:AF195"/>
    <mergeCell ref="AG183:AG195"/>
    <mergeCell ref="AH183:AH195"/>
    <mergeCell ref="AI183:AI195"/>
    <mergeCell ref="S183:S195"/>
    <mergeCell ref="T183:T195"/>
    <mergeCell ref="U183:U189"/>
    <mergeCell ref="AA183:AA195"/>
    <mergeCell ref="AO196:AO210"/>
    <mergeCell ref="AP196:AP210"/>
    <mergeCell ref="AQ196:AQ210"/>
    <mergeCell ref="AR196:AR210"/>
    <mergeCell ref="AS196:AS210"/>
    <mergeCell ref="G197:G210"/>
    <mergeCell ref="H197:H210"/>
    <mergeCell ref="I197:I210"/>
    <mergeCell ref="J197:J210"/>
    <mergeCell ref="K197:K210"/>
    <mergeCell ref="AI196:AI210"/>
    <mergeCell ref="AJ196:AJ210"/>
    <mergeCell ref="AK196:AK210"/>
    <mergeCell ref="AL196:AL210"/>
    <mergeCell ref="AM196:AM210"/>
    <mergeCell ref="AN196:AN210"/>
    <mergeCell ref="AC196:AC210"/>
    <mergeCell ref="AD196:AD210"/>
    <mergeCell ref="AE196:AE210"/>
    <mergeCell ref="AF196:AF210"/>
    <mergeCell ref="AG196:AG210"/>
    <mergeCell ref="AH196:AH210"/>
    <mergeCell ref="P196:P210"/>
    <mergeCell ref="Q196:Q210"/>
    <mergeCell ref="S196:S210"/>
    <mergeCell ref="T196:T210"/>
    <mergeCell ref="AA196:AA210"/>
    <mergeCell ref="AB196:AB210"/>
    <mergeCell ref="V197:V198"/>
    <mergeCell ref="V200:V201"/>
    <mergeCell ref="V202:V203"/>
    <mergeCell ref="V204:V205"/>
    <mergeCell ref="AD211:AD214"/>
    <mergeCell ref="AE211:AE214"/>
    <mergeCell ref="O211:O214"/>
    <mergeCell ref="P211:P214"/>
    <mergeCell ref="Q211:Q214"/>
    <mergeCell ref="R211:R214"/>
    <mergeCell ref="S211:S214"/>
    <mergeCell ref="T211:T214"/>
    <mergeCell ref="V207:V208"/>
    <mergeCell ref="V209:V210"/>
    <mergeCell ref="G211:G214"/>
    <mergeCell ref="H211:H214"/>
    <mergeCell ref="I211:I214"/>
    <mergeCell ref="J211:J214"/>
    <mergeCell ref="K211:K214"/>
    <mergeCell ref="L211:L214"/>
    <mergeCell ref="M211:M214"/>
    <mergeCell ref="N211:N214"/>
    <mergeCell ref="L197:L210"/>
    <mergeCell ref="M197:M210"/>
    <mergeCell ref="N197:N210"/>
    <mergeCell ref="O197:O210"/>
    <mergeCell ref="R197:R210"/>
    <mergeCell ref="U197:U210"/>
    <mergeCell ref="N215:N216"/>
    <mergeCell ref="O215:O216"/>
    <mergeCell ref="P215:P216"/>
    <mergeCell ref="Q215:Q216"/>
    <mergeCell ref="R215:R216"/>
    <mergeCell ref="S215:S216"/>
    <mergeCell ref="AR211:AR214"/>
    <mergeCell ref="AS211:AS214"/>
    <mergeCell ref="V213:V214"/>
    <mergeCell ref="G215:G216"/>
    <mergeCell ref="H215:H216"/>
    <mergeCell ref="I215:I216"/>
    <mergeCell ref="J215:J216"/>
    <mergeCell ref="K215:K216"/>
    <mergeCell ref="L215:L216"/>
    <mergeCell ref="M215:M216"/>
    <mergeCell ref="AL211:AL214"/>
    <mergeCell ref="AM211:AM214"/>
    <mergeCell ref="AN211:AN214"/>
    <mergeCell ref="AO211:AO214"/>
    <mergeCell ref="AP211:AP214"/>
    <mergeCell ref="AQ211:AQ214"/>
    <mergeCell ref="AF211:AF214"/>
    <mergeCell ref="AG211:AG214"/>
    <mergeCell ref="AH211:AH214"/>
    <mergeCell ref="AI211:AI214"/>
    <mergeCell ref="AJ211:AJ214"/>
    <mergeCell ref="AK211:AK214"/>
    <mergeCell ref="U211:U214"/>
    <mergeCell ref="AA211:AA214"/>
    <mergeCell ref="AB211:AB214"/>
    <mergeCell ref="AC211:AC214"/>
    <mergeCell ref="P217:P222"/>
    <mergeCell ref="Q217:Q222"/>
    <mergeCell ref="R217:R222"/>
    <mergeCell ref="S217:S222"/>
    <mergeCell ref="AQ215:AQ216"/>
    <mergeCell ref="AR215:AR216"/>
    <mergeCell ref="AS215:AS216"/>
    <mergeCell ref="G217:G222"/>
    <mergeCell ref="H217:H222"/>
    <mergeCell ref="I217:I222"/>
    <mergeCell ref="J217:J222"/>
    <mergeCell ref="K217:K222"/>
    <mergeCell ref="L217:L222"/>
    <mergeCell ref="M217:M222"/>
    <mergeCell ref="AK215:AK216"/>
    <mergeCell ref="AL215:AL216"/>
    <mergeCell ref="AM215:AM216"/>
    <mergeCell ref="AN215:AN216"/>
    <mergeCell ref="AO215:AO216"/>
    <mergeCell ref="AP215:AP216"/>
    <mergeCell ref="AE215:AE216"/>
    <mergeCell ref="AF215:AF216"/>
    <mergeCell ref="AG215:AG216"/>
    <mergeCell ref="AH215:AH216"/>
    <mergeCell ref="AI215:AI216"/>
    <mergeCell ref="AJ215:AJ216"/>
    <mergeCell ref="T215:T216"/>
    <mergeCell ref="U215:U216"/>
    <mergeCell ref="AA215:AA216"/>
    <mergeCell ref="AB215:AB216"/>
    <mergeCell ref="AC215:AC216"/>
    <mergeCell ref="AD215:AD216"/>
    <mergeCell ref="R223:R233"/>
    <mergeCell ref="S223:S233"/>
    <mergeCell ref="AQ217:AQ222"/>
    <mergeCell ref="AR217:AR222"/>
    <mergeCell ref="AS217:AS222"/>
    <mergeCell ref="G223:G233"/>
    <mergeCell ref="H223:H233"/>
    <mergeCell ref="I223:I233"/>
    <mergeCell ref="J223:J233"/>
    <mergeCell ref="K223:K233"/>
    <mergeCell ref="L223:L233"/>
    <mergeCell ref="M223:M233"/>
    <mergeCell ref="AK217:AK222"/>
    <mergeCell ref="AL217:AL222"/>
    <mergeCell ref="AM217:AM222"/>
    <mergeCell ref="AN217:AN222"/>
    <mergeCell ref="AO217:AO222"/>
    <mergeCell ref="AP217:AP222"/>
    <mergeCell ref="AE217:AE222"/>
    <mergeCell ref="AF217:AF222"/>
    <mergeCell ref="AG217:AG222"/>
    <mergeCell ref="AH217:AH222"/>
    <mergeCell ref="AI217:AI222"/>
    <mergeCell ref="AJ217:AJ222"/>
    <mergeCell ref="T217:T222"/>
    <mergeCell ref="U217:U222"/>
    <mergeCell ref="AA217:AA222"/>
    <mergeCell ref="AB217:AB222"/>
    <mergeCell ref="AC217:AC222"/>
    <mergeCell ref="AD217:AD222"/>
    <mergeCell ref="N217:N222"/>
    <mergeCell ref="O217:O222"/>
    <mergeCell ref="AQ223:AQ233"/>
    <mergeCell ref="AR223:AR233"/>
    <mergeCell ref="AS223:AS233"/>
    <mergeCell ref="V225:V226"/>
    <mergeCell ref="W225:W226"/>
    <mergeCell ref="G234:G240"/>
    <mergeCell ref="H234:H240"/>
    <mergeCell ref="I234:I240"/>
    <mergeCell ref="J234:J240"/>
    <mergeCell ref="K234:K240"/>
    <mergeCell ref="AK223:AK233"/>
    <mergeCell ref="AL223:AL233"/>
    <mergeCell ref="AM223:AM233"/>
    <mergeCell ref="AN223:AN233"/>
    <mergeCell ref="AO223:AO233"/>
    <mergeCell ref="AP223:AP233"/>
    <mergeCell ref="AE223:AE233"/>
    <mergeCell ref="AF223:AF233"/>
    <mergeCell ref="AG223:AG233"/>
    <mergeCell ref="AH223:AH233"/>
    <mergeCell ref="AI223:AI233"/>
    <mergeCell ref="AJ223:AJ233"/>
    <mergeCell ref="T223:T233"/>
    <mergeCell ref="U223:U233"/>
    <mergeCell ref="AA223:AA233"/>
    <mergeCell ref="AB223:AB233"/>
    <mergeCell ref="AC223:AC233"/>
    <mergeCell ref="AD223:AD233"/>
    <mergeCell ref="N223:N233"/>
    <mergeCell ref="O223:O233"/>
    <mergeCell ref="P223:P233"/>
    <mergeCell ref="Q223:Q233"/>
    <mergeCell ref="AN234:AN240"/>
    <mergeCell ref="AO234:AO240"/>
    <mergeCell ref="AP234:AP240"/>
    <mergeCell ref="L234:L240"/>
    <mergeCell ref="M234:M240"/>
    <mergeCell ref="N234:N240"/>
    <mergeCell ref="O234:O240"/>
    <mergeCell ref="P234:P240"/>
    <mergeCell ref="Q234:Q240"/>
    <mergeCell ref="AQ234:AQ240"/>
    <mergeCell ref="AR234:AR240"/>
    <mergeCell ref="AS234:AS240"/>
    <mergeCell ref="AH234:AH240"/>
    <mergeCell ref="AI234:AI240"/>
    <mergeCell ref="AJ234:AJ240"/>
    <mergeCell ref="AK234:AK240"/>
    <mergeCell ref="AL234:AL240"/>
    <mergeCell ref="AM234:AM240"/>
    <mergeCell ref="AB234:AB240"/>
    <mergeCell ref="AC234:AC240"/>
    <mergeCell ref="AD234:AD240"/>
    <mergeCell ref="AE234:AE240"/>
    <mergeCell ref="AF234:AF240"/>
    <mergeCell ref="AG234:AG240"/>
    <mergeCell ref="R234:R240"/>
    <mergeCell ref="S234:S240"/>
    <mergeCell ref="T234:T240"/>
    <mergeCell ref="U234:U240"/>
    <mergeCell ref="V234:V235"/>
    <mergeCell ref="AA234:AA240"/>
    <mergeCell ref="AQ241:AQ250"/>
    <mergeCell ref="AR241:AR250"/>
    <mergeCell ref="AS241:AS250"/>
    <mergeCell ref="V243:V244"/>
    <mergeCell ref="AI241:AI250"/>
    <mergeCell ref="AJ241:AJ250"/>
    <mergeCell ref="AK241:AK250"/>
    <mergeCell ref="AL241:AL250"/>
    <mergeCell ref="AM241:AM250"/>
    <mergeCell ref="AN241:AN250"/>
    <mergeCell ref="AC241:AC250"/>
    <mergeCell ref="AD241:AD250"/>
    <mergeCell ref="AE241:AE250"/>
    <mergeCell ref="AF241:AF250"/>
    <mergeCell ref="AG241:AG250"/>
    <mergeCell ref="AH241:AH250"/>
    <mergeCell ref="S241:S250"/>
    <mergeCell ref="T241:T250"/>
    <mergeCell ref="U241:U250"/>
    <mergeCell ref="V241:V242"/>
    <mergeCell ref="AA241:AA250"/>
    <mergeCell ref="AB241:AB250"/>
    <mergeCell ref="AE252:AE265"/>
    <mergeCell ref="V253:V264"/>
    <mergeCell ref="E252:F299"/>
    <mergeCell ref="P252:P265"/>
    <mergeCell ref="Q252:Q265"/>
    <mergeCell ref="R252:R265"/>
    <mergeCell ref="S252:S265"/>
    <mergeCell ref="T252:T265"/>
    <mergeCell ref="O253:O265"/>
    <mergeCell ref="G266:G267"/>
    <mergeCell ref="H266:H267"/>
    <mergeCell ref="I266:I267"/>
    <mergeCell ref="AO241:AO250"/>
    <mergeCell ref="AP241:AP250"/>
    <mergeCell ref="M241:M250"/>
    <mergeCell ref="N241:N250"/>
    <mergeCell ref="O241:O250"/>
    <mergeCell ref="P241:P250"/>
    <mergeCell ref="Q241:Q250"/>
    <mergeCell ref="R241:R250"/>
    <mergeCell ref="G241:G250"/>
    <mergeCell ref="H241:H250"/>
    <mergeCell ref="I241:I250"/>
    <mergeCell ref="J241:J250"/>
    <mergeCell ref="K241:K250"/>
    <mergeCell ref="L241:L250"/>
    <mergeCell ref="K266:K267"/>
    <mergeCell ref="L266:L267"/>
    <mergeCell ref="M266:M267"/>
    <mergeCell ref="R268:R277"/>
    <mergeCell ref="V268:V277"/>
    <mergeCell ref="AR252:AR265"/>
    <mergeCell ref="AS252:AS265"/>
    <mergeCell ref="G253:G265"/>
    <mergeCell ref="H253:H265"/>
    <mergeCell ref="I253:I265"/>
    <mergeCell ref="J253:J265"/>
    <mergeCell ref="K253:K265"/>
    <mergeCell ref="L253:L265"/>
    <mergeCell ref="M253:M265"/>
    <mergeCell ref="N253:N265"/>
    <mergeCell ref="AL252:AL265"/>
    <mergeCell ref="AM252:AM265"/>
    <mergeCell ref="AN252:AN265"/>
    <mergeCell ref="AO252:AO265"/>
    <mergeCell ref="AP252:AP265"/>
    <mergeCell ref="AQ252:AQ265"/>
    <mergeCell ref="AF252:AF265"/>
    <mergeCell ref="AG252:AG265"/>
    <mergeCell ref="AH252:AH265"/>
    <mergeCell ref="AI252:AI265"/>
    <mergeCell ref="AJ252:AJ265"/>
    <mergeCell ref="AK252:AK265"/>
    <mergeCell ref="U252:U265"/>
    <mergeCell ref="AA252:AA265"/>
    <mergeCell ref="AR266:AR287"/>
    <mergeCell ref="AS266:AS287"/>
    <mergeCell ref="G268:G277"/>
    <mergeCell ref="AB252:AB265"/>
    <mergeCell ref="AC252:AC265"/>
    <mergeCell ref="AD252:AD265"/>
    <mergeCell ref="H268:H277"/>
    <mergeCell ref="I268:I277"/>
    <mergeCell ref="J268:J277"/>
    <mergeCell ref="K268:K277"/>
    <mergeCell ref="L268:L277"/>
    <mergeCell ref="M268:M277"/>
    <mergeCell ref="N268:N277"/>
    <mergeCell ref="AL266:AL287"/>
    <mergeCell ref="AM266:AM287"/>
    <mergeCell ref="AN266:AN287"/>
    <mergeCell ref="AO266:AO287"/>
    <mergeCell ref="AP266:AP287"/>
    <mergeCell ref="AQ266:AQ287"/>
    <mergeCell ref="AF266:AF287"/>
    <mergeCell ref="AG266:AG287"/>
    <mergeCell ref="AH266:AH287"/>
    <mergeCell ref="AI266:AI287"/>
    <mergeCell ref="AJ266:AJ287"/>
    <mergeCell ref="AK266:AK287"/>
    <mergeCell ref="V266:V267"/>
    <mergeCell ref="AA266:AA287"/>
    <mergeCell ref="AB266:AB287"/>
    <mergeCell ref="AC266:AC287"/>
    <mergeCell ref="AD266:AD287"/>
    <mergeCell ref="AE266:AE287"/>
    <mergeCell ref="P266:P287"/>
    <mergeCell ref="Q266:Q287"/>
    <mergeCell ref="R266:R267"/>
    <mergeCell ref="S266:S287"/>
    <mergeCell ref="N266:N267"/>
    <mergeCell ref="O266:O267"/>
    <mergeCell ref="O268:O277"/>
    <mergeCell ref="S288:S299"/>
    <mergeCell ref="T288:T299"/>
    <mergeCell ref="U288:U296"/>
    <mergeCell ref="AA288:AA299"/>
    <mergeCell ref="AB288:AB299"/>
    <mergeCell ref="AC288:AC299"/>
    <mergeCell ref="M288:M295"/>
    <mergeCell ref="N288:N295"/>
    <mergeCell ref="O288:O295"/>
    <mergeCell ref="P288:P299"/>
    <mergeCell ref="Q288:Q299"/>
    <mergeCell ref="R288:R295"/>
    <mergeCell ref="N278:N287"/>
    <mergeCell ref="O278:O287"/>
    <mergeCell ref="R278:R287"/>
    <mergeCell ref="V278:V287"/>
    <mergeCell ref="G288:G295"/>
    <mergeCell ref="H288:H295"/>
    <mergeCell ref="I288:I295"/>
    <mergeCell ref="J288:J295"/>
    <mergeCell ref="K288:K295"/>
    <mergeCell ref="L288:L295"/>
    <mergeCell ref="G278:G287"/>
    <mergeCell ref="H278:H287"/>
    <mergeCell ref="I278:I287"/>
    <mergeCell ref="J278:J287"/>
    <mergeCell ref="K278:K287"/>
    <mergeCell ref="L278:L287"/>
    <mergeCell ref="M278:M287"/>
    <mergeCell ref="T266:T287"/>
    <mergeCell ref="U266:U287"/>
    <mergeCell ref="J266:J267"/>
    <mergeCell ref="AP288:AP299"/>
    <mergeCell ref="AQ288:AQ299"/>
    <mergeCell ref="AR288:AR299"/>
    <mergeCell ref="AS288:AS299"/>
    <mergeCell ref="V293:V295"/>
    <mergeCell ref="U297:U299"/>
    <mergeCell ref="AJ288:AJ299"/>
    <mergeCell ref="AK288:AK299"/>
    <mergeCell ref="AL288:AL299"/>
    <mergeCell ref="AM288:AM299"/>
    <mergeCell ref="AN288:AN299"/>
    <mergeCell ref="AO288:AO299"/>
    <mergeCell ref="AD288:AD299"/>
    <mergeCell ref="AE288:AE299"/>
    <mergeCell ref="AF288:AF299"/>
    <mergeCell ref="AG288:AG299"/>
    <mergeCell ref="AH288:AH299"/>
    <mergeCell ref="AI288:AI299"/>
  </mergeCells>
  <conditionalFormatting sqref="K46">
    <cfRule type="duplicateValues" dxfId="11" priority="11"/>
  </conditionalFormatting>
  <conditionalFormatting sqref="K46">
    <cfRule type="duplicateValues" dxfId="10" priority="12"/>
  </conditionalFormatting>
  <conditionalFormatting sqref="K84">
    <cfRule type="duplicateValues" dxfId="9" priority="9"/>
  </conditionalFormatting>
  <conditionalFormatting sqref="K84">
    <cfRule type="duplicateValues" dxfId="8" priority="10"/>
  </conditionalFormatting>
  <conditionalFormatting sqref="K85">
    <cfRule type="duplicateValues" dxfId="7" priority="7"/>
  </conditionalFormatting>
  <conditionalFormatting sqref="K85">
    <cfRule type="duplicateValues" dxfId="6" priority="8"/>
  </conditionalFormatting>
  <conditionalFormatting sqref="M46">
    <cfRule type="duplicateValues" dxfId="5" priority="5"/>
  </conditionalFormatting>
  <conditionalFormatting sqref="M46">
    <cfRule type="duplicateValues" dxfId="4" priority="6"/>
  </conditionalFormatting>
  <conditionalFormatting sqref="M84">
    <cfRule type="duplicateValues" dxfId="3" priority="3"/>
  </conditionalFormatting>
  <conditionalFormatting sqref="M84">
    <cfRule type="duplicateValues" dxfId="2" priority="4"/>
  </conditionalFormatting>
  <conditionalFormatting sqref="M85">
    <cfRule type="duplicateValues" dxfId="1" priority="1"/>
  </conditionalFormatting>
  <conditionalFormatting sqref="M85">
    <cfRule type="duplicateValues" dxfId="0" priority="2"/>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58"/>
  <sheetViews>
    <sheetView showGridLines="0" zoomScale="70" zoomScaleNormal="70" workbookViewId="0">
      <selection sqref="A1:AQ4"/>
    </sheetView>
  </sheetViews>
  <sheetFormatPr baseColWidth="10" defaultColWidth="11.42578125" defaultRowHeight="27" customHeight="1" x14ac:dyDescent="0.25"/>
  <cols>
    <col min="1" max="1" width="14.7109375" style="1297" customWidth="1"/>
    <col min="2" max="2" width="16.140625" style="1164" customWidth="1"/>
    <col min="3" max="3" width="16" style="1164" customWidth="1"/>
    <col min="4" max="4" width="12.7109375" style="1164" customWidth="1"/>
    <col min="5" max="5" width="11.5703125" style="1164" customWidth="1"/>
    <col min="6" max="6" width="15.5703125" style="1164" customWidth="1"/>
    <col min="7" max="7" width="13.5703125" style="1164" customWidth="1"/>
    <col min="8" max="8" width="28.42578125" style="1298" customWidth="1"/>
    <col min="9" max="9" width="25.85546875" style="1299" customWidth="1"/>
    <col min="10" max="10" width="31.28515625" style="1298" customWidth="1"/>
    <col min="11" max="11" width="16.85546875" style="1163" customWidth="1"/>
    <col min="12" max="12" width="31.140625" style="1298" customWidth="1"/>
    <col min="13" max="13" width="19.7109375" style="1163" customWidth="1"/>
    <col min="14" max="14" width="30.5703125" style="1298" customWidth="1"/>
    <col min="15" max="15" width="15.5703125" style="1163" customWidth="1"/>
    <col min="16" max="16" width="23.28515625" style="1163" customWidth="1"/>
    <col min="17" max="17" width="34.140625" style="1298" customWidth="1"/>
    <col min="18" max="18" width="15.7109375" style="1300" customWidth="1"/>
    <col min="19" max="19" width="26.7109375" style="1301" customWidth="1"/>
    <col min="20" max="20" width="37.5703125" style="1298" customWidth="1"/>
    <col min="21" max="21" width="39.42578125" style="1298" customWidth="1"/>
    <col min="22" max="22" width="58.42578125" style="1298" customWidth="1"/>
    <col min="23" max="23" width="36.85546875" style="1301" customWidth="1"/>
    <col min="24" max="24" width="49.140625" style="1301" customWidth="1"/>
    <col min="25" max="25" width="19.28515625" style="1302" customWidth="1"/>
    <col min="26" max="26" width="22" style="1163" customWidth="1"/>
    <col min="27" max="41" width="10.140625" style="1164" customWidth="1"/>
    <col min="42" max="42" width="10.28515625" style="1164" bestFit="1" customWidth="1"/>
    <col min="43" max="43" width="17.85546875" style="1303" customWidth="1"/>
    <col min="44" max="44" width="18.85546875" style="1303" customWidth="1"/>
    <col min="45" max="45" width="27.7109375" style="1164" customWidth="1"/>
    <col min="46" max="16384" width="11.42578125" style="1164"/>
  </cols>
  <sheetData>
    <row r="1" spans="1:65" ht="27.75" customHeight="1" x14ac:dyDescent="0.25">
      <c r="A1" s="2827" t="s">
        <v>1636</v>
      </c>
      <c r="B1" s="3758"/>
      <c r="C1" s="3758"/>
      <c r="D1" s="3758"/>
      <c r="E1" s="3758"/>
      <c r="F1" s="3758"/>
      <c r="G1" s="3758"/>
      <c r="H1" s="3758"/>
      <c r="I1" s="3758"/>
      <c r="J1" s="3758"/>
      <c r="K1" s="3758"/>
      <c r="L1" s="3758"/>
      <c r="M1" s="3758"/>
      <c r="N1" s="3758"/>
      <c r="O1" s="3758"/>
      <c r="P1" s="3758"/>
      <c r="Q1" s="3758"/>
      <c r="R1" s="3758"/>
      <c r="S1" s="3758"/>
      <c r="T1" s="3758"/>
      <c r="U1" s="3758"/>
      <c r="V1" s="3758"/>
      <c r="W1" s="3758"/>
      <c r="X1" s="3758"/>
      <c r="Y1" s="3758"/>
      <c r="Z1" s="3758"/>
      <c r="AA1" s="3758"/>
      <c r="AB1" s="3758"/>
      <c r="AC1" s="3758"/>
      <c r="AD1" s="3758"/>
      <c r="AE1" s="3758"/>
      <c r="AF1" s="3758"/>
      <c r="AG1" s="3758"/>
      <c r="AH1" s="3758"/>
      <c r="AI1" s="3758"/>
      <c r="AJ1" s="3758"/>
      <c r="AK1" s="3758"/>
      <c r="AL1" s="3758"/>
      <c r="AM1" s="3758"/>
      <c r="AN1" s="3758"/>
      <c r="AO1" s="3758"/>
      <c r="AP1" s="3758"/>
      <c r="AQ1" s="3759"/>
      <c r="AR1" s="364" t="s">
        <v>1</v>
      </c>
      <c r="AS1" s="364" t="s">
        <v>983</v>
      </c>
      <c r="AT1" s="1163"/>
      <c r="AU1" s="1163"/>
      <c r="AV1" s="1163"/>
      <c r="AW1" s="1163"/>
      <c r="AX1" s="1163"/>
      <c r="AY1" s="1163"/>
      <c r="AZ1" s="1163"/>
      <c r="BA1" s="1163"/>
      <c r="BB1" s="1163"/>
      <c r="BC1" s="1163"/>
      <c r="BD1" s="1163"/>
      <c r="BE1" s="1163"/>
      <c r="BF1" s="1163"/>
      <c r="BG1" s="1163"/>
      <c r="BH1" s="1163"/>
      <c r="BI1" s="1163"/>
      <c r="BJ1" s="1163"/>
      <c r="BK1" s="1163"/>
      <c r="BL1" s="1163"/>
      <c r="BM1" s="1163"/>
    </row>
    <row r="2" spans="1:65" ht="27.75" customHeight="1" x14ac:dyDescent="0.25">
      <c r="A2" s="3758"/>
      <c r="B2" s="3758"/>
      <c r="C2" s="3758"/>
      <c r="D2" s="3758"/>
      <c r="E2" s="3758"/>
      <c r="F2" s="3758"/>
      <c r="G2" s="3758"/>
      <c r="H2" s="3758"/>
      <c r="I2" s="3758"/>
      <c r="J2" s="3758"/>
      <c r="K2" s="3758"/>
      <c r="L2" s="3758"/>
      <c r="M2" s="3758"/>
      <c r="N2" s="3758"/>
      <c r="O2" s="3758"/>
      <c r="P2" s="3758"/>
      <c r="Q2" s="3758"/>
      <c r="R2" s="3758"/>
      <c r="S2" s="3758"/>
      <c r="T2" s="3758"/>
      <c r="U2" s="3758"/>
      <c r="V2" s="3758"/>
      <c r="W2" s="3758"/>
      <c r="X2" s="3758"/>
      <c r="Y2" s="3758"/>
      <c r="Z2" s="3758"/>
      <c r="AA2" s="3758"/>
      <c r="AB2" s="3758"/>
      <c r="AC2" s="3758"/>
      <c r="AD2" s="3758"/>
      <c r="AE2" s="3758"/>
      <c r="AF2" s="3758"/>
      <c r="AG2" s="3758"/>
      <c r="AH2" s="3758"/>
      <c r="AI2" s="3758"/>
      <c r="AJ2" s="3758"/>
      <c r="AK2" s="3758"/>
      <c r="AL2" s="3758"/>
      <c r="AM2" s="3758"/>
      <c r="AN2" s="3758"/>
      <c r="AO2" s="3758"/>
      <c r="AP2" s="3758"/>
      <c r="AQ2" s="3759"/>
      <c r="AR2" s="364" t="s">
        <v>3</v>
      </c>
      <c r="AS2" s="1165" t="s">
        <v>984</v>
      </c>
      <c r="AT2" s="1163"/>
      <c r="AU2" s="1163"/>
      <c r="AV2" s="1163"/>
      <c r="AW2" s="1163"/>
      <c r="AX2" s="1163"/>
      <c r="AY2" s="1163"/>
      <c r="AZ2" s="1163"/>
      <c r="BA2" s="1163"/>
      <c r="BB2" s="1163"/>
      <c r="BC2" s="1163"/>
      <c r="BD2" s="1163"/>
      <c r="BE2" s="1163"/>
      <c r="BF2" s="1163"/>
      <c r="BG2" s="1163"/>
      <c r="BH2" s="1163"/>
      <c r="BI2" s="1163"/>
      <c r="BJ2" s="1163"/>
      <c r="BK2" s="1163"/>
      <c r="BL2" s="1163"/>
      <c r="BM2" s="1163"/>
    </row>
    <row r="3" spans="1:65" ht="27.75" customHeight="1" x14ac:dyDescent="0.25">
      <c r="A3" s="3758"/>
      <c r="B3" s="3758"/>
      <c r="C3" s="3758"/>
      <c r="D3" s="3758"/>
      <c r="E3" s="3758"/>
      <c r="F3" s="3758"/>
      <c r="G3" s="3758"/>
      <c r="H3" s="3758"/>
      <c r="I3" s="3758"/>
      <c r="J3" s="3758"/>
      <c r="K3" s="3758"/>
      <c r="L3" s="3758"/>
      <c r="M3" s="3758"/>
      <c r="N3" s="3758"/>
      <c r="O3" s="3758"/>
      <c r="P3" s="3758"/>
      <c r="Q3" s="3758"/>
      <c r="R3" s="3758"/>
      <c r="S3" s="3758"/>
      <c r="T3" s="3758"/>
      <c r="U3" s="3758"/>
      <c r="V3" s="3758"/>
      <c r="W3" s="3758"/>
      <c r="X3" s="3758"/>
      <c r="Y3" s="3758"/>
      <c r="Z3" s="3758"/>
      <c r="AA3" s="3758"/>
      <c r="AB3" s="3758"/>
      <c r="AC3" s="3758"/>
      <c r="AD3" s="3758"/>
      <c r="AE3" s="3758"/>
      <c r="AF3" s="3758"/>
      <c r="AG3" s="3758"/>
      <c r="AH3" s="3758"/>
      <c r="AI3" s="3758"/>
      <c r="AJ3" s="3758"/>
      <c r="AK3" s="3758"/>
      <c r="AL3" s="3758"/>
      <c r="AM3" s="3758"/>
      <c r="AN3" s="3758"/>
      <c r="AO3" s="3758"/>
      <c r="AP3" s="3758"/>
      <c r="AQ3" s="3759"/>
      <c r="AR3" s="364" t="s">
        <v>4</v>
      </c>
      <c r="AS3" s="1166" t="s">
        <v>985</v>
      </c>
      <c r="AT3" s="1163"/>
      <c r="AU3" s="1163"/>
      <c r="AV3" s="1163"/>
      <c r="AW3" s="1163"/>
      <c r="AX3" s="1163"/>
      <c r="AY3" s="1163"/>
      <c r="AZ3" s="1163"/>
      <c r="BA3" s="1163"/>
      <c r="BB3" s="1163"/>
      <c r="BC3" s="1163"/>
      <c r="BD3" s="1163"/>
      <c r="BE3" s="1163"/>
      <c r="BF3" s="1163"/>
      <c r="BG3" s="1163"/>
      <c r="BH3" s="1163"/>
      <c r="BI3" s="1163"/>
      <c r="BJ3" s="1163"/>
      <c r="BK3" s="1163"/>
      <c r="BL3" s="1163"/>
      <c r="BM3" s="1163"/>
    </row>
    <row r="4" spans="1:65" ht="27.75" customHeight="1" x14ac:dyDescent="0.25">
      <c r="A4" s="2832"/>
      <c r="B4" s="2832"/>
      <c r="C4" s="2832"/>
      <c r="D4" s="2832"/>
      <c r="E4" s="2832"/>
      <c r="F4" s="2832"/>
      <c r="G4" s="2832"/>
      <c r="H4" s="2832"/>
      <c r="I4" s="2832"/>
      <c r="J4" s="2832"/>
      <c r="K4" s="2832"/>
      <c r="L4" s="2832"/>
      <c r="M4" s="2832"/>
      <c r="N4" s="2832"/>
      <c r="O4" s="2832"/>
      <c r="P4" s="2832"/>
      <c r="Q4" s="2832"/>
      <c r="R4" s="2832"/>
      <c r="S4" s="2832"/>
      <c r="T4" s="2832"/>
      <c r="U4" s="2832"/>
      <c r="V4" s="2832"/>
      <c r="W4" s="2832"/>
      <c r="X4" s="2832"/>
      <c r="Y4" s="2832"/>
      <c r="Z4" s="2832"/>
      <c r="AA4" s="2832"/>
      <c r="AB4" s="2832"/>
      <c r="AC4" s="2832"/>
      <c r="AD4" s="2832"/>
      <c r="AE4" s="2832"/>
      <c r="AF4" s="2832"/>
      <c r="AG4" s="2832"/>
      <c r="AH4" s="2832"/>
      <c r="AI4" s="2832"/>
      <c r="AJ4" s="2832"/>
      <c r="AK4" s="2832"/>
      <c r="AL4" s="2832"/>
      <c r="AM4" s="2832"/>
      <c r="AN4" s="2832"/>
      <c r="AO4" s="2832"/>
      <c r="AP4" s="2832"/>
      <c r="AQ4" s="3760"/>
      <c r="AR4" s="364" t="s">
        <v>5</v>
      </c>
      <c r="AS4" s="365" t="s">
        <v>114</v>
      </c>
      <c r="AT4" s="1163"/>
      <c r="AU4" s="1163"/>
      <c r="AV4" s="1163"/>
      <c r="AW4" s="1163"/>
      <c r="AX4" s="1163"/>
      <c r="AY4" s="1163"/>
      <c r="AZ4" s="1163"/>
      <c r="BA4" s="1163"/>
      <c r="BB4" s="1163"/>
      <c r="BC4" s="1163"/>
      <c r="BD4" s="1163"/>
      <c r="BE4" s="1163"/>
      <c r="BF4" s="1163"/>
      <c r="BG4" s="1163"/>
      <c r="BH4" s="1163"/>
      <c r="BI4" s="1163"/>
      <c r="BJ4" s="1163"/>
      <c r="BK4" s="1163"/>
      <c r="BL4" s="1163"/>
      <c r="BM4" s="1163"/>
    </row>
    <row r="5" spans="1:65" ht="27.75" customHeight="1" x14ac:dyDescent="0.25">
      <c r="A5" s="2831" t="s">
        <v>1637</v>
      </c>
      <c r="B5" s="2831"/>
      <c r="C5" s="2831"/>
      <c r="D5" s="2831"/>
      <c r="E5" s="2831"/>
      <c r="F5" s="2831"/>
      <c r="G5" s="2831"/>
      <c r="H5" s="2831"/>
      <c r="I5" s="2831"/>
      <c r="J5" s="2831"/>
      <c r="K5" s="2831"/>
      <c r="L5" s="2831"/>
      <c r="M5" s="2831"/>
      <c r="N5" s="2831"/>
      <c r="O5" s="2831"/>
      <c r="P5" s="2833"/>
      <c r="Q5" s="2833"/>
      <c r="R5" s="2833"/>
      <c r="S5" s="2833"/>
      <c r="T5" s="2833"/>
      <c r="U5" s="2833"/>
      <c r="V5" s="2833"/>
      <c r="W5" s="2833"/>
      <c r="X5" s="2833"/>
      <c r="Y5" s="2833"/>
      <c r="Z5" s="2833"/>
      <c r="AA5" s="2833"/>
      <c r="AB5" s="2833"/>
      <c r="AC5" s="2833"/>
      <c r="AD5" s="2833"/>
      <c r="AE5" s="2833"/>
      <c r="AF5" s="2833"/>
      <c r="AG5" s="2833"/>
      <c r="AH5" s="2833"/>
      <c r="AI5" s="2833"/>
      <c r="AJ5" s="2833"/>
      <c r="AK5" s="2833"/>
      <c r="AL5" s="2833"/>
      <c r="AM5" s="2833"/>
      <c r="AN5" s="2833"/>
      <c r="AO5" s="2833"/>
      <c r="AP5" s="2833"/>
      <c r="AQ5" s="2833"/>
      <c r="AR5" s="2833"/>
      <c r="AS5" s="2833"/>
      <c r="AT5" s="1163"/>
      <c r="AU5" s="1163"/>
      <c r="AV5" s="1163"/>
      <c r="AW5" s="1163"/>
      <c r="AX5" s="1163"/>
      <c r="AY5" s="1163"/>
      <c r="AZ5" s="1163"/>
      <c r="BA5" s="1163"/>
      <c r="BB5" s="1163"/>
      <c r="BC5" s="1163"/>
      <c r="BD5" s="1163"/>
      <c r="BE5" s="1163"/>
      <c r="BF5" s="1163"/>
      <c r="BG5" s="1163"/>
      <c r="BH5" s="1163"/>
      <c r="BI5" s="1163"/>
      <c r="BJ5" s="1163"/>
      <c r="BK5" s="1163"/>
      <c r="BL5" s="1163"/>
      <c r="BM5" s="1163"/>
    </row>
    <row r="6" spans="1:65" ht="27.75" customHeight="1" x14ac:dyDescent="0.25">
      <c r="A6" s="2832"/>
      <c r="B6" s="2832"/>
      <c r="C6" s="2832"/>
      <c r="D6" s="2832"/>
      <c r="E6" s="2832"/>
      <c r="F6" s="2832"/>
      <c r="G6" s="2832"/>
      <c r="H6" s="2832"/>
      <c r="I6" s="2832"/>
      <c r="J6" s="2832"/>
      <c r="K6" s="2832"/>
      <c r="L6" s="2832"/>
      <c r="M6" s="2832"/>
      <c r="N6" s="2832"/>
      <c r="O6" s="2681"/>
      <c r="P6" s="337"/>
      <c r="Q6" s="1167"/>
      <c r="R6" s="1168"/>
      <c r="S6" s="337"/>
      <c r="T6" s="1167"/>
      <c r="U6" s="1167"/>
      <c r="V6" s="1167"/>
      <c r="W6" s="337"/>
      <c r="X6" s="1169"/>
      <c r="Y6" s="1169"/>
      <c r="Z6" s="1169"/>
      <c r="AA6" s="3761" t="s">
        <v>8</v>
      </c>
      <c r="AB6" s="2832"/>
      <c r="AC6" s="2832"/>
      <c r="AD6" s="2832"/>
      <c r="AE6" s="2832"/>
      <c r="AF6" s="2832"/>
      <c r="AG6" s="2832"/>
      <c r="AH6" s="2832"/>
      <c r="AI6" s="2832"/>
      <c r="AJ6" s="2832"/>
      <c r="AK6" s="2832"/>
      <c r="AL6" s="2832"/>
      <c r="AM6" s="2832"/>
      <c r="AN6" s="2832"/>
      <c r="AO6" s="3760"/>
      <c r="AP6" s="1169"/>
      <c r="AQ6" s="1169"/>
      <c r="AR6" s="1169"/>
      <c r="AS6" s="1170"/>
      <c r="AT6" s="1163"/>
      <c r="AU6" s="1163"/>
      <c r="AV6" s="1163"/>
      <c r="AW6" s="1163"/>
      <c r="AX6" s="1163"/>
      <c r="AY6" s="1163"/>
      <c r="AZ6" s="1163"/>
      <c r="BA6" s="1163"/>
      <c r="BB6" s="1163"/>
      <c r="BC6" s="1163"/>
      <c r="BD6" s="1163"/>
      <c r="BE6" s="1163"/>
      <c r="BF6" s="1163"/>
      <c r="BG6" s="1163"/>
      <c r="BH6" s="1163"/>
      <c r="BI6" s="1163"/>
      <c r="BJ6" s="1163"/>
      <c r="BK6" s="1163"/>
      <c r="BL6" s="1163"/>
      <c r="BM6" s="1163"/>
    </row>
    <row r="7" spans="1:65" ht="27.75" customHeight="1" x14ac:dyDescent="0.25">
      <c r="A7" s="3762" t="s">
        <v>9</v>
      </c>
      <c r="B7" s="3763"/>
      <c r="C7" s="3764" t="s">
        <v>10</v>
      </c>
      <c r="D7" s="3762"/>
      <c r="E7" s="3762" t="s">
        <v>11</v>
      </c>
      <c r="F7" s="3763"/>
      <c r="G7" s="3764" t="s">
        <v>12</v>
      </c>
      <c r="H7" s="3762"/>
      <c r="I7" s="3762"/>
      <c r="J7" s="3762"/>
      <c r="K7" s="3764" t="s">
        <v>13</v>
      </c>
      <c r="L7" s="3762"/>
      <c r="M7" s="3762"/>
      <c r="N7" s="3762"/>
      <c r="O7" s="3765" t="s">
        <v>14</v>
      </c>
      <c r="P7" s="3765"/>
      <c r="Q7" s="3765"/>
      <c r="R7" s="3765"/>
      <c r="S7" s="3765"/>
      <c r="T7" s="3765"/>
      <c r="U7" s="3765"/>
      <c r="V7" s="3765"/>
      <c r="W7" s="3765"/>
      <c r="X7" s="2838" t="s">
        <v>15</v>
      </c>
      <c r="Y7" s="2838"/>
      <c r="Z7" s="3757"/>
      <c r="AA7" s="2277" t="s">
        <v>16</v>
      </c>
      <c r="AB7" s="2277"/>
      <c r="AC7" s="2050" t="s">
        <v>17</v>
      </c>
      <c r="AD7" s="2050"/>
      <c r="AE7" s="2050"/>
      <c r="AF7" s="2050"/>
      <c r="AG7" s="2216" t="s">
        <v>18</v>
      </c>
      <c r="AH7" s="2217"/>
      <c r="AI7" s="2217"/>
      <c r="AJ7" s="2217"/>
      <c r="AK7" s="2217"/>
      <c r="AL7" s="2934"/>
      <c r="AM7" s="2050" t="s">
        <v>19</v>
      </c>
      <c r="AN7" s="2050"/>
      <c r="AO7" s="2050"/>
      <c r="AP7" s="2935" t="s">
        <v>20</v>
      </c>
      <c r="AQ7" s="2841" t="s">
        <v>21</v>
      </c>
      <c r="AR7" s="2841" t="s">
        <v>22</v>
      </c>
      <c r="AS7" s="3767" t="s">
        <v>23</v>
      </c>
      <c r="AT7" s="1163"/>
      <c r="AU7" s="1163"/>
      <c r="AV7" s="1163"/>
      <c r="AW7" s="1163"/>
      <c r="AX7" s="1163"/>
      <c r="AY7" s="1163"/>
      <c r="AZ7" s="1163"/>
      <c r="BA7" s="1163"/>
      <c r="BB7" s="1163"/>
      <c r="BC7" s="1163"/>
      <c r="BD7" s="1163"/>
      <c r="BE7" s="1163"/>
      <c r="BF7" s="1163"/>
      <c r="BG7" s="1163"/>
      <c r="BH7" s="1163"/>
      <c r="BI7" s="1163"/>
      <c r="BJ7" s="1163"/>
      <c r="BK7" s="1163"/>
      <c r="BL7" s="1163"/>
      <c r="BM7" s="1163"/>
    </row>
    <row r="8" spans="1:65" ht="128.25" customHeight="1" x14ac:dyDescent="0.25">
      <c r="A8" s="1171" t="s">
        <v>24</v>
      </c>
      <c r="B8" s="1172" t="s">
        <v>25</v>
      </c>
      <c r="C8" s="1171" t="s">
        <v>24</v>
      </c>
      <c r="D8" s="1172" t="s">
        <v>25</v>
      </c>
      <c r="E8" s="1173" t="s">
        <v>24</v>
      </c>
      <c r="F8" s="1172" t="s">
        <v>25</v>
      </c>
      <c r="G8" s="1174" t="s">
        <v>26</v>
      </c>
      <c r="H8" s="1174" t="s">
        <v>27</v>
      </c>
      <c r="I8" s="1174" t="s">
        <v>28</v>
      </c>
      <c r="J8" s="1174" t="s">
        <v>117</v>
      </c>
      <c r="K8" s="1174" t="s">
        <v>26</v>
      </c>
      <c r="L8" s="1174" t="s">
        <v>30</v>
      </c>
      <c r="M8" s="1172" t="s">
        <v>31</v>
      </c>
      <c r="N8" s="1175" t="s">
        <v>32</v>
      </c>
      <c r="O8" s="1176" t="s">
        <v>116</v>
      </c>
      <c r="P8" s="1176" t="s">
        <v>34</v>
      </c>
      <c r="Q8" s="1176" t="s">
        <v>35</v>
      </c>
      <c r="R8" s="1177" t="s">
        <v>36</v>
      </c>
      <c r="S8" s="1178" t="s">
        <v>37</v>
      </c>
      <c r="T8" s="1176" t="s">
        <v>38</v>
      </c>
      <c r="U8" s="1176" t="s">
        <v>39</v>
      </c>
      <c r="V8" s="1176" t="s">
        <v>40</v>
      </c>
      <c r="W8" s="1178" t="s">
        <v>37</v>
      </c>
      <c r="X8" s="1173" t="s">
        <v>42</v>
      </c>
      <c r="Y8" s="1179" t="s">
        <v>43</v>
      </c>
      <c r="Z8" s="1174" t="s">
        <v>25</v>
      </c>
      <c r="AA8" s="1180" t="s">
        <v>44</v>
      </c>
      <c r="AB8" s="1181" t="s">
        <v>45</v>
      </c>
      <c r="AC8" s="1182" t="s">
        <v>46</v>
      </c>
      <c r="AD8" s="1182" t="s">
        <v>47</v>
      </c>
      <c r="AE8" s="1182" t="s">
        <v>48</v>
      </c>
      <c r="AF8" s="1182" t="s">
        <v>49</v>
      </c>
      <c r="AG8" s="1182" t="s">
        <v>50</v>
      </c>
      <c r="AH8" s="1182" t="s">
        <v>51</v>
      </c>
      <c r="AI8" s="1182" t="s">
        <v>52</v>
      </c>
      <c r="AJ8" s="1182" t="s">
        <v>120</v>
      </c>
      <c r="AK8" s="1182" t="s">
        <v>54</v>
      </c>
      <c r="AL8" s="1182" t="s">
        <v>55</v>
      </c>
      <c r="AM8" s="1182" t="s">
        <v>56</v>
      </c>
      <c r="AN8" s="1182" t="s">
        <v>57</v>
      </c>
      <c r="AO8" s="1182" t="s">
        <v>58</v>
      </c>
      <c r="AP8" s="2936"/>
      <c r="AQ8" s="3766"/>
      <c r="AR8" s="3766"/>
      <c r="AS8" s="3768"/>
      <c r="AT8" s="1163"/>
      <c r="AU8" s="1163"/>
      <c r="AV8" s="1163"/>
      <c r="AW8" s="1163"/>
      <c r="AX8" s="1163"/>
      <c r="AY8" s="1163"/>
      <c r="AZ8" s="1163"/>
      <c r="BA8" s="1163"/>
      <c r="BB8" s="1163"/>
      <c r="BC8" s="1163"/>
      <c r="BD8" s="1163"/>
      <c r="BE8" s="1163"/>
      <c r="BF8" s="1163"/>
      <c r="BG8" s="1163"/>
      <c r="BH8" s="1163"/>
      <c r="BI8" s="1163"/>
      <c r="BJ8" s="1163"/>
      <c r="BK8" s="1163"/>
      <c r="BL8" s="1163"/>
      <c r="BM8" s="1163"/>
    </row>
    <row r="9" spans="1:65" ht="22.5" customHeight="1" x14ac:dyDescent="0.25">
      <c r="A9" s="1183">
        <v>1</v>
      </c>
      <c r="B9" s="3751" t="s">
        <v>1464</v>
      </c>
      <c r="C9" s="3752"/>
      <c r="D9" s="3752"/>
      <c r="E9" s="3752"/>
      <c r="F9" s="3752"/>
      <c r="G9" s="3752"/>
      <c r="H9" s="3752"/>
      <c r="I9" s="3752"/>
      <c r="J9" s="3752"/>
      <c r="K9" s="3752"/>
      <c r="L9" s="3752"/>
      <c r="M9" s="1184"/>
      <c r="N9" s="1185"/>
      <c r="O9" s="1184"/>
      <c r="P9" s="1184"/>
      <c r="Q9" s="1185"/>
      <c r="R9" s="1186"/>
      <c r="S9" s="1187"/>
      <c r="T9" s="1185"/>
      <c r="U9" s="1185"/>
      <c r="V9" s="1185"/>
      <c r="W9" s="1187"/>
      <c r="X9" s="1184"/>
      <c r="Y9" s="1188"/>
      <c r="Z9" s="1184"/>
      <c r="AA9" s="1184"/>
      <c r="AB9" s="1184"/>
      <c r="AC9" s="1184"/>
      <c r="AD9" s="1184"/>
      <c r="AE9" s="1184"/>
      <c r="AF9" s="1184"/>
      <c r="AG9" s="1184"/>
      <c r="AH9" s="1184"/>
      <c r="AI9" s="1184"/>
      <c r="AJ9" s="1184"/>
      <c r="AK9" s="1184"/>
      <c r="AL9" s="1184"/>
      <c r="AM9" s="1184"/>
      <c r="AN9" s="1184"/>
      <c r="AO9" s="1184"/>
      <c r="AP9" s="1184"/>
      <c r="AQ9" s="1189"/>
      <c r="AR9" s="1189"/>
      <c r="AS9" s="1190"/>
      <c r="AT9" s="1163"/>
      <c r="AU9" s="1163"/>
      <c r="AV9" s="1163"/>
      <c r="AW9" s="1163"/>
      <c r="AX9" s="1163"/>
      <c r="AY9" s="1163"/>
      <c r="AZ9" s="1163"/>
      <c r="BA9" s="1163"/>
      <c r="BB9" s="1163"/>
      <c r="BC9" s="1163"/>
      <c r="BD9" s="1163"/>
      <c r="BE9" s="1163"/>
      <c r="BF9" s="1163"/>
      <c r="BG9" s="1163"/>
      <c r="BH9" s="1163"/>
      <c r="BI9" s="1163"/>
      <c r="BJ9" s="1163"/>
      <c r="BK9" s="1163"/>
      <c r="BL9" s="1163"/>
      <c r="BM9" s="1163"/>
    </row>
    <row r="10" spans="1:65" s="280" customFormat="1" ht="22.5" customHeight="1" x14ac:dyDescent="0.25">
      <c r="A10" s="1191"/>
      <c r="B10" s="382"/>
      <c r="C10" s="38">
        <v>23</v>
      </c>
      <c r="D10" s="2545" t="s">
        <v>1638</v>
      </c>
      <c r="E10" s="2044"/>
      <c r="F10" s="2044"/>
      <c r="G10" s="2044"/>
      <c r="H10" s="2044"/>
      <c r="I10" s="1192"/>
      <c r="J10" s="1193"/>
      <c r="K10" s="1194"/>
      <c r="L10" s="1193"/>
      <c r="M10" s="1194"/>
      <c r="N10" s="1193"/>
      <c r="O10" s="1194"/>
      <c r="P10" s="1194"/>
      <c r="Q10" s="1193"/>
      <c r="R10" s="1195"/>
      <c r="S10" s="1196"/>
      <c r="T10" s="1193"/>
      <c r="U10" s="1193"/>
      <c r="V10" s="1193"/>
      <c r="W10" s="1196"/>
      <c r="X10" s="1194"/>
      <c r="Y10" s="1197"/>
      <c r="Z10" s="1194"/>
      <c r="AA10" s="1194"/>
      <c r="AB10" s="1194"/>
      <c r="AC10" s="1194"/>
      <c r="AD10" s="1194"/>
      <c r="AE10" s="1194"/>
      <c r="AF10" s="1194"/>
      <c r="AG10" s="1194"/>
      <c r="AH10" s="1194"/>
      <c r="AI10" s="1194"/>
      <c r="AJ10" s="1194"/>
      <c r="AK10" s="1194"/>
      <c r="AL10" s="1194"/>
      <c r="AM10" s="1194"/>
      <c r="AN10" s="1194"/>
      <c r="AO10" s="1194"/>
      <c r="AP10" s="1194"/>
      <c r="AQ10" s="1198"/>
      <c r="AR10" s="1198"/>
      <c r="AS10" s="1199"/>
    </row>
    <row r="11" spans="1:65" s="1163" customFormat="1" ht="20.25" customHeight="1" x14ac:dyDescent="0.25">
      <c r="A11" s="3753"/>
      <c r="B11" s="3754"/>
      <c r="C11" s="1200"/>
      <c r="D11" s="1201"/>
      <c r="E11" s="783">
        <v>2301</v>
      </c>
      <c r="F11" s="2090" t="s">
        <v>1639</v>
      </c>
      <c r="G11" s="2784"/>
      <c r="H11" s="2784"/>
      <c r="I11" s="2784"/>
      <c r="J11" s="2784"/>
      <c r="K11" s="2784"/>
      <c r="L11" s="2784"/>
      <c r="M11" s="2784"/>
      <c r="N11" s="2784"/>
      <c r="O11" s="2784"/>
      <c r="P11" s="2091"/>
      <c r="Q11" s="2091"/>
      <c r="R11" s="1202"/>
      <c r="S11" s="1203"/>
      <c r="T11" s="1204"/>
      <c r="U11" s="1204"/>
      <c r="V11" s="1204"/>
      <c r="W11" s="1203"/>
      <c r="X11" s="1205"/>
      <c r="Y11" s="1206"/>
      <c r="Z11" s="1207"/>
      <c r="AA11" s="1207"/>
      <c r="AB11" s="1207"/>
      <c r="AC11" s="1207"/>
      <c r="AD11" s="1207"/>
      <c r="AE11" s="1207"/>
      <c r="AF11" s="1207"/>
      <c r="AG11" s="1207"/>
      <c r="AH11" s="1207"/>
      <c r="AI11" s="1207"/>
      <c r="AJ11" s="1207"/>
      <c r="AK11" s="1207"/>
      <c r="AL11" s="1207"/>
      <c r="AM11" s="1207"/>
      <c r="AN11" s="1207"/>
      <c r="AO11" s="1207"/>
      <c r="AP11" s="1207"/>
      <c r="AQ11" s="1208"/>
      <c r="AR11" s="1208"/>
      <c r="AS11" s="1209"/>
    </row>
    <row r="12" spans="1:65" s="280" customFormat="1" ht="63.75" customHeight="1" x14ac:dyDescent="0.25">
      <c r="A12" s="3753"/>
      <c r="B12" s="3754"/>
      <c r="C12" s="1210"/>
      <c r="D12" s="1201"/>
      <c r="E12" s="3755"/>
      <c r="F12" s="3756"/>
      <c r="G12" s="2900">
        <v>2301024</v>
      </c>
      <c r="H12" s="2727" t="s">
        <v>1640</v>
      </c>
      <c r="I12" s="2900">
        <v>2301024</v>
      </c>
      <c r="J12" s="2736" t="s">
        <v>1640</v>
      </c>
      <c r="K12" s="2900">
        <v>230102401</v>
      </c>
      <c r="L12" s="2736" t="s">
        <v>1641</v>
      </c>
      <c r="M12" s="2900">
        <v>230102401</v>
      </c>
      <c r="N12" s="2736" t="s">
        <v>1641</v>
      </c>
      <c r="O12" s="2900">
        <v>15</v>
      </c>
      <c r="P12" s="3485" t="s">
        <v>1642</v>
      </c>
      <c r="Q12" s="2517" t="s">
        <v>1643</v>
      </c>
      <c r="R12" s="3721">
        <f>SUM(W12:W19)/S12</f>
        <v>0.75419406378664045</v>
      </c>
      <c r="S12" s="3738">
        <f>SUM(W12:W23)</f>
        <v>325460000</v>
      </c>
      <c r="T12" s="2193" t="s">
        <v>1644</v>
      </c>
      <c r="U12" s="3746" t="s">
        <v>1645</v>
      </c>
      <c r="V12" s="1044" t="s">
        <v>1646</v>
      </c>
      <c r="W12" s="1211">
        <v>6000000</v>
      </c>
      <c r="X12" s="1050" t="s">
        <v>1647</v>
      </c>
      <c r="Y12" s="1212">
        <v>20</v>
      </c>
      <c r="Z12" s="1048" t="s">
        <v>77</v>
      </c>
      <c r="AA12" s="2714">
        <v>295972</v>
      </c>
      <c r="AB12" s="2714">
        <v>294321</v>
      </c>
      <c r="AC12" s="2714">
        <v>132302</v>
      </c>
      <c r="AD12" s="2714">
        <v>43426</v>
      </c>
      <c r="AE12" s="2714">
        <v>313940</v>
      </c>
      <c r="AF12" s="2714">
        <v>100625</v>
      </c>
      <c r="AG12" s="2714">
        <v>2145</v>
      </c>
      <c r="AH12" s="2714">
        <v>12718</v>
      </c>
      <c r="AI12" s="2714">
        <v>36</v>
      </c>
      <c r="AJ12" s="2714">
        <v>0</v>
      </c>
      <c r="AK12" s="2714">
        <v>0</v>
      </c>
      <c r="AL12" s="2714">
        <v>0</v>
      </c>
      <c r="AM12" s="2714">
        <v>70</v>
      </c>
      <c r="AN12" s="2714">
        <v>21944</v>
      </c>
      <c r="AO12" s="2714">
        <v>285</v>
      </c>
      <c r="AP12" s="2714">
        <v>590293</v>
      </c>
      <c r="AQ12" s="3742">
        <v>44197</v>
      </c>
      <c r="AR12" s="3742">
        <v>44561</v>
      </c>
      <c r="AS12" s="2600" t="s">
        <v>1648</v>
      </c>
    </row>
    <row r="13" spans="1:65" s="280" customFormat="1" ht="72" customHeight="1" x14ac:dyDescent="0.25">
      <c r="A13" s="3753"/>
      <c r="B13" s="3754"/>
      <c r="C13" s="1210"/>
      <c r="D13" s="1201"/>
      <c r="E13" s="3756"/>
      <c r="F13" s="3756"/>
      <c r="G13" s="2900"/>
      <c r="H13" s="2727"/>
      <c r="I13" s="2900"/>
      <c r="J13" s="2736"/>
      <c r="K13" s="2900"/>
      <c r="L13" s="2736"/>
      <c r="M13" s="2900"/>
      <c r="N13" s="2736"/>
      <c r="O13" s="2900"/>
      <c r="P13" s="3485"/>
      <c r="Q13" s="2517"/>
      <c r="R13" s="3722"/>
      <c r="S13" s="3739"/>
      <c r="T13" s="2517"/>
      <c r="U13" s="3747"/>
      <c r="V13" s="1044" t="s">
        <v>1649</v>
      </c>
      <c r="W13" s="1211">
        <v>6000000</v>
      </c>
      <c r="X13" s="1050" t="s">
        <v>1650</v>
      </c>
      <c r="Y13" s="1212">
        <v>20</v>
      </c>
      <c r="Z13" s="1048" t="s">
        <v>77</v>
      </c>
      <c r="AA13" s="2522"/>
      <c r="AB13" s="2522"/>
      <c r="AC13" s="2522"/>
      <c r="AD13" s="2522"/>
      <c r="AE13" s="2522"/>
      <c r="AF13" s="2522"/>
      <c r="AG13" s="2522"/>
      <c r="AH13" s="2522"/>
      <c r="AI13" s="2522"/>
      <c r="AJ13" s="2522"/>
      <c r="AK13" s="2522"/>
      <c r="AL13" s="2522"/>
      <c r="AM13" s="2522"/>
      <c r="AN13" s="2522"/>
      <c r="AO13" s="2522"/>
      <c r="AP13" s="2522"/>
      <c r="AQ13" s="3743"/>
      <c r="AR13" s="3743"/>
      <c r="AS13" s="2601"/>
    </row>
    <row r="14" spans="1:65" s="280" customFormat="1" ht="59.25" customHeight="1" x14ac:dyDescent="0.25">
      <c r="A14" s="3753"/>
      <c r="B14" s="3754"/>
      <c r="C14" s="1210"/>
      <c r="D14" s="1201"/>
      <c r="E14" s="1213"/>
      <c r="F14" s="1213"/>
      <c r="G14" s="2900"/>
      <c r="H14" s="2727"/>
      <c r="I14" s="2900"/>
      <c r="J14" s="2736"/>
      <c r="K14" s="2900"/>
      <c r="L14" s="2736"/>
      <c r="M14" s="2900"/>
      <c r="N14" s="2736"/>
      <c r="O14" s="2900"/>
      <c r="P14" s="3485"/>
      <c r="Q14" s="2517"/>
      <c r="R14" s="3722"/>
      <c r="S14" s="3739"/>
      <c r="T14" s="2517"/>
      <c r="U14" s="3747"/>
      <c r="V14" s="1044" t="s">
        <v>1651</v>
      </c>
      <c r="W14" s="1211">
        <v>6000000</v>
      </c>
      <c r="X14" s="1050" t="s">
        <v>1652</v>
      </c>
      <c r="Y14" s="1212">
        <v>20</v>
      </c>
      <c r="Z14" s="1048" t="s">
        <v>77</v>
      </c>
      <c r="AA14" s="2522"/>
      <c r="AB14" s="2522"/>
      <c r="AC14" s="2522"/>
      <c r="AD14" s="2522"/>
      <c r="AE14" s="2522"/>
      <c r="AF14" s="2522"/>
      <c r="AG14" s="2522"/>
      <c r="AH14" s="2522"/>
      <c r="AI14" s="2522"/>
      <c r="AJ14" s="2522"/>
      <c r="AK14" s="2522"/>
      <c r="AL14" s="2522"/>
      <c r="AM14" s="2522"/>
      <c r="AN14" s="2522"/>
      <c r="AO14" s="2522"/>
      <c r="AP14" s="2522"/>
      <c r="AQ14" s="3743"/>
      <c r="AR14" s="3743"/>
      <c r="AS14" s="2601"/>
    </row>
    <row r="15" spans="1:65" s="280" customFormat="1" ht="66" customHeight="1" x14ac:dyDescent="0.25">
      <c r="A15" s="3753"/>
      <c r="B15" s="3754"/>
      <c r="C15" s="1210"/>
      <c r="D15" s="1201"/>
      <c r="E15" s="1213"/>
      <c r="F15" s="1213"/>
      <c r="G15" s="2900"/>
      <c r="H15" s="2727"/>
      <c r="I15" s="2900"/>
      <c r="J15" s="2736"/>
      <c r="K15" s="2900">
        <v>230102404</v>
      </c>
      <c r="L15" s="2736" t="s">
        <v>1653</v>
      </c>
      <c r="M15" s="2900">
        <v>230102404</v>
      </c>
      <c r="N15" s="2736" t="s">
        <v>1653</v>
      </c>
      <c r="O15" s="2900">
        <v>3</v>
      </c>
      <c r="P15" s="3485"/>
      <c r="Q15" s="2517"/>
      <c r="R15" s="3722"/>
      <c r="S15" s="3739"/>
      <c r="T15" s="2517"/>
      <c r="U15" s="3747"/>
      <c r="V15" s="1044" t="s">
        <v>1654</v>
      </c>
      <c r="W15" s="1211">
        <v>30000000</v>
      </c>
      <c r="X15" s="1050" t="s">
        <v>1652</v>
      </c>
      <c r="Y15" s="1212">
        <v>20</v>
      </c>
      <c r="Z15" s="1048" t="s">
        <v>77</v>
      </c>
      <c r="AA15" s="2522"/>
      <c r="AB15" s="2522"/>
      <c r="AC15" s="2522"/>
      <c r="AD15" s="2522"/>
      <c r="AE15" s="2522"/>
      <c r="AF15" s="2522"/>
      <c r="AG15" s="2522"/>
      <c r="AH15" s="2522"/>
      <c r="AI15" s="2522"/>
      <c r="AJ15" s="2522"/>
      <c r="AK15" s="2522"/>
      <c r="AL15" s="2522"/>
      <c r="AM15" s="2522"/>
      <c r="AN15" s="2522"/>
      <c r="AO15" s="2522"/>
      <c r="AP15" s="2522"/>
      <c r="AQ15" s="3743"/>
      <c r="AR15" s="3743"/>
      <c r="AS15" s="2601"/>
    </row>
    <row r="16" spans="1:65" s="280" customFormat="1" ht="66" customHeight="1" x14ac:dyDescent="0.25">
      <c r="A16" s="3753"/>
      <c r="B16" s="3754"/>
      <c r="C16" s="1210"/>
      <c r="D16" s="1201"/>
      <c r="E16" s="1213"/>
      <c r="F16" s="1213"/>
      <c r="G16" s="2900"/>
      <c r="H16" s="2727"/>
      <c r="I16" s="2900"/>
      <c r="J16" s="2736"/>
      <c r="K16" s="2900"/>
      <c r="L16" s="2736"/>
      <c r="M16" s="2900"/>
      <c r="N16" s="2736"/>
      <c r="O16" s="2900"/>
      <c r="P16" s="3485"/>
      <c r="Q16" s="2517"/>
      <c r="R16" s="3722"/>
      <c r="S16" s="3739"/>
      <c r="T16" s="2517"/>
      <c r="U16" s="3747"/>
      <c r="V16" s="2193" t="s">
        <v>1655</v>
      </c>
      <c r="W16" s="1211">
        <v>90000000</v>
      </c>
      <c r="X16" s="1050" t="s">
        <v>1656</v>
      </c>
      <c r="Y16" s="1212">
        <v>20</v>
      </c>
      <c r="Z16" s="1048" t="s">
        <v>77</v>
      </c>
      <c r="AA16" s="2522"/>
      <c r="AB16" s="2522"/>
      <c r="AC16" s="2522"/>
      <c r="AD16" s="2522"/>
      <c r="AE16" s="2522"/>
      <c r="AF16" s="2522"/>
      <c r="AG16" s="2522"/>
      <c r="AH16" s="2522"/>
      <c r="AI16" s="2522"/>
      <c r="AJ16" s="2522"/>
      <c r="AK16" s="2522"/>
      <c r="AL16" s="2522"/>
      <c r="AM16" s="2522"/>
      <c r="AN16" s="2522"/>
      <c r="AO16" s="2522"/>
      <c r="AP16" s="2522"/>
      <c r="AQ16" s="3743"/>
      <c r="AR16" s="3743"/>
      <c r="AS16" s="2601"/>
    </row>
    <row r="17" spans="1:45" s="280" customFormat="1" ht="85.5" customHeight="1" x14ac:dyDescent="0.25">
      <c r="A17" s="3753"/>
      <c r="B17" s="3754"/>
      <c r="C17" s="1210"/>
      <c r="D17" s="1201"/>
      <c r="E17" s="1213"/>
      <c r="F17" s="1213"/>
      <c r="G17" s="2900"/>
      <c r="H17" s="2727"/>
      <c r="I17" s="2900"/>
      <c r="J17" s="2736"/>
      <c r="K17" s="2900"/>
      <c r="L17" s="2736"/>
      <c r="M17" s="2900"/>
      <c r="N17" s="2736"/>
      <c r="O17" s="2900"/>
      <c r="P17" s="3485"/>
      <c r="Q17" s="2517"/>
      <c r="R17" s="3722"/>
      <c r="S17" s="3739"/>
      <c r="T17" s="2517"/>
      <c r="U17" s="3747"/>
      <c r="V17" s="2194"/>
      <c r="W17" s="1211">
        <f>40000000-40000000</f>
        <v>0</v>
      </c>
      <c r="X17" s="1050" t="s">
        <v>1656</v>
      </c>
      <c r="Y17" s="1212">
        <v>20</v>
      </c>
      <c r="Z17" s="1048" t="s">
        <v>77</v>
      </c>
      <c r="AA17" s="2522"/>
      <c r="AB17" s="2522"/>
      <c r="AC17" s="2522"/>
      <c r="AD17" s="2522"/>
      <c r="AE17" s="2522"/>
      <c r="AF17" s="2522"/>
      <c r="AG17" s="2522"/>
      <c r="AH17" s="2522"/>
      <c r="AI17" s="2522"/>
      <c r="AJ17" s="2522"/>
      <c r="AK17" s="2522"/>
      <c r="AL17" s="2522"/>
      <c r="AM17" s="2522"/>
      <c r="AN17" s="2522"/>
      <c r="AO17" s="2522"/>
      <c r="AP17" s="2522"/>
      <c r="AQ17" s="3743"/>
      <c r="AR17" s="3743"/>
      <c r="AS17" s="2601"/>
    </row>
    <row r="18" spans="1:45" s="280" customFormat="1" ht="48" customHeight="1" x14ac:dyDescent="0.25">
      <c r="A18" s="3753"/>
      <c r="B18" s="3754"/>
      <c r="C18" s="1210"/>
      <c r="D18" s="1201"/>
      <c r="E18" s="1213"/>
      <c r="F18" s="1213"/>
      <c r="G18" s="2900"/>
      <c r="H18" s="2727"/>
      <c r="I18" s="2900"/>
      <c r="J18" s="2736"/>
      <c r="K18" s="2900"/>
      <c r="L18" s="2736"/>
      <c r="M18" s="2900"/>
      <c r="N18" s="2736"/>
      <c r="O18" s="2900"/>
      <c r="P18" s="3485"/>
      <c r="Q18" s="2517"/>
      <c r="R18" s="3722"/>
      <c r="S18" s="3739"/>
      <c r="T18" s="2517"/>
      <c r="U18" s="3747"/>
      <c r="V18" s="2193" t="s">
        <v>1657</v>
      </c>
      <c r="W18" s="1211">
        <v>30000000</v>
      </c>
      <c r="X18" s="1050" t="s">
        <v>1658</v>
      </c>
      <c r="Y18" s="1212">
        <v>20</v>
      </c>
      <c r="Z18" s="1048" t="s">
        <v>77</v>
      </c>
      <c r="AA18" s="2522"/>
      <c r="AB18" s="2522"/>
      <c r="AC18" s="2522"/>
      <c r="AD18" s="2522"/>
      <c r="AE18" s="2522"/>
      <c r="AF18" s="2522"/>
      <c r="AG18" s="2522"/>
      <c r="AH18" s="2522"/>
      <c r="AI18" s="2522"/>
      <c r="AJ18" s="2522"/>
      <c r="AK18" s="2522"/>
      <c r="AL18" s="2522"/>
      <c r="AM18" s="2522"/>
      <c r="AN18" s="2522"/>
      <c r="AO18" s="2522"/>
      <c r="AP18" s="2522"/>
      <c r="AQ18" s="3743"/>
      <c r="AR18" s="3743"/>
      <c r="AS18" s="2601"/>
    </row>
    <row r="19" spans="1:45" s="280" customFormat="1" ht="46.5" customHeight="1" x14ac:dyDescent="0.25">
      <c r="A19" s="3753"/>
      <c r="B19" s="3754"/>
      <c r="C19" s="1210"/>
      <c r="D19" s="1201"/>
      <c r="E19" s="1213"/>
      <c r="F19" s="1213"/>
      <c r="G19" s="2900"/>
      <c r="H19" s="2727"/>
      <c r="I19" s="2900"/>
      <c r="J19" s="2736"/>
      <c r="K19" s="2900"/>
      <c r="L19" s="2736"/>
      <c r="M19" s="2900"/>
      <c r="N19" s="2736"/>
      <c r="O19" s="2900"/>
      <c r="P19" s="3485"/>
      <c r="Q19" s="2517"/>
      <c r="R19" s="3723"/>
      <c r="S19" s="3739"/>
      <c r="T19" s="2517"/>
      <c r="U19" s="3748"/>
      <c r="V19" s="2194"/>
      <c r="W19" s="1211">
        <v>77460000</v>
      </c>
      <c r="X19" s="1050" t="s">
        <v>1659</v>
      </c>
      <c r="Y19" s="1212">
        <v>88</v>
      </c>
      <c r="Z19" s="1048" t="s">
        <v>358</v>
      </c>
      <c r="AA19" s="2522"/>
      <c r="AB19" s="2522"/>
      <c r="AC19" s="2522"/>
      <c r="AD19" s="2522"/>
      <c r="AE19" s="2522"/>
      <c r="AF19" s="2522"/>
      <c r="AG19" s="2522"/>
      <c r="AH19" s="2522"/>
      <c r="AI19" s="2522"/>
      <c r="AJ19" s="2522"/>
      <c r="AK19" s="2522"/>
      <c r="AL19" s="2522"/>
      <c r="AM19" s="2522"/>
      <c r="AN19" s="2522"/>
      <c r="AO19" s="2522"/>
      <c r="AP19" s="2522"/>
      <c r="AQ19" s="3743"/>
      <c r="AR19" s="3743"/>
      <c r="AS19" s="2601"/>
    </row>
    <row r="20" spans="1:45" s="280" customFormat="1" ht="72.75" customHeight="1" x14ac:dyDescent="0.25">
      <c r="A20" s="3753"/>
      <c r="B20" s="3754"/>
      <c r="C20" s="1210"/>
      <c r="D20" s="1201"/>
      <c r="E20" s="1213"/>
      <c r="F20" s="1213"/>
      <c r="G20" s="2028">
        <v>2301012</v>
      </c>
      <c r="H20" s="2194" t="s">
        <v>1660</v>
      </c>
      <c r="I20" s="2028">
        <v>2301079</v>
      </c>
      <c r="J20" s="2517" t="s">
        <v>1661</v>
      </c>
      <c r="K20" s="2028">
        <v>230101204</v>
      </c>
      <c r="L20" s="2194" t="s">
        <v>1662</v>
      </c>
      <c r="M20" s="2028">
        <v>230107902</v>
      </c>
      <c r="N20" s="2194" t="s">
        <v>1663</v>
      </c>
      <c r="O20" s="3732">
        <v>13</v>
      </c>
      <c r="P20" s="3485"/>
      <c r="Q20" s="2517"/>
      <c r="R20" s="3721">
        <f>SUM(W20:W22)/S12</f>
        <v>0.24580593621335955</v>
      </c>
      <c r="S20" s="3739"/>
      <c r="T20" s="2517"/>
      <c r="U20" s="3749" t="s">
        <v>1664</v>
      </c>
      <c r="V20" s="1044" t="s">
        <v>1665</v>
      </c>
      <c r="W20" s="1211">
        <v>25000000</v>
      </c>
      <c r="X20" s="1050" t="s">
        <v>1666</v>
      </c>
      <c r="Y20" s="1212">
        <v>20</v>
      </c>
      <c r="Z20" s="1048" t="s">
        <v>77</v>
      </c>
      <c r="AA20" s="2522"/>
      <c r="AB20" s="2522"/>
      <c r="AC20" s="2522"/>
      <c r="AD20" s="2522"/>
      <c r="AE20" s="2522"/>
      <c r="AF20" s="2522"/>
      <c r="AG20" s="2522"/>
      <c r="AH20" s="2522"/>
      <c r="AI20" s="2522"/>
      <c r="AJ20" s="2522"/>
      <c r="AK20" s="2522"/>
      <c r="AL20" s="2522"/>
      <c r="AM20" s="2522"/>
      <c r="AN20" s="2522"/>
      <c r="AO20" s="2522"/>
      <c r="AP20" s="2522"/>
      <c r="AQ20" s="3743"/>
      <c r="AR20" s="3743"/>
      <c r="AS20" s="2601"/>
    </row>
    <row r="21" spans="1:45" s="280" customFormat="1" ht="57.75" customHeight="1" x14ac:dyDescent="0.25">
      <c r="A21" s="3753"/>
      <c r="B21" s="3754"/>
      <c r="C21" s="1210"/>
      <c r="D21" s="1201"/>
      <c r="E21" s="1213"/>
      <c r="F21" s="1213"/>
      <c r="G21" s="2300"/>
      <c r="H21" s="2190"/>
      <c r="I21" s="2300"/>
      <c r="J21" s="2517"/>
      <c r="K21" s="2300"/>
      <c r="L21" s="2190"/>
      <c r="M21" s="2300"/>
      <c r="N21" s="2190"/>
      <c r="O21" s="3732"/>
      <c r="P21" s="3485"/>
      <c r="Q21" s="2517"/>
      <c r="R21" s="3722"/>
      <c r="S21" s="3739"/>
      <c r="T21" s="2517"/>
      <c r="U21" s="3750"/>
      <c r="V21" s="1044" t="s">
        <v>1667</v>
      </c>
      <c r="W21" s="1211">
        <v>30000000</v>
      </c>
      <c r="X21" s="1050" t="s">
        <v>1668</v>
      </c>
      <c r="Y21" s="1212">
        <v>20</v>
      </c>
      <c r="Z21" s="1048" t="s">
        <v>77</v>
      </c>
      <c r="AA21" s="2522"/>
      <c r="AB21" s="2522"/>
      <c r="AC21" s="2522"/>
      <c r="AD21" s="2522"/>
      <c r="AE21" s="2522"/>
      <c r="AF21" s="2522"/>
      <c r="AG21" s="2522"/>
      <c r="AH21" s="2522"/>
      <c r="AI21" s="2522"/>
      <c r="AJ21" s="2522"/>
      <c r="AK21" s="2522"/>
      <c r="AL21" s="2522"/>
      <c r="AM21" s="2522"/>
      <c r="AN21" s="2522"/>
      <c r="AO21" s="2522"/>
      <c r="AP21" s="2522"/>
      <c r="AQ21" s="3743"/>
      <c r="AR21" s="3743"/>
      <c r="AS21" s="2601"/>
    </row>
    <row r="22" spans="1:45" s="280" customFormat="1" ht="57" customHeight="1" x14ac:dyDescent="0.25">
      <c r="A22" s="3753"/>
      <c r="B22" s="3754"/>
      <c r="C22" s="1210"/>
      <c r="D22" s="1201"/>
      <c r="E22" s="1213"/>
      <c r="F22" s="1213"/>
      <c r="G22" s="2300"/>
      <c r="H22" s="2190"/>
      <c r="I22" s="2300"/>
      <c r="J22" s="2517"/>
      <c r="K22" s="2300"/>
      <c r="L22" s="2190"/>
      <c r="M22" s="2300"/>
      <c r="N22" s="2190"/>
      <c r="O22" s="3732"/>
      <c r="P22" s="3485"/>
      <c r="Q22" s="2517"/>
      <c r="R22" s="3722"/>
      <c r="S22" s="3739"/>
      <c r="T22" s="2517"/>
      <c r="U22" s="3750"/>
      <c r="V22" s="1045" t="s">
        <v>1669</v>
      </c>
      <c r="W22" s="1211">
        <v>25000000</v>
      </c>
      <c r="X22" s="1050" t="s">
        <v>1666</v>
      </c>
      <c r="Y22" s="1212">
        <v>20</v>
      </c>
      <c r="Z22" s="1048" t="s">
        <v>77</v>
      </c>
      <c r="AA22" s="2522"/>
      <c r="AB22" s="2522"/>
      <c r="AC22" s="2522"/>
      <c r="AD22" s="2522"/>
      <c r="AE22" s="2522"/>
      <c r="AF22" s="2522"/>
      <c r="AG22" s="2522"/>
      <c r="AH22" s="2522"/>
      <c r="AI22" s="2522"/>
      <c r="AJ22" s="2522"/>
      <c r="AK22" s="2522"/>
      <c r="AL22" s="2522"/>
      <c r="AM22" s="2522"/>
      <c r="AN22" s="2522"/>
      <c r="AO22" s="2522"/>
      <c r="AP22" s="2522"/>
      <c r="AQ22" s="3743"/>
      <c r="AR22" s="3743"/>
      <c r="AS22" s="2601"/>
    </row>
    <row r="23" spans="1:45" s="280" customFormat="1" ht="125.25" customHeight="1" x14ac:dyDescent="0.25">
      <c r="A23" s="3753"/>
      <c r="B23" s="3754"/>
      <c r="C23" s="1210"/>
      <c r="D23" s="1201"/>
      <c r="E23" s="1213"/>
      <c r="F23" s="1213"/>
      <c r="G23" s="1029">
        <v>2301062</v>
      </c>
      <c r="H23" s="1045" t="s">
        <v>1670</v>
      </c>
      <c r="I23" s="1029">
        <v>2301062</v>
      </c>
      <c r="J23" s="1045" t="s">
        <v>1670</v>
      </c>
      <c r="K23" s="1029">
        <v>230106201</v>
      </c>
      <c r="L23" s="1045" t="s">
        <v>1671</v>
      </c>
      <c r="M23" s="1029">
        <v>230106201</v>
      </c>
      <c r="N23" s="1045" t="s">
        <v>1671</v>
      </c>
      <c r="O23" s="1029">
        <v>9</v>
      </c>
      <c r="P23" s="2027"/>
      <c r="Q23" s="2517"/>
      <c r="R23" s="1214">
        <f>SUM(W23)/S12</f>
        <v>0</v>
      </c>
      <c r="S23" s="3739"/>
      <c r="T23" s="2517"/>
      <c r="U23" s="1215" t="s">
        <v>1672</v>
      </c>
      <c r="V23" s="1045" t="s">
        <v>1673</v>
      </c>
      <c r="W23" s="1216">
        <f>50000000-50000000</f>
        <v>0</v>
      </c>
      <c r="X23" s="1050" t="s">
        <v>1674</v>
      </c>
      <c r="Y23" s="1217">
        <v>20</v>
      </c>
      <c r="Z23" s="1029" t="s">
        <v>77</v>
      </c>
      <c r="AA23" s="2523"/>
      <c r="AB23" s="2523"/>
      <c r="AC23" s="2523"/>
      <c r="AD23" s="2523"/>
      <c r="AE23" s="2523"/>
      <c r="AF23" s="2523"/>
      <c r="AG23" s="2523"/>
      <c r="AH23" s="2523"/>
      <c r="AI23" s="2523"/>
      <c r="AJ23" s="2523"/>
      <c r="AK23" s="2523"/>
      <c r="AL23" s="2523"/>
      <c r="AM23" s="2523"/>
      <c r="AN23" s="2523"/>
      <c r="AO23" s="2523"/>
      <c r="AP23" s="2523"/>
      <c r="AQ23" s="3744"/>
      <c r="AR23" s="3744"/>
      <c r="AS23" s="3745"/>
    </row>
    <row r="24" spans="1:45" s="280" customFormat="1" ht="108" customHeight="1" x14ac:dyDescent="0.25">
      <c r="A24" s="3753"/>
      <c r="B24" s="3754"/>
      <c r="C24" s="1210"/>
      <c r="D24" s="1201"/>
      <c r="E24" s="1213"/>
      <c r="F24" s="1213"/>
      <c r="G24" s="1048">
        <v>2301035</v>
      </c>
      <c r="H24" s="1044" t="s">
        <v>1675</v>
      </c>
      <c r="I24" s="1048">
        <v>2301035</v>
      </c>
      <c r="J24" s="1044" t="s">
        <v>1675</v>
      </c>
      <c r="K24" s="1048">
        <v>230103500</v>
      </c>
      <c r="L24" s="1044" t="s">
        <v>1676</v>
      </c>
      <c r="M24" s="1048">
        <v>230103500</v>
      </c>
      <c r="N24" s="1044" t="s">
        <v>1676</v>
      </c>
      <c r="O24" s="1048">
        <v>20</v>
      </c>
      <c r="P24" s="3734">
        <v>2020003630139</v>
      </c>
      <c r="Q24" s="2193" t="s">
        <v>1677</v>
      </c>
      <c r="R24" s="1218">
        <f>SUM(W24)/S24</f>
        <v>0.10328800137717335</v>
      </c>
      <c r="S24" s="3738">
        <f>SUM(W24:W32)</f>
        <v>348540000</v>
      </c>
      <c r="T24" s="2193" t="s">
        <v>1678</v>
      </c>
      <c r="U24" s="1044" t="s">
        <v>1679</v>
      </c>
      <c r="V24" s="1044" t="s">
        <v>1680</v>
      </c>
      <c r="W24" s="1211">
        <v>36000000</v>
      </c>
      <c r="X24" s="1050" t="s">
        <v>1681</v>
      </c>
      <c r="Y24" s="1217">
        <v>20</v>
      </c>
      <c r="Z24" s="1029" t="s">
        <v>77</v>
      </c>
      <c r="AA24" s="2026">
        <v>295972</v>
      </c>
      <c r="AB24" s="2026">
        <v>294321</v>
      </c>
      <c r="AC24" s="2026">
        <v>132302</v>
      </c>
      <c r="AD24" s="2026">
        <v>43426</v>
      </c>
      <c r="AE24" s="2026">
        <v>313940</v>
      </c>
      <c r="AF24" s="2026">
        <v>100625</v>
      </c>
      <c r="AG24" s="2026">
        <v>2145</v>
      </c>
      <c r="AH24" s="2026">
        <v>12718</v>
      </c>
      <c r="AI24" s="2026">
        <v>36</v>
      </c>
      <c r="AJ24" s="2026">
        <v>0</v>
      </c>
      <c r="AK24" s="2026">
        <v>0</v>
      </c>
      <c r="AL24" s="2026">
        <v>0</v>
      </c>
      <c r="AM24" s="2026">
        <v>70</v>
      </c>
      <c r="AN24" s="2026">
        <v>21944</v>
      </c>
      <c r="AO24" s="2026">
        <v>285</v>
      </c>
      <c r="AP24" s="2026">
        <v>590293</v>
      </c>
      <c r="AQ24" s="3741">
        <v>44197</v>
      </c>
      <c r="AR24" s="3741">
        <v>44561</v>
      </c>
      <c r="AS24" s="2026" t="s">
        <v>1648</v>
      </c>
    </row>
    <row r="25" spans="1:45" s="280" customFormat="1" ht="85.5" customHeight="1" x14ac:dyDescent="0.25">
      <c r="A25" s="3753"/>
      <c r="B25" s="3754"/>
      <c r="C25" s="1210"/>
      <c r="D25" s="1201"/>
      <c r="E25" s="1213"/>
      <c r="F25" s="1213"/>
      <c r="G25" s="1048">
        <v>2301015</v>
      </c>
      <c r="H25" s="1044" t="s">
        <v>1682</v>
      </c>
      <c r="I25" s="1048">
        <v>2301015</v>
      </c>
      <c r="J25" s="1044" t="s">
        <v>1682</v>
      </c>
      <c r="K25" s="1048">
        <v>230101500</v>
      </c>
      <c r="L25" s="1044" t="s">
        <v>1683</v>
      </c>
      <c r="M25" s="1048">
        <v>230101500</v>
      </c>
      <c r="N25" s="1044" t="s">
        <v>1683</v>
      </c>
      <c r="O25" s="1048">
        <v>3</v>
      </c>
      <c r="P25" s="3735"/>
      <c r="Q25" s="2517"/>
      <c r="R25" s="1218">
        <f>SUM(W25)/S24</f>
        <v>5.1644000688586676E-2</v>
      </c>
      <c r="S25" s="3739"/>
      <c r="T25" s="2517"/>
      <c r="U25" s="1044" t="s">
        <v>1684</v>
      </c>
      <c r="V25" s="1044" t="s">
        <v>1685</v>
      </c>
      <c r="W25" s="1211">
        <v>18000000</v>
      </c>
      <c r="X25" s="1050" t="s">
        <v>1686</v>
      </c>
      <c r="Y25" s="1217">
        <v>20</v>
      </c>
      <c r="Z25" s="1029" t="s">
        <v>77</v>
      </c>
      <c r="AA25" s="2027"/>
      <c r="AB25" s="2027"/>
      <c r="AC25" s="2027"/>
      <c r="AD25" s="2027"/>
      <c r="AE25" s="2027"/>
      <c r="AF25" s="2027"/>
      <c r="AG25" s="2027"/>
      <c r="AH25" s="2027"/>
      <c r="AI25" s="2027"/>
      <c r="AJ25" s="2027"/>
      <c r="AK25" s="2027"/>
      <c r="AL25" s="2027"/>
      <c r="AM25" s="2027"/>
      <c r="AN25" s="2027"/>
      <c r="AO25" s="2027"/>
      <c r="AP25" s="2027"/>
      <c r="AQ25" s="2027"/>
      <c r="AR25" s="2027"/>
      <c r="AS25" s="2027"/>
    </row>
    <row r="26" spans="1:45" s="280" customFormat="1" ht="60" customHeight="1" x14ac:dyDescent="0.25">
      <c r="A26" s="3753"/>
      <c r="B26" s="3754"/>
      <c r="C26" s="1210"/>
      <c r="D26" s="1201"/>
      <c r="E26" s="1213"/>
      <c r="F26" s="1213"/>
      <c r="G26" s="2026">
        <v>2301030</v>
      </c>
      <c r="H26" s="2193" t="s">
        <v>1687</v>
      </c>
      <c r="I26" s="2026">
        <v>2301030</v>
      </c>
      <c r="J26" s="2193" t="s">
        <v>1687</v>
      </c>
      <c r="K26" s="2026">
        <v>230103000</v>
      </c>
      <c r="L26" s="2193" t="s">
        <v>1688</v>
      </c>
      <c r="M26" s="2026">
        <v>230103000</v>
      </c>
      <c r="N26" s="2193" t="s">
        <v>1688</v>
      </c>
      <c r="O26" s="2026">
        <v>2500</v>
      </c>
      <c r="P26" s="3735"/>
      <c r="Q26" s="2517"/>
      <c r="R26" s="3721">
        <f>SUM(W26:W28)/S24</f>
        <v>0.74177999655706661</v>
      </c>
      <c r="S26" s="3739"/>
      <c r="T26" s="2517"/>
      <c r="U26" s="2193" t="s">
        <v>1689</v>
      </c>
      <c r="V26" s="2193" t="s">
        <v>1690</v>
      </c>
      <c r="W26" s="1211">
        <v>30000000</v>
      </c>
      <c r="X26" s="1050" t="s">
        <v>1691</v>
      </c>
      <c r="Y26" s="1217">
        <v>20</v>
      </c>
      <c r="Z26" s="1029" t="s">
        <v>77</v>
      </c>
      <c r="AA26" s="2027"/>
      <c r="AB26" s="2027"/>
      <c r="AC26" s="2027"/>
      <c r="AD26" s="2027"/>
      <c r="AE26" s="2027"/>
      <c r="AF26" s="2027"/>
      <c r="AG26" s="2027"/>
      <c r="AH26" s="2027"/>
      <c r="AI26" s="2027"/>
      <c r="AJ26" s="2027"/>
      <c r="AK26" s="2027"/>
      <c r="AL26" s="2027"/>
      <c r="AM26" s="2027"/>
      <c r="AN26" s="2027"/>
      <c r="AO26" s="2027"/>
      <c r="AP26" s="2027"/>
      <c r="AQ26" s="2027"/>
      <c r="AR26" s="2027"/>
      <c r="AS26" s="2027"/>
    </row>
    <row r="27" spans="1:45" s="280" customFormat="1" ht="60" customHeight="1" x14ac:dyDescent="0.25">
      <c r="A27" s="3753"/>
      <c r="B27" s="3754"/>
      <c r="C27" s="1210"/>
      <c r="D27" s="1201"/>
      <c r="E27" s="1213"/>
      <c r="F27" s="1213"/>
      <c r="G27" s="2027"/>
      <c r="H27" s="2517"/>
      <c r="I27" s="2027"/>
      <c r="J27" s="2517"/>
      <c r="K27" s="2027"/>
      <c r="L27" s="2517"/>
      <c r="M27" s="2027"/>
      <c r="N27" s="2517"/>
      <c r="O27" s="2027"/>
      <c r="P27" s="3735"/>
      <c r="Q27" s="2517"/>
      <c r="R27" s="3722"/>
      <c r="S27" s="3739"/>
      <c r="T27" s="2517"/>
      <c r="U27" s="2517"/>
      <c r="V27" s="2194"/>
      <c r="W27" s="1211">
        <v>222540000</v>
      </c>
      <c r="X27" s="1050" t="s">
        <v>1692</v>
      </c>
      <c r="Y27" s="1217">
        <v>88</v>
      </c>
      <c r="Z27" s="1048" t="s">
        <v>358</v>
      </c>
      <c r="AA27" s="2027"/>
      <c r="AB27" s="2027"/>
      <c r="AC27" s="2027"/>
      <c r="AD27" s="2027"/>
      <c r="AE27" s="2027"/>
      <c r="AF27" s="2027"/>
      <c r="AG27" s="2027"/>
      <c r="AH27" s="2027"/>
      <c r="AI27" s="2027"/>
      <c r="AJ27" s="2027"/>
      <c r="AK27" s="2027"/>
      <c r="AL27" s="2027"/>
      <c r="AM27" s="2027"/>
      <c r="AN27" s="2027"/>
      <c r="AO27" s="2027"/>
      <c r="AP27" s="2027"/>
      <c r="AQ27" s="2027"/>
      <c r="AR27" s="2027"/>
      <c r="AS27" s="2027"/>
    </row>
    <row r="28" spans="1:45" s="280" customFormat="1" ht="66" customHeight="1" x14ac:dyDescent="0.25">
      <c r="A28" s="3753"/>
      <c r="B28" s="3754"/>
      <c r="C28" s="1210"/>
      <c r="D28" s="1201"/>
      <c r="E28" s="1213"/>
      <c r="F28" s="1213"/>
      <c r="G28" s="2028"/>
      <c r="H28" s="2194"/>
      <c r="I28" s="2028"/>
      <c r="J28" s="2194"/>
      <c r="K28" s="2028"/>
      <c r="L28" s="2194"/>
      <c r="M28" s="2028"/>
      <c r="N28" s="2194"/>
      <c r="O28" s="2027"/>
      <c r="P28" s="3735"/>
      <c r="Q28" s="2517"/>
      <c r="R28" s="3723"/>
      <c r="S28" s="3739"/>
      <c r="T28" s="2517"/>
      <c r="U28" s="2194"/>
      <c r="V28" s="1044" t="s">
        <v>1693</v>
      </c>
      <c r="W28" s="1211">
        <v>6000000</v>
      </c>
      <c r="X28" s="1050" t="s">
        <v>1691</v>
      </c>
      <c r="Y28" s="1217">
        <v>20</v>
      </c>
      <c r="Z28" s="1029" t="s">
        <v>77</v>
      </c>
      <c r="AA28" s="2027"/>
      <c r="AB28" s="2027"/>
      <c r="AC28" s="2027"/>
      <c r="AD28" s="2027"/>
      <c r="AE28" s="2027"/>
      <c r="AF28" s="2027"/>
      <c r="AG28" s="2027"/>
      <c r="AH28" s="2027"/>
      <c r="AI28" s="2027"/>
      <c r="AJ28" s="2027"/>
      <c r="AK28" s="2027"/>
      <c r="AL28" s="2027"/>
      <c r="AM28" s="2027"/>
      <c r="AN28" s="2027"/>
      <c r="AO28" s="2027"/>
      <c r="AP28" s="2027"/>
      <c r="AQ28" s="2027"/>
      <c r="AR28" s="2027"/>
      <c r="AS28" s="2027"/>
    </row>
    <row r="29" spans="1:45" s="280" customFormat="1" ht="106.5" customHeight="1" x14ac:dyDescent="0.25">
      <c r="A29" s="3753"/>
      <c r="B29" s="3754"/>
      <c r="C29" s="1210"/>
      <c r="D29" s="1201"/>
      <c r="E29" s="1213"/>
      <c r="F29" s="1213"/>
      <c r="G29" s="1029">
        <v>2301004</v>
      </c>
      <c r="H29" s="1045" t="s">
        <v>1694</v>
      </c>
      <c r="I29" s="1029">
        <v>2301004</v>
      </c>
      <c r="J29" s="1045" t="s">
        <v>1694</v>
      </c>
      <c r="K29" s="1029">
        <v>230100400</v>
      </c>
      <c r="L29" s="1045" t="s">
        <v>1695</v>
      </c>
      <c r="M29" s="1029">
        <v>230100400</v>
      </c>
      <c r="N29" s="1219" t="s">
        <v>1695</v>
      </c>
      <c r="O29" s="1050">
        <v>1</v>
      </c>
      <c r="P29" s="3736"/>
      <c r="Q29" s="2517"/>
      <c r="R29" s="1214">
        <f>SUM(W29:W29)/S24</f>
        <v>5.1644000688586676E-2</v>
      </c>
      <c r="S29" s="3739"/>
      <c r="T29" s="2517"/>
      <c r="U29" s="1045" t="s">
        <v>1696</v>
      </c>
      <c r="V29" s="1045" t="s">
        <v>1697</v>
      </c>
      <c r="W29" s="1211">
        <v>18000000</v>
      </c>
      <c r="X29" s="1050" t="s">
        <v>1698</v>
      </c>
      <c r="Y29" s="1217">
        <v>20</v>
      </c>
      <c r="Z29" s="1029" t="s">
        <v>77</v>
      </c>
      <c r="AA29" s="2027"/>
      <c r="AB29" s="2027"/>
      <c r="AC29" s="2027"/>
      <c r="AD29" s="2027"/>
      <c r="AE29" s="2027"/>
      <c r="AF29" s="2027"/>
      <c r="AG29" s="2027"/>
      <c r="AH29" s="2027"/>
      <c r="AI29" s="2027"/>
      <c r="AJ29" s="2027"/>
      <c r="AK29" s="2027"/>
      <c r="AL29" s="2027"/>
      <c r="AM29" s="2027"/>
      <c r="AN29" s="2027"/>
      <c r="AO29" s="2027"/>
      <c r="AP29" s="2027"/>
      <c r="AQ29" s="2027"/>
      <c r="AR29" s="2027"/>
      <c r="AS29" s="2027"/>
    </row>
    <row r="30" spans="1:45" s="280" customFormat="1" ht="76.5" customHeight="1" x14ac:dyDescent="0.25">
      <c r="A30" s="3753"/>
      <c r="B30" s="3754"/>
      <c r="C30" s="1210"/>
      <c r="D30" s="1201"/>
      <c r="E30" s="1213"/>
      <c r="F30" s="1213"/>
      <c r="G30" s="2026">
        <v>2301042</v>
      </c>
      <c r="H30" s="2193" t="s">
        <v>1699</v>
      </c>
      <c r="I30" s="2026">
        <v>2301042</v>
      </c>
      <c r="J30" s="2193" t="s">
        <v>1699</v>
      </c>
      <c r="K30" s="2026">
        <v>230104201</v>
      </c>
      <c r="L30" s="2193" t="s">
        <v>1700</v>
      </c>
      <c r="M30" s="2026">
        <v>230104201</v>
      </c>
      <c r="N30" s="2193" t="s">
        <v>1700</v>
      </c>
      <c r="O30" s="3732">
        <v>1</v>
      </c>
      <c r="P30" s="3736"/>
      <c r="Q30" s="2517"/>
      <c r="R30" s="3721">
        <f>SUM(W30:W32)/S24</f>
        <v>5.1644000688586676E-2</v>
      </c>
      <c r="S30" s="3739"/>
      <c r="T30" s="2517"/>
      <c r="U30" s="2193" t="s">
        <v>1701</v>
      </c>
      <c r="V30" s="1045" t="s">
        <v>1702</v>
      </c>
      <c r="W30" s="1211">
        <v>12000000</v>
      </c>
      <c r="X30" s="1050" t="s">
        <v>1703</v>
      </c>
      <c r="Y30" s="1217">
        <v>20</v>
      </c>
      <c r="Z30" s="1029" t="s">
        <v>77</v>
      </c>
      <c r="AA30" s="2027"/>
      <c r="AB30" s="2027"/>
      <c r="AC30" s="2027"/>
      <c r="AD30" s="2027"/>
      <c r="AE30" s="2027"/>
      <c r="AF30" s="2027"/>
      <c r="AG30" s="2027"/>
      <c r="AH30" s="2027"/>
      <c r="AI30" s="2027"/>
      <c r="AJ30" s="2027"/>
      <c r="AK30" s="2027"/>
      <c r="AL30" s="2027"/>
      <c r="AM30" s="2027"/>
      <c r="AN30" s="2027"/>
      <c r="AO30" s="2027"/>
      <c r="AP30" s="2027"/>
      <c r="AQ30" s="2027"/>
      <c r="AR30" s="2027"/>
      <c r="AS30" s="2027"/>
    </row>
    <row r="31" spans="1:45" s="280" customFormat="1" ht="76.5" customHeight="1" x14ac:dyDescent="0.25">
      <c r="A31" s="3753"/>
      <c r="B31" s="3754"/>
      <c r="C31" s="1210"/>
      <c r="D31" s="1201"/>
      <c r="E31" s="1213"/>
      <c r="F31" s="1213"/>
      <c r="G31" s="2027"/>
      <c r="H31" s="2517"/>
      <c r="I31" s="2027"/>
      <c r="J31" s="2517"/>
      <c r="K31" s="2027"/>
      <c r="L31" s="2517"/>
      <c r="M31" s="2027"/>
      <c r="N31" s="2517"/>
      <c r="O31" s="3732"/>
      <c r="P31" s="3736"/>
      <c r="Q31" s="2517"/>
      <c r="R31" s="3722"/>
      <c r="S31" s="3739"/>
      <c r="T31" s="2517"/>
      <c r="U31" s="2517"/>
      <c r="V31" s="2193" t="s">
        <v>1704</v>
      </c>
      <c r="W31" s="1211">
        <v>1500000</v>
      </c>
      <c r="X31" s="1050" t="s">
        <v>1703</v>
      </c>
      <c r="Y31" s="1217">
        <v>20</v>
      </c>
      <c r="Z31" s="1029" t="s">
        <v>77</v>
      </c>
      <c r="AA31" s="2027"/>
      <c r="AB31" s="2027"/>
      <c r="AC31" s="2027"/>
      <c r="AD31" s="2027"/>
      <c r="AE31" s="2027"/>
      <c r="AF31" s="2027"/>
      <c r="AG31" s="2027"/>
      <c r="AH31" s="2027"/>
      <c r="AI31" s="2027"/>
      <c r="AJ31" s="2027"/>
      <c r="AK31" s="2027"/>
      <c r="AL31" s="2027"/>
      <c r="AM31" s="2027"/>
      <c r="AN31" s="2027"/>
      <c r="AO31" s="2027"/>
      <c r="AP31" s="2027"/>
      <c r="AQ31" s="2027"/>
      <c r="AR31" s="2027"/>
      <c r="AS31" s="2027"/>
    </row>
    <row r="32" spans="1:45" s="280" customFormat="1" ht="81" customHeight="1" x14ac:dyDescent="0.25">
      <c r="A32" s="3753"/>
      <c r="B32" s="3754"/>
      <c r="C32" s="1210"/>
      <c r="D32" s="1201"/>
      <c r="E32" s="1213"/>
      <c r="F32" s="1213"/>
      <c r="G32" s="2028"/>
      <c r="H32" s="2194"/>
      <c r="I32" s="2028"/>
      <c r="J32" s="2194"/>
      <c r="K32" s="2028"/>
      <c r="L32" s="2194"/>
      <c r="M32" s="2028"/>
      <c r="N32" s="2194"/>
      <c r="O32" s="3733"/>
      <c r="P32" s="3737"/>
      <c r="Q32" s="2194"/>
      <c r="R32" s="3723"/>
      <c r="S32" s="3740"/>
      <c r="T32" s="2194"/>
      <c r="U32" s="2194"/>
      <c r="V32" s="2194"/>
      <c r="W32" s="1211">
        <v>4500000</v>
      </c>
      <c r="X32" s="1050" t="s">
        <v>1705</v>
      </c>
      <c r="Y32" s="1217">
        <v>20</v>
      </c>
      <c r="Z32" s="1029" t="s">
        <v>77</v>
      </c>
      <c r="AA32" s="2028"/>
      <c r="AB32" s="2027"/>
      <c r="AC32" s="2027"/>
      <c r="AD32" s="2027"/>
      <c r="AE32" s="2027"/>
      <c r="AF32" s="2027"/>
      <c r="AG32" s="2027"/>
      <c r="AH32" s="2027"/>
      <c r="AI32" s="2027"/>
      <c r="AJ32" s="2027"/>
      <c r="AK32" s="2027"/>
      <c r="AL32" s="2027"/>
      <c r="AM32" s="2027"/>
      <c r="AN32" s="2027"/>
      <c r="AO32" s="2027"/>
      <c r="AP32" s="2027"/>
      <c r="AQ32" s="2027"/>
      <c r="AR32" s="2027"/>
      <c r="AS32" s="2027"/>
    </row>
    <row r="33" spans="1:65" s="1163" customFormat="1" ht="30" customHeight="1" x14ac:dyDescent="0.25">
      <c r="A33" s="1210"/>
      <c r="B33" s="1201"/>
      <c r="C33" s="1210"/>
      <c r="D33" s="1201"/>
      <c r="E33" s="228">
        <v>2302</v>
      </c>
      <c r="F33" s="3179" t="s">
        <v>1706</v>
      </c>
      <c r="G33" s="3724"/>
      <c r="H33" s="3724"/>
      <c r="I33" s="3724"/>
      <c r="J33" s="3724"/>
      <c r="K33" s="3725"/>
      <c r="L33" s="3725"/>
      <c r="M33" s="3725"/>
      <c r="N33" s="3725"/>
      <c r="O33" s="3724"/>
      <c r="P33" s="3724"/>
      <c r="Q33" s="3725"/>
      <c r="R33" s="3725"/>
      <c r="S33" s="3725"/>
      <c r="T33" s="3725"/>
      <c r="U33" s="1220"/>
      <c r="V33" s="1220"/>
      <c r="W33" s="1221"/>
      <c r="X33" s="827"/>
      <c r="Y33" s="1222"/>
      <c r="Z33" s="1207"/>
      <c r="AA33" s="1207"/>
      <c r="AB33" s="1207"/>
      <c r="AC33" s="1207"/>
      <c r="AD33" s="1207"/>
      <c r="AE33" s="1207"/>
      <c r="AF33" s="1207"/>
      <c r="AG33" s="1207"/>
      <c r="AH33" s="1207"/>
      <c r="AI33" s="1207"/>
      <c r="AJ33" s="1207"/>
      <c r="AK33" s="1207"/>
      <c r="AL33" s="1207"/>
      <c r="AM33" s="1207"/>
      <c r="AN33" s="1207"/>
      <c r="AO33" s="1207"/>
      <c r="AP33" s="1207"/>
      <c r="AQ33" s="1208"/>
      <c r="AR33" s="1208"/>
      <c r="AS33" s="1209"/>
    </row>
    <row r="34" spans="1:65" ht="153" customHeight="1" x14ac:dyDescent="0.25">
      <c r="A34" s="1223"/>
      <c r="B34" s="1224"/>
      <c r="C34" s="1225"/>
      <c r="D34" s="1226"/>
      <c r="E34" s="2665"/>
      <c r="F34" s="2665"/>
      <c r="G34" s="1227">
        <v>2302022</v>
      </c>
      <c r="H34" s="1228" t="s">
        <v>1707</v>
      </c>
      <c r="I34" s="1229">
        <v>2302022</v>
      </c>
      <c r="J34" s="1228" t="s">
        <v>1707</v>
      </c>
      <c r="K34" s="1041">
        <v>230202200</v>
      </c>
      <c r="L34" s="1039" t="s">
        <v>1708</v>
      </c>
      <c r="M34" s="1041">
        <v>230202200</v>
      </c>
      <c r="N34" s="1230" t="s">
        <v>1708</v>
      </c>
      <c r="O34" s="1036">
        <v>20</v>
      </c>
      <c r="P34" s="3726">
        <v>2020003630039</v>
      </c>
      <c r="Q34" s="3556" t="s">
        <v>1709</v>
      </c>
      <c r="R34" s="1214">
        <f>SUM(W34)/S34</f>
        <v>0.24657534246575341</v>
      </c>
      <c r="S34" s="3728">
        <f>SUM(W34:W39)</f>
        <v>146000000</v>
      </c>
      <c r="T34" s="2119" t="s">
        <v>1710</v>
      </c>
      <c r="U34" s="1038" t="s">
        <v>1711</v>
      </c>
      <c r="V34" s="1044" t="s">
        <v>1712</v>
      </c>
      <c r="W34" s="1211">
        <v>36000000</v>
      </c>
      <c r="X34" s="1050" t="s">
        <v>1713</v>
      </c>
      <c r="Y34" s="1212">
        <v>20</v>
      </c>
      <c r="Z34" s="1048" t="s">
        <v>77</v>
      </c>
      <c r="AA34" s="2054">
        <v>295972</v>
      </c>
      <c r="AB34" s="2054">
        <v>294321</v>
      </c>
      <c r="AC34" s="2054">
        <v>132302</v>
      </c>
      <c r="AD34" s="2054">
        <v>43426</v>
      </c>
      <c r="AE34" s="2054">
        <v>313940</v>
      </c>
      <c r="AF34" s="2054">
        <v>100625</v>
      </c>
      <c r="AG34" s="2054">
        <v>2145</v>
      </c>
      <c r="AH34" s="2054">
        <v>12718</v>
      </c>
      <c r="AI34" s="2054">
        <v>36</v>
      </c>
      <c r="AJ34" s="2054">
        <v>0</v>
      </c>
      <c r="AK34" s="2054">
        <v>0</v>
      </c>
      <c r="AL34" s="2054">
        <v>0</v>
      </c>
      <c r="AM34" s="2054">
        <v>70</v>
      </c>
      <c r="AN34" s="2054">
        <v>21944</v>
      </c>
      <c r="AO34" s="2054">
        <v>285</v>
      </c>
      <c r="AP34" s="2054">
        <v>590293</v>
      </c>
      <c r="AQ34" s="3720">
        <v>44197</v>
      </c>
      <c r="AR34" s="3720">
        <v>44561</v>
      </c>
      <c r="AS34" s="2054" t="s">
        <v>1648</v>
      </c>
    </row>
    <row r="35" spans="1:65" ht="153" customHeight="1" x14ac:dyDescent="0.25">
      <c r="A35" s="1223"/>
      <c r="B35" s="1224"/>
      <c r="C35" s="1225"/>
      <c r="D35" s="1231"/>
      <c r="E35" s="2665"/>
      <c r="F35" s="2665"/>
      <c r="G35" s="2166">
        <v>2302042</v>
      </c>
      <c r="H35" s="2658" t="s">
        <v>1714</v>
      </c>
      <c r="I35" s="2093">
        <v>2302042</v>
      </c>
      <c r="J35" s="2658" t="s">
        <v>1714</v>
      </c>
      <c r="K35" s="2572">
        <v>230204200</v>
      </c>
      <c r="L35" s="2658" t="s">
        <v>1715</v>
      </c>
      <c r="M35" s="2572">
        <v>230204200</v>
      </c>
      <c r="N35" s="2666" t="s">
        <v>1715</v>
      </c>
      <c r="O35" s="3603">
        <v>1</v>
      </c>
      <c r="P35" s="3605"/>
      <c r="Q35" s="3727"/>
      <c r="R35" s="3731">
        <f>SUM(W35,W36)/S34</f>
        <v>0.13698630136986301</v>
      </c>
      <c r="S35" s="3729"/>
      <c r="T35" s="2119"/>
      <c r="U35" s="2141" t="s">
        <v>1716</v>
      </c>
      <c r="V35" s="1045" t="s">
        <v>1717</v>
      </c>
      <c r="W35" s="1216">
        <f>20000000-2000000</f>
        <v>18000000</v>
      </c>
      <c r="X35" s="1052" t="s">
        <v>1718</v>
      </c>
      <c r="Y35" s="1217">
        <v>20</v>
      </c>
      <c r="Z35" s="1029" t="s">
        <v>77</v>
      </c>
      <c r="AA35" s="2054"/>
      <c r="AB35" s="2054"/>
      <c r="AC35" s="2054"/>
      <c r="AD35" s="2054"/>
      <c r="AE35" s="2054"/>
      <c r="AF35" s="2054"/>
      <c r="AG35" s="2054"/>
      <c r="AH35" s="2054"/>
      <c r="AI35" s="2054"/>
      <c r="AJ35" s="2054"/>
      <c r="AK35" s="2054"/>
      <c r="AL35" s="2054"/>
      <c r="AM35" s="2054"/>
      <c r="AN35" s="2054"/>
      <c r="AO35" s="2054"/>
      <c r="AP35" s="2054"/>
      <c r="AQ35" s="3720"/>
      <c r="AR35" s="3720"/>
      <c r="AS35" s="2054"/>
    </row>
    <row r="36" spans="1:65" ht="102" customHeight="1" x14ac:dyDescent="0.25">
      <c r="A36" s="1223"/>
      <c r="B36" s="1224"/>
      <c r="C36" s="1225"/>
      <c r="D36" s="1231"/>
      <c r="E36" s="2665"/>
      <c r="F36" s="2665"/>
      <c r="G36" s="2166"/>
      <c r="H36" s="2658"/>
      <c r="I36" s="2093"/>
      <c r="J36" s="2658"/>
      <c r="K36" s="2572"/>
      <c r="L36" s="2658"/>
      <c r="M36" s="2572"/>
      <c r="N36" s="2666"/>
      <c r="O36" s="3719"/>
      <c r="P36" s="3605"/>
      <c r="Q36" s="3727"/>
      <c r="R36" s="3731"/>
      <c r="S36" s="3729"/>
      <c r="T36" s="2119"/>
      <c r="U36" s="3028"/>
      <c r="V36" s="1051" t="s">
        <v>1719</v>
      </c>
      <c r="W36" s="1232">
        <v>2000000</v>
      </c>
      <c r="X36" s="1050" t="s">
        <v>1720</v>
      </c>
      <c r="Y36" s="1233">
        <v>20</v>
      </c>
      <c r="Z36" s="1050" t="s">
        <v>77</v>
      </c>
      <c r="AA36" s="2118"/>
      <c r="AB36" s="2054"/>
      <c r="AC36" s="2054"/>
      <c r="AD36" s="2054"/>
      <c r="AE36" s="2054"/>
      <c r="AF36" s="2054"/>
      <c r="AG36" s="2054"/>
      <c r="AH36" s="2054"/>
      <c r="AI36" s="2054"/>
      <c r="AJ36" s="2054"/>
      <c r="AK36" s="2054"/>
      <c r="AL36" s="2054"/>
      <c r="AM36" s="2054"/>
      <c r="AN36" s="2054"/>
      <c r="AO36" s="2054"/>
      <c r="AP36" s="2054"/>
      <c r="AQ36" s="2054"/>
      <c r="AR36" s="2054"/>
      <c r="AS36" s="2054"/>
    </row>
    <row r="37" spans="1:65" ht="108.75" customHeight="1" x14ac:dyDescent="0.25">
      <c r="A37" s="1223"/>
      <c r="B37" s="1224"/>
      <c r="C37" s="1225"/>
      <c r="D37" s="1231"/>
      <c r="E37" s="2665"/>
      <c r="F37" s="2665"/>
      <c r="G37" s="1060">
        <v>2302058</v>
      </c>
      <c r="H37" s="1040" t="s">
        <v>1721</v>
      </c>
      <c r="I37" s="1042">
        <v>2302058</v>
      </c>
      <c r="J37" s="1040" t="s">
        <v>1721</v>
      </c>
      <c r="K37" s="1234">
        <v>230205800</v>
      </c>
      <c r="L37" s="1040" t="s">
        <v>1722</v>
      </c>
      <c r="M37" s="1234">
        <v>230205800</v>
      </c>
      <c r="N37" s="1040" t="s">
        <v>1722</v>
      </c>
      <c r="O37" s="1058">
        <v>300</v>
      </c>
      <c r="P37" s="3605"/>
      <c r="Q37" s="3556"/>
      <c r="R37" s="1235">
        <f>W37/S34</f>
        <v>0.13698630136986301</v>
      </c>
      <c r="S37" s="3728"/>
      <c r="T37" s="2119"/>
      <c r="U37" s="1038" t="s">
        <v>1723</v>
      </c>
      <c r="V37" s="1046" t="s">
        <v>1724</v>
      </c>
      <c r="W37" s="1236">
        <v>20000000</v>
      </c>
      <c r="X37" s="1050" t="s">
        <v>1725</v>
      </c>
      <c r="Y37" s="1233">
        <v>20</v>
      </c>
      <c r="Z37" s="1050" t="s">
        <v>77</v>
      </c>
      <c r="AA37" s="2118"/>
      <c r="AB37" s="2054"/>
      <c r="AC37" s="2054"/>
      <c r="AD37" s="2054"/>
      <c r="AE37" s="2054"/>
      <c r="AF37" s="2054"/>
      <c r="AG37" s="2054"/>
      <c r="AH37" s="2054"/>
      <c r="AI37" s="2054"/>
      <c r="AJ37" s="2054"/>
      <c r="AK37" s="2054"/>
      <c r="AL37" s="2054"/>
      <c r="AM37" s="2054"/>
      <c r="AN37" s="2054"/>
      <c r="AO37" s="2054"/>
      <c r="AP37" s="2054"/>
      <c r="AQ37" s="2054"/>
      <c r="AR37" s="2054"/>
      <c r="AS37" s="2054"/>
    </row>
    <row r="38" spans="1:65" ht="102.6" customHeight="1" x14ac:dyDescent="0.25">
      <c r="A38" s="1223"/>
      <c r="B38" s="1224"/>
      <c r="C38" s="1225"/>
      <c r="D38" s="1231"/>
      <c r="E38" s="2665"/>
      <c r="F38" s="2665"/>
      <c r="G38" s="1037">
        <v>2302021</v>
      </c>
      <c r="H38" s="1038" t="s">
        <v>1726</v>
      </c>
      <c r="I38" s="1033">
        <v>2302021</v>
      </c>
      <c r="J38" s="1038" t="s">
        <v>1726</v>
      </c>
      <c r="K38" s="1049">
        <v>230202100</v>
      </c>
      <c r="L38" s="1038" t="s">
        <v>1727</v>
      </c>
      <c r="M38" s="1049">
        <v>230202100</v>
      </c>
      <c r="N38" s="1038" t="s">
        <v>1727</v>
      </c>
      <c r="O38" s="1237">
        <v>8</v>
      </c>
      <c r="P38" s="3605"/>
      <c r="Q38" s="3556"/>
      <c r="R38" s="1218">
        <f>W38/S34</f>
        <v>0.34246575342465752</v>
      </c>
      <c r="S38" s="3728"/>
      <c r="T38" s="2119"/>
      <c r="U38" s="1038" t="s">
        <v>1728</v>
      </c>
      <c r="V38" s="1044" t="s">
        <v>1729</v>
      </c>
      <c r="W38" s="1211">
        <v>50000000</v>
      </c>
      <c r="X38" s="1019" t="s">
        <v>1730</v>
      </c>
      <c r="Y38" s="1238">
        <v>20</v>
      </c>
      <c r="Z38" s="1030" t="s">
        <v>77</v>
      </c>
      <c r="AA38" s="2054"/>
      <c r="AB38" s="2054"/>
      <c r="AC38" s="2054"/>
      <c r="AD38" s="2054"/>
      <c r="AE38" s="2054"/>
      <c r="AF38" s="2054"/>
      <c r="AG38" s="2054"/>
      <c r="AH38" s="2054"/>
      <c r="AI38" s="2054"/>
      <c r="AJ38" s="2054"/>
      <c r="AK38" s="2054"/>
      <c r="AL38" s="2054"/>
      <c r="AM38" s="2054"/>
      <c r="AN38" s="2054"/>
      <c r="AO38" s="2054"/>
      <c r="AP38" s="2054"/>
      <c r="AQ38" s="2054"/>
      <c r="AR38" s="2054"/>
      <c r="AS38" s="2054"/>
    </row>
    <row r="39" spans="1:65" ht="81" customHeight="1" x14ac:dyDescent="0.25">
      <c r="A39" s="1239"/>
      <c r="B39" s="1240"/>
      <c r="C39" s="1241"/>
      <c r="D39" s="1242"/>
      <c r="E39" s="2665"/>
      <c r="F39" s="2665"/>
      <c r="G39" s="1243">
        <v>2302068</v>
      </c>
      <c r="H39" s="1244" t="s">
        <v>1731</v>
      </c>
      <c r="I39" s="1245">
        <v>2302068</v>
      </c>
      <c r="J39" s="1244" t="s">
        <v>1731</v>
      </c>
      <c r="K39" s="1246">
        <v>230206800</v>
      </c>
      <c r="L39" s="1039" t="s">
        <v>1732</v>
      </c>
      <c r="M39" s="1246">
        <v>230206800</v>
      </c>
      <c r="N39" s="1039" t="s">
        <v>1732</v>
      </c>
      <c r="O39" s="1056">
        <v>60</v>
      </c>
      <c r="P39" s="3605"/>
      <c r="Q39" s="2711"/>
      <c r="R39" s="1214">
        <f>W39/S34</f>
        <v>0.13698630136986301</v>
      </c>
      <c r="S39" s="3730"/>
      <c r="T39" s="2141"/>
      <c r="U39" s="1039" t="s">
        <v>1733</v>
      </c>
      <c r="V39" s="1045" t="s">
        <v>1734</v>
      </c>
      <c r="W39" s="1216">
        <v>20000000</v>
      </c>
      <c r="X39" s="1050" t="s">
        <v>1735</v>
      </c>
      <c r="Y39" s="1217">
        <v>20</v>
      </c>
      <c r="Z39" s="1029" t="s">
        <v>77</v>
      </c>
      <c r="AA39" s="2148"/>
      <c r="AB39" s="2148"/>
      <c r="AC39" s="2148"/>
      <c r="AD39" s="2148"/>
      <c r="AE39" s="2148"/>
      <c r="AF39" s="2148"/>
      <c r="AG39" s="2148"/>
      <c r="AH39" s="2148"/>
      <c r="AI39" s="2148"/>
      <c r="AJ39" s="2148"/>
      <c r="AK39" s="2148"/>
      <c r="AL39" s="2148"/>
      <c r="AM39" s="2148"/>
      <c r="AN39" s="2148"/>
      <c r="AO39" s="2148"/>
      <c r="AP39" s="2148"/>
      <c r="AQ39" s="2148"/>
      <c r="AR39" s="2148"/>
      <c r="AS39" s="2148"/>
    </row>
    <row r="40" spans="1:65" ht="27" customHeight="1" x14ac:dyDescent="0.25">
      <c r="A40" s="1247">
        <v>4</v>
      </c>
      <c r="B40" s="2542" t="s">
        <v>1736</v>
      </c>
      <c r="C40" s="2543"/>
      <c r="D40" s="2543"/>
      <c r="E40" s="2543"/>
      <c r="F40" s="2543"/>
      <c r="G40" s="2543"/>
      <c r="H40" s="1248"/>
      <c r="I40" s="1249"/>
      <c r="J40" s="1248"/>
      <c r="K40" s="1184"/>
      <c r="L40" s="1185"/>
      <c r="M40" s="1184"/>
      <c r="N40" s="1185"/>
      <c r="O40" s="1184"/>
      <c r="P40" s="1250"/>
      <c r="Q40" s="1185"/>
      <c r="R40" s="1186"/>
      <c r="S40" s="1187"/>
      <c r="T40" s="1185"/>
      <c r="U40" s="1185"/>
      <c r="V40" s="1185"/>
      <c r="W40" s="1251"/>
      <c r="X40" s="1250"/>
      <c r="Y40" s="1188"/>
      <c r="Z40" s="1184"/>
      <c r="AA40" s="1184"/>
      <c r="AB40" s="1184"/>
      <c r="AC40" s="1184"/>
      <c r="AD40" s="1184"/>
      <c r="AE40" s="1184"/>
      <c r="AF40" s="1184"/>
      <c r="AG40" s="1184"/>
      <c r="AH40" s="1184"/>
      <c r="AI40" s="1184"/>
      <c r="AJ40" s="1184"/>
      <c r="AK40" s="1184"/>
      <c r="AL40" s="1184"/>
      <c r="AM40" s="1184"/>
      <c r="AN40" s="1184"/>
      <c r="AO40" s="1184"/>
      <c r="AP40" s="1184"/>
      <c r="AQ40" s="1189"/>
      <c r="AR40" s="1189"/>
      <c r="AS40" s="1190"/>
      <c r="AT40" s="1163"/>
      <c r="AU40" s="1163"/>
      <c r="AV40" s="1163"/>
      <c r="AW40" s="1163"/>
      <c r="AX40" s="1163"/>
      <c r="AY40" s="1163"/>
      <c r="AZ40" s="1163"/>
      <c r="BA40" s="1163"/>
      <c r="BB40" s="1163"/>
      <c r="BC40" s="1163"/>
      <c r="BD40" s="1163"/>
      <c r="BE40" s="1163"/>
      <c r="BF40" s="1163"/>
      <c r="BG40" s="1163"/>
      <c r="BH40" s="1163"/>
      <c r="BI40" s="1163"/>
      <c r="BJ40" s="1163"/>
      <c r="BK40" s="1163"/>
      <c r="BL40" s="1163"/>
      <c r="BM40" s="1163"/>
    </row>
    <row r="41" spans="1:65" s="280" customFormat="1" ht="27" customHeight="1" x14ac:dyDescent="0.25">
      <c r="A41" s="1191"/>
      <c r="B41" s="382"/>
      <c r="C41" s="38">
        <v>23</v>
      </c>
      <c r="D41" s="2043" t="s">
        <v>1638</v>
      </c>
      <c r="E41" s="2546"/>
      <c r="F41" s="2546"/>
      <c r="G41" s="2546"/>
      <c r="H41" s="2546"/>
      <c r="I41" s="1252"/>
      <c r="J41" s="1253"/>
      <c r="K41" s="1254"/>
      <c r="L41" s="1253"/>
      <c r="M41" s="1254"/>
      <c r="N41" s="1253"/>
      <c r="O41" s="1254"/>
      <c r="P41" s="1254"/>
      <c r="Q41" s="1253"/>
      <c r="R41" s="1255"/>
      <c r="S41" s="1256"/>
      <c r="T41" s="1193"/>
      <c r="U41" s="1193"/>
      <c r="V41" s="1193"/>
      <c r="W41" s="1257"/>
      <c r="X41" s="1194"/>
      <c r="Y41" s="1197"/>
      <c r="Z41" s="1194"/>
      <c r="AA41" s="1194"/>
      <c r="AB41" s="1194"/>
      <c r="AC41" s="1194"/>
      <c r="AD41" s="1194"/>
      <c r="AE41" s="1194"/>
      <c r="AF41" s="1194"/>
      <c r="AG41" s="1194"/>
      <c r="AH41" s="1194"/>
      <c r="AI41" s="1194"/>
      <c r="AJ41" s="1194"/>
      <c r="AK41" s="1194"/>
      <c r="AL41" s="1194"/>
      <c r="AM41" s="1194"/>
      <c r="AN41" s="1194"/>
      <c r="AO41" s="1194"/>
      <c r="AP41" s="1194"/>
      <c r="AQ41" s="1198"/>
      <c r="AR41" s="1198"/>
      <c r="AS41" s="1199"/>
    </row>
    <row r="42" spans="1:65" s="1163" customFormat="1" ht="30" customHeight="1" x14ac:dyDescent="0.25">
      <c r="A42" s="1210"/>
      <c r="B42" s="1201"/>
      <c r="C42" s="1200"/>
      <c r="D42" s="1258"/>
      <c r="E42" s="99">
        <v>2302</v>
      </c>
      <c r="F42" s="3714" t="s">
        <v>1706</v>
      </c>
      <c r="G42" s="3715"/>
      <c r="H42" s="3715"/>
      <c r="I42" s="3715"/>
      <c r="J42" s="3715"/>
      <c r="K42" s="3715"/>
      <c r="L42" s="3715"/>
      <c r="M42" s="3715"/>
      <c r="N42" s="3715"/>
      <c r="O42" s="3715"/>
      <c r="P42" s="3715"/>
      <c r="Q42" s="3715"/>
      <c r="R42" s="3715"/>
      <c r="S42" s="3715"/>
      <c r="T42" s="1204"/>
      <c r="U42" s="1204"/>
      <c r="V42" s="1204"/>
      <c r="W42" s="1259"/>
      <c r="X42" s="827"/>
      <c r="Y42" s="1260"/>
      <c r="Z42" s="1207"/>
      <c r="AA42" s="1207"/>
      <c r="AB42" s="1207"/>
      <c r="AC42" s="1207"/>
      <c r="AD42" s="1207"/>
      <c r="AE42" s="1207"/>
      <c r="AF42" s="1207"/>
      <c r="AG42" s="1207"/>
      <c r="AH42" s="1207"/>
      <c r="AI42" s="1207"/>
      <c r="AJ42" s="1207"/>
      <c r="AK42" s="1207"/>
      <c r="AL42" s="1207"/>
      <c r="AM42" s="1207"/>
      <c r="AN42" s="1207"/>
      <c r="AO42" s="1207"/>
      <c r="AP42" s="1207"/>
      <c r="AQ42" s="1208"/>
      <c r="AR42" s="1208"/>
      <c r="AS42" s="1209"/>
    </row>
    <row r="43" spans="1:65" s="1262" customFormat="1" ht="57.75" customHeight="1" x14ac:dyDescent="0.25">
      <c r="A43" s="1261"/>
      <c r="B43" s="1059"/>
      <c r="C43" s="1057"/>
      <c r="D43" s="1059"/>
      <c r="E43" s="3716"/>
      <c r="F43" s="2054"/>
      <c r="G43" s="3520">
        <v>2302003</v>
      </c>
      <c r="H43" s="3273" t="s">
        <v>1737</v>
      </c>
      <c r="I43" s="3520">
        <v>2302003</v>
      </c>
      <c r="J43" s="3273" t="s">
        <v>1737</v>
      </c>
      <c r="K43" s="2071">
        <v>230200300</v>
      </c>
      <c r="L43" s="3273" t="s">
        <v>1738</v>
      </c>
      <c r="M43" s="2071">
        <v>230200300</v>
      </c>
      <c r="N43" s="3273" t="s">
        <v>1738</v>
      </c>
      <c r="O43" s="2071">
        <v>2</v>
      </c>
      <c r="P43" s="2060" t="s">
        <v>1739</v>
      </c>
      <c r="Q43" s="2059" t="s">
        <v>1740</v>
      </c>
      <c r="R43" s="3710">
        <f>SUM(W43:W44)/S43</f>
        <v>0.40268456375838924</v>
      </c>
      <c r="S43" s="3712">
        <f>SUM(W43:W49)</f>
        <v>298000000</v>
      </c>
      <c r="T43" s="2059" t="s">
        <v>1741</v>
      </c>
      <c r="U43" s="2721" t="s">
        <v>1742</v>
      </c>
      <c r="V43" s="1044" t="s">
        <v>1743</v>
      </c>
      <c r="W43" s="1211">
        <v>50000000</v>
      </c>
      <c r="X43" s="1050" t="s">
        <v>1744</v>
      </c>
      <c r="Y43" s="1212">
        <v>20</v>
      </c>
      <c r="Z43" s="1048" t="s">
        <v>77</v>
      </c>
      <c r="AA43" s="2148">
        <v>295972</v>
      </c>
      <c r="AB43" s="2148">
        <v>294321</v>
      </c>
      <c r="AC43" s="2148">
        <v>132302</v>
      </c>
      <c r="AD43" s="2148">
        <v>43426</v>
      </c>
      <c r="AE43" s="2148">
        <v>313940</v>
      </c>
      <c r="AF43" s="2148">
        <v>100625</v>
      </c>
      <c r="AG43" s="2148">
        <v>2145</v>
      </c>
      <c r="AH43" s="2148">
        <v>12718</v>
      </c>
      <c r="AI43" s="2148">
        <v>36</v>
      </c>
      <c r="AJ43" s="2148">
        <v>0</v>
      </c>
      <c r="AK43" s="2148">
        <v>0</v>
      </c>
      <c r="AL43" s="2148">
        <v>0</v>
      </c>
      <c r="AM43" s="2148">
        <v>70</v>
      </c>
      <c r="AN43" s="2148">
        <v>21944</v>
      </c>
      <c r="AO43" s="2148">
        <v>285</v>
      </c>
      <c r="AP43" s="2148">
        <v>590293</v>
      </c>
      <c r="AQ43" s="3708">
        <v>44197</v>
      </c>
      <c r="AR43" s="3708">
        <v>44561</v>
      </c>
      <c r="AS43" s="3708" t="s">
        <v>1648</v>
      </c>
    </row>
    <row r="44" spans="1:65" s="1262" customFormat="1" ht="57.75" customHeight="1" x14ac:dyDescent="0.25">
      <c r="A44" s="1261"/>
      <c r="B44" s="1059"/>
      <c r="C44" s="1057"/>
      <c r="D44" s="1059"/>
      <c r="E44" s="2118"/>
      <c r="F44" s="2054"/>
      <c r="G44" s="3521"/>
      <c r="H44" s="2710"/>
      <c r="I44" s="3521"/>
      <c r="J44" s="2710"/>
      <c r="K44" s="2092"/>
      <c r="L44" s="2710"/>
      <c r="M44" s="2092"/>
      <c r="N44" s="2710"/>
      <c r="O44" s="2092"/>
      <c r="P44" s="2363"/>
      <c r="Q44" s="2397"/>
      <c r="R44" s="3711"/>
      <c r="S44" s="3713"/>
      <c r="T44" s="2397"/>
      <c r="U44" s="2720"/>
      <c r="V44" s="1044" t="s">
        <v>1745</v>
      </c>
      <c r="W44" s="1211">
        <v>70000000</v>
      </c>
      <c r="X44" s="1050" t="s">
        <v>1744</v>
      </c>
      <c r="Y44" s="1212">
        <v>20</v>
      </c>
      <c r="Z44" s="1048" t="s">
        <v>77</v>
      </c>
      <c r="AA44" s="2111"/>
      <c r="AB44" s="2111"/>
      <c r="AC44" s="2111"/>
      <c r="AD44" s="2111"/>
      <c r="AE44" s="2111"/>
      <c r="AF44" s="2111"/>
      <c r="AG44" s="2111"/>
      <c r="AH44" s="2111"/>
      <c r="AI44" s="2111"/>
      <c r="AJ44" s="2111"/>
      <c r="AK44" s="2111"/>
      <c r="AL44" s="2111"/>
      <c r="AM44" s="2111"/>
      <c r="AN44" s="2111"/>
      <c r="AO44" s="2111"/>
      <c r="AP44" s="2111"/>
      <c r="AQ44" s="3709"/>
      <c r="AR44" s="3709"/>
      <c r="AS44" s="3709"/>
    </row>
    <row r="45" spans="1:65" s="1262" customFormat="1" ht="79.5" customHeight="1" x14ac:dyDescent="0.25">
      <c r="A45" s="1261"/>
      <c r="B45" s="1059"/>
      <c r="C45" s="1057"/>
      <c r="D45" s="1059"/>
      <c r="E45" s="2118"/>
      <c r="F45" s="2054"/>
      <c r="G45" s="1043">
        <v>2302033</v>
      </c>
      <c r="H45" s="1053" t="s">
        <v>1746</v>
      </c>
      <c r="I45" s="1043">
        <v>2302033</v>
      </c>
      <c r="J45" s="1053" t="s">
        <v>1746</v>
      </c>
      <c r="K45" s="1263">
        <v>230203300</v>
      </c>
      <c r="L45" s="1038" t="s">
        <v>1747</v>
      </c>
      <c r="M45" s="1263">
        <v>230203300</v>
      </c>
      <c r="N45" s="1038" t="s">
        <v>1747</v>
      </c>
      <c r="O45" s="1031">
        <v>100</v>
      </c>
      <c r="P45" s="2363"/>
      <c r="Q45" s="2397"/>
      <c r="R45" s="1264">
        <f>W45/S43</f>
        <v>0.16778523489932887</v>
      </c>
      <c r="S45" s="3713"/>
      <c r="T45" s="2397"/>
      <c r="U45" s="1044" t="s">
        <v>1748</v>
      </c>
      <c r="V45" s="1044" t="s">
        <v>1749</v>
      </c>
      <c r="W45" s="1211">
        <v>50000000</v>
      </c>
      <c r="X45" s="1050" t="s">
        <v>1750</v>
      </c>
      <c r="Y45" s="1212">
        <v>20</v>
      </c>
      <c r="Z45" s="1048" t="s">
        <v>77</v>
      </c>
      <c r="AA45" s="2111"/>
      <c r="AB45" s="2111"/>
      <c r="AC45" s="2111"/>
      <c r="AD45" s="2111"/>
      <c r="AE45" s="2111"/>
      <c r="AF45" s="2111"/>
      <c r="AG45" s="2111"/>
      <c r="AH45" s="2111"/>
      <c r="AI45" s="2111"/>
      <c r="AJ45" s="2111"/>
      <c r="AK45" s="2111"/>
      <c r="AL45" s="2111"/>
      <c r="AM45" s="2111"/>
      <c r="AN45" s="2111"/>
      <c r="AO45" s="2111"/>
      <c r="AP45" s="2111"/>
      <c r="AQ45" s="3709"/>
      <c r="AR45" s="3709"/>
      <c r="AS45" s="3709"/>
    </row>
    <row r="46" spans="1:65" s="1262" customFormat="1" ht="80.45" customHeight="1" x14ac:dyDescent="0.25">
      <c r="A46" s="1261"/>
      <c r="B46" s="1059"/>
      <c r="C46" s="1057"/>
      <c r="D46" s="1059"/>
      <c r="E46" s="2118"/>
      <c r="F46" s="2054"/>
      <c r="G46" s="1043">
        <v>2302066</v>
      </c>
      <c r="H46" s="1053" t="s">
        <v>1751</v>
      </c>
      <c r="I46" s="1043">
        <v>2302066</v>
      </c>
      <c r="J46" s="1053" t="s">
        <v>1751</v>
      </c>
      <c r="K46" s="1263">
        <v>230206600</v>
      </c>
      <c r="L46" s="1038" t="s">
        <v>1752</v>
      </c>
      <c r="M46" s="1263">
        <v>230206600</v>
      </c>
      <c r="N46" s="1038" t="s">
        <v>1752</v>
      </c>
      <c r="O46" s="1031">
        <v>50</v>
      </c>
      <c r="P46" s="2363"/>
      <c r="Q46" s="2397"/>
      <c r="R46" s="1264">
        <f>W46/S43</f>
        <v>0.20134228187919462</v>
      </c>
      <c r="S46" s="3713"/>
      <c r="T46" s="2397"/>
      <c r="U46" s="1046" t="s">
        <v>1753</v>
      </c>
      <c r="V46" s="1046" t="s">
        <v>1754</v>
      </c>
      <c r="W46" s="1211">
        <v>60000000</v>
      </c>
      <c r="X46" s="1050" t="s">
        <v>1755</v>
      </c>
      <c r="Y46" s="1212">
        <v>20</v>
      </c>
      <c r="Z46" s="1048" t="s">
        <v>77</v>
      </c>
      <c r="AA46" s="2111"/>
      <c r="AB46" s="2111"/>
      <c r="AC46" s="2111"/>
      <c r="AD46" s="2111"/>
      <c r="AE46" s="2111"/>
      <c r="AF46" s="2111"/>
      <c r="AG46" s="2111"/>
      <c r="AH46" s="2111"/>
      <c r="AI46" s="2111"/>
      <c r="AJ46" s="2111"/>
      <c r="AK46" s="2111"/>
      <c r="AL46" s="2111"/>
      <c r="AM46" s="2111"/>
      <c r="AN46" s="2111"/>
      <c r="AO46" s="2111"/>
      <c r="AP46" s="2111"/>
      <c r="AQ46" s="3709"/>
      <c r="AR46" s="3709"/>
      <c r="AS46" s="3709"/>
    </row>
    <row r="47" spans="1:65" s="1262" customFormat="1" ht="102" customHeight="1" x14ac:dyDescent="0.25">
      <c r="A47" s="1261"/>
      <c r="B47" s="1059"/>
      <c r="C47" s="1057"/>
      <c r="D47" s="1059"/>
      <c r="E47" s="2118"/>
      <c r="F47" s="2054"/>
      <c r="G47" s="1043">
        <v>2302004</v>
      </c>
      <c r="H47" s="1053" t="s">
        <v>1756</v>
      </c>
      <c r="I47" s="1043">
        <v>2302004</v>
      </c>
      <c r="J47" s="1053" t="s">
        <v>1756</v>
      </c>
      <c r="K47" s="1263">
        <v>230200403</v>
      </c>
      <c r="L47" s="1038" t="s">
        <v>1757</v>
      </c>
      <c r="M47" s="1263">
        <v>230200403</v>
      </c>
      <c r="N47" s="1038" t="s">
        <v>1757</v>
      </c>
      <c r="O47" s="1031">
        <v>1</v>
      </c>
      <c r="P47" s="2363"/>
      <c r="Q47" s="2397"/>
      <c r="R47" s="1264">
        <f>W47/S43</f>
        <v>8.3892617449664433E-2</v>
      </c>
      <c r="S47" s="3713"/>
      <c r="T47" s="2397"/>
      <c r="U47" s="1046" t="s">
        <v>1758</v>
      </c>
      <c r="V47" s="1046" t="s">
        <v>1759</v>
      </c>
      <c r="W47" s="1211">
        <v>25000000</v>
      </c>
      <c r="X47" s="1050" t="s">
        <v>1760</v>
      </c>
      <c r="Y47" s="1212">
        <v>20</v>
      </c>
      <c r="Z47" s="1048" t="s">
        <v>77</v>
      </c>
      <c r="AA47" s="2111"/>
      <c r="AB47" s="2111"/>
      <c r="AC47" s="2111"/>
      <c r="AD47" s="2111"/>
      <c r="AE47" s="2111"/>
      <c r="AF47" s="2111"/>
      <c r="AG47" s="2111"/>
      <c r="AH47" s="2111"/>
      <c r="AI47" s="2111"/>
      <c r="AJ47" s="2111"/>
      <c r="AK47" s="2111"/>
      <c r="AL47" s="2111"/>
      <c r="AM47" s="2111"/>
      <c r="AN47" s="2111"/>
      <c r="AO47" s="2111"/>
      <c r="AP47" s="2111"/>
      <c r="AQ47" s="3709"/>
      <c r="AR47" s="3709"/>
      <c r="AS47" s="3709"/>
    </row>
    <row r="48" spans="1:65" s="1262" customFormat="1" ht="138" customHeight="1" x14ac:dyDescent="0.25">
      <c r="A48" s="1261"/>
      <c r="B48" s="1059"/>
      <c r="C48" s="1057"/>
      <c r="D48" s="1059"/>
      <c r="E48" s="2118"/>
      <c r="F48" s="2054"/>
      <c r="G48" s="1043">
        <v>2302007</v>
      </c>
      <c r="H48" s="1053" t="s">
        <v>1761</v>
      </c>
      <c r="I48" s="1043">
        <v>2302007</v>
      </c>
      <c r="J48" s="1053" t="s">
        <v>1761</v>
      </c>
      <c r="K48" s="1263">
        <v>230200701</v>
      </c>
      <c r="L48" s="1038" t="s">
        <v>1762</v>
      </c>
      <c r="M48" s="1263">
        <v>230200701</v>
      </c>
      <c r="N48" s="1038" t="s">
        <v>1762</v>
      </c>
      <c r="O48" s="1031">
        <v>1</v>
      </c>
      <c r="P48" s="2363"/>
      <c r="Q48" s="2397"/>
      <c r="R48" s="1264">
        <f>W48/S43</f>
        <v>8.3892617449664433E-2</v>
      </c>
      <c r="S48" s="3713"/>
      <c r="T48" s="2397"/>
      <c r="U48" s="1046" t="s">
        <v>1763</v>
      </c>
      <c r="V48" s="1046" t="s">
        <v>1764</v>
      </c>
      <c r="W48" s="1211">
        <v>25000000</v>
      </c>
      <c r="X48" s="1050" t="s">
        <v>1765</v>
      </c>
      <c r="Y48" s="1212">
        <v>20</v>
      </c>
      <c r="Z48" s="1048" t="s">
        <v>77</v>
      </c>
      <c r="AA48" s="2111"/>
      <c r="AB48" s="2111"/>
      <c r="AC48" s="2111"/>
      <c r="AD48" s="2111"/>
      <c r="AE48" s="2111"/>
      <c r="AF48" s="2111"/>
      <c r="AG48" s="2111"/>
      <c r="AH48" s="2111"/>
      <c r="AI48" s="2111"/>
      <c r="AJ48" s="2111"/>
      <c r="AK48" s="2111"/>
      <c r="AL48" s="2111"/>
      <c r="AM48" s="2111"/>
      <c r="AN48" s="2111"/>
      <c r="AO48" s="2111"/>
      <c r="AP48" s="2111"/>
      <c r="AQ48" s="3709"/>
      <c r="AR48" s="3709"/>
      <c r="AS48" s="3709"/>
    </row>
    <row r="49" spans="1:65" s="1262" customFormat="1" ht="111" customHeight="1" x14ac:dyDescent="0.25">
      <c r="A49" s="1265"/>
      <c r="B49" s="1060"/>
      <c r="C49" s="1266"/>
      <c r="D49" s="1267"/>
      <c r="E49" s="3717"/>
      <c r="F49" s="3718"/>
      <c r="G49" s="1043">
        <v>2302083</v>
      </c>
      <c r="H49" s="1053" t="s">
        <v>173</v>
      </c>
      <c r="I49" s="1043">
        <v>2302083</v>
      </c>
      <c r="J49" s="1054" t="s">
        <v>173</v>
      </c>
      <c r="K49" s="1268">
        <v>230208300</v>
      </c>
      <c r="L49" s="1039" t="s">
        <v>816</v>
      </c>
      <c r="M49" s="1268">
        <v>230208300</v>
      </c>
      <c r="N49" s="1039" t="s">
        <v>816</v>
      </c>
      <c r="O49" s="1035">
        <v>1</v>
      </c>
      <c r="P49" s="2363"/>
      <c r="Q49" s="2397"/>
      <c r="R49" s="1269">
        <f>W49/S43</f>
        <v>6.0402684563758392E-2</v>
      </c>
      <c r="S49" s="3713"/>
      <c r="T49" s="2397"/>
      <c r="U49" s="1270" t="s">
        <v>1766</v>
      </c>
      <c r="V49" s="1045" t="s">
        <v>1767</v>
      </c>
      <c r="W49" s="1216">
        <v>18000000</v>
      </c>
      <c r="X49" s="1050" t="s">
        <v>1768</v>
      </c>
      <c r="Y49" s="1217">
        <v>20</v>
      </c>
      <c r="Z49" s="1029" t="s">
        <v>77</v>
      </c>
      <c r="AA49" s="2111"/>
      <c r="AB49" s="2111"/>
      <c r="AC49" s="2111"/>
      <c r="AD49" s="2111"/>
      <c r="AE49" s="2111"/>
      <c r="AF49" s="2111"/>
      <c r="AG49" s="2111"/>
      <c r="AH49" s="2111"/>
      <c r="AI49" s="2111"/>
      <c r="AJ49" s="2111"/>
      <c r="AK49" s="2111"/>
      <c r="AL49" s="2111"/>
      <c r="AM49" s="2111"/>
      <c r="AN49" s="2111"/>
      <c r="AO49" s="2111"/>
      <c r="AP49" s="2111"/>
      <c r="AQ49" s="3709"/>
      <c r="AR49" s="3709"/>
      <c r="AS49" s="3709"/>
    </row>
    <row r="50" spans="1:65" ht="27" customHeight="1" x14ac:dyDescent="0.25">
      <c r="A50" s="1247">
        <v>2</v>
      </c>
      <c r="B50" s="2542" t="s">
        <v>683</v>
      </c>
      <c r="C50" s="2543"/>
      <c r="D50" s="2543"/>
      <c r="E50" s="2543"/>
      <c r="F50" s="2543"/>
      <c r="G50" s="2543"/>
      <c r="H50" s="1248"/>
      <c r="I50" s="1249"/>
      <c r="J50" s="1185"/>
      <c r="K50" s="1184"/>
      <c r="L50" s="1185"/>
      <c r="M50" s="1184"/>
      <c r="N50" s="1185"/>
      <c r="O50" s="1184"/>
      <c r="P50" s="1184"/>
      <c r="Q50" s="1185"/>
      <c r="R50" s="1186"/>
      <c r="S50" s="1187"/>
      <c r="T50" s="1185"/>
      <c r="U50" s="1185"/>
      <c r="V50" s="1185"/>
      <c r="W50" s="1251"/>
      <c r="X50" s="1250"/>
      <c r="Y50" s="1188"/>
      <c r="Z50" s="1184"/>
      <c r="AA50" s="1184"/>
      <c r="AB50" s="1184"/>
      <c r="AC50" s="1184"/>
      <c r="AD50" s="1184"/>
      <c r="AE50" s="1184"/>
      <c r="AF50" s="1184"/>
      <c r="AG50" s="1184"/>
      <c r="AH50" s="1184"/>
      <c r="AI50" s="1184"/>
      <c r="AJ50" s="1184"/>
      <c r="AK50" s="1184"/>
      <c r="AL50" s="1184"/>
      <c r="AM50" s="1184"/>
      <c r="AN50" s="1184"/>
      <c r="AO50" s="1184"/>
      <c r="AP50" s="1184"/>
      <c r="AQ50" s="1189"/>
      <c r="AR50" s="1189"/>
      <c r="AS50" s="1190"/>
      <c r="AT50" s="1163"/>
      <c r="AU50" s="1163"/>
      <c r="AV50" s="1163"/>
      <c r="AW50" s="1163"/>
      <c r="AX50" s="1163"/>
      <c r="AY50" s="1163"/>
      <c r="AZ50" s="1163"/>
      <c r="BA50" s="1163"/>
      <c r="BB50" s="1163"/>
      <c r="BC50" s="1163"/>
      <c r="BD50" s="1163"/>
      <c r="BE50" s="1163"/>
      <c r="BF50" s="1163"/>
      <c r="BG50" s="1163"/>
      <c r="BH50" s="1163"/>
      <c r="BI50" s="1163"/>
      <c r="BJ50" s="1163"/>
      <c r="BK50" s="1163"/>
      <c r="BL50" s="1163"/>
      <c r="BM50" s="1163"/>
    </row>
    <row r="51" spans="1:65" s="280" customFormat="1" ht="27" customHeight="1" x14ac:dyDescent="0.25">
      <c r="A51" s="1191"/>
      <c r="B51" s="382"/>
      <c r="C51" s="38">
        <v>39</v>
      </c>
      <c r="D51" s="2545" t="s">
        <v>1769</v>
      </c>
      <c r="E51" s="2044"/>
      <c r="F51" s="2546"/>
      <c r="G51" s="2546"/>
      <c r="H51" s="2546"/>
      <c r="I51" s="2546"/>
      <c r="J51" s="2546"/>
      <c r="K51" s="1254"/>
      <c r="L51" s="1253"/>
      <c r="M51" s="1254"/>
      <c r="N51" s="1253"/>
      <c r="O51" s="1194"/>
      <c r="P51" s="1194"/>
      <c r="Q51" s="1193"/>
      <c r="R51" s="1195"/>
      <c r="S51" s="1196"/>
      <c r="T51" s="1193"/>
      <c r="U51" s="1193"/>
      <c r="V51" s="1193"/>
      <c r="W51" s="1257"/>
      <c r="X51" s="1194"/>
      <c r="Y51" s="1197"/>
      <c r="Z51" s="1194"/>
      <c r="AA51" s="1194"/>
      <c r="AB51" s="1194"/>
      <c r="AC51" s="1194"/>
      <c r="AD51" s="1194"/>
      <c r="AE51" s="1194"/>
      <c r="AF51" s="1194"/>
      <c r="AG51" s="1194"/>
      <c r="AH51" s="1194"/>
      <c r="AI51" s="1194"/>
      <c r="AJ51" s="1194"/>
      <c r="AK51" s="1194"/>
      <c r="AL51" s="1194"/>
      <c r="AM51" s="1194"/>
      <c r="AN51" s="1194"/>
      <c r="AO51" s="1194"/>
      <c r="AP51" s="1194"/>
      <c r="AQ51" s="1198"/>
      <c r="AR51" s="1198"/>
      <c r="AS51" s="1199"/>
    </row>
    <row r="52" spans="1:65" s="1163" customFormat="1" ht="45.6" customHeight="1" x14ac:dyDescent="0.25">
      <c r="A52" s="1210"/>
      <c r="B52" s="1201"/>
      <c r="C52" s="1200"/>
      <c r="D52" s="1201"/>
      <c r="E52" s="1271">
        <v>3903</v>
      </c>
      <c r="F52" s="2550" t="s">
        <v>1770</v>
      </c>
      <c r="G52" s="2551"/>
      <c r="H52" s="2551"/>
      <c r="I52" s="2551"/>
      <c r="J52" s="2551"/>
      <c r="K52" s="2551"/>
      <c r="L52" s="2551"/>
      <c r="M52" s="2551"/>
      <c r="N52" s="2551"/>
      <c r="O52" s="827"/>
      <c r="P52" s="1260"/>
      <c r="Q52" s="1204"/>
      <c r="R52" s="1260"/>
      <c r="S52" s="1260"/>
      <c r="T52" s="1204"/>
      <c r="U52" s="1204"/>
      <c r="V52" s="1204"/>
      <c r="W52" s="1259"/>
      <c r="X52" s="827"/>
      <c r="Y52" s="1260"/>
      <c r="Z52" s="1207"/>
      <c r="AA52" s="1207"/>
      <c r="AB52" s="1207"/>
      <c r="AC52" s="1207"/>
      <c r="AD52" s="1207"/>
      <c r="AE52" s="1207"/>
      <c r="AF52" s="1207"/>
      <c r="AG52" s="1207"/>
      <c r="AH52" s="1207"/>
      <c r="AI52" s="1207"/>
      <c r="AJ52" s="1207"/>
      <c r="AK52" s="1207"/>
      <c r="AL52" s="1207"/>
      <c r="AM52" s="1207"/>
      <c r="AN52" s="1207"/>
      <c r="AO52" s="1207"/>
      <c r="AP52" s="1207"/>
      <c r="AQ52" s="1208"/>
      <c r="AR52" s="1208"/>
      <c r="AS52" s="1209"/>
    </row>
    <row r="53" spans="1:65" ht="60.75" customHeight="1" x14ac:dyDescent="0.25">
      <c r="A53" s="1223"/>
      <c r="B53" s="1224"/>
      <c r="C53" s="1225"/>
      <c r="D53" s="1224"/>
      <c r="E53" s="3704"/>
      <c r="F53" s="3705"/>
      <c r="G53" s="3521">
        <v>3903005</v>
      </c>
      <c r="H53" s="2709" t="s">
        <v>1771</v>
      </c>
      <c r="I53" s="3521">
        <v>3903005</v>
      </c>
      <c r="J53" s="2709" t="s">
        <v>1771</v>
      </c>
      <c r="K53" s="1272">
        <v>390300501</v>
      </c>
      <c r="L53" s="1273" t="s">
        <v>1772</v>
      </c>
      <c r="M53" s="1272">
        <v>390300501</v>
      </c>
      <c r="N53" s="1273" t="s">
        <v>1772</v>
      </c>
      <c r="O53" s="1274">
        <v>1</v>
      </c>
      <c r="P53" s="3695" t="s">
        <v>1773</v>
      </c>
      <c r="Q53" s="2059" t="s">
        <v>1774</v>
      </c>
      <c r="R53" s="3698">
        <f>SUM(W53:W55)/S53</f>
        <v>1</v>
      </c>
      <c r="S53" s="3701">
        <f>SUM(W53:W55)</f>
        <v>60000000</v>
      </c>
      <c r="T53" s="2059" t="s">
        <v>1775</v>
      </c>
      <c r="U53" s="2059" t="s">
        <v>1776</v>
      </c>
      <c r="V53" s="1038" t="s">
        <v>1777</v>
      </c>
      <c r="W53" s="1211">
        <v>10000000</v>
      </c>
      <c r="X53" s="1050" t="s">
        <v>1778</v>
      </c>
      <c r="Y53" s="1275">
        <v>20</v>
      </c>
      <c r="Z53" s="1033" t="s">
        <v>77</v>
      </c>
      <c r="AA53" s="2148">
        <v>295972</v>
      </c>
      <c r="AB53" s="2148">
        <v>294321</v>
      </c>
      <c r="AC53" s="2148">
        <v>132302</v>
      </c>
      <c r="AD53" s="2148">
        <v>43426</v>
      </c>
      <c r="AE53" s="2148">
        <v>313940</v>
      </c>
      <c r="AF53" s="2148">
        <v>100625</v>
      </c>
      <c r="AG53" s="2148">
        <v>2145</v>
      </c>
      <c r="AH53" s="2148">
        <v>12718</v>
      </c>
      <c r="AI53" s="2148">
        <v>36</v>
      </c>
      <c r="AJ53" s="2148">
        <v>0</v>
      </c>
      <c r="AK53" s="2148">
        <v>0</v>
      </c>
      <c r="AL53" s="2148">
        <v>0</v>
      </c>
      <c r="AM53" s="2148">
        <v>70</v>
      </c>
      <c r="AN53" s="2148">
        <v>21944</v>
      </c>
      <c r="AO53" s="2148">
        <v>285</v>
      </c>
      <c r="AP53" s="2148">
        <v>590293</v>
      </c>
      <c r="AQ53" s="3691">
        <v>44197</v>
      </c>
      <c r="AR53" s="3691">
        <v>44561</v>
      </c>
      <c r="AS53" s="3691" t="s">
        <v>1648</v>
      </c>
    </row>
    <row r="54" spans="1:65" ht="57.75" customHeight="1" x14ac:dyDescent="0.25">
      <c r="A54" s="1223"/>
      <c r="B54" s="1224"/>
      <c r="C54" s="1225"/>
      <c r="D54" s="1224"/>
      <c r="E54" s="3704"/>
      <c r="F54" s="3705"/>
      <c r="G54" s="2166"/>
      <c r="H54" s="2709"/>
      <c r="I54" s="2166"/>
      <c r="J54" s="2709"/>
      <c r="K54" s="1276">
        <v>390300507</v>
      </c>
      <c r="L54" s="1277" t="s">
        <v>1779</v>
      </c>
      <c r="M54" s="1276">
        <v>390300507</v>
      </c>
      <c r="N54" s="1277" t="s">
        <v>1779</v>
      </c>
      <c r="O54" s="1274">
        <v>50</v>
      </c>
      <c r="P54" s="3696"/>
      <c r="Q54" s="2397"/>
      <c r="R54" s="3699"/>
      <c r="S54" s="3702"/>
      <c r="T54" s="2397"/>
      <c r="U54" s="2397"/>
      <c r="V54" s="1038" t="s">
        <v>1780</v>
      </c>
      <c r="W54" s="1211">
        <v>30000000</v>
      </c>
      <c r="X54" s="1050" t="s">
        <v>1778</v>
      </c>
      <c r="Y54" s="1275">
        <v>20</v>
      </c>
      <c r="Z54" s="1033" t="s">
        <v>77</v>
      </c>
      <c r="AA54" s="2111"/>
      <c r="AB54" s="2111"/>
      <c r="AC54" s="2111"/>
      <c r="AD54" s="2111"/>
      <c r="AE54" s="2111"/>
      <c r="AF54" s="2111"/>
      <c r="AG54" s="2111"/>
      <c r="AH54" s="2111"/>
      <c r="AI54" s="2111"/>
      <c r="AJ54" s="2111"/>
      <c r="AK54" s="2111"/>
      <c r="AL54" s="2111"/>
      <c r="AM54" s="2111"/>
      <c r="AN54" s="2111"/>
      <c r="AO54" s="2111"/>
      <c r="AP54" s="2111"/>
      <c r="AQ54" s="3692"/>
      <c r="AR54" s="3692"/>
      <c r="AS54" s="3692"/>
    </row>
    <row r="55" spans="1:65" ht="60.75" customHeight="1" x14ac:dyDescent="0.25">
      <c r="A55" s="1223"/>
      <c r="B55" s="1224"/>
      <c r="C55" s="1225"/>
      <c r="D55" s="1224"/>
      <c r="E55" s="3706"/>
      <c r="F55" s="3707"/>
      <c r="G55" s="2166"/>
      <c r="H55" s="3327"/>
      <c r="I55" s="2166"/>
      <c r="J55" s="3327"/>
      <c r="K55" s="1276">
        <v>390300511</v>
      </c>
      <c r="L55" s="1277" t="s">
        <v>1781</v>
      </c>
      <c r="M55" s="1276">
        <v>390300511</v>
      </c>
      <c r="N55" s="1277" t="s">
        <v>1781</v>
      </c>
      <c r="O55" s="1274">
        <v>50</v>
      </c>
      <c r="P55" s="3697"/>
      <c r="Q55" s="2203"/>
      <c r="R55" s="3700"/>
      <c r="S55" s="3703"/>
      <c r="T55" s="2203"/>
      <c r="U55" s="2203"/>
      <c r="V55" s="1038" t="s">
        <v>1782</v>
      </c>
      <c r="W55" s="1211">
        <v>20000000</v>
      </c>
      <c r="X55" s="1050" t="s">
        <v>1783</v>
      </c>
      <c r="Y55" s="1275">
        <v>20</v>
      </c>
      <c r="Z55" s="1033" t="s">
        <v>77</v>
      </c>
      <c r="AA55" s="2165"/>
      <c r="AB55" s="2165"/>
      <c r="AC55" s="2165"/>
      <c r="AD55" s="2165"/>
      <c r="AE55" s="2165"/>
      <c r="AF55" s="2165"/>
      <c r="AG55" s="2165"/>
      <c r="AH55" s="2165"/>
      <c r="AI55" s="2165"/>
      <c r="AJ55" s="2165"/>
      <c r="AK55" s="2165"/>
      <c r="AL55" s="2165"/>
      <c r="AM55" s="2165"/>
      <c r="AN55" s="2165"/>
      <c r="AO55" s="2165"/>
      <c r="AP55" s="2165"/>
      <c r="AQ55" s="3693"/>
      <c r="AR55" s="3693"/>
      <c r="AS55" s="3693"/>
    </row>
    <row r="56" spans="1:65" s="1163" customFormat="1" ht="25.9" customHeight="1" x14ac:dyDescent="0.25">
      <c r="A56" s="1210"/>
      <c r="B56" s="1201"/>
      <c r="C56" s="1210"/>
      <c r="D56" s="1201"/>
      <c r="E56" s="1271">
        <v>3904</v>
      </c>
      <c r="F56" s="2090" t="s">
        <v>1784</v>
      </c>
      <c r="G56" s="2091"/>
      <c r="H56" s="2091"/>
      <c r="I56" s="2091"/>
      <c r="J56" s="2091"/>
      <c r="K56" s="2091"/>
      <c r="L56" s="2091"/>
      <c r="M56" s="2091"/>
      <c r="N56" s="2091"/>
      <c r="O56" s="2091"/>
      <c r="P56" s="2091"/>
      <c r="Q56" s="1220"/>
      <c r="R56" s="1222"/>
      <c r="S56" s="1222"/>
      <c r="T56" s="1220"/>
      <c r="U56" s="1220"/>
      <c r="V56" s="1220"/>
      <c r="W56" s="1221"/>
      <c r="X56" s="827"/>
      <c r="Y56" s="1222"/>
      <c r="Z56" s="1207"/>
      <c r="AA56" s="1207"/>
      <c r="AB56" s="1207"/>
      <c r="AC56" s="1207"/>
      <c r="AD56" s="1207"/>
      <c r="AE56" s="1207"/>
      <c r="AF56" s="1207"/>
      <c r="AG56" s="1207"/>
      <c r="AH56" s="1207"/>
      <c r="AI56" s="1207"/>
      <c r="AJ56" s="1207"/>
      <c r="AK56" s="1207"/>
      <c r="AL56" s="1207"/>
      <c r="AM56" s="1207"/>
      <c r="AN56" s="1207"/>
      <c r="AO56" s="1207"/>
      <c r="AP56" s="1207"/>
      <c r="AQ56" s="1208"/>
      <c r="AR56" s="1208"/>
      <c r="AS56" s="1209"/>
    </row>
    <row r="57" spans="1:65" ht="153" customHeight="1" x14ac:dyDescent="0.25">
      <c r="A57" s="1239"/>
      <c r="B57" s="1240"/>
      <c r="C57" s="1241"/>
      <c r="D57" s="1240"/>
      <c r="E57" s="3694"/>
      <c r="F57" s="3618"/>
      <c r="G57" s="254">
        <v>3904018</v>
      </c>
      <c r="H57" s="1055" t="s">
        <v>1785</v>
      </c>
      <c r="I57" s="254">
        <v>3904018</v>
      </c>
      <c r="J57" s="1055" t="s">
        <v>1785</v>
      </c>
      <c r="K57" s="1278">
        <v>390401809</v>
      </c>
      <c r="L57" s="1055" t="s">
        <v>1786</v>
      </c>
      <c r="M57" s="1278">
        <v>390401809</v>
      </c>
      <c r="N57" s="1055" t="s">
        <v>1786</v>
      </c>
      <c r="O57" s="1279">
        <v>6</v>
      </c>
      <c r="P57" s="1047" t="s">
        <v>1787</v>
      </c>
      <c r="Q57" s="1032" t="s">
        <v>1788</v>
      </c>
      <c r="R57" s="1264">
        <f>SUM(W57)/S57</f>
        <v>1</v>
      </c>
      <c r="S57" s="1280">
        <f>SUM(W57)</f>
        <v>18000000</v>
      </c>
      <c r="T57" s="1032" t="s">
        <v>1789</v>
      </c>
      <c r="U57" s="1032" t="s">
        <v>1790</v>
      </c>
      <c r="V57" s="1034" t="s">
        <v>1791</v>
      </c>
      <c r="W57" s="1281">
        <v>18000000</v>
      </c>
      <c r="X57" s="1050" t="s">
        <v>1792</v>
      </c>
      <c r="Y57" s="1282">
        <v>20</v>
      </c>
      <c r="Z57" s="1031" t="s">
        <v>77</v>
      </c>
      <c r="AA57" s="1033">
        <v>295972</v>
      </c>
      <c r="AB57" s="1033">
        <v>294321</v>
      </c>
      <c r="AC57" s="1033">
        <v>132302</v>
      </c>
      <c r="AD57" s="1033">
        <v>43426</v>
      </c>
      <c r="AE57" s="1033">
        <v>313940</v>
      </c>
      <c r="AF57" s="1033">
        <v>100625</v>
      </c>
      <c r="AG57" s="1033">
        <v>2145</v>
      </c>
      <c r="AH57" s="1033">
        <v>12718</v>
      </c>
      <c r="AI57" s="1033">
        <v>36</v>
      </c>
      <c r="AJ57" s="1033">
        <v>0</v>
      </c>
      <c r="AK57" s="1033">
        <v>0</v>
      </c>
      <c r="AL57" s="1033">
        <v>0</v>
      </c>
      <c r="AM57" s="1033">
        <v>70</v>
      </c>
      <c r="AN57" s="1033">
        <v>21944</v>
      </c>
      <c r="AO57" s="1033">
        <v>285</v>
      </c>
      <c r="AP57" s="1033">
        <v>590293</v>
      </c>
      <c r="AQ57" s="1283">
        <v>44197</v>
      </c>
      <c r="AR57" s="1283">
        <v>44561</v>
      </c>
      <c r="AS57" s="1033" t="s">
        <v>1648</v>
      </c>
    </row>
    <row r="58" spans="1:65" ht="48.75" customHeight="1" x14ac:dyDescent="0.25">
      <c r="A58" s="1284"/>
      <c r="B58" s="1285"/>
      <c r="C58" s="1285"/>
      <c r="D58" s="1285"/>
      <c r="E58" s="1286"/>
      <c r="F58" s="1286"/>
      <c r="G58" s="1286"/>
      <c r="H58" s="1287"/>
      <c r="I58" s="1288"/>
      <c r="J58" s="1287"/>
      <c r="K58" s="1286"/>
      <c r="L58" s="1287"/>
      <c r="M58" s="1286"/>
      <c r="N58" s="1287"/>
      <c r="O58" s="1286"/>
      <c r="P58" s="1286"/>
      <c r="Q58" s="1287"/>
      <c r="R58" s="1289"/>
      <c r="S58" s="1290">
        <f>SUM(S12:S57)</f>
        <v>1196000000</v>
      </c>
      <c r="T58" s="1287"/>
      <c r="U58" s="1287"/>
      <c r="V58" s="1291" t="s">
        <v>113</v>
      </c>
      <c r="W58" s="1292">
        <f>SUM(W12:W57)</f>
        <v>1196000000</v>
      </c>
      <c r="X58" s="1293"/>
      <c r="Y58" s="1294"/>
      <c r="Z58" s="1286"/>
      <c r="AA58" s="1286"/>
      <c r="AB58" s="1286"/>
      <c r="AC58" s="1286"/>
      <c r="AD58" s="1286"/>
      <c r="AE58" s="1286"/>
      <c r="AF58" s="1286"/>
      <c r="AG58" s="1286"/>
      <c r="AH58" s="1286"/>
      <c r="AI58" s="1286"/>
      <c r="AJ58" s="1286"/>
      <c r="AK58" s="1286"/>
      <c r="AL58" s="1286"/>
      <c r="AM58" s="1286"/>
      <c r="AN58" s="1286"/>
      <c r="AO58" s="1286"/>
      <c r="AP58" s="1286"/>
      <c r="AQ58" s="1295"/>
      <c r="AR58" s="1295"/>
      <c r="AS58" s="1296"/>
    </row>
  </sheetData>
  <sheetProtection algorithmName="SHA-512" hashValue="UPHqTPY2G/2ajP3n58bBNmg7oTeU/yXZ2lwyMdUsTQ54ButfleMnb0DQmnLFPKW6EQU9OImvZaspx+8dl1j0HA==" saltValue="tQU+IE7aCGxYfbO5iVbhBw==" spinCount="100000" sheet="1" objects="1" scenarios="1"/>
  <mergeCells count="232">
    <mergeCell ref="A1:AQ4"/>
    <mergeCell ref="A5:O6"/>
    <mergeCell ref="P5:AS5"/>
    <mergeCell ref="AA6:AO6"/>
    <mergeCell ref="A7:B7"/>
    <mergeCell ref="C7:D7"/>
    <mergeCell ref="E7:F7"/>
    <mergeCell ref="G7:J7"/>
    <mergeCell ref="K7:N7"/>
    <mergeCell ref="O7:W7"/>
    <mergeCell ref="AQ7:AQ8"/>
    <mergeCell ref="AR7:AR8"/>
    <mergeCell ref="AS7:AS8"/>
    <mergeCell ref="AC7:AF7"/>
    <mergeCell ref="AG7:AL7"/>
    <mergeCell ref="AM7:AO7"/>
    <mergeCell ref="AP7:AP8"/>
    <mergeCell ref="B9:L9"/>
    <mergeCell ref="D10:H10"/>
    <mergeCell ref="A11:B32"/>
    <mergeCell ref="F11:Q11"/>
    <mergeCell ref="E12:F13"/>
    <mergeCell ref="G12:G19"/>
    <mergeCell ref="H12:H19"/>
    <mergeCell ref="X7:Z7"/>
    <mergeCell ref="AA7:AB7"/>
    <mergeCell ref="O12:O14"/>
    <mergeCell ref="P12:P23"/>
    <mergeCell ref="Q12:Q23"/>
    <mergeCell ref="R12:R19"/>
    <mergeCell ref="S12:S23"/>
    <mergeCell ref="T12:T23"/>
    <mergeCell ref="I12:I19"/>
    <mergeCell ref="J12:J19"/>
    <mergeCell ref="K12:K14"/>
    <mergeCell ref="L12:L14"/>
    <mergeCell ref="M12:M14"/>
    <mergeCell ref="N12:N14"/>
    <mergeCell ref="G20:G22"/>
    <mergeCell ref="H20:H22"/>
    <mergeCell ref="I20:I22"/>
    <mergeCell ref="R20:R22"/>
    <mergeCell ref="AH12:AH23"/>
    <mergeCell ref="AI12:AI23"/>
    <mergeCell ref="AJ12:AJ23"/>
    <mergeCell ref="AK12:AK23"/>
    <mergeCell ref="U12:U19"/>
    <mergeCell ref="AA12:AA23"/>
    <mergeCell ref="AB12:AB23"/>
    <mergeCell ref="AC12:AC23"/>
    <mergeCell ref="AD12:AD23"/>
    <mergeCell ref="AE12:AE23"/>
    <mergeCell ref="U20:U22"/>
    <mergeCell ref="AB24:AB32"/>
    <mergeCell ref="J20:J22"/>
    <mergeCell ref="K20:K22"/>
    <mergeCell ref="L20:L22"/>
    <mergeCell ref="AR12:AR23"/>
    <mergeCell ref="AS12:AS23"/>
    <mergeCell ref="K15:K19"/>
    <mergeCell ref="L15:L19"/>
    <mergeCell ref="M15:M19"/>
    <mergeCell ref="N15:N19"/>
    <mergeCell ref="O15:O19"/>
    <mergeCell ref="V16:V17"/>
    <mergeCell ref="V18:V19"/>
    <mergeCell ref="M20:M22"/>
    <mergeCell ref="AL12:AL23"/>
    <mergeCell ref="AM12:AM23"/>
    <mergeCell ref="AN12:AN23"/>
    <mergeCell ref="AO12:AO23"/>
    <mergeCell ref="AP12:AP23"/>
    <mergeCell ref="AQ12:AQ23"/>
    <mergeCell ref="AF12:AF23"/>
    <mergeCell ref="AG12:AG23"/>
    <mergeCell ref="N20:N22"/>
    <mergeCell ref="O20:O22"/>
    <mergeCell ref="U26:U28"/>
    <mergeCell ref="AS24:AS32"/>
    <mergeCell ref="G26:G28"/>
    <mergeCell ref="H26:H28"/>
    <mergeCell ref="I26:I28"/>
    <mergeCell ref="J26:J28"/>
    <mergeCell ref="K26:K28"/>
    <mergeCell ref="L26:L28"/>
    <mergeCell ref="M26:M28"/>
    <mergeCell ref="N26:N28"/>
    <mergeCell ref="O26:O28"/>
    <mergeCell ref="AM24:AM32"/>
    <mergeCell ref="AN24:AN32"/>
    <mergeCell ref="AO24:AO32"/>
    <mergeCell ref="AP24:AP32"/>
    <mergeCell ref="AQ24:AQ32"/>
    <mergeCell ref="AR24:AR32"/>
    <mergeCell ref="AG24:AG32"/>
    <mergeCell ref="AH24:AH32"/>
    <mergeCell ref="AI24:AI32"/>
    <mergeCell ref="AJ24:AJ32"/>
    <mergeCell ref="AK24:AK32"/>
    <mergeCell ref="AL24:AL32"/>
    <mergeCell ref="AA24:AA32"/>
    <mergeCell ref="L30:L32"/>
    <mergeCell ref="M30:M32"/>
    <mergeCell ref="N30:N32"/>
    <mergeCell ref="O30:O32"/>
    <mergeCell ref="P24:P32"/>
    <mergeCell ref="Q24:Q32"/>
    <mergeCell ref="S24:S32"/>
    <mergeCell ref="T24:T32"/>
    <mergeCell ref="R26:R28"/>
    <mergeCell ref="AC34:AC39"/>
    <mergeCell ref="AD34:AD39"/>
    <mergeCell ref="AE34:AE39"/>
    <mergeCell ref="AF34:AF39"/>
    <mergeCell ref="R30:R32"/>
    <mergeCell ref="U30:U32"/>
    <mergeCell ref="V31:V32"/>
    <mergeCell ref="F33:T33"/>
    <mergeCell ref="E34:F39"/>
    <mergeCell ref="P34:P39"/>
    <mergeCell ref="Q34:Q39"/>
    <mergeCell ref="S34:S39"/>
    <mergeCell ref="T34:T39"/>
    <mergeCell ref="R35:R36"/>
    <mergeCell ref="AC24:AC32"/>
    <mergeCell ref="AD24:AD32"/>
    <mergeCell ref="AE24:AE32"/>
    <mergeCell ref="AF24:AF32"/>
    <mergeCell ref="V26:V27"/>
    <mergeCell ref="G30:G32"/>
    <mergeCell ref="H30:H32"/>
    <mergeCell ref="I30:I32"/>
    <mergeCell ref="J30:J32"/>
    <mergeCell ref="K30:K32"/>
    <mergeCell ref="AS34:AS39"/>
    <mergeCell ref="G35:G36"/>
    <mergeCell ref="H35:H36"/>
    <mergeCell ref="I35:I36"/>
    <mergeCell ref="J35:J36"/>
    <mergeCell ref="K35:K36"/>
    <mergeCell ref="L35:L36"/>
    <mergeCell ref="M35:M36"/>
    <mergeCell ref="N35:N36"/>
    <mergeCell ref="O35:O36"/>
    <mergeCell ref="AM34:AM39"/>
    <mergeCell ref="AN34:AN39"/>
    <mergeCell ref="AO34:AO39"/>
    <mergeCell ref="AP34:AP39"/>
    <mergeCell ref="AQ34:AQ39"/>
    <mergeCell ref="AR34:AR39"/>
    <mergeCell ref="AG34:AG39"/>
    <mergeCell ref="AH34:AH39"/>
    <mergeCell ref="AI34:AI39"/>
    <mergeCell ref="AJ34:AJ39"/>
    <mergeCell ref="AK34:AK39"/>
    <mergeCell ref="AL34:AL39"/>
    <mergeCell ref="AA34:AA39"/>
    <mergeCell ref="AB34:AB39"/>
    <mergeCell ref="L43:L44"/>
    <mergeCell ref="M43:M44"/>
    <mergeCell ref="N43:N44"/>
    <mergeCell ref="O43:O44"/>
    <mergeCell ref="P43:P49"/>
    <mergeCell ref="Q43:Q49"/>
    <mergeCell ref="U35:U36"/>
    <mergeCell ref="B40:G40"/>
    <mergeCell ref="D41:H41"/>
    <mergeCell ref="F42:S42"/>
    <mergeCell ref="E43:F49"/>
    <mergeCell ref="G43:G44"/>
    <mergeCell ref="H43:H44"/>
    <mergeCell ref="I43:I44"/>
    <mergeCell ref="J43:J44"/>
    <mergeCell ref="K43:K44"/>
    <mergeCell ref="AO43:AO49"/>
    <mergeCell ref="AP43:AP49"/>
    <mergeCell ref="AQ43:AQ49"/>
    <mergeCell ref="AR43:AR49"/>
    <mergeCell ref="AS43:AS49"/>
    <mergeCell ref="B50:G50"/>
    <mergeCell ref="AI43:AI49"/>
    <mergeCell ref="AJ43:AJ49"/>
    <mergeCell ref="AK43:AK49"/>
    <mergeCell ref="AL43:AL49"/>
    <mergeCell ref="AM43:AM49"/>
    <mergeCell ref="AN43:AN49"/>
    <mergeCell ref="AC43:AC49"/>
    <mergeCell ref="AD43:AD49"/>
    <mergeCell ref="AE43:AE49"/>
    <mergeCell ref="AF43:AF49"/>
    <mergeCell ref="AG43:AG49"/>
    <mergeCell ref="AH43:AH49"/>
    <mergeCell ref="R43:R44"/>
    <mergeCell ref="S43:S49"/>
    <mergeCell ref="T43:T49"/>
    <mergeCell ref="U43:U44"/>
    <mergeCell ref="AA43:AA49"/>
    <mergeCell ref="AB43:AB49"/>
    <mergeCell ref="S53:S55"/>
    <mergeCell ref="T53:T55"/>
    <mergeCell ref="U53:U55"/>
    <mergeCell ref="D51:J51"/>
    <mergeCell ref="F52:N52"/>
    <mergeCell ref="E53:F55"/>
    <mergeCell ref="G53:G55"/>
    <mergeCell ref="H53:H55"/>
    <mergeCell ref="I53:I55"/>
    <mergeCell ref="J53:J55"/>
    <mergeCell ref="AS53:AS55"/>
    <mergeCell ref="F56:P56"/>
    <mergeCell ref="E57:F57"/>
    <mergeCell ref="AM53:AM55"/>
    <mergeCell ref="AN53:AN55"/>
    <mergeCell ref="AO53:AO55"/>
    <mergeCell ref="AP53:AP55"/>
    <mergeCell ref="AQ53:AQ55"/>
    <mergeCell ref="AR53:AR55"/>
    <mergeCell ref="AG53:AG55"/>
    <mergeCell ref="AH53:AH55"/>
    <mergeCell ref="AI53:AI55"/>
    <mergeCell ref="AJ53:AJ55"/>
    <mergeCell ref="AK53:AK55"/>
    <mergeCell ref="AL53:AL55"/>
    <mergeCell ref="AA53:AA55"/>
    <mergeCell ref="AB53:AB55"/>
    <mergeCell ref="AC53:AC55"/>
    <mergeCell ref="AD53:AD55"/>
    <mergeCell ref="AE53:AE55"/>
    <mergeCell ref="AF53:AF55"/>
    <mergeCell ref="P53:P55"/>
    <mergeCell ref="Q53:Q55"/>
    <mergeCell ref="R53:R55"/>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S94"/>
  <sheetViews>
    <sheetView showGridLines="0" tabSelected="1" zoomScale="70" zoomScaleNormal="70" workbookViewId="0">
      <selection activeCell="C16" sqref="C16"/>
    </sheetView>
  </sheetViews>
  <sheetFormatPr baseColWidth="10" defaultRowHeight="15" x14ac:dyDescent="0.25"/>
  <cols>
    <col min="1" max="1" width="12.42578125" style="2007" customWidth="1"/>
    <col min="2" max="2" width="14.42578125" style="2007" customWidth="1"/>
    <col min="3" max="3" width="13.140625" style="2007" customWidth="1"/>
    <col min="4" max="4" width="14.5703125" style="2007" customWidth="1"/>
    <col min="5" max="5" width="15.28515625" style="2007" customWidth="1"/>
    <col min="6" max="6" width="13.5703125" style="2007" customWidth="1"/>
    <col min="7" max="7" width="13.85546875" style="2007" customWidth="1"/>
    <col min="8" max="8" width="18.5703125" style="2007" customWidth="1"/>
    <col min="9" max="9" width="22.7109375" style="2007" customWidth="1"/>
    <col min="10" max="10" width="18.85546875" style="2007" customWidth="1"/>
    <col min="11" max="11" width="14" style="2007" customWidth="1"/>
    <col min="12" max="12" width="21.140625" style="2007" customWidth="1"/>
    <col min="13" max="14" width="20.5703125" style="2007" customWidth="1"/>
    <col min="15" max="15" width="11.85546875" style="2007" customWidth="1"/>
    <col min="16" max="16" width="26.7109375" style="2007" customWidth="1"/>
    <col min="17" max="17" width="27" style="2007" customWidth="1"/>
    <col min="18" max="18" width="12.42578125" style="2007" customWidth="1"/>
    <col min="19" max="19" width="27" style="2007" customWidth="1"/>
    <col min="20" max="20" width="40.85546875" style="2007" customWidth="1"/>
    <col min="21" max="21" width="29.140625" style="2007" customWidth="1"/>
    <col min="22" max="22" width="49.85546875" style="2007" customWidth="1"/>
    <col min="23" max="23" width="30.140625" style="2007" customWidth="1"/>
    <col min="24" max="24" width="40.5703125" style="2007" customWidth="1"/>
    <col min="25" max="25" width="12.28515625" style="2007" customWidth="1"/>
    <col min="26" max="26" width="21.140625" style="2007" customWidth="1"/>
    <col min="27" max="28" width="9.140625" style="2007" bestFit="1" customWidth="1"/>
    <col min="29" max="29" width="10.7109375" style="2007" customWidth="1"/>
    <col min="30" max="41" width="9.140625" style="2007" bestFit="1" customWidth="1"/>
    <col min="42" max="42" width="18.5703125" style="2007" customWidth="1"/>
    <col min="43" max="43" width="20.5703125" style="2007" customWidth="1"/>
    <col min="44" max="44" width="23" style="2007" customWidth="1"/>
    <col min="45" max="45" width="22.7109375" style="2007" customWidth="1"/>
  </cols>
  <sheetData>
    <row r="1" spans="1:45" ht="15.75" x14ac:dyDescent="0.25">
      <c r="A1" s="2953" t="s">
        <v>3178</v>
      </c>
      <c r="B1" s="2020"/>
      <c r="C1" s="2020"/>
      <c r="D1" s="2020"/>
      <c r="E1" s="2020"/>
      <c r="F1" s="2020"/>
      <c r="G1" s="2020"/>
      <c r="H1" s="2020"/>
      <c r="I1" s="2020"/>
      <c r="J1" s="2020"/>
      <c r="K1" s="2020"/>
      <c r="L1" s="2020"/>
      <c r="M1" s="2020"/>
      <c r="N1" s="2020"/>
      <c r="O1" s="2020"/>
      <c r="P1" s="2020"/>
      <c r="Q1" s="2020"/>
      <c r="R1" s="2020"/>
      <c r="S1" s="2020"/>
      <c r="T1" s="2020"/>
      <c r="U1" s="2020"/>
      <c r="V1" s="2020"/>
      <c r="W1" s="2020"/>
      <c r="X1" s="2020"/>
      <c r="Y1" s="2020"/>
      <c r="Z1" s="2020"/>
      <c r="AA1" s="2020"/>
      <c r="AB1" s="2020"/>
      <c r="AC1" s="2020"/>
      <c r="AD1" s="2020"/>
      <c r="AE1" s="2020"/>
      <c r="AF1" s="2020"/>
      <c r="AG1" s="2020"/>
      <c r="AH1" s="2020"/>
      <c r="AI1" s="2020"/>
      <c r="AJ1" s="2020"/>
      <c r="AK1" s="2020"/>
      <c r="AL1" s="2020"/>
      <c r="AM1" s="2020"/>
      <c r="AN1" s="2020"/>
      <c r="AO1" s="2020"/>
      <c r="AP1" s="2020"/>
      <c r="AQ1" s="2020"/>
      <c r="AR1" s="1997" t="s">
        <v>1</v>
      </c>
      <c r="AS1" s="3831" t="s">
        <v>983</v>
      </c>
    </row>
    <row r="2" spans="1:45" ht="15.75" x14ac:dyDescent="0.25">
      <c r="A2" s="2022"/>
      <c r="B2" s="2016"/>
      <c r="C2" s="2016"/>
      <c r="D2" s="2016"/>
      <c r="E2" s="2016"/>
      <c r="F2" s="2016"/>
      <c r="G2" s="2016"/>
      <c r="H2" s="2016"/>
      <c r="I2" s="2016"/>
      <c r="J2" s="2016"/>
      <c r="K2" s="2016"/>
      <c r="L2" s="2016"/>
      <c r="M2" s="2016"/>
      <c r="N2" s="2016"/>
      <c r="O2" s="2016"/>
      <c r="P2" s="2016"/>
      <c r="Q2" s="2016"/>
      <c r="R2" s="2016"/>
      <c r="S2" s="2016"/>
      <c r="T2" s="2016"/>
      <c r="U2" s="2016"/>
      <c r="V2" s="2016"/>
      <c r="W2" s="2016"/>
      <c r="X2" s="2016"/>
      <c r="Y2" s="2016"/>
      <c r="Z2" s="2016"/>
      <c r="AA2" s="2016"/>
      <c r="AB2" s="2016"/>
      <c r="AC2" s="2016"/>
      <c r="AD2" s="2016"/>
      <c r="AE2" s="2016"/>
      <c r="AF2" s="2016"/>
      <c r="AG2" s="2016"/>
      <c r="AH2" s="2016"/>
      <c r="AI2" s="2016"/>
      <c r="AJ2" s="2016"/>
      <c r="AK2" s="2016"/>
      <c r="AL2" s="2016"/>
      <c r="AM2" s="2016"/>
      <c r="AN2" s="2016"/>
      <c r="AO2" s="2016"/>
      <c r="AP2" s="2016"/>
      <c r="AQ2" s="2016"/>
      <c r="AR2" s="1997" t="s">
        <v>3</v>
      </c>
      <c r="AS2" s="3832">
        <v>9</v>
      </c>
    </row>
    <row r="3" spans="1:45" ht="15.75" x14ac:dyDescent="0.25">
      <c r="A3" s="2022"/>
      <c r="B3" s="2016"/>
      <c r="C3" s="2016"/>
      <c r="D3" s="2016"/>
      <c r="E3" s="2016"/>
      <c r="F3" s="2016"/>
      <c r="G3" s="2016"/>
      <c r="H3" s="2016"/>
      <c r="I3" s="2016"/>
      <c r="J3" s="2016"/>
      <c r="K3" s="2016"/>
      <c r="L3" s="2016"/>
      <c r="M3" s="2016"/>
      <c r="N3" s="2016"/>
      <c r="O3" s="2016"/>
      <c r="P3" s="2016"/>
      <c r="Q3" s="2016"/>
      <c r="R3" s="2016"/>
      <c r="S3" s="2016"/>
      <c r="T3" s="2016"/>
      <c r="U3" s="2016"/>
      <c r="V3" s="2016"/>
      <c r="W3" s="2016"/>
      <c r="X3" s="2016"/>
      <c r="Y3" s="2016"/>
      <c r="Z3" s="2016"/>
      <c r="AA3" s="2016"/>
      <c r="AB3" s="2016"/>
      <c r="AC3" s="2016"/>
      <c r="AD3" s="2016"/>
      <c r="AE3" s="2016"/>
      <c r="AF3" s="2016"/>
      <c r="AG3" s="2016"/>
      <c r="AH3" s="2016"/>
      <c r="AI3" s="2016"/>
      <c r="AJ3" s="2016"/>
      <c r="AK3" s="2016"/>
      <c r="AL3" s="2016"/>
      <c r="AM3" s="2016"/>
      <c r="AN3" s="2016"/>
      <c r="AO3" s="2016"/>
      <c r="AP3" s="2016"/>
      <c r="AQ3" s="2016"/>
      <c r="AR3" s="1997" t="s">
        <v>4</v>
      </c>
      <c r="AS3" s="3833">
        <v>44266</v>
      </c>
    </row>
    <row r="4" spans="1:45" ht="15.75" x14ac:dyDescent="0.25">
      <c r="A4" s="2022"/>
      <c r="B4" s="2016"/>
      <c r="C4" s="2016"/>
      <c r="D4" s="2016"/>
      <c r="E4" s="2016"/>
      <c r="F4" s="2016"/>
      <c r="G4" s="2016"/>
      <c r="H4" s="2016"/>
      <c r="I4" s="2016"/>
      <c r="J4" s="2016"/>
      <c r="K4" s="2016"/>
      <c r="L4" s="2016"/>
      <c r="M4" s="2016"/>
      <c r="N4" s="2016"/>
      <c r="O4" s="2016"/>
      <c r="P4" s="2016"/>
      <c r="Q4" s="2016"/>
      <c r="R4" s="2016"/>
      <c r="S4" s="2016"/>
      <c r="T4" s="2016"/>
      <c r="U4" s="2016"/>
      <c r="V4" s="2016"/>
      <c r="W4" s="2016"/>
      <c r="X4" s="2016"/>
      <c r="Y4" s="2018"/>
      <c r="Z4" s="2016"/>
      <c r="AA4" s="2016"/>
      <c r="AB4" s="2016"/>
      <c r="AC4" s="2016"/>
      <c r="AD4" s="2016"/>
      <c r="AE4" s="2016"/>
      <c r="AF4" s="2016"/>
      <c r="AG4" s="2016"/>
      <c r="AH4" s="2016"/>
      <c r="AI4" s="2016"/>
      <c r="AJ4" s="2016"/>
      <c r="AK4" s="2016"/>
      <c r="AL4" s="2016"/>
      <c r="AM4" s="2016"/>
      <c r="AN4" s="2016"/>
      <c r="AO4" s="2016"/>
      <c r="AP4" s="2016"/>
      <c r="AQ4" s="2016"/>
      <c r="AR4" s="1997" t="s">
        <v>5</v>
      </c>
      <c r="AS4" s="3834" t="s">
        <v>114</v>
      </c>
    </row>
    <row r="5" spans="1:45" ht="15.75" x14ac:dyDescent="0.25">
      <c r="A5" s="2444" t="s">
        <v>7</v>
      </c>
      <c r="B5" s="2020"/>
      <c r="C5" s="2020"/>
      <c r="D5" s="2020"/>
      <c r="E5" s="2020"/>
      <c r="F5" s="2020"/>
      <c r="G5" s="2020"/>
      <c r="H5" s="2020"/>
      <c r="I5" s="2020"/>
      <c r="J5" s="2020"/>
      <c r="K5" s="2020"/>
      <c r="L5" s="2020"/>
      <c r="M5" s="2020"/>
      <c r="N5" s="2020"/>
      <c r="O5" s="2445"/>
      <c r="P5" s="2447"/>
      <c r="Q5" s="2446"/>
      <c r="R5" s="2446"/>
      <c r="S5" s="2446"/>
      <c r="T5" s="2446"/>
      <c r="U5" s="2446"/>
      <c r="V5" s="2446"/>
      <c r="W5" s="2446"/>
      <c r="X5" s="2447"/>
      <c r="Y5" s="2447"/>
      <c r="Z5" s="2446"/>
      <c r="AA5" s="2446"/>
      <c r="AB5" s="2446"/>
      <c r="AC5" s="2446"/>
      <c r="AD5" s="2446"/>
      <c r="AE5" s="2446"/>
      <c r="AF5" s="2446"/>
      <c r="AG5" s="2446"/>
      <c r="AH5" s="2446"/>
      <c r="AI5" s="2446"/>
      <c r="AJ5" s="2446"/>
      <c r="AK5" s="2446"/>
      <c r="AL5" s="2446"/>
      <c r="AM5" s="2446"/>
      <c r="AN5" s="2446"/>
      <c r="AO5" s="2446"/>
      <c r="AP5" s="2446"/>
      <c r="AQ5" s="2446"/>
      <c r="AR5" s="2446"/>
      <c r="AS5" s="2021"/>
    </row>
    <row r="6" spans="1:45" ht="15.75" x14ac:dyDescent="0.25">
      <c r="A6" s="2446"/>
      <c r="B6" s="2447"/>
      <c r="C6" s="2447"/>
      <c r="D6" s="2447"/>
      <c r="E6" s="2447"/>
      <c r="F6" s="2447"/>
      <c r="G6" s="2447"/>
      <c r="H6" s="2447"/>
      <c r="I6" s="2447"/>
      <c r="J6" s="2447"/>
      <c r="K6" s="2447"/>
      <c r="L6" s="2447"/>
      <c r="M6" s="2447"/>
      <c r="N6" s="2447"/>
      <c r="O6" s="2448"/>
      <c r="P6" s="1995"/>
      <c r="Q6" s="1995"/>
      <c r="R6" s="1995"/>
      <c r="S6" s="1995"/>
      <c r="T6" s="1995"/>
      <c r="U6" s="1995"/>
      <c r="V6" s="1995"/>
      <c r="W6" s="1995"/>
      <c r="X6" s="1995"/>
      <c r="Y6" s="1995"/>
      <c r="Z6" s="1995"/>
      <c r="AA6" s="1995"/>
      <c r="AB6" s="1995"/>
      <c r="AC6" s="2209" t="s">
        <v>8</v>
      </c>
      <c r="AD6" s="2018"/>
      <c r="AE6" s="2018"/>
      <c r="AF6" s="2018"/>
      <c r="AG6" s="2018"/>
      <c r="AH6" s="2018"/>
      <c r="AI6" s="2018"/>
      <c r="AJ6" s="2018"/>
      <c r="AK6" s="2018"/>
      <c r="AL6" s="2018"/>
      <c r="AM6" s="2018"/>
      <c r="AN6" s="2018"/>
      <c r="AO6" s="2018"/>
      <c r="AP6" s="2018"/>
      <c r="AQ6" s="2019"/>
      <c r="AR6" s="1995"/>
      <c r="AS6" s="1996"/>
    </row>
    <row r="7" spans="1:45" ht="30" customHeight="1" x14ac:dyDescent="0.25">
      <c r="A7" s="3835" t="s">
        <v>9</v>
      </c>
      <c r="B7" s="3835"/>
      <c r="C7" s="3835" t="s">
        <v>10</v>
      </c>
      <c r="D7" s="3835"/>
      <c r="E7" s="3835" t="s">
        <v>11</v>
      </c>
      <c r="F7" s="3835"/>
      <c r="G7" s="2212" t="s">
        <v>12</v>
      </c>
      <c r="H7" s="3040"/>
      <c r="I7" s="3040"/>
      <c r="J7" s="3040"/>
      <c r="K7" s="2212" t="s">
        <v>13</v>
      </c>
      <c r="L7" s="3040"/>
      <c r="M7" s="3040"/>
      <c r="N7" s="3040"/>
      <c r="O7" s="3836" t="s">
        <v>14</v>
      </c>
      <c r="P7" s="2279"/>
      <c r="Q7" s="2279"/>
      <c r="R7" s="2279"/>
      <c r="S7" s="2279"/>
      <c r="T7" s="2279"/>
      <c r="U7" s="2279"/>
      <c r="V7" s="2279"/>
      <c r="W7" s="2279"/>
      <c r="X7" s="2023" t="s">
        <v>15</v>
      </c>
      <c r="Y7" s="2023"/>
      <c r="Z7" s="2023"/>
      <c r="AA7" s="2277" t="s">
        <v>16</v>
      </c>
      <c r="AB7" s="2277"/>
      <c r="AC7" s="2047" t="s">
        <v>17</v>
      </c>
      <c r="AD7" s="2048"/>
      <c r="AE7" s="2048"/>
      <c r="AF7" s="2933"/>
      <c r="AG7" s="2216" t="s">
        <v>18</v>
      </c>
      <c r="AH7" s="2217"/>
      <c r="AI7" s="2217"/>
      <c r="AJ7" s="2217"/>
      <c r="AK7" s="2217"/>
      <c r="AL7" s="2934"/>
      <c r="AM7" s="2050" t="s">
        <v>19</v>
      </c>
      <c r="AN7" s="2050"/>
      <c r="AO7" s="2050"/>
      <c r="AP7" s="2935" t="s">
        <v>20</v>
      </c>
      <c r="AQ7" s="2281" t="s">
        <v>21</v>
      </c>
      <c r="AR7" s="2281" t="s">
        <v>22</v>
      </c>
      <c r="AS7" s="2282" t="s">
        <v>23</v>
      </c>
    </row>
    <row r="8" spans="1:45" ht="141.75" x14ac:dyDescent="0.25">
      <c r="A8" s="1999" t="s">
        <v>24</v>
      </c>
      <c r="B8" s="20" t="s">
        <v>25</v>
      </c>
      <c r="C8" s="1999" t="s">
        <v>24</v>
      </c>
      <c r="D8" s="20" t="s">
        <v>25</v>
      </c>
      <c r="E8" s="20" t="s">
        <v>24</v>
      </c>
      <c r="F8" s="20" t="s">
        <v>25</v>
      </c>
      <c r="G8" s="20" t="s">
        <v>26</v>
      </c>
      <c r="H8" s="20" t="s">
        <v>27</v>
      </c>
      <c r="I8" s="20" t="s">
        <v>28</v>
      </c>
      <c r="J8" s="20" t="s">
        <v>117</v>
      </c>
      <c r="K8" s="20" t="s">
        <v>26</v>
      </c>
      <c r="L8" s="20" t="s">
        <v>30</v>
      </c>
      <c r="M8" s="20" t="s">
        <v>31</v>
      </c>
      <c r="N8" s="1066" t="s">
        <v>32</v>
      </c>
      <c r="O8" s="20" t="s">
        <v>116</v>
      </c>
      <c r="P8" s="20" t="s">
        <v>34</v>
      </c>
      <c r="Q8" s="20" t="s">
        <v>35</v>
      </c>
      <c r="R8" s="689" t="s">
        <v>36</v>
      </c>
      <c r="S8" s="690" t="s">
        <v>37</v>
      </c>
      <c r="T8" s="20" t="s">
        <v>38</v>
      </c>
      <c r="U8" s="20" t="s">
        <v>39</v>
      </c>
      <c r="V8" s="20" t="s">
        <v>40</v>
      </c>
      <c r="W8" s="690" t="s">
        <v>1463</v>
      </c>
      <c r="X8" s="20" t="s">
        <v>42</v>
      </c>
      <c r="Y8" s="1999" t="s">
        <v>43</v>
      </c>
      <c r="Z8" s="20" t="s">
        <v>25</v>
      </c>
      <c r="AA8" s="300" t="s">
        <v>44</v>
      </c>
      <c r="AB8" s="1994" t="s">
        <v>45</v>
      </c>
      <c r="AC8" s="300" t="s">
        <v>46</v>
      </c>
      <c r="AD8" s="300" t="s">
        <v>47</v>
      </c>
      <c r="AE8" s="300" t="s">
        <v>48</v>
      </c>
      <c r="AF8" s="300" t="s">
        <v>49</v>
      </c>
      <c r="AG8" s="300" t="s">
        <v>50</v>
      </c>
      <c r="AH8" s="300" t="s">
        <v>51</v>
      </c>
      <c r="AI8" s="300" t="s">
        <v>52</v>
      </c>
      <c r="AJ8" s="300" t="s">
        <v>53</v>
      </c>
      <c r="AK8" s="300" t="s">
        <v>54</v>
      </c>
      <c r="AL8" s="300" t="s">
        <v>55</v>
      </c>
      <c r="AM8" s="300" t="s">
        <v>56</v>
      </c>
      <c r="AN8" s="300" t="s">
        <v>57</v>
      </c>
      <c r="AO8" s="300" t="s">
        <v>58</v>
      </c>
      <c r="AP8" s="2936"/>
      <c r="AQ8" s="2281"/>
      <c r="AR8" s="2281"/>
      <c r="AS8" s="2282"/>
    </row>
    <row r="9" spans="1:45" ht="15.75" x14ac:dyDescent="0.25">
      <c r="A9" s="3837"/>
      <c r="B9" s="3838"/>
      <c r="C9" s="3838"/>
      <c r="D9" s="3838"/>
      <c r="E9" s="3838"/>
      <c r="F9" s="3838"/>
      <c r="G9" s="3838"/>
      <c r="H9" s="3838"/>
      <c r="I9" s="3838"/>
      <c r="J9" s="3838"/>
      <c r="K9" s="3839"/>
      <c r="L9" s="3839"/>
      <c r="M9" s="3839"/>
      <c r="N9" s="3838"/>
      <c r="O9" s="3838"/>
      <c r="P9" s="3838"/>
      <c r="Q9" s="3838"/>
      <c r="R9" s="3840"/>
      <c r="S9" s="3841"/>
      <c r="T9" s="3838"/>
      <c r="U9" s="3838"/>
      <c r="V9" s="3838"/>
      <c r="W9" s="3841"/>
      <c r="X9" s="3841"/>
      <c r="Y9" s="3837"/>
      <c r="Z9" s="3838"/>
      <c r="AA9" s="3842"/>
      <c r="AB9" s="3843"/>
      <c r="AC9" s="3842"/>
      <c r="AD9" s="3842"/>
      <c r="AE9" s="3842"/>
      <c r="AF9" s="3842"/>
      <c r="AG9" s="3842"/>
      <c r="AH9" s="3842"/>
      <c r="AI9" s="3842"/>
      <c r="AJ9" s="3842"/>
      <c r="AK9" s="3842"/>
      <c r="AL9" s="3842"/>
      <c r="AM9" s="3842"/>
      <c r="AN9" s="3842"/>
      <c r="AO9" s="3842"/>
      <c r="AP9" s="3842"/>
      <c r="AQ9" s="3844"/>
      <c r="AR9" s="3844"/>
      <c r="AS9" s="3845"/>
    </row>
    <row r="10" spans="1:45" ht="15.75" x14ac:dyDescent="0.25">
      <c r="A10" s="3846">
        <v>1</v>
      </c>
      <c r="B10" s="3847" t="s">
        <v>374</v>
      </c>
      <c r="C10" s="3847"/>
      <c r="D10" s="3847"/>
      <c r="E10" s="3847"/>
      <c r="F10" s="3847"/>
      <c r="G10" s="3847"/>
      <c r="H10" s="3847"/>
      <c r="I10" s="3847"/>
      <c r="J10" s="3848"/>
      <c r="K10" s="3849" t="s">
        <v>294</v>
      </c>
      <c r="L10" s="3849"/>
      <c r="M10" s="3849" t="s">
        <v>294</v>
      </c>
      <c r="N10" s="3849"/>
      <c r="O10" s="3849" t="s">
        <v>294</v>
      </c>
      <c r="P10" s="3849" t="s">
        <v>294</v>
      </c>
      <c r="Q10" s="3849" t="s">
        <v>294</v>
      </c>
      <c r="R10" s="3849" t="s">
        <v>294</v>
      </c>
      <c r="S10" s="3849" t="s">
        <v>294</v>
      </c>
      <c r="T10" s="3849" t="s">
        <v>294</v>
      </c>
      <c r="U10" s="3849" t="s">
        <v>294</v>
      </c>
      <c r="V10" s="3849" t="s">
        <v>294</v>
      </c>
      <c r="W10" s="3849" t="s">
        <v>294</v>
      </c>
      <c r="X10" s="3849" t="s">
        <v>294</v>
      </c>
      <c r="Y10" s="3849" t="s">
        <v>294</v>
      </c>
      <c r="Z10" s="3849" t="s">
        <v>294</v>
      </c>
      <c r="AA10" s="3849" t="s">
        <v>294</v>
      </c>
      <c r="AB10" s="3849" t="s">
        <v>294</v>
      </c>
      <c r="AC10" s="3849" t="s">
        <v>294</v>
      </c>
      <c r="AD10" s="3849" t="s">
        <v>294</v>
      </c>
      <c r="AE10" s="3849" t="s">
        <v>294</v>
      </c>
      <c r="AF10" s="3849" t="s">
        <v>294</v>
      </c>
      <c r="AG10" s="3849" t="s">
        <v>294</v>
      </c>
      <c r="AH10" s="3849" t="s">
        <v>294</v>
      </c>
      <c r="AI10" s="3849" t="s">
        <v>294</v>
      </c>
      <c r="AJ10" s="3849" t="s">
        <v>294</v>
      </c>
      <c r="AK10" s="3849" t="s">
        <v>294</v>
      </c>
      <c r="AL10" s="3849" t="s">
        <v>294</v>
      </c>
      <c r="AM10" s="3849" t="s">
        <v>294</v>
      </c>
      <c r="AN10" s="3849" t="s">
        <v>294</v>
      </c>
      <c r="AO10" s="3849" t="s">
        <v>294</v>
      </c>
      <c r="AP10" s="3849" t="s">
        <v>294</v>
      </c>
      <c r="AQ10" s="3849" t="s">
        <v>294</v>
      </c>
      <c r="AR10" s="3849" t="s">
        <v>294</v>
      </c>
      <c r="AS10" s="3850" t="s">
        <v>294</v>
      </c>
    </row>
    <row r="11" spans="1:45" ht="15.75" x14ac:dyDescent="0.25">
      <c r="A11" s="1191"/>
      <c r="B11" s="3851"/>
      <c r="C11" s="1252">
        <v>43</v>
      </c>
      <c r="D11" s="3350" t="s">
        <v>457</v>
      </c>
      <c r="E11" s="2378"/>
      <c r="F11" s="2378"/>
      <c r="G11" s="2378"/>
      <c r="H11" s="2378"/>
      <c r="I11" s="2378"/>
      <c r="J11" s="2378"/>
      <c r="K11" s="2378"/>
      <c r="L11" s="2378"/>
      <c r="M11" s="2378"/>
      <c r="N11" s="2000"/>
      <c r="O11" s="3852"/>
      <c r="P11" s="3852"/>
      <c r="Q11" s="3852"/>
      <c r="R11" s="3852"/>
      <c r="S11" s="3852"/>
      <c r="T11" s="3852"/>
      <c r="U11" s="3852"/>
      <c r="V11" s="3852"/>
      <c r="W11" s="3852"/>
      <c r="X11" s="3852"/>
      <c r="Y11" s="3852"/>
      <c r="Z11" s="3852"/>
      <c r="AA11" s="3852"/>
      <c r="AB11" s="3852"/>
      <c r="AC11" s="3852"/>
      <c r="AD11" s="3852"/>
      <c r="AE11" s="3852"/>
      <c r="AF11" s="3852"/>
      <c r="AG11" s="3852"/>
      <c r="AH11" s="3852"/>
      <c r="AI11" s="3852"/>
      <c r="AJ11" s="3852"/>
      <c r="AK11" s="3852"/>
      <c r="AL11" s="3852"/>
      <c r="AM11" s="3852"/>
      <c r="AN11" s="3852"/>
      <c r="AO11" s="3852"/>
      <c r="AP11" s="3852"/>
      <c r="AQ11" s="3852"/>
      <c r="AR11" s="3852"/>
      <c r="AS11" s="3853"/>
    </row>
    <row r="12" spans="1:45" ht="15.75" x14ac:dyDescent="0.25">
      <c r="A12" s="1998"/>
      <c r="B12" s="3854" t="s">
        <v>294</v>
      </c>
      <c r="C12" s="3855"/>
      <c r="D12" s="3854"/>
      <c r="E12" s="54">
        <v>4301</v>
      </c>
      <c r="F12" s="3856" t="s">
        <v>458</v>
      </c>
      <c r="G12" s="3857"/>
      <c r="H12" s="3857"/>
      <c r="I12" s="3857"/>
      <c r="J12" s="3857"/>
      <c r="K12" s="3857"/>
      <c r="L12" s="3857"/>
      <c r="M12" s="3857"/>
      <c r="N12" s="3857"/>
      <c r="O12" s="3857"/>
      <c r="P12" s="3857"/>
      <c r="Q12" s="3857"/>
      <c r="R12" s="3857"/>
      <c r="S12" s="3857"/>
      <c r="T12" s="3857"/>
      <c r="U12" s="3858" t="s">
        <v>294</v>
      </c>
      <c r="V12" s="3858" t="s">
        <v>294</v>
      </c>
      <c r="W12" s="3858" t="s">
        <v>294</v>
      </c>
      <c r="X12" s="3858" t="s">
        <v>294</v>
      </c>
      <c r="Y12" s="3858" t="s">
        <v>294</v>
      </c>
      <c r="Z12" s="3858" t="s">
        <v>294</v>
      </c>
      <c r="AA12" s="3859" t="s">
        <v>294</v>
      </c>
      <c r="AB12" s="3859" t="s">
        <v>294</v>
      </c>
      <c r="AC12" s="3859" t="s">
        <v>294</v>
      </c>
      <c r="AD12" s="3859" t="s">
        <v>294</v>
      </c>
      <c r="AE12" s="3859" t="s">
        <v>294</v>
      </c>
      <c r="AF12" s="3859" t="s">
        <v>294</v>
      </c>
      <c r="AG12" s="3859" t="s">
        <v>294</v>
      </c>
      <c r="AH12" s="3859" t="s">
        <v>294</v>
      </c>
      <c r="AI12" s="3859" t="s">
        <v>294</v>
      </c>
      <c r="AJ12" s="3859" t="s">
        <v>294</v>
      </c>
      <c r="AK12" s="3859" t="s">
        <v>294</v>
      </c>
      <c r="AL12" s="3859" t="s">
        <v>294</v>
      </c>
      <c r="AM12" s="3859" t="s">
        <v>294</v>
      </c>
      <c r="AN12" s="3859" t="s">
        <v>294</v>
      </c>
      <c r="AO12" s="3859" t="s">
        <v>294</v>
      </c>
      <c r="AP12" s="3859" t="s">
        <v>294</v>
      </c>
      <c r="AQ12" s="3859" t="s">
        <v>294</v>
      </c>
      <c r="AR12" s="3859" t="s">
        <v>294</v>
      </c>
      <c r="AS12" s="3860" t="s">
        <v>294</v>
      </c>
    </row>
    <row r="13" spans="1:45" ht="37.5" customHeight="1" x14ac:dyDescent="0.25">
      <c r="A13" s="3861"/>
      <c r="B13" s="3854"/>
      <c r="C13" s="3862"/>
      <c r="D13" s="3863"/>
      <c r="E13" s="3756" t="s">
        <v>294</v>
      </c>
      <c r="F13" s="3756" t="s">
        <v>294</v>
      </c>
      <c r="G13" s="2221">
        <v>4301007</v>
      </c>
      <c r="H13" s="2247" t="s">
        <v>3179</v>
      </c>
      <c r="I13" s="2221">
        <v>4301007</v>
      </c>
      <c r="J13" s="2247" t="s">
        <v>3179</v>
      </c>
      <c r="K13" s="2221">
        <v>430100701</v>
      </c>
      <c r="L13" s="2247" t="s">
        <v>3180</v>
      </c>
      <c r="M13" s="2221">
        <v>430100701</v>
      </c>
      <c r="N13" s="2247" t="s">
        <v>3180</v>
      </c>
      <c r="O13" s="3396">
        <v>12</v>
      </c>
      <c r="P13" s="3864">
        <v>2020003630009</v>
      </c>
      <c r="Q13" s="3865" t="s">
        <v>3181</v>
      </c>
      <c r="R13" s="3866">
        <f>SUM(W13:W23)/S13</f>
        <v>0.50864044185503643</v>
      </c>
      <c r="S13" s="3867">
        <f>SUM(W13:W51)</f>
        <v>5232666192.1399994</v>
      </c>
      <c r="T13" s="3865" t="s">
        <v>3182</v>
      </c>
      <c r="U13" s="3865" t="s">
        <v>3183</v>
      </c>
      <c r="V13" s="3868" t="s">
        <v>3184</v>
      </c>
      <c r="W13" s="3869">
        <v>745120983.30999994</v>
      </c>
      <c r="X13" s="2004" t="s">
        <v>3185</v>
      </c>
      <c r="Y13" s="2004">
        <v>5</v>
      </c>
      <c r="Z13" s="2004" t="s">
        <v>3186</v>
      </c>
      <c r="AA13" s="3870">
        <v>6.9909999999999997</v>
      </c>
      <c r="AB13" s="3479">
        <v>6.4530000000000003</v>
      </c>
      <c r="AC13" s="3479">
        <v>3.52</v>
      </c>
      <c r="AD13" s="3479">
        <v>4.3780000000000001</v>
      </c>
      <c r="AE13" s="3479">
        <v>4.202</v>
      </c>
      <c r="AF13" s="3479">
        <v>1.3440000000000001</v>
      </c>
      <c r="AG13" s="3479" t="s">
        <v>294</v>
      </c>
      <c r="AH13" s="3479" t="s">
        <v>294</v>
      </c>
      <c r="AI13" s="3479" t="s">
        <v>294</v>
      </c>
      <c r="AJ13" s="3479" t="s">
        <v>294</v>
      </c>
      <c r="AK13" s="3479" t="s">
        <v>294</v>
      </c>
      <c r="AL13" s="3479" t="s">
        <v>294</v>
      </c>
      <c r="AM13" s="3479" t="s">
        <v>294</v>
      </c>
      <c r="AN13" s="3479" t="s">
        <v>294</v>
      </c>
      <c r="AO13" s="3479" t="s">
        <v>294</v>
      </c>
      <c r="AP13" s="3479">
        <v>13.444000000000001</v>
      </c>
      <c r="AQ13" s="2088">
        <v>44200</v>
      </c>
      <c r="AR13" s="2088">
        <v>44560</v>
      </c>
      <c r="AS13" s="3479" t="s">
        <v>3187</v>
      </c>
    </row>
    <row r="14" spans="1:45" ht="37.5" customHeight="1" x14ac:dyDescent="0.25">
      <c r="A14" s="3861"/>
      <c r="B14" s="3854"/>
      <c r="C14" s="3862"/>
      <c r="D14" s="3863"/>
      <c r="E14" s="3756"/>
      <c r="F14" s="3756"/>
      <c r="G14" s="2221"/>
      <c r="H14" s="3871"/>
      <c r="I14" s="2221"/>
      <c r="J14" s="3871"/>
      <c r="K14" s="2221"/>
      <c r="L14" s="3871"/>
      <c r="M14" s="2221"/>
      <c r="N14" s="3871"/>
      <c r="O14" s="3396"/>
      <c r="P14" s="3864"/>
      <c r="Q14" s="3865"/>
      <c r="R14" s="3866"/>
      <c r="S14" s="3867"/>
      <c r="T14" s="3865"/>
      <c r="U14" s="3865"/>
      <c r="V14" s="3872"/>
      <c r="W14" s="3869">
        <v>460056673.81</v>
      </c>
      <c r="X14" s="2004" t="s">
        <v>3188</v>
      </c>
      <c r="Y14" s="2004">
        <v>25</v>
      </c>
      <c r="Z14" s="2004" t="s">
        <v>3189</v>
      </c>
      <c r="AA14" s="3870"/>
      <c r="AB14" s="3479"/>
      <c r="AC14" s="3479"/>
      <c r="AD14" s="3479"/>
      <c r="AE14" s="3479"/>
      <c r="AF14" s="3479"/>
      <c r="AG14" s="3479"/>
      <c r="AH14" s="3479"/>
      <c r="AI14" s="3479"/>
      <c r="AJ14" s="3479"/>
      <c r="AK14" s="3479"/>
      <c r="AL14" s="3479"/>
      <c r="AM14" s="3479"/>
      <c r="AN14" s="3479"/>
      <c r="AO14" s="3479"/>
      <c r="AP14" s="3479"/>
      <c r="AQ14" s="2088"/>
      <c r="AR14" s="2088"/>
      <c r="AS14" s="3479"/>
    </row>
    <row r="15" spans="1:45" ht="66" customHeight="1" x14ac:dyDescent="0.25">
      <c r="A15" s="3861"/>
      <c r="B15" s="3854"/>
      <c r="C15" s="3862"/>
      <c r="D15" s="3863"/>
      <c r="E15" s="3756"/>
      <c r="F15" s="3756"/>
      <c r="G15" s="2221"/>
      <c r="H15" s="3871"/>
      <c r="I15" s="2221"/>
      <c r="J15" s="3871"/>
      <c r="K15" s="2221"/>
      <c r="L15" s="3871"/>
      <c r="M15" s="2221"/>
      <c r="N15" s="3871"/>
      <c r="O15" s="3396"/>
      <c r="P15" s="3864"/>
      <c r="Q15" s="3865"/>
      <c r="R15" s="3866"/>
      <c r="S15" s="3867"/>
      <c r="T15" s="3865"/>
      <c r="U15" s="3865"/>
      <c r="V15" s="3873" t="s">
        <v>3190</v>
      </c>
      <c r="W15" s="3869">
        <v>302703853</v>
      </c>
      <c r="X15" s="2004" t="s">
        <v>3191</v>
      </c>
      <c r="Y15" s="2004">
        <v>28</v>
      </c>
      <c r="Z15" s="2004" t="s">
        <v>3192</v>
      </c>
      <c r="AA15" s="3870"/>
      <c r="AB15" s="3479"/>
      <c r="AC15" s="3479"/>
      <c r="AD15" s="3479"/>
      <c r="AE15" s="3479"/>
      <c r="AF15" s="3479"/>
      <c r="AG15" s="3479"/>
      <c r="AH15" s="3479"/>
      <c r="AI15" s="3479"/>
      <c r="AJ15" s="3479"/>
      <c r="AK15" s="3479"/>
      <c r="AL15" s="3479"/>
      <c r="AM15" s="3479"/>
      <c r="AN15" s="3479"/>
      <c r="AO15" s="3479"/>
      <c r="AP15" s="3479"/>
      <c r="AQ15" s="2088"/>
      <c r="AR15" s="2088"/>
      <c r="AS15" s="3479"/>
    </row>
    <row r="16" spans="1:45" ht="74.25" customHeight="1" x14ac:dyDescent="0.25">
      <c r="A16" s="3861"/>
      <c r="B16" s="3854"/>
      <c r="C16" s="3862"/>
      <c r="D16" s="3863"/>
      <c r="E16" s="3756"/>
      <c r="F16" s="3756"/>
      <c r="G16" s="2221"/>
      <c r="H16" s="3871"/>
      <c r="I16" s="2221"/>
      <c r="J16" s="3871"/>
      <c r="K16" s="2221"/>
      <c r="L16" s="3871"/>
      <c r="M16" s="2221"/>
      <c r="N16" s="3871"/>
      <c r="O16" s="3396"/>
      <c r="P16" s="3864"/>
      <c r="Q16" s="3865"/>
      <c r="R16" s="3866"/>
      <c r="S16" s="3867"/>
      <c r="T16" s="3865"/>
      <c r="U16" s="3865"/>
      <c r="V16" s="3874" t="s">
        <v>3193</v>
      </c>
      <c r="W16" s="3869">
        <v>145384615</v>
      </c>
      <c r="X16" s="2004" t="s">
        <v>3194</v>
      </c>
      <c r="Y16" s="2004">
        <v>7</v>
      </c>
      <c r="Z16" s="2004" t="s">
        <v>3195</v>
      </c>
      <c r="AA16" s="3870"/>
      <c r="AB16" s="3479"/>
      <c r="AC16" s="3479"/>
      <c r="AD16" s="3479"/>
      <c r="AE16" s="3479"/>
      <c r="AF16" s="3479"/>
      <c r="AG16" s="3479"/>
      <c r="AH16" s="3479"/>
      <c r="AI16" s="3479"/>
      <c r="AJ16" s="3479"/>
      <c r="AK16" s="3479"/>
      <c r="AL16" s="3479"/>
      <c r="AM16" s="3479"/>
      <c r="AN16" s="3479"/>
      <c r="AO16" s="3479"/>
      <c r="AP16" s="3479"/>
      <c r="AQ16" s="3479"/>
      <c r="AR16" s="3479"/>
      <c r="AS16" s="3479"/>
    </row>
    <row r="17" spans="1:45" ht="74.25" customHeight="1" x14ac:dyDescent="0.25">
      <c r="A17" s="3861"/>
      <c r="B17" s="3854"/>
      <c r="C17" s="3862"/>
      <c r="D17" s="3863"/>
      <c r="E17" s="3756"/>
      <c r="F17" s="3756"/>
      <c r="G17" s="2221"/>
      <c r="H17" s="3871"/>
      <c r="I17" s="2221"/>
      <c r="J17" s="3871"/>
      <c r="K17" s="2221"/>
      <c r="L17" s="3871"/>
      <c r="M17" s="2221"/>
      <c r="N17" s="3871"/>
      <c r="O17" s="3396"/>
      <c r="P17" s="3864"/>
      <c r="Q17" s="3865"/>
      <c r="R17" s="3866"/>
      <c r="S17" s="3867"/>
      <c r="T17" s="3865"/>
      <c r="U17" s="3865"/>
      <c r="V17" s="3874"/>
      <c r="W17" s="3869">
        <v>229425464</v>
      </c>
      <c r="X17" s="2004" t="s">
        <v>3196</v>
      </c>
      <c r="Y17" s="2004">
        <v>28</v>
      </c>
      <c r="Z17" s="2004" t="s">
        <v>3192</v>
      </c>
      <c r="AA17" s="3870"/>
      <c r="AB17" s="3479"/>
      <c r="AC17" s="3479"/>
      <c r="AD17" s="3479"/>
      <c r="AE17" s="3479"/>
      <c r="AF17" s="3479"/>
      <c r="AG17" s="3479"/>
      <c r="AH17" s="3479"/>
      <c r="AI17" s="3479"/>
      <c r="AJ17" s="3479"/>
      <c r="AK17" s="3479"/>
      <c r="AL17" s="3479"/>
      <c r="AM17" s="3479"/>
      <c r="AN17" s="3479"/>
      <c r="AO17" s="3479"/>
      <c r="AP17" s="3479"/>
      <c r="AQ17" s="3479"/>
      <c r="AR17" s="3479"/>
      <c r="AS17" s="3479"/>
    </row>
    <row r="18" spans="1:45" ht="74.25" customHeight="1" x14ac:dyDescent="0.25">
      <c r="A18" s="3861"/>
      <c r="B18" s="3854" t="s">
        <v>294</v>
      </c>
      <c r="C18" s="3862"/>
      <c r="D18" s="3863"/>
      <c r="E18" s="3756"/>
      <c r="F18" s="3756"/>
      <c r="G18" s="2221"/>
      <c r="H18" s="3871"/>
      <c r="I18" s="2221"/>
      <c r="J18" s="3871"/>
      <c r="K18" s="2221"/>
      <c r="L18" s="3871"/>
      <c r="M18" s="2221"/>
      <c r="N18" s="3871"/>
      <c r="O18" s="3396"/>
      <c r="P18" s="3864"/>
      <c r="Q18" s="3865"/>
      <c r="R18" s="3866"/>
      <c r="S18" s="3867"/>
      <c r="T18" s="3865"/>
      <c r="U18" s="3865"/>
      <c r="V18" s="3874"/>
      <c r="W18" s="3869">
        <v>60000000</v>
      </c>
      <c r="X18" s="2004" t="s">
        <v>3197</v>
      </c>
      <c r="Y18" s="2004">
        <v>12</v>
      </c>
      <c r="Z18" s="2004" t="s">
        <v>3198</v>
      </c>
      <c r="AA18" s="3870"/>
      <c r="AB18" s="3479"/>
      <c r="AC18" s="3479"/>
      <c r="AD18" s="3479"/>
      <c r="AE18" s="3479"/>
      <c r="AF18" s="3479"/>
      <c r="AG18" s="3479"/>
      <c r="AH18" s="3479"/>
      <c r="AI18" s="3479"/>
      <c r="AJ18" s="3479"/>
      <c r="AK18" s="3479"/>
      <c r="AL18" s="3479"/>
      <c r="AM18" s="3479"/>
      <c r="AN18" s="3479"/>
      <c r="AO18" s="3479"/>
      <c r="AP18" s="3479"/>
      <c r="AQ18" s="3479"/>
      <c r="AR18" s="3479"/>
      <c r="AS18" s="3479"/>
    </row>
    <row r="19" spans="1:45" ht="37.5" customHeight="1" x14ac:dyDescent="0.25">
      <c r="A19" s="3861"/>
      <c r="B19" s="3854"/>
      <c r="C19" s="3862"/>
      <c r="D19" s="3863"/>
      <c r="E19" s="3756"/>
      <c r="F19" s="3756"/>
      <c r="G19" s="2221"/>
      <c r="H19" s="3871"/>
      <c r="I19" s="2221"/>
      <c r="J19" s="3871"/>
      <c r="K19" s="2221"/>
      <c r="L19" s="3871"/>
      <c r="M19" s="2221"/>
      <c r="N19" s="3871"/>
      <c r="O19" s="3396"/>
      <c r="P19" s="3864"/>
      <c r="Q19" s="3865"/>
      <c r="R19" s="3866"/>
      <c r="S19" s="3867"/>
      <c r="T19" s="3865"/>
      <c r="U19" s="3865"/>
      <c r="V19" s="3874" t="s">
        <v>3199</v>
      </c>
      <c r="W19" s="3869">
        <v>38625517.93</v>
      </c>
      <c r="X19" s="2004" t="s">
        <v>3200</v>
      </c>
      <c r="Y19" s="2004">
        <v>12</v>
      </c>
      <c r="Z19" s="2004" t="s">
        <v>3198</v>
      </c>
      <c r="AA19" s="3870"/>
      <c r="AB19" s="3479"/>
      <c r="AC19" s="3479"/>
      <c r="AD19" s="3479"/>
      <c r="AE19" s="3479"/>
      <c r="AF19" s="3479"/>
      <c r="AG19" s="3479"/>
      <c r="AH19" s="3479"/>
      <c r="AI19" s="3479"/>
      <c r="AJ19" s="3479"/>
      <c r="AK19" s="3479"/>
      <c r="AL19" s="3479"/>
      <c r="AM19" s="3479"/>
      <c r="AN19" s="3479"/>
      <c r="AO19" s="3479"/>
      <c r="AP19" s="3479"/>
      <c r="AQ19" s="3479"/>
      <c r="AR19" s="3479"/>
      <c r="AS19" s="3479"/>
    </row>
    <row r="20" spans="1:45" ht="37.5" customHeight="1" x14ac:dyDescent="0.25">
      <c r="A20" s="3861"/>
      <c r="B20" s="3854"/>
      <c r="C20" s="3862"/>
      <c r="D20" s="3863"/>
      <c r="E20" s="2008"/>
      <c r="F20" s="2008"/>
      <c r="G20" s="2221"/>
      <c r="H20" s="3871"/>
      <c r="I20" s="2221"/>
      <c r="J20" s="3871"/>
      <c r="K20" s="2221"/>
      <c r="L20" s="3871"/>
      <c r="M20" s="2221"/>
      <c r="N20" s="3871"/>
      <c r="O20" s="3396"/>
      <c r="P20" s="3864"/>
      <c r="Q20" s="3865"/>
      <c r="R20" s="3866"/>
      <c r="S20" s="3867"/>
      <c r="T20" s="3865"/>
      <c r="U20" s="3865"/>
      <c r="V20" s="3874"/>
      <c r="W20" s="3869">
        <v>285613152</v>
      </c>
      <c r="X20" s="2004" t="s">
        <v>3201</v>
      </c>
      <c r="Y20" s="2004">
        <v>28</v>
      </c>
      <c r="Z20" s="2004" t="s">
        <v>3192</v>
      </c>
      <c r="AA20" s="3870"/>
      <c r="AB20" s="3479"/>
      <c r="AC20" s="3479"/>
      <c r="AD20" s="3479"/>
      <c r="AE20" s="3479"/>
      <c r="AF20" s="3479"/>
      <c r="AG20" s="3479"/>
      <c r="AH20" s="3479"/>
      <c r="AI20" s="3479"/>
      <c r="AJ20" s="3479"/>
      <c r="AK20" s="3479"/>
      <c r="AL20" s="3479"/>
      <c r="AM20" s="3479"/>
      <c r="AN20" s="3479"/>
      <c r="AO20" s="3479"/>
      <c r="AP20" s="3479"/>
      <c r="AQ20" s="3479"/>
      <c r="AR20" s="3479"/>
      <c r="AS20" s="3479"/>
    </row>
    <row r="21" spans="1:45" ht="37.5" customHeight="1" x14ac:dyDescent="0.25">
      <c r="A21" s="3861"/>
      <c r="B21" s="3854"/>
      <c r="C21" s="3862"/>
      <c r="D21" s="3863"/>
      <c r="E21" s="2008"/>
      <c r="F21" s="2008"/>
      <c r="G21" s="2221"/>
      <c r="H21" s="3871"/>
      <c r="I21" s="2221"/>
      <c r="J21" s="3871"/>
      <c r="K21" s="2221"/>
      <c r="L21" s="3871"/>
      <c r="M21" s="2221"/>
      <c r="N21" s="3871"/>
      <c r="O21" s="3396"/>
      <c r="P21" s="3864"/>
      <c r="Q21" s="3865"/>
      <c r="R21" s="3866"/>
      <c r="S21" s="3867"/>
      <c r="T21" s="3865"/>
      <c r="U21" s="3865"/>
      <c r="V21" s="3874"/>
      <c r="W21" s="3869">
        <v>300000000</v>
      </c>
      <c r="X21" s="2004" t="s">
        <v>3196</v>
      </c>
      <c r="Y21" s="2004">
        <v>28</v>
      </c>
      <c r="Z21" s="2004" t="s">
        <v>3192</v>
      </c>
      <c r="AA21" s="3870"/>
      <c r="AB21" s="3479"/>
      <c r="AC21" s="3479"/>
      <c r="AD21" s="3479"/>
      <c r="AE21" s="3479"/>
      <c r="AF21" s="3479"/>
      <c r="AG21" s="3479"/>
      <c r="AH21" s="3479"/>
      <c r="AI21" s="3479"/>
      <c r="AJ21" s="3479"/>
      <c r="AK21" s="3479"/>
      <c r="AL21" s="3479"/>
      <c r="AM21" s="3479"/>
      <c r="AN21" s="3479"/>
      <c r="AO21" s="3479"/>
      <c r="AP21" s="3479"/>
      <c r="AQ21" s="3479"/>
      <c r="AR21" s="3479"/>
      <c r="AS21" s="3479"/>
    </row>
    <row r="22" spans="1:45" ht="37.5" customHeight="1" x14ac:dyDescent="0.25">
      <c r="A22" s="3861"/>
      <c r="B22" s="3854"/>
      <c r="C22" s="3862"/>
      <c r="D22" s="3863"/>
      <c r="E22" s="2005" t="s">
        <v>294</v>
      </c>
      <c r="F22" s="2005" t="s">
        <v>294</v>
      </c>
      <c r="G22" s="2221"/>
      <c r="H22" s="3871"/>
      <c r="I22" s="2221"/>
      <c r="J22" s="3871"/>
      <c r="K22" s="2221"/>
      <c r="L22" s="3871"/>
      <c r="M22" s="2221"/>
      <c r="N22" s="3871"/>
      <c r="O22" s="3396"/>
      <c r="P22" s="3864"/>
      <c r="Q22" s="3865"/>
      <c r="R22" s="3866"/>
      <c r="S22" s="3867"/>
      <c r="T22" s="3865"/>
      <c r="U22" s="3865"/>
      <c r="V22" s="3874"/>
      <c r="W22" s="3869">
        <v>70000000</v>
      </c>
      <c r="X22" s="2004" t="s">
        <v>3202</v>
      </c>
      <c r="Y22" s="2004">
        <v>7</v>
      </c>
      <c r="Z22" s="2004" t="s">
        <v>3195</v>
      </c>
      <c r="AA22" s="3870"/>
      <c r="AB22" s="3479"/>
      <c r="AC22" s="3479"/>
      <c r="AD22" s="3479"/>
      <c r="AE22" s="3479"/>
      <c r="AF22" s="3479"/>
      <c r="AG22" s="3479"/>
      <c r="AH22" s="3479"/>
      <c r="AI22" s="3479"/>
      <c r="AJ22" s="3479"/>
      <c r="AK22" s="3479"/>
      <c r="AL22" s="3479"/>
      <c r="AM22" s="3479"/>
      <c r="AN22" s="3479"/>
      <c r="AO22" s="3479"/>
      <c r="AP22" s="3479"/>
      <c r="AQ22" s="3479"/>
      <c r="AR22" s="3479"/>
      <c r="AS22" s="3479"/>
    </row>
    <row r="23" spans="1:45" ht="37.5" customHeight="1" x14ac:dyDescent="0.25">
      <c r="A23" s="1998"/>
      <c r="B23" s="1992"/>
      <c r="C23" s="2001"/>
      <c r="D23" s="2002"/>
      <c r="E23" s="79"/>
      <c r="F23" s="79"/>
      <c r="G23" s="2221"/>
      <c r="H23" s="2245"/>
      <c r="I23" s="2221"/>
      <c r="J23" s="2245"/>
      <c r="K23" s="2221"/>
      <c r="L23" s="2245"/>
      <c r="M23" s="2221"/>
      <c r="N23" s="2245"/>
      <c r="O23" s="3396"/>
      <c r="P23" s="3864"/>
      <c r="Q23" s="3865"/>
      <c r="R23" s="3866"/>
      <c r="S23" s="3867"/>
      <c r="T23" s="3865"/>
      <c r="U23" s="3865"/>
      <c r="V23" s="3874"/>
      <c r="W23" s="3869">
        <v>24615385</v>
      </c>
      <c r="X23" s="2004" t="s">
        <v>3203</v>
      </c>
      <c r="Y23" s="2004">
        <v>7</v>
      </c>
      <c r="Z23" s="2004" t="s">
        <v>3195</v>
      </c>
      <c r="AA23" s="3870"/>
      <c r="AB23" s="3479"/>
      <c r="AC23" s="3479"/>
      <c r="AD23" s="3479"/>
      <c r="AE23" s="3479"/>
      <c r="AF23" s="3479"/>
      <c r="AG23" s="3479"/>
      <c r="AH23" s="3479"/>
      <c r="AI23" s="3479"/>
      <c r="AJ23" s="3479"/>
      <c r="AK23" s="3479"/>
      <c r="AL23" s="3479"/>
      <c r="AM23" s="3479"/>
      <c r="AN23" s="3479"/>
      <c r="AO23" s="3479"/>
      <c r="AP23" s="3479"/>
      <c r="AQ23" s="3815"/>
      <c r="AR23" s="3815"/>
      <c r="AS23" s="3815"/>
    </row>
    <row r="24" spans="1:45" ht="37.5" customHeight="1" x14ac:dyDescent="0.25">
      <c r="A24" s="1998"/>
      <c r="B24" s="1992"/>
      <c r="C24" s="1998"/>
      <c r="D24" s="1992"/>
      <c r="G24" s="2093">
        <v>4301037</v>
      </c>
      <c r="H24" s="3159" t="s">
        <v>3204</v>
      </c>
      <c r="I24" s="2093">
        <v>4301037</v>
      </c>
      <c r="J24" s="3159" t="s">
        <v>3204</v>
      </c>
      <c r="K24" s="2221">
        <v>430103701</v>
      </c>
      <c r="L24" s="2246" t="s">
        <v>3205</v>
      </c>
      <c r="M24" s="2221">
        <v>430103701</v>
      </c>
      <c r="N24" s="2246" t="s">
        <v>3205</v>
      </c>
      <c r="O24" s="3396">
        <v>12</v>
      </c>
      <c r="P24" s="3864"/>
      <c r="Q24" s="3865"/>
      <c r="R24" s="3866">
        <f>SUM(W24:W32)/S13</f>
        <v>7.2968549106673927E-2</v>
      </c>
      <c r="S24" s="3867"/>
      <c r="T24" s="3865"/>
      <c r="U24" s="3865" t="s">
        <v>3206</v>
      </c>
      <c r="V24" s="3865" t="s">
        <v>3207</v>
      </c>
      <c r="W24" s="3869">
        <v>40820060</v>
      </c>
      <c r="X24" s="2004" t="s">
        <v>3208</v>
      </c>
      <c r="Y24" s="2004">
        <v>12</v>
      </c>
      <c r="Z24" s="2004" t="s">
        <v>3198</v>
      </c>
      <c r="AA24" s="3870"/>
      <c r="AB24" s="3479"/>
      <c r="AC24" s="3479"/>
      <c r="AD24" s="3479"/>
      <c r="AE24" s="3479"/>
      <c r="AF24" s="3479"/>
      <c r="AG24" s="3479"/>
      <c r="AH24" s="3479"/>
      <c r="AI24" s="3479"/>
      <c r="AJ24" s="3479"/>
      <c r="AK24" s="3479"/>
      <c r="AL24" s="3479"/>
      <c r="AM24" s="3479"/>
      <c r="AN24" s="3479"/>
      <c r="AO24" s="3479"/>
      <c r="AP24" s="3479"/>
      <c r="AQ24" s="2088">
        <v>44200</v>
      </c>
      <c r="AR24" s="2088">
        <v>44560</v>
      </c>
      <c r="AS24" s="3479" t="s">
        <v>3187</v>
      </c>
    </row>
    <row r="25" spans="1:45" ht="37.5" customHeight="1" x14ac:dyDescent="0.25">
      <c r="A25" s="1998"/>
      <c r="B25" s="1992"/>
      <c r="C25" s="1998"/>
      <c r="D25" s="1992"/>
      <c r="G25" s="2093"/>
      <c r="H25" s="2709"/>
      <c r="I25" s="2093"/>
      <c r="J25" s="2709"/>
      <c r="K25" s="2221"/>
      <c r="L25" s="2246"/>
      <c r="M25" s="2221"/>
      <c r="N25" s="2246"/>
      <c r="O25" s="3396"/>
      <c r="P25" s="3864"/>
      <c r="Q25" s="3865"/>
      <c r="R25" s="3866"/>
      <c r="S25" s="3867"/>
      <c r="T25" s="3865"/>
      <c r="U25" s="3865"/>
      <c r="V25" s="3865"/>
      <c r="W25" s="3869">
        <v>40000000</v>
      </c>
      <c r="X25" s="2004" t="s">
        <v>3209</v>
      </c>
      <c r="Y25" s="2004">
        <v>24</v>
      </c>
      <c r="Z25" s="799" t="s">
        <v>3210</v>
      </c>
      <c r="AA25" s="3870"/>
      <c r="AB25" s="3479"/>
      <c r="AC25" s="3479"/>
      <c r="AD25" s="3479"/>
      <c r="AE25" s="3479"/>
      <c r="AF25" s="3479"/>
      <c r="AG25" s="3479"/>
      <c r="AH25" s="3479"/>
      <c r="AI25" s="3479"/>
      <c r="AJ25" s="3479"/>
      <c r="AK25" s="3479"/>
      <c r="AL25" s="3479"/>
      <c r="AM25" s="3479"/>
      <c r="AN25" s="3479"/>
      <c r="AO25" s="3479"/>
      <c r="AP25" s="3479"/>
      <c r="AQ25" s="2088"/>
      <c r="AR25" s="2088"/>
      <c r="AS25" s="3479"/>
    </row>
    <row r="26" spans="1:45" ht="37.5" customHeight="1" x14ac:dyDescent="0.25">
      <c r="A26" s="1998"/>
      <c r="B26" s="1992"/>
      <c r="C26" s="1998"/>
      <c r="D26" s="1992"/>
      <c r="G26" s="2093"/>
      <c r="H26" s="2709"/>
      <c r="I26" s="2093"/>
      <c r="J26" s="2709"/>
      <c r="K26" s="2221"/>
      <c r="L26" s="2246"/>
      <c r="M26" s="2221"/>
      <c r="N26" s="2246"/>
      <c r="O26" s="3396"/>
      <c r="P26" s="3864"/>
      <c r="Q26" s="3865"/>
      <c r="R26" s="3866"/>
      <c r="S26" s="3867"/>
      <c r="T26" s="3865"/>
      <c r="U26" s="3865"/>
      <c r="V26" s="3865"/>
      <c r="W26" s="3869">
        <v>75000000</v>
      </c>
      <c r="X26" s="2004" t="s">
        <v>3211</v>
      </c>
      <c r="Y26" s="2004">
        <v>7</v>
      </c>
      <c r="Z26" s="2004" t="s">
        <v>3195</v>
      </c>
      <c r="AA26" s="3870"/>
      <c r="AB26" s="3479"/>
      <c r="AC26" s="3479"/>
      <c r="AD26" s="3479"/>
      <c r="AE26" s="3479"/>
      <c r="AF26" s="3479"/>
      <c r="AG26" s="3479"/>
      <c r="AH26" s="3479"/>
      <c r="AI26" s="3479"/>
      <c r="AJ26" s="3479"/>
      <c r="AK26" s="3479"/>
      <c r="AL26" s="3479"/>
      <c r="AM26" s="3479"/>
      <c r="AN26" s="3479"/>
      <c r="AO26" s="3479"/>
      <c r="AP26" s="3479"/>
      <c r="AQ26" s="3479"/>
      <c r="AR26" s="3479"/>
      <c r="AS26" s="3479"/>
    </row>
    <row r="27" spans="1:45" ht="37.5" customHeight="1" x14ac:dyDescent="0.25">
      <c r="A27" s="1998"/>
      <c r="B27" s="1992"/>
      <c r="C27" s="1998"/>
      <c r="D27" s="1992"/>
      <c r="G27" s="2093"/>
      <c r="H27" s="2709"/>
      <c r="I27" s="2093"/>
      <c r="J27" s="2709"/>
      <c r="K27" s="2221"/>
      <c r="L27" s="2246"/>
      <c r="M27" s="2221"/>
      <c r="N27" s="2246"/>
      <c r="O27" s="3396"/>
      <c r="P27" s="3864"/>
      <c r="Q27" s="3865"/>
      <c r="R27" s="3866"/>
      <c r="S27" s="3867"/>
      <c r="T27" s="3865"/>
      <c r="U27" s="3865"/>
      <c r="V27" s="3865" t="s">
        <v>3212</v>
      </c>
      <c r="W27" s="3869">
        <v>31000000</v>
      </c>
      <c r="X27" s="2004" t="s">
        <v>3213</v>
      </c>
      <c r="Y27" s="2004">
        <v>12</v>
      </c>
      <c r="Z27" s="2004" t="s">
        <v>3198</v>
      </c>
      <c r="AA27" s="3870"/>
      <c r="AB27" s="3479"/>
      <c r="AC27" s="3479"/>
      <c r="AD27" s="3479"/>
      <c r="AE27" s="3479"/>
      <c r="AF27" s="3479"/>
      <c r="AG27" s="3479"/>
      <c r="AH27" s="3479"/>
      <c r="AI27" s="3479"/>
      <c r="AJ27" s="3479"/>
      <c r="AK27" s="3479"/>
      <c r="AL27" s="3479"/>
      <c r="AM27" s="3479"/>
      <c r="AN27" s="3479"/>
      <c r="AO27" s="3479"/>
      <c r="AP27" s="3479"/>
      <c r="AQ27" s="3479"/>
      <c r="AR27" s="3479"/>
      <c r="AS27" s="3479"/>
    </row>
    <row r="28" spans="1:45" ht="37.5" customHeight="1" x14ac:dyDescent="0.25">
      <c r="A28" s="1998"/>
      <c r="B28" s="1992"/>
      <c r="C28" s="1998"/>
      <c r="D28" s="1992"/>
      <c r="G28" s="2093"/>
      <c r="H28" s="2709"/>
      <c r="I28" s="2093"/>
      <c r="J28" s="2709"/>
      <c r="K28" s="2221"/>
      <c r="L28" s="2246"/>
      <c r="M28" s="2221"/>
      <c r="N28" s="2246"/>
      <c r="O28" s="3396"/>
      <c r="P28" s="3864"/>
      <c r="Q28" s="3865"/>
      <c r="R28" s="3866"/>
      <c r="S28" s="3867"/>
      <c r="T28" s="3865"/>
      <c r="U28" s="3865"/>
      <c r="V28" s="3865"/>
      <c r="W28" s="3869">
        <v>25000000</v>
      </c>
      <c r="X28" s="2004" t="s">
        <v>3208</v>
      </c>
      <c r="Y28" s="2004">
        <v>12</v>
      </c>
      <c r="Z28" s="2004" t="s">
        <v>3198</v>
      </c>
      <c r="AA28" s="3870"/>
      <c r="AB28" s="3479"/>
      <c r="AC28" s="3479"/>
      <c r="AD28" s="3479"/>
      <c r="AE28" s="3479"/>
      <c r="AF28" s="3479"/>
      <c r="AG28" s="3479"/>
      <c r="AH28" s="3479"/>
      <c r="AI28" s="3479"/>
      <c r="AJ28" s="3479"/>
      <c r="AK28" s="3479"/>
      <c r="AL28" s="3479"/>
      <c r="AM28" s="3479"/>
      <c r="AN28" s="3479"/>
      <c r="AO28" s="3479"/>
      <c r="AP28" s="3479"/>
      <c r="AQ28" s="3479"/>
      <c r="AR28" s="3479"/>
      <c r="AS28" s="3479"/>
    </row>
    <row r="29" spans="1:45" ht="37.5" customHeight="1" x14ac:dyDescent="0.25">
      <c r="A29" s="1998"/>
      <c r="B29" s="1992"/>
      <c r="C29" s="1998"/>
      <c r="D29" s="1992"/>
      <c r="G29" s="2093"/>
      <c r="H29" s="2709"/>
      <c r="I29" s="2093"/>
      <c r="J29" s="2709"/>
      <c r="K29" s="2221"/>
      <c r="L29" s="2246"/>
      <c r="M29" s="2221"/>
      <c r="N29" s="2246"/>
      <c r="O29" s="3396"/>
      <c r="P29" s="3864"/>
      <c r="Q29" s="3865"/>
      <c r="R29" s="3866"/>
      <c r="S29" s="3867"/>
      <c r="T29" s="3865"/>
      <c r="U29" s="3865"/>
      <c r="V29" s="3865"/>
      <c r="W29" s="3869">
        <v>50000000</v>
      </c>
      <c r="X29" s="2004" t="s">
        <v>3211</v>
      </c>
      <c r="Y29" s="2004">
        <v>7</v>
      </c>
      <c r="Z29" s="2004" t="s">
        <v>3195</v>
      </c>
      <c r="AA29" s="3870"/>
      <c r="AB29" s="3479"/>
      <c r="AC29" s="3479"/>
      <c r="AD29" s="3479"/>
      <c r="AE29" s="3479"/>
      <c r="AF29" s="3479"/>
      <c r="AG29" s="3479"/>
      <c r="AH29" s="3479"/>
      <c r="AI29" s="3479"/>
      <c r="AJ29" s="3479"/>
      <c r="AK29" s="3479"/>
      <c r="AL29" s="3479"/>
      <c r="AM29" s="3479"/>
      <c r="AN29" s="3479"/>
      <c r="AO29" s="3479"/>
      <c r="AP29" s="3479"/>
      <c r="AQ29" s="3479"/>
      <c r="AR29" s="3479"/>
      <c r="AS29" s="3479"/>
    </row>
    <row r="30" spans="1:45" ht="37.5" customHeight="1" x14ac:dyDescent="0.25">
      <c r="A30" s="1998"/>
      <c r="B30" s="1992"/>
      <c r="C30" s="1998"/>
      <c r="D30" s="1992"/>
      <c r="G30" s="2093"/>
      <c r="H30" s="2709"/>
      <c r="I30" s="2093"/>
      <c r="J30" s="2709"/>
      <c r="K30" s="2221"/>
      <c r="L30" s="2246"/>
      <c r="M30" s="2221"/>
      <c r="N30" s="2246"/>
      <c r="O30" s="3396"/>
      <c r="P30" s="3864"/>
      <c r="Q30" s="3865"/>
      <c r="R30" s="3866"/>
      <c r="S30" s="3867"/>
      <c r="T30" s="3865"/>
      <c r="U30" s="3865"/>
      <c r="V30" s="3865"/>
      <c r="W30" s="3869">
        <v>20000000</v>
      </c>
      <c r="X30" s="2004" t="s">
        <v>3214</v>
      </c>
      <c r="Y30" s="2004">
        <v>7</v>
      </c>
      <c r="Z30" s="2004" t="s">
        <v>3195</v>
      </c>
      <c r="AA30" s="3870"/>
      <c r="AB30" s="3479"/>
      <c r="AC30" s="3479"/>
      <c r="AD30" s="3479"/>
      <c r="AE30" s="3479"/>
      <c r="AF30" s="3479"/>
      <c r="AG30" s="3479"/>
      <c r="AH30" s="3479"/>
      <c r="AI30" s="3479"/>
      <c r="AJ30" s="3479"/>
      <c r="AK30" s="3479"/>
      <c r="AL30" s="3479"/>
      <c r="AM30" s="3479"/>
      <c r="AN30" s="3479"/>
      <c r="AO30" s="3479"/>
      <c r="AP30" s="3479"/>
      <c r="AQ30" s="3479"/>
      <c r="AR30" s="3479"/>
      <c r="AS30" s="3479"/>
    </row>
    <row r="31" spans="1:45" ht="37.5" customHeight="1" x14ac:dyDescent="0.25">
      <c r="A31" s="1998"/>
      <c r="B31" s="1992"/>
      <c r="C31" s="1998"/>
      <c r="D31" s="1992"/>
      <c r="G31" s="2093"/>
      <c r="H31" s="2709"/>
      <c r="I31" s="2093"/>
      <c r="J31" s="2709"/>
      <c r="K31" s="2221"/>
      <c r="L31" s="2246"/>
      <c r="M31" s="2221"/>
      <c r="N31" s="2246"/>
      <c r="O31" s="3396"/>
      <c r="P31" s="3864"/>
      <c r="Q31" s="3865"/>
      <c r="R31" s="3866"/>
      <c r="S31" s="3867"/>
      <c r="T31" s="3865"/>
      <c r="U31" s="3865"/>
      <c r="V31" s="3865" t="s">
        <v>3215</v>
      </c>
      <c r="W31" s="3869">
        <v>80000000</v>
      </c>
      <c r="X31" s="2004" t="s">
        <v>3213</v>
      </c>
      <c r="Y31" s="2004">
        <v>12</v>
      </c>
      <c r="Z31" s="2004" t="s">
        <v>3198</v>
      </c>
      <c r="AA31" s="3870"/>
      <c r="AB31" s="3479"/>
      <c r="AC31" s="3479"/>
      <c r="AD31" s="3479"/>
      <c r="AE31" s="3479"/>
      <c r="AF31" s="3479"/>
      <c r="AG31" s="3479"/>
      <c r="AH31" s="3479"/>
      <c r="AI31" s="3479"/>
      <c r="AJ31" s="3479"/>
      <c r="AK31" s="3479"/>
      <c r="AL31" s="3479"/>
      <c r="AM31" s="3479"/>
      <c r="AN31" s="3479"/>
      <c r="AO31" s="3479"/>
      <c r="AP31" s="3479"/>
      <c r="AQ31" s="3479"/>
      <c r="AR31" s="3479"/>
      <c r="AS31" s="3479"/>
    </row>
    <row r="32" spans="1:45" ht="37.5" customHeight="1" x14ac:dyDescent="0.25">
      <c r="A32" s="1998"/>
      <c r="B32" s="1992"/>
      <c r="C32" s="1998"/>
      <c r="D32" s="1992"/>
      <c r="G32" s="2093"/>
      <c r="H32" s="2709"/>
      <c r="I32" s="2093"/>
      <c r="J32" s="2709"/>
      <c r="K32" s="2221"/>
      <c r="L32" s="2246"/>
      <c r="M32" s="2221"/>
      <c r="N32" s="2246"/>
      <c r="O32" s="3396"/>
      <c r="P32" s="3864"/>
      <c r="Q32" s="3865"/>
      <c r="R32" s="3866"/>
      <c r="S32" s="3867"/>
      <c r="T32" s="3865"/>
      <c r="U32" s="3865"/>
      <c r="V32" s="3865"/>
      <c r="W32" s="3869">
        <v>20000000</v>
      </c>
      <c r="X32" s="2004" t="s">
        <v>3216</v>
      </c>
      <c r="Y32" s="2004">
        <v>7</v>
      </c>
      <c r="Z32" s="2004" t="s">
        <v>3195</v>
      </c>
      <c r="AA32" s="3870"/>
      <c r="AB32" s="3479"/>
      <c r="AC32" s="3479"/>
      <c r="AD32" s="3479"/>
      <c r="AE32" s="3479"/>
      <c r="AF32" s="3479"/>
      <c r="AG32" s="3479"/>
      <c r="AH32" s="3479"/>
      <c r="AI32" s="3479"/>
      <c r="AJ32" s="3479"/>
      <c r="AK32" s="3479"/>
      <c r="AL32" s="3479"/>
      <c r="AM32" s="3479"/>
      <c r="AN32" s="3479"/>
      <c r="AO32" s="3479"/>
      <c r="AP32" s="3479"/>
      <c r="AQ32" s="3815"/>
      <c r="AR32" s="3815"/>
      <c r="AS32" s="3815"/>
    </row>
    <row r="33" spans="1:45" ht="37.5" customHeight="1" x14ac:dyDescent="0.25">
      <c r="A33" s="1998"/>
      <c r="B33" s="1992"/>
      <c r="C33" s="1998"/>
      <c r="D33" s="1992"/>
      <c r="G33" s="2093"/>
      <c r="H33" s="2709"/>
      <c r="I33" s="2093"/>
      <c r="J33" s="2709"/>
      <c r="K33" s="2221">
        <v>430103704</v>
      </c>
      <c r="L33" s="2246" t="s">
        <v>3217</v>
      </c>
      <c r="M33" s="2221">
        <v>430103704</v>
      </c>
      <c r="N33" s="2246" t="s">
        <v>3217</v>
      </c>
      <c r="O33" s="3396">
        <v>12</v>
      </c>
      <c r="P33" s="3864"/>
      <c r="Q33" s="3865"/>
      <c r="R33" s="3866">
        <f>SUM(W33:W48)/S13</f>
        <v>0.40383282317609448</v>
      </c>
      <c r="S33" s="3867"/>
      <c r="T33" s="3865"/>
      <c r="U33" s="3865" t="s">
        <v>3218</v>
      </c>
      <c r="V33" s="3865" t="s">
        <v>3219</v>
      </c>
      <c r="W33" s="3869">
        <v>136127636</v>
      </c>
      <c r="X33" s="2004" t="s">
        <v>3220</v>
      </c>
      <c r="Y33" s="2004">
        <v>4</v>
      </c>
      <c r="Z33" s="2004" t="s">
        <v>3221</v>
      </c>
      <c r="AA33" s="3870"/>
      <c r="AB33" s="3479"/>
      <c r="AC33" s="3479"/>
      <c r="AD33" s="3479"/>
      <c r="AE33" s="3479"/>
      <c r="AF33" s="3479"/>
      <c r="AG33" s="3479"/>
      <c r="AH33" s="3479"/>
      <c r="AI33" s="3479"/>
      <c r="AJ33" s="3479"/>
      <c r="AK33" s="3479"/>
      <c r="AL33" s="3479"/>
      <c r="AM33" s="3479"/>
      <c r="AN33" s="3479"/>
      <c r="AO33" s="3479"/>
      <c r="AP33" s="3479"/>
      <c r="AQ33" s="2088">
        <v>44200</v>
      </c>
      <c r="AR33" s="2088">
        <v>44560</v>
      </c>
      <c r="AS33" s="3479" t="s">
        <v>3187</v>
      </c>
    </row>
    <row r="34" spans="1:45" ht="37.5" customHeight="1" x14ac:dyDescent="0.25">
      <c r="A34" s="1998"/>
      <c r="B34" s="1992"/>
      <c r="C34" s="1998"/>
      <c r="D34" s="1992"/>
      <c r="G34" s="2093"/>
      <c r="H34" s="2709"/>
      <c r="I34" s="2093"/>
      <c r="J34" s="2709"/>
      <c r="K34" s="2221"/>
      <c r="L34" s="2246"/>
      <c r="M34" s="2221"/>
      <c r="N34" s="2246"/>
      <c r="O34" s="3396"/>
      <c r="P34" s="3864"/>
      <c r="Q34" s="3865"/>
      <c r="R34" s="3866"/>
      <c r="S34" s="3867"/>
      <c r="T34" s="3865"/>
      <c r="U34" s="3865"/>
      <c r="V34" s="3865"/>
      <c r="W34" s="3869">
        <v>600000000</v>
      </c>
      <c r="X34" s="2004" t="s">
        <v>3222</v>
      </c>
      <c r="Y34" s="2004">
        <v>28</v>
      </c>
      <c r="Z34" s="799" t="s">
        <v>3192</v>
      </c>
      <c r="AA34" s="3870"/>
      <c r="AB34" s="3479"/>
      <c r="AC34" s="3479"/>
      <c r="AD34" s="3479"/>
      <c r="AE34" s="3479"/>
      <c r="AF34" s="3479"/>
      <c r="AG34" s="3479"/>
      <c r="AH34" s="3479"/>
      <c r="AI34" s="3479"/>
      <c r="AJ34" s="3479"/>
      <c r="AK34" s="3479"/>
      <c r="AL34" s="3479"/>
      <c r="AM34" s="3479"/>
      <c r="AN34" s="3479"/>
      <c r="AO34" s="3479"/>
      <c r="AP34" s="3479"/>
      <c r="AQ34" s="2088"/>
      <c r="AR34" s="2088"/>
      <c r="AS34" s="3479"/>
    </row>
    <row r="35" spans="1:45" ht="37.5" customHeight="1" x14ac:dyDescent="0.25">
      <c r="A35" s="1998"/>
      <c r="B35" s="1992"/>
      <c r="C35" s="1998"/>
      <c r="D35" s="1992"/>
      <c r="G35" s="2093"/>
      <c r="H35" s="2709"/>
      <c r="I35" s="2093"/>
      <c r="J35" s="2709"/>
      <c r="K35" s="2221"/>
      <c r="L35" s="2246"/>
      <c r="M35" s="2221"/>
      <c r="N35" s="2246"/>
      <c r="O35" s="3396"/>
      <c r="P35" s="3864"/>
      <c r="Q35" s="3865"/>
      <c r="R35" s="3866"/>
      <c r="S35" s="3867"/>
      <c r="T35" s="3865"/>
      <c r="U35" s="3865"/>
      <c r="V35" s="3865"/>
      <c r="W35" s="3869">
        <v>70000000</v>
      </c>
      <c r="X35" s="2004" t="s">
        <v>3209</v>
      </c>
      <c r="Y35" s="2004">
        <v>24</v>
      </c>
      <c r="Z35" s="799" t="s">
        <v>3210</v>
      </c>
      <c r="AA35" s="3870"/>
      <c r="AB35" s="3479"/>
      <c r="AC35" s="3479"/>
      <c r="AD35" s="3479"/>
      <c r="AE35" s="3479"/>
      <c r="AF35" s="3479"/>
      <c r="AG35" s="3479"/>
      <c r="AH35" s="3479"/>
      <c r="AI35" s="3479"/>
      <c r="AJ35" s="3479"/>
      <c r="AK35" s="3479"/>
      <c r="AL35" s="3479"/>
      <c r="AM35" s="3479"/>
      <c r="AN35" s="3479"/>
      <c r="AO35" s="3479"/>
      <c r="AP35" s="3479"/>
      <c r="AQ35" s="2088"/>
      <c r="AR35" s="2088"/>
      <c r="AS35" s="3479"/>
    </row>
    <row r="36" spans="1:45" ht="37.5" customHeight="1" x14ac:dyDescent="0.25">
      <c r="A36" s="1998"/>
      <c r="B36" s="1992"/>
      <c r="C36" s="1998"/>
      <c r="D36" s="1992"/>
      <c r="G36" s="2093"/>
      <c r="H36" s="2709"/>
      <c r="I36" s="2093"/>
      <c r="J36" s="2709"/>
      <c r="K36" s="2221"/>
      <c r="L36" s="2246"/>
      <c r="M36" s="2221"/>
      <c r="N36" s="2246"/>
      <c r="O36" s="3396"/>
      <c r="P36" s="3864"/>
      <c r="Q36" s="3865"/>
      <c r="R36" s="3866"/>
      <c r="S36" s="3867"/>
      <c r="T36" s="3865"/>
      <c r="U36" s="3865"/>
      <c r="V36" s="3865"/>
      <c r="W36" s="3869">
        <v>58617531.109999999</v>
      </c>
      <c r="X36" s="2004" t="s">
        <v>3223</v>
      </c>
      <c r="Y36" s="2004">
        <v>21</v>
      </c>
      <c r="Z36" s="2004" t="s">
        <v>3224</v>
      </c>
      <c r="AA36" s="3870"/>
      <c r="AB36" s="3479"/>
      <c r="AC36" s="3479"/>
      <c r="AD36" s="3479"/>
      <c r="AE36" s="3479"/>
      <c r="AF36" s="3479"/>
      <c r="AG36" s="3479"/>
      <c r="AH36" s="3479"/>
      <c r="AI36" s="3479"/>
      <c r="AJ36" s="3479"/>
      <c r="AK36" s="3479"/>
      <c r="AL36" s="3479"/>
      <c r="AM36" s="3479"/>
      <c r="AN36" s="3479"/>
      <c r="AO36" s="3479"/>
      <c r="AP36" s="3479"/>
      <c r="AQ36" s="2088"/>
      <c r="AR36" s="2088"/>
      <c r="AS36" s="3479"/>
    </row>
    <row r="37" spans="1:45" ht="37.5" customHeight="1" x14ac:dyDescent="0.25">
      <c r="A37" s="1998"/>
      <c r="B37" s="1992"/>
      <c r="C37" s="1998"/>
      <c r="D37" s="1992"/>
      <c r="G37" s="2093"/>
      <c r="H37" s="2709"/>
      <c r="I37" s="2093"/>
      <c r="J37" s="2709"/>
      <c r="K37" s="2221"/>
      <c r="L37" s="2246"/>
      <c r="M37" s="2221"/>
      <c r="N37" s="2246"/>
      <c r="O37" s="3396"/>
      <c r="P37" s="3864"/>
      <c r="Q37" s="3865"/>
      <c r="R37" s="3866"/>
      <c r="S37" s="3867"/>
      <c r="T37" s="3865"/>
      <c r="U37" s="3865"/>
      <c r="V37" s="3865"/>
      <c r="W37" s="3869">
        <v>66355890</v>
      </c>
      <c r="X37" s="2004" t="s">
        <v>3225</v>
      </c>
      <c r="Y37" s="2004">
        <v>3</v>
      </c>
      <c r="Z37" s="2004" t="s">
        <v>3226</v>
      </c>
      <c r="AA37" s="3870"/>
      <c r="AB37" s="3479"/>
      <c r="AC37" s="3479"/>
      <c r="AD37" s="3479"/>
      <c r="AE37" s="3479"/>
      <c r="AF37" s="3479"/>
      <c r="AG37" s="3479"/>
      <c r="AH37" s="3479"/>
      <c r="AI37" s="3479"/>
      <c r="AJ37" s="3479"/>
      <c r="AK37" s="3479"/>
      <c r="AL37" s="3479"/>
      <c r="AM37" s="3479"/>
      <c r="AN37" s="3479"/>
      <c r="AO37" s="3479"/>
      <c r="AP37" s="3479"/>
      <c r="AQ37" s="3479"/>
      <c r="AR37" s="3479"/>
      <c r="AS37" s="3479"/>
    </row>
    <row r="38" spans="1:45" ht="37.5" customHeight="1" x14ac:dyDescent="0.25">
      <c r="A38" s="1998"/>
      <c r="B38" s="1992"/>
      <c r="C38" s="1998"/>
      <c r="D38" s="1992"/>
      <c r="G38" s="2093"/>
      <c r="H38" s="2709"/>
      <c r="I38" s="2093"/>
      <c r="J38" s="2709"/>
      <c r="K38" s="2221"/>
      <c r="L38" s="2246"/>
      <c r="M38" s="2221"/>
      <c r="N38" s="2246"/>
      <c r="O38" s="3396"/>
      <c r="P38" s="3864"/>
      <c r="Q38" s="3865"/>
      <c r="R38" s="3866"/>
      <c r="S38" s="3867"/>
      <c r="T38" s="3865"/>
      <c r="U38" s="3865"/>
      <c r="V38" s="3865"/>
      <c r="W38" s="3869">
        <v>420000000</v>
      </c>
      <c r="X38" s="2004" t="s">
        <v>3211</v>
      </c>
      <c r="Y38" s="2004">
        <v>7</v>
      </c>
      <c r="Z38" s="2004" t="s">
        <v>3195</v>
      </c>
      <c r="AA38" s="3870"/>
      <c r="AB38" s="3479"/>
      <c r="AC38" s="3479"/>
      <c r="AD38" s="3479"/>
      <c r="AE38" s="3479"/>
      <c r="AF38" s="3479"/>
      <c r="AG38" s="3479"/>
      <c r="AH38" s="3479"/>
      <c r="AI38" s="3479"/>
      <c r="AJ38" s="3479"/>
      <c r="AK38" s="3479"/>
      <c r="AL38" s="3479"/>
      <c r="AM38" s="3479"/>
      <c r="AN38" s="3479"/>
      <c r="AO38" s="3479"/>
      <c r="AP38" s="3479"/>
      <c r="AQ38" s="3479"/>
      <c r="AR38" s="3479"/>
      <c r="AS38" s="3479"/>
    </row>
    <row r="39" spans="1:45" ht="37.5" customHeight="1" x14ac:dyDescent="0.25">
      <c r="A39" s="1998"/>
      <c r="B39" s="1992"/>
      <c r="C39" s="1998"/>
      <c r="D39" s="1992"/>
      <c r="G39" s="2093"/>
      <c r="H39" s="2709"/>
      <c r="I39" s="2093"/>
      <c r="J39" s="2709"/>
      <c r="K39" s="2221"/>
      <c r="L39" s="2246"/>
      <c r="M39" s="2221"/>
      <c r="N39" s="2246"/>
      <c r="O39" s="3396"/>
      <c r="P39" s="3864"/>
      <c r="Q39" s="3865"/>
      <c r="R39" s="3866"/>
      <c r="S39" s="3867"/>
      <c r="T39" s="3865"/>
      <c r="U39" s="3865"/>
      <c r="V39" s="3865" t="s">
        <v>3227</v>
      </c>
      <c r="W39" s="3869">
        <v>70000000</v>
      </c>
      <c r="X39" s="2004" t="s">
        <v>3216</v>
      </c>
      <c r="Y39" s="2004">
        <v>7</v>
      </c>
      <c r="Z39" s="2004" t="s">
        <v>3195</v>
      </c>
      <c r="AA39" s="3870"/>
      <c r="AB39" s="3479"/>
      <c r="AC39" s="3479"/>
      <c r="AD39" s="3479"/>
      <c r="AE39" s="3479"/>
      <c r="AF39" s="3479"/>
      <c r="AG39" s="3479"/>
      <c r="AH39" s="3479"/>
      <c r="AI39" s="3479"/>
      <c r="AJ39" s="3479"/>
      <c r="AK39" s="3479"/>
      <c r="AL39" s="3479"/>
      <c r="AM39" s="3479"/>
      <c r="AN39" s="3479"/>
      <c r="AO39" s="3479"/>
      <c r="AP39" s="3479"/>
      <c r="AQ39" s="3479"/>
      <c r="AR39" s="3479"/>
      <c r="AS39" s="3479"/>
    </row>
    <row r="40" spans="1:45" ht="37.5" customHeight="1" x14ac:dyDescent="0.25">
      <c r="A40" s="1998"/>
      <c r="B40" s="1992"/>
      <c r="C40" s="1998"/>
      <c r="D40" s="1992"/>
      <c r="G40" s="2093"/>
      <c r="H40" s="2709"/>
      <c r="I40" s="2093"/>
      <c r="J40" s="2709"/>
      <c r="K40" s="2221"/>
      <c r="L40" s="2246"/>
      <c r="M40" s="2221"/>
      <c r="N40" s="2246"/>
      <c r="O40" s="3396"/>
      <c r="P40" s="3864"/>
      <c r="Q40" s="3865"/>
      <c r="R40" s="3866"/>
      <c r="S40" s="3867"/>
      <c r="T40" s="3865"/>
      <c r="U40" s="3865"/>
      <c r="V40" s="3865"/>
      <c r="W40" s="3869">
        <v>150000000</v>
      </c>
      <c r="X40" s="2004" t="s">
        <v>3228</v>
      </c>
      <c r="Y40" s="2004">
        <v>28</v>
      </c>
      <c r="Z40" s="2004" t="s">
        <v>3192</v>
      </c>
      <c r="AA40" s="3870"/>
      <c r="AB40" s="3479"/>
      <c r="AC40" s="3479"/>
      <c r="AD40" s="3479"/>
      <c r="AE40" s="3479"/>
      <c r="AF40" s="3479"/>
      <c r="AG40" s="3479"/>
      <c r="AH40" s="3479"/>
      <c r="AI40" s="3479"/>
      <c r="AJ40" s="3479"/>
      <c r="AK40" s="3479"/>
      <c r="AL40" s="3479"/>
      <c r="AM40" s="3479"/>
      <c r="AN40" s="3479"/>
      <c r="AO40" s="3479"/>
      <c r="AP40" s="3479"/>
      <c r="AQ40" s="3479"/>
      <c r="AR40" s="3479"/>
      <c r="AS40" s="3479"/>
    </row>
    <row r="41" spans="1:45" ht="37.5" customHeight="1" x14ac:dyDescent="0.25">
      <c r="A41" s="1998"/>
      <c r="B41" s="1992"/>
      <c r="C41" s="1998"/>
      <c r="D41" s="1992"/>
      <c r="G41" s="2093"/>
      <c r="H41" s="2709"/>
      <c r="I41" s="2093"/>
      <c r="J41" s="2709"/>
      <c r="K41" s="2221"/>
      <c r="L41" s="2246"/>
      <c r="M41" s="2221"/>
      <c r="N41" s="2246"/>
      <c r="O41" s="3396"/>
      <c r="P41" s="3864"/>
      <c r="Q41" s="3865"/>
      <c r="R41" s="3866"/>
      <c r="S41" s="3867"/>
      <c r="T41" s="3865"/>
      <c r="U41" s="3865"/>
      <c r="V41" s="3865"/>
      <c r="W41" s="3869">
        <v>250000000</v>
      </c>
      <c r="X41" s="2004" t="s">
        <v>3229</v>
      </c>
      <c r="Y41" s="2004">
        <v>28</v>
      </c>
      <c r="Z41" s="2004" t="s">
        <v>3192</v>
      </c>
      <c r="AA41" s="3870"/>
      <c r="AB41" s="3479"/>
      <c r="AC41" s="3479"/>
      <c r="AD41" s="3479"/>
      <c r="AE41" s="3479"/>
      <c r="AF41" s="3479"/>
      <c r="AG41" s="3479"/>
      <c r="AH41" s="3479"/>
      <c r="AI41" s="3479"/>
      <c r="AJ41" s="3479"/>
      <c r="AK41" s="3479"/>
      <c r="AL41" s="3479"/>
      <c r="AM41" s="3479"/>
      <c r="AN41" s="3479"/>
      <c r="AO41" s="3479"/>
      <c r="AP41" s="3479"/>
      <c r="AQ41" s="3479"/>
      <c r="AR41" s="3479"/>
      <c r="AS41" s="3479"/>
    </row>
    <row r="42" spans="1:45" ht="37.5" customHeight="1" x14ac:dyDescent="0.25">
      <c r="A42" s="1998"/>
      <c r="B42" s="1992"/>
      <c r="C42" s="1998"/>
      <c r="D42" s="1992"/>
      <c r="G42" s="2093"/>
      <c r="H42" s="2709"/>
      <c r="I42" s="2093"/>
      <c r="J42" s="2709"/>
      <c r="K42" s="2221"/>
      <c r="L42" s="2246"/>
      <c r="M42" s="2221"/>
      <c r="N42" s="2246"/>
      <c r="O42" s="3396"/>
      <c r="P42" s="3864"/>
      <c r="Q42" s="3865"/>
      <c r="R42" s="3866"/>
      <c r="S42" s="3867"/>
      <c r="T42" s="3865"/>
      <c r="U42" s="3865"/>
      <c r="V42" s="3865"/>
      <c r="W42" s="3869">
        <v>55000000</v>
      </c>
      <c r="X42" s="2004" t="s">
        <v>3214</v>
      </c>
      <c r="Y42" s="2004">
        <v>7</v>
      </c>
      <c r="Z42" s="2004" t="s">
        <v>3195</v>
      </c>
      <c r="AA42" s="3870"/>
      <c r="AB42" s="3479"/>
      <c r="AC42" s="3479"/>
      <c r="AD42" s="3479"/>
      <c r="AE42" s="3479"/>
      <c r="AF42" s="3479"/>
      <c r="AG42" s="3479"/>
      <c r="AH42" s="3479"/>
      <c r="AI42" s="3479"/>
      <c r="AJ42" s="3479"/>
      <c r="AK42" s="3479"/>
      <c r="AL42" s="3479"/>
      <c r="AM42" s="3479"/>
      <c r="AN42" s="3479"/>
      <c r="AO42" s="3479"/>
      <c r="AP42" s="3479"/>
      <c r="AQ42" s="3479"/>
      <c r="AR42" s="3479"/>
      <c r="AS42" s="3479"/>
    </row>
    <row r="43" spans="1:45" ht="37.5" customHeight="1" x14ac:dyDescent="0.25">
      <c r="A43" s="1998"/>
      <c r="B43" s="1992"/>
      <c r="C43" s="1998"/>
      <c r="D43" s="1992"/>
      <c r="G43" s="2093"/>
      <c r="H43" s="2709"/>
      <c r="I43" s="2093"/>
      <c r="J43" s="2709"/>
      <c r="K43" s="2221"/>
      <c r="L43" s="2246"/>
      <c r="M43" s="2221"/>
      <c r="N43" s="2246"/>
      <c r="O43" s="3396"/>
      <c r="P43" s="3864"/>
      <c r="Q43" s="3865"/>
      <c r="R43" s="3866"/>
      <c r="S43" s="3867"/>
      <c r="T43" s="3865"/>
      <c r="U43" s="3865"/>
      <c r="V43" s="3865"/>
      <c r="W43" s="3869">
        <v>60000000</v>
      </c>
      <c r="X43" s="2004" t="s">
        <v>3230</v>
      </c>
      <c r="Y43" s="2004">
        <v>12</v>
      </c>
      <c r="Z43" s="2004" t="s">
        <v>3198</v>
      </c>
      <c r="AA43" s="3870"/>
      <c r="AB43" s="3479"/>
      <c r="AC43" s="3479"/>
      <c r="AD43" s="3479"/>
      <c r="AE43" s="3479"/>
      <c r="AF43" s="3479"/>
      <c r="AG43" s="3479"/>
      <c r="AH43" s="3479"/>
      <c r="AI43" s="3479"/>
      <c r="AJ43" s="3479"/>
      <c r="AK43" s="3479"/>
      <c r="AL43" s="3479"/>
      <c r="AM43" s="3479"/>
      <c r="AN43" s="3479"/>
      <c r="AO43" s="3479"/>
      <c r="AP43" s="3479"/>
      <c r="AQ43" s="3479"/>
      <c r="AR43" s="3479"/>
      <c r="AS43" s="3479"/>
    </row>
    <row r="44" spans="1:45" ht="37.5" customHeight="1" x14ac:dyDescent="0.25">
      <c r="A44" s="1998"/>
      <c r="B44" s="1992"/>
      <c r="C44" s="1998"/>
      <c r="D44" s="1992"/>
      <c r="G44" s="2093"/>
      <c r="H44" s="2709"/>
      <c r="I44" s="2093"/>
      <c r="J44" s="2709"/>
      <c r="K44" s="2221"/>
      <c r="L44" s="2246"/>
      <c r="M44" s="2221"/>
      <c r="N44" s="2246"/>
      <c r="O44" s="3396"/>
      <c r="P44" s="3864"/>
      <c r="Q44" s="3865"/>
      <c r="R44" s="3866"/>
      <c r="S44" s="3867"/>
      <c r="T44" s="3865"/>
      <c r="U44" s="3865"/>
      <c r="V44" s="3865"/>
      <c r="W44" s="3869">
        <v>57021304</v>
      </c>
      <c r="X44" s="2004" t="s">
        <v>3213</v>
      </c>
      <c r="Y44" s="2004">
        <v>12</v>
      </c>
      <c r="Z44" s="2004" t="s">
        <v>3198</v>
      </c>
      <c r="AA44" s="3870"/>
      <c r="AB44" s="3479"/>
      <c r="AC44" s="3479"/>
      <c r="AD44" s="3479"/>
      <c r="AE44" s="3479"/>
      <c r="AF44" s="3479"/>
      <c r="AG44" s="3479"/>
      <c r="AH44" s="3479"/>
      <c r="AI44" s="3479"/>
      <c r="AJ44" s="3479"/>
      <c r="AK44" s="3479"/>
      <c r="AL44" s="3479"/>
      <c r="AM44" s="3479"/>
      <c r="AN44" s="3479"/>
      <c r="AO44" s="3479"/>
      <c r="AP44" s="3479"/>
      <c r="AQ44" s="3479"/>
      <c r="AR44" s="3479"/>
      <c r="AS44" s="3479"/>
    </row>
    <row r="45" spans="1:45" ht="37.5" customHeight="1" x14ac:dyDescent="0.25">
      <c r="A45" s="1998"/>
      <c r="B45" s="1992"/>
      <c r="C45" s="1998"/>
      <c r="D45" s="1992"/>
      <c r="G45" s="2093"/>
      <c r="H45" s="2709"/>
      <c r="I45" s="2093"/>
      <c r="J45" s="2709"/>
      <c r="K45" s="2221"/>
      <c r="L45" s="2246"/>
      <c r="M45" s="2221"/>
      <c r="N45" s="2246"/>
      <c r="O45" s="3396"/>
      <c r="P45" s="3864"/>
      <c r="Q45" s="3865"/>
      <c r="R45" s="3866"/>
      <c r="S45" s="3867"/>
      <c r="T45" s="3865"/>
      <c r="U45" s="3865"/>
      <c r="V45" s="3865" t="s">
        <v>3231</v>
      </c>
      <c r="W45" s="3875">
        <v>20000000</v>
      </c>
      <c r="X45" s="2004" t="s">
        <v>3211</v>
      </c>
      <c r="Y45" s="2004">
        <v>7</v>
      </c>
      <c r="Z45" s="2004" t="s">
        <v>3195</v>
      </c>
      <c r="AA45" s="3870"/>
      <c r="AB45" s="3479"/>
      <c r="AC45" s="3479"/>
      <c r="AD45" s="3479"/>
      <c r="AE45" s="3479"/>
      <c r="AF45" s="3479"/>
      <c r="AG45" s="3479"/>
      <c r="AH45" s="3479"/>
      <c r="AI45" s="3479"/>
      <c r="AJ45" s="3479"/>
      <c r="AK45" s="3479"/>
      <c r="AL45" s="3479"/>
      <c r="AM45" s="3479"/>
      <c r="AN45" s="3479"/>
      <c r="AO45" s="3479"/>
      <c r="AP45" s="3479"/>
      <c r="AQ45" s="3479"/>
      <c r="AR45" s="3479"/>
      <c r="AS45" s="3479"/>
    </row>
    <row r="46" spans="1:45" ht="37.5" customHeight="1" x14ac:dyDescent="0.25">
      <c r="A46" s="1998"/>
      <c r="B46" s="1992"/>
      <c r="C46" s="1998"/>
      <c r="D46" s="1992"/>
      <c r="G46" s="2093"/>
      <c r="H46" s="2709"/>
      <c r="I46" s="2093"/>
      <c r="J46" s="2709"/>
      <c r="K46" s="2221"/>
      <c r="L46" s="2246"/>
      <c r="M46" s="2221"/>
      <c r="N46" s="2246"/>
      <c r="O46" s="3396"/>
      <c r="P46" s="3864"/>
      <c r="Q46" s="3865"/>
      <c r="R46" s="3866"/>
      <c r="S46" s="3867"/>
      <c r="T46" s="3865"/>
      <c r="U46" s="3865"/>
      <c r="V46" s="3865"/>
      <c r="W46" s="3875">
        <v>30000000</v>
      </c>
      <c r="X46" s="2004" t="s">
        <v>3214</v>
      </c>
      <c r="Y46" s="2004">
        <v>7</v>
      </c>
      <c r="Z46" s="2004" t="s">
        <v>3195</v>
      </c>
      <c r="AA46" s="3870"/>
      <c r="AB46" s="3479"/>
      <c r="AC46" s="3479"/>
      <c r="AD46" s="3479"/>
      <c r="AE46" s="3479"/>
      <c r="AF46" s="3479"/>
      <c r="AG46" s="3479"/>
      <c r="AH46" s="3479"/>
      <c r="AI46" s="3479"/>
      <c r="AJ46" s="3479"/>
      <c r="AK46" s="3479"/>
      <c r="AL46" s="3479"/>
      <c r="AM46" s="3479"/>
      <c r="AN46" s="3479"/>
      <c r="AO46" s="3479"/>
      <c r="AP46" s="3479"/>
      <c r="AQ46" s="3479"/>
      <c r="AR46" s="3479"/>
      <c r="AS46" s="3479"/>
    </row>
    <row r="47" spans="1:45" ht="37.5" customHeight="1" x14ac:dyDescent="0.25">
      <c r="A47" s="1998"/>
      <c r="B47" s="1992"/>
      <c r="C47" s="1998"/>
      <c r="D47" s="1992"/>
      <c r="G47" s="2093"/>
      <c r="H47" s="2709"/>
      <c r="I47" s="2093"/>
      <c r="J47" s="2709"/>
      <c r="K47" s="2221"/>
      <c r="L47" s="2246"/>
      <c r="M47" s="2221"/>
      <c r="N47" s="2246"/>
      <c r="O47" s="3396"/>
      <c r="P47" s="3864"/>
      <c r="Q47" s="3865"/>
      <c r="R47" s="3866"/>
      <c r="S47" s="3867"/>
      <c r="T47" s="3865"/>
      <c r="U47" s="3865"/>
      <c r="V47" s="3865"/>
      <c r="W47" s="3875">
        <v>30000000</v>
      </c>
      <c r="X47" s="2004" t="s">
        <v>3232</v>
      </c>
      <c r="Y47" s="2004">
        <v>9</v>
      </c>
      <c r="Z47" s="2004" t="s">
        <v>3233</v>
      </c>
      <c r="AA47" s="3870"/>
      <c r="AB47" s="3479"/>
      <c r="AC47" s="3479"/>
      <c r="AD47" s="3479"/>
      <c r="AE47" s="3479"/>
      <c r="AF47" s="3479"/>
      <c r="AG47" s="3479"/>
      <c r="AH47" s="3479"/>
      <c r="AI47" s="3479"/>
      <c r="AJ47" s="3479"/>
      <c r="AK47" s="3479"/>
      <c r="AL47" s="3479"/>
      <c r="AM47" s="3479"/>
      <c r="AN47" s="3479"/>
      <c r="AO47" s="3479"/>
      <c r="AP47" s="3479"/>
      <c r="AQ47" s="3479"/>
      <c r="AR47" s="3479"/>
      <c r="AS47" s="3479"/>
    </row>
    <row r="48" spans="1:45" ht="37.5" customHeight="1" x14ac:dyDescent="0.25">
      <c r="A48" s="1998"/>
      <c r="B48" s="1992"/>
      <c r="C48" s="1998"/>
      <c r="D48" s="1992"/>
      <c r="G48" s="2093"/>
      <c r="H48" s="2710"/>
      <c r="I48" s="2093"/>
      <c r="J48" s="2710"/>
      <c r="K48" s="2221"/>
      <c r="L48" s="2246"/>
      <c r="M48" s="2221"/>
      <c r="N48" s="2246"/>
      <c r="O48" s="3396"/>
      <c r="P48" s="3864"/>
      <c r="Q48" s="3865"/>
      <c r="R48" s="3866"/>
      <c r="S48" s="3867"/>
      <c r="T48" s="3865"/>
      <c r="U48" s="3865"/>
      <c r="V48" s="3865"/>
      <c r="W48" s="3869">
        <v>40000000</v>
      </c>
      <c r="X48" s="2004" t="s">
        <v>3234</v>
      </c>
      <c r="Y48" s="2004">
        <v>3</v>
      </c>
      <c r="Z48" s="2004" t="s">
        <v>3226</v>
      </c>
      <c r="AA48" s="3870"/>
      <c r="AB48" s="3479"/>
      <c r="AC48" s="3479"/>
      <c r="AD48" s="3479"/>
      <c r="AE48" s="3479"/>
      <c r="AF48" s="3479"/>
      <c r="AG48" s="3479"/>
      <c r="AH48" s="3479"/>
      <c r="AI48" s="3479"/>
      <c r="AJ48" s="3479"/>
      <c r="AK48" s="3479"/>
      <c r="AL48" s="3479"/>
      <c r="AM48" s="3479"/>
      <c r="AN48" s="3479"/>
      <c r="AO48" s="3479"/>
      <c r="AP48" s="3479"/>
      <c r="AQ48" s="3815"/>
      <c r="AR48" s="3815"/>
      <c r="AS48" s="3815"/>
    </row>
    <row r="49" spans="1:45" ht="102" customHeight="1" x14ac:dyDescent="0.25">
      <c r="A49" s="1998"/>
      <c r="B49" s="1992"/>
      <c r="C49" s="1998"/>
      <c r="D49" s="1992"/>
      <c r="G49" s="2221" t="s">
        <v>62</v>
      </c>
      <c r="H49" s="2246" t="s">
        <v>3235</v>
      </c>
      <c r="I49" s="2221">
        <v>4301006</v>
      </c>
      <c r="J49" s="2247" t="s">
        <v>3236</v>
      </c>
      <c r="K49" s="2221" t="s">
        <v>62</v>
      </c>
      <c r="L49" s="2246" t="s">
        <v>3237</v>
      </c>
      <c r="M49" s="2221">
        <v>430100600</v>
      </c>
      <c r="N49" s="2247" t="s">
        <v>3238</v>
      </c>
      <c r="O49" s="3396">
        <v>1</v>
      </c>
      <c r="P49" s="3864"/>
      <c r="Q49" s="3865"/>
      <c r="R49" s="3866">
        <f>SUM(W49:W51)/S13</f>
        <v>1.4558185862195329E-2</v>
      </c>
      <c r="S49" s="3867"/>
      <c r="T49" s="3865"/>
      <c r="U49" s="3865" t="s">
        <v>3239</v>
      </c>
      <c r="V49" s="3865" t="s">
        <v>3240</v>
      </c>
      <c r="W49" s="3869">
        <v>20000000</v>
      </c>
      <c r="X49" s="2004" t="s">
        <v>3241</v>
      </c>
      <c r="Y49" s="2004">
        <v>3</v>
      </c>
      <c r="Z49" s="2004" t="s">
        <v>3226</v>
      </c>
      <c r="AA49" s="3870"/>
      <c r="AB49" s="3479"/>
      <c r="AC49" s="3479"/>
      <c r="AD49" s="3479"/>
      <c r="AE49" s="3479"/>
      <c r="AF49" s="3479"/>
      <c r="AG49" s="3479"/>
      <c r="AH49" s="3479"/>
      <c r="AI49" s="3479"/>
      <c r="AJ49" s="3479"/>
      <c r="AK49" s="3479"/>
      <c r="AL49" s="3479"/>
      <c r="AM49" s="3479"/>
      <c r="AN49" s="3479"/>
      <c r="AO49" s="3479"/>
      <c r="AP49" s="3479"/>
      <c r="AQ49" s="2088">
        <v>44200</v>
      </c>
      <c r="AR49" s="2088">
        <v>44560</v>
      </c>
      <c r="AS49" s="3479" t="s">
        <v>3187</v>
      </c>
    </row>
    <row r="50" spans="1:45" ht="102" customHeight="1" x14ac:dyDescent="0.25">
      <c r="A50" s="1998"/>
      <c r="B50" s="1992"/>
      <c r="C50" s="1998"/>
      <c r="D50" s="1992"/>
      <c r="G50" s="2221"/>
      <c r="H50" s="2246"/>
      <c r="I50" s="2221"/>
      <c r="J50" s="3871"/>
      <c r="K50" s="2221"/>
      <c r="L50" s="2246"/>
      <c r="M50" s="2221"/>
      <c r="N50" s="3871"/>
      <c r="O50" s="3396"/>
      <c r="P50" s="3864"/>
      <c r="Q50" s="3865"/>
      <c r="R50" s="3866"/>
      <c r="S50" s="3867"/>
      <c r="T50" s="3865"/>
      <c r="U50" s="3865"/>
      <c r="V50" s="3865"/>
      <c r="W50" s="3875">
        <v>50000000</v>
      </c>
      <c r="X50" s="2004" t="s">
        <v>3242</v>
      </c>
      <c r="Y50" s="2004">
        <v>12</v>
      </c>
      <c r="Z50" s="2003" t="s">
        <v>3198</v>
      </c>
      <c r="AA50" s="3870"/>
      <c r="AB50" s="3479"/>
      <c r="AC50" s="3479"/>
      <c r="AD50" s="3479"/>
      <c r="AE50" s="3479"/>
      <c r="AF50" s="3479"/>
      <c r="AG50" s="3479"/>
      <c r="AH50" s="3479"/>
      <c r="AI50" s="3479"/>
      <c r="AJ50" s="3479"/>
      <c r="AK50" s="3479"/>
      <c r="AL50" s="3479"/>
      <c r="AM50" s="3479"/>
      <c r="AN50" s="3479"/>
      <c r="AO50" s="3479"/>
      <c r="AP50" s="3479"/>
      <c r="AQ50" s="3479"/>
      <c r="AR50" s="3479"/>
      <c r="AS50" s="3479"/>
    </row>
    <row r="51" spans="1:45" ht="102" customHeight="1" x14ac:dyDescent="0.25">
      <c r="A51" s="1998"/>
      <c r="B51" s="1992"/>
      <c r="C51" s="1998"/>
      <c r="D51" s="1992"/>
      <c r="G51" s="2221"/>
      <c r="H51" s="2246"/>
      <c r="I51" s="2221"/>
      <c r="J51" s="2245"/>
      <c r="K51" s="2221"/>
      <c r="L51" s="2246"/>
      <c r="M51" s="2221"/>
      <c r="N51" s="2245"/>
      <c r="O51" s="3396"/>
      <c r="P51" s="3864"/>
      <c r="Q51" s="3865"/>
      <c r="R51" s="3866"/>
      <c r="S51" s="3867"/>
      <c r="T51" s="3865"/>
      <c r="U51" s="3865"/>
      <c r="V51" s="3876" t="s">
        <v>3243</v>
      </c>
      <c r="W51" s="3869">
        <v>6178126.9800000004</v>
      </c>
      <c r="X51" s="2004" t="s">
        <v>3244</v>
      </c>
      <c r="Y51" s="2004">
        <v>3</v>
      </c>
      <c r="Z51" s="2004" t="s">
        <v>3226</v>
      </c>
      <c r="AA51" s="3870"/>
      <c r="AB51" s="3479"/>
      <c r="AC51" s="3479"/>
      <c r="AD51" s="3479"/>
      <c r="AE51" s="3479"/>
      <c r="AF51" s="3479"/>
      <c r="AG51" s="3479"/>
      <c r="AH51" s="3479"/>
      <c r="AI51" s="3479"/>
      <c r="AJ51" s="3479"/>
      <c r="AK51" s="3479"/>
      <c r="AL51" s="3479"/>
      <c r="AM51" s="3479"/>
      <c r="AN51" s="3479"/>
      <c r="AO51" s="3479"/>
      <c r="AP51" s="3479"/>
      <c r="AQ51" s="3479"/>
      <c r="AR51" s="3479"/>
      <c r="AS51" s="3479"/>
    </row>
    <row r="52" spans="1:45" ht="15.75" x14ac:dyDescent="0.25">
      <c r="A52" s="3861" t="s">
        <v>294</v>
      </c>
      <c r="B52" s="3854" t="s">
        <v>294</v>
      </c>
      <c r="C52" s="3861"/>
      <c r="D52" s="3854"/>
      <c r="E52" s="1088">
        <v>4302</v>
      </c>
      <c r="F52" s="3877" t="s">
        <v>3245</v>
      </c>
      <c r="G52" s="3878"/>
      <c r="H52" s="3878"/>
      <c r="I52" s="3878"/>
      <c r="J52" s="3878"/>
      <c r="K52" s="3878"/>
      <c r="L52" s="3878"/>
      <c r="M52" s="3878"/>
      <c r="N52" s="3878"/>
      <c r="O52" s="3878"/>
      <c r="P52" s="3878"/>
      <c r="Q52" s="3878"/>
      <c r="R52" s="3879" t="s">
        <v>294</v>
      </c>
      <c r="S52" s="3880" t="s">
        <v>294</v>
      </c>
      <c r="T52" s="3881" t="s">
        <v>294</v>
      </c>
      <c r="U52" s="3881" t="s">
        <v>294</v>
      </c>
      <c r="V52" s="3881" t="s">
        <v>294</v>
      </c>
      <c r="W52" s="3880"/>
      <c r="X52" s="827"/>
      <c r="Y52" s="3879" t="s">
        <v>294</v>
      </c>
      <c r="Z52" s="3879" t="s">
        <v>294</v>
      </c>
      <c r="AA52" s="3882" t="s">
        <v>294</v>
      </c>
      <c r="AB52" s="3882" t="s">
        <v>294</v>
      </c>
      <c r="AC52" s="3882" t="s">
        <v>294</v>
      </c>
      <c r="AD52" s="3882" t="s">
        <v>294</v>
      </c>
      <c r="AE52" s="3882" t="s">
        <v>294</v>
      </c>
      <c r="AF52" s="3882" t="s">
        <v>294</v>
      </c>
      <c r="AG52" s="3882" t="s">
        <v>294</v>
      </c>
      <c r="AH52" s="3882" t="s">
        <v>294</v>
      </c>
      <c r="AI52" s="3882" t="s">
        <v>294</v>
      </c>
      <c r="AJ52" s="3882" t="s">
        <v>294</v>
      </c>
      <c r="AK52" s="3882" t="s">
        <v>294</v>
      </c>
      <c r="AL52" s="3882" t="s">
        <v>294</v>
      </c>
      <c r="AM52" s="3882" t="s">
        <v>294</v>
      </c>
      <c r="AN52" s="3882" t="s">
        <v>294</v>
      </c>
      <c r="AO52" s="3882" t="s">
        <v>294</v>
      </c>
      <c r="AP52" s="3882" t="s">
        <v>294</v>
      </c>
      <c r="AQ52" s="3882" t="s">
        <v>294</v>
      </c>
      <c r="AR52" s="3882" t="s">
        <v>294</v>
      </c>
      <c r="AS52" s="3883" t="s">
        <v>294</v>
      </c>
    </row>
    <row r="53" spans="1:45" ht="36" customHeight="1" x14ac:dyDescent="0.25">
      <c r="A53" s="1998"/>
      <c r="B53" s="1992"/>
      <c r="C53" s="1998"/>
      <c r="D53" s="1992"/>
      <c r="E53" s="3387" t="s">
        <v>294</v>
      </c>
      <c r="F53" s="3387" t="s">
        <v>294</v>
      </c>
      <c r="G53" s="3884">
        <v>4302075</v>
      </c>
      <c r="H53" s="3884" t="s">
        <v>3246</v>
      </c>
      <c r="I53" s="3884">
        <v>4302075</v>
      </c>
      <c r="J53" s="3865" t="s">
        <v>3246</v>
      </c>
      <c r="K53" s="3396">
        <v>430207500</v>
      </c>
      <c r="L53" s="3865" t="s">
        <v>3247</v>
      </c>
      <c r="M53" s="3396">
        <v>430207500</v>
      </c>
      <c r="N53" s="3865" t="s">
        <v>3247</v>
      </c>
      <c r="O53" s="3396">
        <v>25</v>
      </c>
      <c r="P53" s="3864">
        <v>2020003630010</v>
      </c>
      <c r="Q53" s="3868" t="s">
        <v>3248</v>
      </c>
      <c r="R53" s="3885">
        <f>SUM(W53:W76)/S53</f>
        <v>1</v>
      </c>
      <c r="S53" s="3886">
        <f>SUM(W53:W76)</f>
        <v>7651306047.4099998</v>
      </c>
      <c r="T53" s="3868" t="s">
        <v>3249</v>
      </c>
      <c r="U53" s="3884" t="s">
        <v>3250</v>
      </c>
      <c r="V53" s="3865" t="s">
        <v>3251</v>
      </c>
      <c r="W53" s="3875">
        <v>250000000</v>
      </c>
      <c r="X53" s="2004" t="s">
        <v>3252</v>
      </c>
      <c r="Y53" s="2004">
        <v>4</v>
      </c>
      <c r="Z53" s="2004" t="s">
        <v>3221</v>
      </c>
      <c r="AA53" s="3371">
        <v>230</v>
      </c>
      <c r="AB53" s="2077">
        <v>270</v>
      </c>
      <c r="AC53" s="2077">
        <v>110</v>
      </c>
      <c r="AD53" s="2077">
        <v>270</v>
      </c>
      <c r="AE53" s="2077">
        <v>120</v>
      </c>
      <c r="AF53" s="2077" t="s">
        <v>294</v>
      </c>
      <c r="AG53" s="2077" t="s">
        <v>294</v>
      </c>
      <c r="AH53" s="2077" t="s">
        <v>294</v>
      </c>
      <c r="AI53" s="2077" t="s">
        <v>294</v>
      </c>
      <c r="AJ53" s="2077" t="s">
        <v>294</v>
      </c>
      <c r="AK53" s="2077" t="s">
        <v>294</v>
      </c>
      <c r="AL53" s="2077" t="s">
        <v>294</v>
      </c>
      <c r="AM53" s="2077" t="s">
        <v>294</v>
      </c>
      <c r="AN53" s="2077">
        <v>110</v>
      </c>
      <c r="AO53" s="2077" t="s">
        <v>294</v>
      </c>
      <c r="AP53" s="2077">
        <v>500</v>
      </c>
      <c r="AQ53" s="3887">
        <v>44200</v>
      </c>
      <c r="AR53" s="3887">
        <v>44560</v>
      </c>
      <c r="AS53" s="2265" t="s">
        <v>3187</v>
      </c>
    </row>
    <row r="54" spans="1:45" ht="36" customHeight="1" x14ac:dyDescent="0.25">
      <c r="A54" s="1998"/>
      <c r="B54" s="1992"/>
      <c r="C54" s="1998"/>
      <c r="D54" s="1992"/>
      <c r="E54" s="3387"/>
      <c r="F54" s="3387"/>
      <c r="G54" s="3888"/>
      <c r="H54" s="3888"/>
      <c r="I54" s="3888"/>
      <c r="J54" s="3865"/>
      <c r="K54" s="3396"/>
      <c r="L54" s="3865"/>
      <c r="M54" s="3396"/>
      <c r="N54" s="3865"/>
      <c r="O54" s="3396"/>
      <c r="P54" s="3864"/>
      <c r="Q54" s="3889"/>
      <c r="R54" s="3890"/>
      <c r="S54" s="3891"/>
      <c r="T54" s="3889"/>
      <c r="U54" s="3888"/>
      <c r="V54" s="3865"/>
      <c r="W54" s="3875">
        <v>1530323292</v>
      </c>
      <c r="X54" s="2004" t="s">
        <v>3253</v>
      </c>
      <c r="Y54" s="2004">
        <v>28</v>
      </c>
      <c r="Z54" s="2004" t="s">
        <v>3192</v>
      </c>
      <c r="AA54" s="3371"/>
      <c r="AB54" s="2077"/>
      <c r="AC54" s="2077"/>
      <c r="AD54" s="2077"/>
      <c r="AE54" s="2077"/>
      <c r="AF54" s="2077"/>
      <c r="AG54" s="2077"/>
      <c r="AH54" s="2077"/>
      <c r="AI54" s="2077"/>
      <c r="AJ54" s="2077"/>
      <c r="AK54" s="2077"/>
      <c r="AL54" s="2077"/>
      <c r="AM54" s="2077"/>
      <c r="AN54" s="2077"/>
      <c r="AO54" s="2077"/>
      <c r="AP54" s="2077"/>
      <c r="AQ54" s="3887"/>
      <c r="AR54" s="3887"/>
      <c r="AS54" s="2265"/>
    </row>
    <row r="55" spans="1:45" ht="36" customHeight="1" x14ac:dyDescent="0.25">
      <c r="A55" s="1998"/>
      <c r="B55" s="1992"/>
      <c r="C55" s="1998"/>
      <c r="D55" s="1992"/>
      <c r="E55" s="3387"/>
      <c r="F55" s="3387"/>
      <c r="G55" s="3888"/>
      <c r="H55" s="3888"/>
      <c r="I55" s="3888"/>
      <c r="J55" s="3865"/>
      <c r="K55" s="3396"/>
      <c r="L55" s="3865"/>
      <c r="M55" s="3396"/>
      <c r="N55" s="3865"/>
      <c r="O55" s="3396"/>
      <c r="P55" s="3864"/>
      <c r="Q55" s="3889"/>
      <c r="R55" s="3890"/>
      <c r="S55" s="3891"/>
      <c r="T55" s="3889"/>
      <c r="U55" s="3888"/>
      <c r="V55" s="3865"/>
      <c r="W55" s="3875">
        <v>323078233.44</v>
      </c>
      <c r="X55" s="2004" t="s">
        <v>3254</v>
      </c>
      <c r="Y55" s="2004">
        <v>22</v>
      </c>
      <c r="Z55" s="2004" t="s">
        <v>3255</v>
      </c>
      <c r="AA55" s="3371"/>
      <c r="AB55" s="2077"/>
      <c r="AC55" s="2077"/>
      <c r="AD55" s="2077"/>
      <c r="AE55" s="2077"/>
      <c r="AF55" s="2077"/>
      <c r="AG55" s="2077"/>
      <c r="AH55" s="2077"/>
      <c r="AI55" s="2077"/>
      <c r="AJ55" s="2077"/>
      <c r="AK55" s="2077"/>
      <c r="AL55" s="2077"/>
      <c r="AM55" s="2077"/>
      <c r="AN55" s="2077"/>
      <c r="AO55" s="2077"/>
      <c r="AP55" s="2077"/>
      <c r="AQ55" s="3887"/>
      <c r="AR55" s="3887"/>
      <c r="AS55" s="2265"/>
    </row>
    <row r="56" spans="1:45" ht="36" customHeight="1" x14ac:dyDescent="0.25">
      <c r="A56" s="1998"/>
      <c r="B56" s="1992"/>
      <c r="C56" s="1998"/>
      <c r="D56" s="1992"/>
      <c r="E56" s="3387"/>
      <c r="F56" s="3387"/>
      <c r="G56" s="3888"/>
      <c r="H56" s="3888"/>
      <c r="I56" s="3888"/>
      <c r="J56" s="3865"/>
      <c r="K56" s="3396"/>
      <c r="L56" s="3865"/>
      <c r="M56" s="3396"/>
      <c r="N56" s="3865"/>
      <c r="O56" s="3396"/>
      <c r="P56" s="3864"/>
      <c r="Q56" s="3889"/>
      <c r="R56" s="3890"/>
      <c r="S56" s="3891"/>
      <c r="T56" s="3889"/>
      <c r="U56" s="3888"/>
      <c r="V56" s="3865"/>
      <c r="W56" s="3875">
        <v>100000000</v>
      </c>
      <c r="X56" s="2004" t="s">
        <v>3256</v>
      </c>
      <c r="Y56" s="2004">
        <v>21</v>
      </c>
      <c r="Z56" s="2004" t="s">
        <v>3257</v>
      </c>
      <c r="AA56" s="3371"/>
      <c r="AB56" s="2077"/>
      <c r="AC56" s="2077"/>
      <c r="AD56" s="2077"/>
      <c r="AE56" s="2077"/>
      <c r="AF56" s="2077"/>
      <c r="AG56" s="2077"/>
      <c r="AH56" s="2077"/>
      <c r="AI56" s="2077"/>
      <c r="AJ56" s="2077"/>
      <c r="AK56" s="2077"/>
      <c r="AL56" s="2077"/>
      <c r="AM56" s="2077"/>
      <c r="AN56" s="2077"/>
      <c r="AO56" s="2077"/>
      <c r="AP56" s="2077"/>
      <c r="AQ56" s="3887"/>
      <c r="AR56" s="3887"/>
      <c r="AS56" s="2265"/>
    </row>
    <row r="57" spans="1:45" ht="36" customHeight="1" x14ac:dyDescent="0.25">
      <c r="A57" s="1998"/>
      <c r="B57" s="1992"/>
      <c r="C57" s="1998"/>
      <c r="D57" s="1992"/>
      <c r="E57" s="3387"/>
      <c r="F57" s="3387"/>
      <c r="G57" s="3888"/>
      <c r="H57" s="3888"/>
      <c r="I57" s="3888"/>
      <c r="J57" s="3865"/>
      <c r="K57" s="3396"/>
      <c r="L57" s="3865"/>
      <c r="M57" s="3396"/>
      <c r="N57" s="3865"/>
      <c r="O57" s="3396"/>
      <c r="P57" s="3864"/>
      <c r="Q57" s="3889"/>
      <c r="R57" s="3890"/>
      <c r="S57" s="3891"/>
      <c r="T57" s="3889"/>
      <c r="U57" s="3888"/>
      <c r="V57" s="3865"/>
      <c r="W57" s="3875">
        <v>58390811</v>
      </c>
      <c r="X57" s="2004" t="s">
        <v>3258</v>
      </c>
      <c r="Y57" s="2004">
        <v>3</v>
      </c>
      <c r="Z57" s="2004" t="s">
        <v>3226</v>
      </c>
      <c r="AA57" s="3371"/>
      <c r="AB57" s="2077"/>
      <c r="AC57" s="2077"/>
      <c r="AD57" s="2077"/>
      <c r="AE57" s="2077"/>
      <c r="AF57" s="2077"/>
      <c r="AG57" s="2077"/>
      <c r="AH57" s="2077"/>
      <c r="AI57" s="2077"/>
      <c r="AJ57" s="2077"/>
      <c r="AK57" s="2077"/>
      <c r="AL57" s="2077"/>
      <c r="AM57" s="2077"/>
      <c r="AN57" s="2077"/>
      <c r="AO57" s="2077"/>
      <c r="AP57" s="2077"/>
      <c r="AQ57" s="2265"/>
      <c r="AR57" s="2265"/>
      <c r="AS57" s="2265"/>
    </row>
    <row r="58" spans="1:45" ht="36" customHeight="1" x14ac:dyDescent="0.25">
      <c r="A58" s="1998"/>
      <c r="B58" s="1992"/>
      <c r="C58" s="1998"/>
      <c r="D58" s="1992"/>
      <c r="E58" s="3387"/>
      <c r="F58" s="3387"/>
      <c r="G58" s="3888"/>
      <c r="H58" s="3888"/>
      <c r="I58" s="3888"/>
      <c r="J58" s="3865"/>
      <c r="K58" s="3396"/>
      <c r="L58" s="3865"/>
      <c r="M58" s="3396"/>
      <c r="N58" s="3865"/>
      <c r="O58" s="3396"/>
      <c r="P58" s="3864"/>
      <c r="Q58" s="3889"/>
      <c r="R58" s="3890"/>
      <c r="S58" s="3891"/>
      <c r="T58" s="3889"/>
      <c r="U58" s="3888"/>
      <c r="V58" s="3868" t="s">
        <v>3259</v>
      </c>
      <c r="W58" s="3875">
        <v>1084247733.1800001</v>
      </c>
      <c r="X58" s="2004" t="s">
        <v>3260</v>
      </c>
      <c r="Y58" s="2004">
        <v>24</v>
      </c>
      <c r="Z58" s="2004" t="s">
        <v>3210</v>
      </c>
      <c r="AA58" s="3371"/>
      <c r="AB58" s="2077"/>
      <c r="AC58" s="2077"/>
      <c r="AD58" s="2077"/>
      <c r="AE58" s="2077"/>
      <c r="AF58" s="2077"/>
      <c r="AG58" s="2077"/>
      <c r="AH58" s="2077"/>
      <c r="AI58" s="2077"/>
      <c r="AJ58" s="2077"/>
      <c r="AK58" s="2077"/>
      <c r="AL58" s="2077"/>
      <c r="AM58" s="2077"/>
      <c r="AN58" s="2077"/>
      <c r="AO58" s="2077"/>
      <c r="AP58" s="2077"/>
      <c r="AQ58" s="2265"/>
      <c r="AR58" s="2265"/>
      <c r="AS58" s="2265"/>
    </row>
    <row r="59" spans="1:45" ht="36" customHeight="1" x14ac:dyDescent="0.25">
      <c r="A59" s="1998"/>
      <c r="B59" s="1992"/>
      <c r="C59" s="1998"/>
      <c r="D59" s="1992"/>
      <c r="E59" s="3387"/>
      <c r="F59" s="3387"/>
      <c r="G59" s="3888"/>
      <c r="H59" s="3888"/>
      <c r="I59" s="3888"/>
      <c r="J59" s="3865"/>
      <c r="K59" s="3396"/>
      <c r="L59" s="3865"/>
      <c r="M59" s="3396"/>
      <c r="N59" s="3865"/>
      <c r="O59" s="3396"/>
      <c r="P59" s="3864"/>
      <c r="Q59" s="3889"/>
      <c r="R59" s="3890"/>
      <c r="S59" s="3891"/>
      <c r="T59" s="3889"/>
      <c r="U59" s="3888"/>
      <c r="V59" s="3889"/>
      <c r="W59" s="3875">
        <v>226064658</v>
      </c>
      <c r="X59" s="2004" t="s">
        <v>3253</v>
      </c>
      <c r="Y59" s="2004">
        <v>28</v>
      </c>
      <c r="Z59" s="2004" t="s">
        <v>3192</v>
      </c>
      <c r="AA59" s="3371"/>
      <c r="AB59" s="2077"/>
      <c r="AC59" s="2077"/>
      <c r="AD59" s="2077"/>
      <c r="AE59" s="2077"/>
      <c r="AF59" s="2077"/>
      <c r="AG59" s="2077"/>
      <c r="AH59" s="2077"/>
      <c r="AI59" s="2077"/>
      <c r="AJ59" s="2077"/>
      <c r="AK59" s="2077"/>
      <c r="AL59" s="2077"/>
      <c r="AM59" s="2077"/>
      <c r="AN59" s="2077"/>
      <c r="AO59" s="2077"/>
      <c r="AP59" s="2077"/>
      <c r="AQ59" s="2265"/>
      <c r="AR59" s="2265"/>
      <c r="AS59" s="2265"/>
    </row>
    <row r="60" spans="1:45" ht="36" customHeight="1" x14ac:dyDescent="0.25">
      <c r="A60" s="1998"/>
      <c r="B60" s="1992"/>
      <c r="C60" s="1998"/>
      <c r="D60" s="1992"/>
      <c r="E60" s="3387"/>
      <c r="F60" s="3387"/>
      <c r="G60" s="3888"/>
      <c r="H60" s="3888"/>
      <c r="I60" s="3888"/>
      <c r="J60" s="3865"/>
      <c r="K60" s="3396"/>
      <c r="L60" s="3865"/>
      <c r="M60" s="3396"/>
      <c r="N60" s="3865"/>
      <c r="O60" s="3396"/>
      <c r="P60" s="3864"/>
      <c r="Q60" s="3889"/>
      <c r="R60" s="3890"/>
      <c r="S60" s="3891"/>
      <c r="T60" s="3889"/>
      <c r="U60" s="3888"/>
      <c r="V60" s="3889"/>
      <c r="W60" s="3875">
        <v>487625353.79000002</v>
      </c>
      <c r="X60" s="2004" t="s">
        <v>3261</v>
      </c>
      <c r="Y60" s="2004">
        <v>26</v>
      </c>
      <c r="Z60" s="2004" t="s">
        <v>3262</v>
      </c>
      <c r="AA60" s="3371"/>
      <c r="AB60" s="2077"/>
      <c r="AC60" s="2077"/>
      <c r="AD60" s="2077"/>
      <c r="AE60" s="2077"/>
      <c r="AF60" s="2077"/>
      <c r="AG60" s="2077"/>
      <c r="AH60" s="2077"/>
      <c r="AI60" s="2077"/>
      <c r="AJ60" s="2077"/>
      <c r="AK60" s="2077"/>
      <c r="AL60" s="2077"/>
      <c r="AM60" s="2077"/>
      <c r="AN60" s="2077"/>
      <c r="AO60" s="2077"/>
      <c r="AP60" s="2077"/>
      <c r="AQ60" s="2265"/>
      <c r="AR60" s="2265"/>
      <c r="AS60" s="2265"/>
    </row>
    <row r="61" spans="1:45" ht="36" customHeight="1" x14ac:dyDescent="0.25">
      <c r="A61" s="1998"/>
      <c r="B61" s="1992"/>
      <c r="C61" s="1998"/>
      <c r="D61" s="1992"/>
      <c r="E61" s="3387"/>
      <c r="F61" s="3387"/>
      <c r="G61" s="3888"/>
      <c r="H61" s="3888"/>
      <c r="I61" s="3888"/>
      <c r="J61" s="3865"/>
      <c r="K61" s="3396"/>
      <c r="L61" s="3865"/>
      <c r="M61" s="3396"/>
      <c r="N61" s="3865"/>
      <c r="O61" s="3396"/>
      <c r="P61" s="3864"/>
      <c r="Q61" s="3889"/>
      <c r="R61" s="3890"/>
      <c r="S61" s="3891"/>
      <c r="T61" s="3889"/>
      <c r="U61" s="3888"/>
      <c r="V61" s="3889"/>
      <c r="W61" s="3875">
        <v>285000000</v>
      </c>
      <c r="X61" s="2004" t="s">
        <v>3252</v>
      </c>
      <c r="Y61" s="2004">
        <v>4</v>
      </c>
      <c r="Z61" s="2004" t="s">
        <v>3221</v>
      </c>
      <c r="AA61" s="3371"/>
      <c r="AB61" s="2077"/>
      <c r="AC61" s="2077"/>
      <c r="AD61" s="2077"/>
      <c r="AE61" s="2077"/>
      <c r="AF61" s="2077"/>
      <c r="AG61" s="2077"/>
      <c r="AH61" s="2077"/>
      <c r="AI61" s="2077"/>
      <c r="AJ61" s="2077"/>
      <c r="AK61" s="2077"/>
      <c r="AL61" s="2077"/>
      <c r="AM61" s="2077"/>
      <c r="AN61" s="2077"/>
      <c r="AO61" s="2077"/>
      <c r="AP61" s="2077"/>
      <c r="AQ61" s="2265"/>
      <c r="AR61" s="2265"/>
      <c r="AS61" s="2265"/>
    </row>
    <row r="62" spans="1:45" ht="36" customHeight="1" x14ac:dyDescent="0.25">
      <c r="A62" s="1998"/>
      <c r="B62" s="1992"/>
      <c r="C62" s="1998"/>
      <c r="D62" s="1992"/>
      <c r="E62" s="3387"/>
      <c r="F62" s="3387"/>
      <c r="G62" s="3888"/>
      <c r="H62" s="3888"/>
      <c r="I62" s="3888"/>
      <c r="J62" s="3865"/>
      <c r="K62" s="3396"/>
      <c r="L62" s="3865"/>
      <c r="M62" s="3396"/>
      <c r="N62" s="3865"/>
      <c r="O62" s="3396"/>
      <c r="P62" s="3864"/>
      <c r="Q62" s="3889"/>
      <c r="R62" s="3890"/>
      <c r="S62" s="3891"/>
      <c r="T62" s="3889"/>
      <c r="U62" s="3888"/>
      <c r="V62" s="3872"/>
      <c r="W62" s="3875">
        <v>69000000</v>
      </c>
      <c r="X62" s="2004" t="s">
        <v>3263</v>
      </c>
      <c r="Y62" s="2004">
        <v>12</v>
      </c>
      <c r="Z62" s="2004" t="s">
        <v>3198</v>
      </c>
      <c r="AA62" s="3371"/>
      <c r="AB62" s="2077"/>
      <c r="AC62" s="2077"/>
      <c r="AD62" s="2077"/>
      <c r="AE62" s="2077"/>
      <c r="AF62" s="2077"/>
      <c r="AG62" s="2077"/>
      <c r="AH62" s="2077"/>
      <c r="AI62" s="2077"/>
      <c r="AJ62" s="2077"/>
      <c r="AK62" s="2077"/>
      <c r="AL62" s="2077"/>
      <c r="AM62" s="2077"/>
      <c r="AN62" s="2077"/>
      <c r="AO62" s="2077"/>
      <c r="AP62" s="2077"/>
      <c r="AQ62" s="2265"/>
      <c r="AR62" s="2265"/>
      <c r="AS62" s="2265"/>
    </row>
    <row r="63" spans="1:45" ht="36" customHeight="1" x14ac:dyDescent="0.25">
      <c r="A63" s="1998"/>
      <c r="B63" s="1992"/>
      <c r="C63" s="1998"/>
      <c r="D63" s="1992"/>
      <c r="E63" s="3387"/>
      <c r="F63" s="3387"/>
      <c r="G63" s="3888"/>
      <c r="H63" s="3888"/>
      <c r="I63" s="3888"/>
      <c r="J63" s="3865"/>
      <c r="K63" s="3396"/>
      <c r="L63" s="3865"/>
      <c r="M63" s="3396"/>
      <c r="N63" s="3865"/>
      <c r="O63" s="3396"/>
      <c r="P63" s="3864"/>
      <c r="Q63" s="3889"/>
      <c r="R63" s="3890"/>
      <c r="S63" s="3891"/>
      <c r="T63" s="3889"/>
      <c r="U63" s="3888"/>
      <c r="V63" s="3865" t="s">
        <v>3264</v>
      </c>
      <c r="W63" s="3892">
        <v>149120550</v>
      </c>
      <c r="X63" s="799" t="s">
        <v>3265</v>
      </c>
      <c r="Y63" s="799">
        <v>4</v>
      </c>
      <c r="Z63" s="799" t="s">
        <v>3221</v>
      </c>
      <c r="AA63" s="3371"/>
      <c r="AB63" s="2077"/>
      <c r="AC63" s="2077"/>
      <c r="AD63" s="2077"/>
      <c r="AE63" s="2077"/>
      <c r="AF63" s="2077"/>
      <c r="AG63" s="2077"/>
      <c r="AH63" s="2077"/>
      <c r="AI63" s="2077"/>
      <c r="AJ63" s="2077"/>
      <c r="AK63" s="2077"/>
      <c r="AL63" s="2077"/>
      <c r="AM63" s="2077"/>
      <c r="AN63" s="2077"/>
      <c r="AO63" s="2077"/>
      <c r="AP63" s="2077"/>
      <c r="AQ63" s="2265"/>
      <c r="AR63" s="2265"/>
      <c r="AS63" s="2265"/>
    </row>
    <row r="64" spans="1:45" ht="36" customHeight="1" x14ac:dyDescent="0.25">
      <c r="A64" s="1998"/>
      <c r="B64" s="1992"/>
      <c r="C64" s="1998"/>
      <c r="D64" s="1992"/>
      <c r="E64" s="3387"/>
      <c r="F64" s="3387"/>
      <c r="G64" s="3888"/>
      <c r="H64" s="3888"/>
      <c r="I64" s="3888"/>
      <c r="J64" s="3865"/>
      <c r="K64" s="3396"/>
      <c r="L64" s="3865"/>
      <c r="M64" s="3396"/>
      <c r="N64" s="3865"/>
      <c r="O64" s="3396"/>
      <c r="P64" s="3864"/>
      <c r="Q64" s="3889"/>
      <c r="R64" s="3890"/>
      <c r="S64" s="3891"/>
      <c r="T64" s="3889"/>
      <c r="U64" s="3888"/>
      <c r="V64" s="3893"/>
      <c r="W64" s="3894">
        <v>1044258634</v>
      </c>
      <c r="X64" s="1991" t="s">
        <v>3266</v>
      </c>
      <c r="Y64" s="1991">
        <v>28</v>
      </c>
      <c r="Z64" s="1991" t="s">
        <v>3192</v>
      </c>
      <c r="AA64" s="3371"/>
      <c r="AB64" s="2077"/>
      <c r="AC64" s="2077"/>
      <c r="AD64" s="2077"/>
      <c r="AE64" s="2077"/>
      <c r="AF64" s="2077"/>
      <c r="AG64" s="2077"/>
      <c r="AH64" s="2077"/>
      <c r="AI64" s="2077"/>
      <c r="AJ64" s="2077"/>
      <c r="AK64" s="2077"/>
      <c r="AL64" s="2077"/>
      <c r="AM64" s="2077"/>
      <c r="AN64" s="2077"/>
      <c r="AO64" s="2077"/>
      <c r="AP64" s="2077"/>
      <c r="AQ64" s="2265"/>
      <c r="AR64" s="2265"/>
      <c r="AS64" s="2265"/>
    </row>
    <row r="65" spans="1:45" ht="36" customHeight="1" x14ac:dyDescent="0.25">
      <c r="A65" s="1998"/>
      <c r="B65" s="1992"/>
      <c r="C65" s="1998"/>
      <c r="D65" s="1992"/>
      <c r="E65" s="3387"/>
      <c r="F65" s="3387"/>
      <c r="G65" s="3888"/>
      <c r="H65" s="3888"/>
      <c r="I65" s="3888"/>
      <c r="J65" s="3865"/>
      <c r="K65" s="3396"/>
      <c r="L65" s="3865"/>
      <c r="M65" s="3396"/>
      <c r="N65" s="3865"/>
      <c r="O65" s="3396"/>
      <c r="P65" s="3864"/>
      <c r="Q65" s="3889"/>
      <c r="R65" s="3890"/>
      <c r="S65" s="3891"/>
      <c r="T65" s="3889"/>
      <c r="U65" s="3888"/>
      <c r="V65" s="3893"/>
      <c r="W65" s="3894">
        <v>550000000</v>
      </c>
      <c r="X65" s="1991" t="s">
        <v>3267</v>
      </c>
      <c r="Y65" s="1991">
        <v>28</v>
      </c>
      <c r="Z65" s="1991" t="s">
        <v>3192</v>
      </c>
      <c r="AA65" s="3371"/>
      <c r="AB65" s="2077"/>
      <c r="AC65" s="2077"/>
      <c r="AD65" s="2077"/>
      <c r="AE65" s="2077"/>
      <c r="AF65" s="2077"/>
      <c r="AG65" s="2077"/>
      <c r="AH65" s="2077"/>
      <c r="AI65" s="2077"/>
      <c r="AJ65" s="2077"/>
      <c r="AK65" s="2077"/>
      <c r="AL65" s="2077"/>
      <c r="AM65" s="2077"/>
      <c r="AN65" s="2077"/>
      <c r="AO65" s="2077"/>
      <c r="AP65" s="2077"/>
      <c r="AQ65" s="2265"/>
      <c r="AR65" s="2265"/>
      <c r="AS65" s="2265"/>
    </row>
    <row r="66" spans="1:45" ht="36" customHeight="1" x14ac:dyDescent="0.25">
      <c r="A66" s="1998"/>
      <c r="B66" s="1992"/>
      <c r="C66" s="1998"/>
      <c r="D66" s="1992"/>
      <c r="E66" s="3387"/>
      <c r="F66" s="3387"/>
      <c r="G66" s="3888"/>
      <c r="H66" s="3888"/>
      <c r="I66" s="3888"/>
      <c r="J66" s="3865"/>
      <c r="K66" s="3396"/>
      <c r="L66" s="3865"/>
      <c r="M66" s="3396"/>
      <c r="N66" s="3865"/>
      <c r="O66" s="3396"/>
      <c r="P66" s="3864"/>
      <c r="Q66" s="3889"/>
      <c r="R66" s="3890"/>
      <c r="S66" s="3891"/>
      <c r="T66" s="3889"/>
      <c r="U66" s="3888"/>
      <c r="V66" s="3865"/>
      <c r="W66" s="3895">
        <v>70000000</v>
      </c>
      <c r="X66" s="1993" t="s">
        <v>3268</v>
      </c>
      <c r="Y66" s="1993">
        <v>23</v>
      </c>
      <c r="Z66" s="1993" t="s">
        <v>3269</v>
      </c>
      <c r="AA66" s="3371"/>
      <c r="AB66" s="2077"/>
      <c r="AC66" s="2077"/>
      <c r="AD66" s="2077"/>
      <c r="AE66" s="2077"/>
      <c r="AF66" s="2077"/>
      <c r="AG66" s="2077"/>
      <c r="AH66" s="2077"/>
      <c r="AI66" s="2077"/>
      <c r="AJ66" s="2077"/>
      <c r="AK66" s="2077"/>
      <c r="AL66" s="2077"/>
      <c r="AM66" s="2077"/>
      <c r="AN66" s="2077"/>
      <c r="AO66" s="2077"/>
      <c r="AP66" s="2077"/>
      <c r="AQ66" s="2265"/>
      <c r="AR66" s="2265"/>
      <c r="AS66" s="2265"/>
    </row>
    <row r="67" spans="1:45" ht="36" customHeight="1" x14ac:dyDescent="0.25">
      <c r="A67" s="1998"/>
      <c r="B67" s="1992"/>
      <c r="C67" s="1998"/>
      <c r="D67" s="1992"/>
      <c r="E67" s="3387"/>
      <c r="F67" s="3387"/>
      <c r="G67" s="3888"/>
      <c r="H67" s="3888"/>
      <c r="I67" s="3888"/>
      <c r="J67" s="3865"/>
      <c r="K67" s="3396"/>
      <c r="L67" s="3865"/>
      <c r="M67" s="3396"/>
      <c r="N67" s="3865"/>
      <c r="O67" s="3396"/>
      <c r="P67" s="3864"/>
      <c r="Q67" s="3889"/>
      <c r="R67" s="3890"/>
      <c r="S67" s="3891"/>
      <c r="T67" s="3889"/>
      <c r="U67" s="3888"/>
      <c r="V67" s="3865"/>
      <c r="W67" s="3875">
        <v>50000000</v>
      </c>
      <c r="X67" s="2004" t="s">
        <v>3270</v>
      </c>
      <c r="Y67" s="2004">
        <v>12</v>
      </c>
      <c r="Z67" s="2004" t="s">
        <v>3198</v>
      </c>
      <c r="AA67" s="3371"/>
      <c r="AB67" s="2077"/>
      <c r="AC67" s="2077"/>
      <c r="AD67" s="2077"/>
      <c r="AE67" s="2077"/>
      <c r="AF67" s="2077"/>
      <c r="AG67" s="2077"/>
      <c r="AH67" s="2077"/>
      <c r="AI67" s="2077"/>
      <c r="AJ67" s="2077"/>
      <c r="AK67" s="2077"/>
      <c r="AL67" s="2077"/>
      <c r="AM67" s="2077"/>
      <c r="AN67" s="2077"/>
      <c r="AO67" s="2077"/>
      <c r="AP67" s="2077"/>
      <c r="AQ67" s="2265"/>
      <c r="AR67" s="2265"/>
      <c r="AS67" s="2265"/>
    </row>
    <row r="68" spans="1:45" ht="36" customHeight="1" x14ac:dyDescent="0.25">
      <c r="A68" s="1998"/>
      <c r="B68" s="1992"/>
      <c r="C68" s="1998"/>
      <c r="D68" s="1992"/>
      <c r="E68" s="3387"/>
      <c r="F68" s="3387"/>
      <c r="G68" s="3888"/>
      <c r="H68" s="3888"/>
      <c r="I68" s="3888"/>
      <c r="J68" s="3865"/>
      <c r="K68" s="3396"/>
      <c r="L68" s="3865"/>
      <c r="M68" s="3396"/>
      <c r="N68" s="3865"/>
      <c r="O68" s="3396"/>
      <c r="P68" s="3864"/>
      <c r="Q68" s="3889"/>
      <c r="R68" s="3890"/>
      <c r="S68" s="3891"/>
      <c r="T68" s="3889"/>
      <c r="U68" s="3888"/>
      <c r="V68" s="3865" t="s">
        <v>3271</v>
      </c>
      <c r="W68" s="3875">
        <v>50164200</v>
      </c>
      <c r="X68" s="2004" t="s">
        <v>3270</v>
      </c>
      <c r="Y68" s="2004">
        <v>12</v>
      </c>
      <c r="Z68" s="2004" t="s">
        <v>3198</v>
      </c>
      <c r="AA68" s="3371"/>
      <c r="AB68" s="2077"/>
      <c r="AC68" s="2077"/>
      <c r="AD68" s="2077"/>
      <c r="AE68" s="2077"/>
      <c r="AF68" s="2077"/>
      <c r="AG68" s="2077"/>
      <c r="AH68" s="2077"/>
      <c r="AI68" s="2077"/>
      <c r="AJ68" s="2077"/>
      <c r="AK68" s="2077"/>
      <c r="AL68" s="2077"/>
      <c r="AM68" s="2077"/>
      <c r="AN68" s="2077"/>
      <c r="AO68" s="2077"/>
      <c r="AP68" s="2077"/>
      <c r="AQ68" s="2265"/>
      <c r="AR68" s="2265"/>
      <c r="AS68" s="2265"/>
    </row>
    <row r="69" spans="1:45" ht="36" customHeight="1" x14ac:dyDescent="0.25">
      <c r="A69" s="1998"/>
      <c r="B69" s="1992"/>
      <c r="C69" s="1998"/>
      <c r="D69" s="1992"/>
      <c r="E69" s="3387"/>
      <c r="F69" s="3387"/>
      <c r="G69" s="3888"/>
      <c r="H69" s="3888"/>
      <c r="I69" s="3888"/>
      <c r="J69" s="3865"/>
      <c r="K69" s="3396"/>
      <c r="L69" s="3865"/>
      <c r="M69" s="3396"/>
      <c r="N69" s="3865"/>
      <c r="O69" s="3396"/>
      <c r="P69" s="3864"/>
      <c r="Q69" s="3889"/>
      <c r="R69" s="3890"/>
      <c r="S69" s="3891"/>
      <c r="T69" s="3889"/>
      <c r="U69" s="3888"/>
      <c r="V69" s="3865"/>
      <c r="W69" s="3875">
        <v>58805175</v>
      </c>
      <c r="X69" s="2004" t="s">
        <v>3272</v>
      </c>
      <c r="Y69" s="2004">
        <v>3</v>
      </c>
      <c r="Z69" s="2004" t="s">
        <v>3226</v>
      </c>
      <c r="AA69" s="3371"/>
      <c r="AB69" s="2077"/>
      <c r="AC69" s="2077"/>
      <c r="AD69" s="2077"/>
      <c r="AE69" s="2077"/>
      <c r="AF69" s="2077"/>
      <c r="AG69" s="2077"/>
      <c r="AH69" s="2077"/>
      <c r="AI69" s="2077"/>
      <c r="AJ69" s="2077"/>
      <c r="AK69" s="2077"/>
      <c r="AL69" s="2077"/>
      <c r="AM69" s="2077"/>
      <c r="AN69" s="2077"/>
      <c r="AO69" s="2077"/>
      <c r="AP69" s="2077"/>
      <c r="AQ69" s="2265"/>
      <c r="AR69" s="2265"/>
      <c r="AS69" s="2265"/>
    </row>
    <row r="70" spans="1:45" ht="82.5" customHeight="1" x14ac:dyDescent="0.25">
      <c r="A70" s="1998"/>
      <c r="B70" s="1992"/>
      <c r="C70" s="1998"/>
      <c r="D70" s="1992"/>
      <c r="E70" s="3387"/>
      <c r="F70" s="3387"/>
      <c r="G70" s="3888"/>
      <c r="H70" s="3888"/>
      <c r="I70" s="3888"/>
      <c r="J70" s="3868"/>
      <c r="K70" s="3884"/>
      <c r="L70" s="3868"/>
      <c r="M70" s="3884"/>
      <c r="N70" s="3868"/>
      <c r="O70" s="3884"/>
      <c r="P70" s="3896"/>
      <c r="Q70" s="3889"/>
      <c r="R70" s="3890"/>
      <c r="S70" s="3891"/>
      <c r="T70" s="3889"/>
      <c r="U70" s="3888"/>
      <c r="V70" s="3897" t="s">
        <v>3273</v>
      </c>
      <c r="W70" s="3892">
        <v>527742469</v>
      </c>
      <c r="X70" s="799" t="s">
        <v>3274</v>
      </c>
      <c r="Y70" s="799">
        <v>28</v>
      </c>
      <c r="Z70" s="799" t="s">
        <v>3192</v>
      </c>
      <c r="AA70" s="3371"/>
      <c r="AB70" s="2077"/>
      <c r="AC70" s="2077"/>
      <c r="AD70" s="2077"/>
      <c r="AE70" s="2077"/>
      <c r="AF70" s="2077"/>
      <c r="AG70" s="2077"/>
      <c r="AH70" s="2077"/>
      <c r="AI70" s="2077"/>
      <c r="AJ70" s="2077"/>
      <c r="AK70" s="2077"/>
      <c r="AL70" s="2077"/>
      <c r="AM70" s="2077"/>
      <c r="AN70" s="2077"/>
      <c r="AO70" s="2077"/>
      <c r="AP70" s="2077"/>
      <c r="AQ70" s="2265"/>
      <c r="AR70" s="2265"/>
      <c r="AS70" s="2265"/>
    </row>
    <row r="71" spans="1:45" ht="63.75" customHeight="1" x14ac:dyDescent="0.25">
      <c r="A71" s="1998"/>
      <c r="B71" s="1992"/>
      <c r="C71" s="1998"/>
      <c r="D71" s="1992"/>
      <c r="E71" s="3387"/>
      <c r="F71" s="3387"/>
      <c r="G71" s="3888"/>
      <c r="H71" s="3888"/>
      <c r="I71" s="3888"/>
      <c r="J71" s="3868"/>
      <c r="K71" s="3884"/>
      <c r="L71" s="3868"/>
      <c r="M71" s="3884"/>
      <c r="N71" s="3868"/>
      <c r="O71" s="3884"/>
      <c r="P71" s="3896"/>
      <c r="Q71" s="3889"/>
      <c r="R71" s="3890"/>
      <c r="S71" s="3891"/>
      <c r="T71" s="3889"/>
      <c r="U71" s="3888"/>
      <c r="V71" s="3898" t="s">
        <v>3275</v>
      </c>
      <c r="W71" s="3894">
        <v>26000000</v>
      </c>
      <c r="X71" s="1991" t="s">
        <v>3276</v>
      </c>
      <c r="Y71" s="1991">
        <v>23</v>
      </c>
      <c r="Z71" s="1991" t="s">
        <v>3269</v>
      </c>
      <c r="AA71" s="3371"/>
      <c r="AB71" s="2077"/>
      <c r="AC71" s="2077"/>
      <c r="AD71" s="2077"/>
      <c r="AE71" s="2077"/>
      <c r="AF71" s="2077"/>
      <c r="AG71" s="2077"/>
      <c r="AH71" s="2077"/>
      <c r="AI71" s="2077"/>
      <c r="AJ71" s="2077"/>
      <c r="AK71" s="2077"/>
      <c r="AL71" s="2077"/>
      <c r="AM71" s="2077"/>
      <c r="AN71" s="2077"/>
      <c r="AO71" s="2077"/>
      <c r="AP71" s="2077"/>
      <c r="AQ71" s="2265"/>
      <c r="AR71" s="2265"/>
      <c r="AS71" s="2265"/>
    </row>
    <row r="72" spans="1:45" ht="36" customHeight="1" x14ac:dyDescent="0.25">
      <c r="A72" s="1998"/>
      <c r="B72" s="1992"/>
      <c r="C72" s="1998"/>
      <c r="D72" s="1992"/>
      <c r="E72" s="3387"/>
      <c r="F72" s="3387"/>
      <c r="G72" s="3888"/>
      <c r="H72" s="3888"/>
      <c r="I72" s="3888"/>
      <c r="J72" s="3868"/>
      <c r="K72" s="3884"/>
      <c r="L72" s="3868"/>
      <c r="M72" s="3884"/>
      <c r="N72" s="3868"/>
      <c r="O72" s="3884"/>
      <c r="P72" s="3896"/>
      <c r="Q72" s="3889"/>
      <c r="R72" s="3890"/>
      <c r="S72" s="3891"/>
      <c r="T72" s="3889"/>
      <c r="U72" s="3888"/>
      <c r="V72" s="3899" t="s">
        <v>3277</v>
      </c>
      <c r="W72" s="3894">
        <v>50000000</v>
      </c>
      <c r="X72" s="1991" t="s">
        <v>3278</v>
      </c>
      <c r="Y72" s="1991">
        <v>24</v>
      </c>
      <c r="Z72" s="1991" t="s">
        <v>3210</v>
      </c>
      <c r="AA72" s="3371"/>
      <c r="AB72" s="2077"/>
      <c r="AC72" s="2077"/>
      <c r="AD72" s="2077"/>
      <c r="AE72" s="2077"/>
      <c r="AF72" s="2077"/>
      <c r="AG72" s="2077"/>
      <c r="AH72" s="2077"/>
      <c r="AI72" s="2077"/>
      <c r="AJ72" s="2077"/>
      <c r="AK72" s="2077"/>
      <c r="AL72" s="2077"/>
      <c r="AM72" s="2077"/>
      <c r="AN72" s="2077"/>
      <c r="AO72" s="2077"/>
      <c r="AP72" s="2077"/>
      <c r="AQ72" s="2265"/>
      <c r="AR72" s="2265"/>
      <c r="AS72" s="2265"/>
    </row>
    <row r="73" spans="1:45" ht="36" customHeight="1" x14ac:dyDescent="0.25">
      <c r="A73" s="1998"/>
      <c r="B73" s="1992"/>
      <c r="C73" s="1998"/>
      <c r="D73" s="1992"/>
      <c r="E73" s="3387"/>
      <c r="F73" s="3387"/>
      <c r="G73" s="3888"/>
      <c r="H73" s="3888"/>
      <c r="I73" s="3888"/>
      <c r="J73" s="3868"/>
      <c r="K73" s="3884"/>
      <c r="L73" s="3868"/>
      <c r="M73" s="3884"/>
      <c r="N73" s="3868"/>
      <c r="O73" s="3884"/>
      <c r="P73" s="3896"/>
      <c r="Q73" s="3889"/>
      <c r="R73" s="3890"/>
      <c r="S73" s="3891"/>
      <c r="T73" s="3889"/>
      <c r="U73" s="3888"/>
      <c r="V73" s="3900"/>
      <c r="W73" s="3894">
        <v>110000000</v>
      </c>
      <c r="X73" s="1991" t="s">
        <v>3267</v>
      </c>
      <c r="Y73" s="1991">
        <v>28</v>
      </c>
      <c r="Z73" s="1991" t="s">
        <v>3192</v>
      </c>
      <c r="AA73" s="3371"/>
      <c r="AB73" s="2077"/>
      <c r="AC73" s="2077"/>
      <c r="AD73" s="2077"/>
      <c r="AE73" s="2077"/>
      <c r="AF73" s="2077"/>
      <c r="AG73" s="2077"/>
      <c r="AH73" s="2077"/>
      <c r="AI73" s="2077"/>
      <c r="AJ73" s="2077"/>
      <c r="AK73" s="2077"/>
      <c r="AL73" s="2077"/>
      <c r="AM73" s="2077"/>
      <c r="AN73" s="2077"/>
      <c r="AO73" s="2077"/>
      <c r="AP73" s="2077"/>
      <c r="AQ73" s="2265"/>
      <c r="AR73" s="2265"/>
      <c r="AS73" s="2265"/>
    </row>
    <row r="74" spans="1:45" ht="36" customHeight="1" x14ac:dyDescent="0.25">
      <c r="A74" s="1998"/>
      <c r="B74" s="1992"/>
      <c r="C74" s="1998"/>
      <c r="D74" s="1992"/>
      <c r="E74" s="3387"/>
      <c r="F74" s="3387"/>
      <c r="G74" s="3888"/>
      <c r="H74" s="3888"/>
      <c r="I74" s="3888"/>
      <c r="J74" s="3868"/>
      <c r="K74" s="3884"/>
      <c r="L74" s="3868"/>
      <c r="M74" s="3884"/>
      <c r="N74" s="3868"/>
      <c r="O74" s="3884"/>
      <c r="P74" s="3896"/>
      <c r="Q74" s="3889"/>
      <c r="R74" s="3890"/>
      <c r="S74" s="3891"/>
      <c r="T74" s="3889"/>
      <c r="U74" s="3888"/>
      <c r="V74" s="3900"/>
      <c r="W74" s="3894">
        <v>545484938</v>
      </c>
      <c r="X74" s="1991" t="s">
        <v>3266</v>
      </c>
      <c r="Y74" s="1991">
        <v>28</v>
      </c>
      <c r="Z74" s="1991" t="s">
        <v>3192</v>
      </c>
      <c r="AA74" s="3371"/>
      <c r="AB74" s="2077"/>
      <c r="AC74" s="2077"/>
      <c r="AD74" s="2077"/>
      <c r="AE74" s="2077"/>
      <c r="AF74" s="2077"/>
      <c r="AG74" s="2077"/>
      <c r="AH74" s="2077"/>
      <c r="AI74" s="2077"/>
      <c r="AJ74" s="2077"/>
      <c r="AK74" s="2077"/>
      <c r="AL74" s="2077"/>
      <c r="AM74" s="2077"/>
      <c r="AN74" s="2077"/>
      <c r="AO74" s="2077"/>
      <c r="AP74" s="2077"/>
      <c r="AQ74" s="2265"/>
      <c r="AR74" s="2265"/>
      <c r="AS74" s="2265"/>
    </row>
    <row r="75" spans="1:45" ht="36" customHeight="1" x14ac:dyDescent="0.25">
      <c r="A75" s="1998"/>
      <c r="B75" s="1992"/>
      <c r="C75" s="1998"/>
      <c r="D75" s="1992"/>
      <c r="E75" s="3387"/>
      <c r="F75" s="3387"/>
      <c r="G75" s="3888"/>
      <c r="H75" s="3888"/>
      <c r="I75" s="3888"/>
      <c r="J75" s="3868"/>
      <c r="K75" s="3884"/>
      <c r="L75" s="3868"/>
      <c r="M75" s="3884"/>
      <c r="N75" s="3868"/>
      <c r="O75" s="3884"/>
      <c r="P75" s="3896"/>
      <c r="Q75" s="3889"/>
      <c r="R75" s="3890"/>
      <c r="S75" s="3891"/>
      <c r="T75" s="3889"/>
      <c r="U75" s="3888"/>
      <c r="V75" s="3889"/>
      <c r="W75" s="3894">
        <v>4000000</v>
      </c>
      <c r="X75" s="1991" t="s">
        <v>3279</v>
      </c>
      <c r="Y75" s="1991">
        <v>23</v>
      </c>
      <c r="Z75" s="1991" t="s">
        <v>3269</v>
      </c>
      <c r="AA75" s="3371"/>
      <c r="AB75" s="2077"/>
      <c r="AC75" s="2077"/>
      <c r="AD75" s="2077"/>
      <c r="AE75" s="2077"/>
      <c r="AF75" s="2077"/>
      <c r="AG75" s="2077"/>
      <c r="AH75" s="2077"/>
      <c r="AI75" s="2077"/>
      <c r="AJ75" s="2077"/>
      <c r="AK75" s="2077"/>
      <c r="AL75" s="2077"/>
      <c r="AM75" s="2077"/>
      <c r="AN75" s="2077"/>
      <c r="AO75" s="2077"/>
      <c r="AP75" s="2077"/>
      <c r="AQ75" s="2265"/>
      <c r="AR75" s="2265"/>
      <c r="AS75" s="2265"/>
    </row>
    <row r="76" spans="1:45" ht="36" customHeight="1" x14ac:dyDescent="0.25">
      <c r="A76" s="1998"/>
      <c r="B76" s="1992"/>
      <c r="C76" s="1998"/>
      <c r="D76" s="1992"/>
      <c r="E76" s="3387"/>
      <c r="F76" s="3387"/>
      <c r="G76" s="3888"/>
      <c r="H76" s="3888"/>
      <c r="I76" s="3888"/>
      <c r="J76" s="3868"/>
      <c r="K76" s="3884"/>
      <c r="L76" s="3868"/>
      <c r="M76" s="3884"/>
      <c r="N76" s="3868"/>
      <c r="O76" s="3884"/>
      <c r="P76" s="3896"/>
      <c r="Q76" s="3889"/>
      <c r="R76" s="3890"/>
      <c r="S76" s="3891"/>
      <c r="T76" s="3889"/>
      <c r="U76" s="3888"/>
      <c r="V76" s="3872"/>
      <c r="W76" s="3892">
        <v>2000000</v>
      </c>
      <c r="X76" s="799" t="s">
        <v>3272</v>
      </c>
      <c r="Y76" s="799">
        <v>3</v>
      </c>
      <c r="Z76" s="799" t="s">
        <v>3226</v>
      </c>
      <c r="AA76" s="3371"/>
      <c r="AB76" s="2077"/>
      <c r="AC76" s="2077"/>
      <c r="AD76" s="2077"/>
      <c r="AE76" s="2077"/>
      <c r="AF76" s="2077"/>
      <c r="AG76" s="2077"/>
      <c r="AH76" s="2077"/>
      <c r="AI76" s="2077"/>
      <c r="AJ76" s="2077"/>
      <c r="AK76" s="2077"/>
      <c r="AL76" s="2077"/>
      <c r="AM76" s="2077"/>
      <c r="AN76" s="2077"/>
      <c r="AO76" s="2077"/>
      <c r="AP76" s="2077"/>
      <c r="AQ76" s="2265"/>
      <c r="AR76" s="2265"/>
      <c r="AS76" s="2265"/>
    </row>
    <row r="77" spans="1:45" ht="86.25" customHeight="1" x14ac:dyDescent="0.25">
      <c r="A77" s="1998"/>
      <c r="B77" s="1992"/>
      <c r="C77" s="1998"/>
      <c r="D77" s="1992"/>
      <c r="E77" s="2006"/>
      <c r="F77" s="2006"/>
      <c r="G77" s="3300">
        <v>4302075</v>
      </c>
      <c r="H77" s="3901" t="s">
        <v>3246</v>
      </c>
      <c r="I77" s="3902">
        <v>4302004</v>
      </c>
      <c r="J77" s="3903" t="s">
        <v>3280</v>
      </c>
      <c r="K77" s="3904" t="s">
        <v>62</v>
      </c>
      <c r="L77" s="2103" t="s">
        <v>3281</v>
      </c>
      <c r="M77" s="3905">
        <v>430200401</v>
      </c>
      <c r="N77" s="3192" t="s">
        <v>3282</v>
      </c>
      <c r="O77" s="3884">
        <v>1</v>
      </c>
      <c r="P77" s="3896">
        <v>2020003630013</v>
      </c>
      <c r="Q77" s="3868" t="s">
        <v>3283</v>
      </c>
      <c r="R77" s="3885">
        <f>W79/S77</f>
        <v>0.23644001790732383</v>
      </c>
      <c r="S77" s="3906">
        <f>SUM(W77:W79)</f>
        <v>126882074.64</v>
      </c>
      <c r="T77" s="3868" t="s">
        <v>3284</v>
      </c>
      <c r="U77" s="3884" t="s">
        <v>3285</v>
      </c>
      <c r="V77" s="3907" t="s">
        <v>3286</v>
      </c>
      <c r="W77" s="3894">
        <v>35000000</v>
      </c>
      <c r="X77" s="1991" t="s">
        <v>3287</v>
      </c>
      <c r="Y77" s="2004">
        <v>4</v>
      </c>
      <c r="Z77" s="2004" t="s">
        <v>3221</v>
      </c>
      <c r="AA77" s="2085">
        <v>0</v>
      </c>
      <c r="AB77" s="2085"/>
      <c r="AC77" s="2085"/>
      <c r="AD77" s="2085"/>
      <c r="AE77" s="2085"/>
      <c r="AF77" s="2085"/>
      <c r="AG77" s="2085"/>
      <c r="AH77" s="2085"/>
      <c r="AI77" s="2085"/>
      <c r="AJ77" s="2085"/>
      <c r="AK77" s="2085"/>
      <c r="AL77" s="2085"/>
      <c r="AM77" s="2085"/>
      <c r="AN77" s="2085"/>
      <c r="AO77" s="2085"/>
      <c r="AP77" s="2085"/>
      <c r="AQ77" s="2085"/>
      <c r="AR77" s="3908">
        <v>44560</v>
      </c>
      <c r="AS77" s="2085" t="s">
        <v>3187</v>
      </c>
    </row>
    <row r="78" spans="1:45" ht="96" customHeight="1" x14ac:dyDescent="0.25">
      <c r="A78" s="1998"/>
      <c r="B78" s="1992"/>
      <c r="C78" s="1998"/>
      <c r="D78" s="1992"/>
      <c r="E78" s="2006"/>
      <c r="F78" s="2006"/>
      <c r="G78" s="3301"/>
      <c r="H78" s="3909"/>
      <c r="I78" s="3910"/>
      <c r="J78" s="3911"/>
      <c r="K78" s="3912"/>
      <c r="L78" s="2104"/>
      <c r="M78" s="3913"/>
      <c r="N78" s="3914"/>
      <c r="O78" s="3888"/>
      <c r="P78" s="3915"/>
      <c r="Q78" s="3889"/>
      <c r="R78" s="3890"/>
      <c r="S78" s="3916"/>
      <c r="T78" s="3889"/>
      <c r="U78" s="3888"/>
      <c r="V78" s="3907"/>
      <c r="W78" s="3894">
        <v>61882074.640000001</v>
      </c>
      <c r="X78" s="1991" t="s">
        <v>3288</v>
      </c>
      <c r="Y78" s="1991">
        <v>23</v>
      </c>
      <c r="Z78" s="1991" t="s">
        <v>3269</v>
      </c>
      <c r="AA78" s="2085"/>
      <c r="AB78" s="2085"/>
      <c r="AC78" s="2085"/>
      <c r="AD78" s="2085"/>
      <c r="AE78" s="2085"/>
      <c r="AF78" s="2085"/>
      <c r="AG78" s="2085"/>
      <c r="AH78" s="2085"/>
      <c r="AI78" s="2085"/>
      <c r="AJ78" s="2085"/>
      <c r="AK78" s="2085"/>
      <c r="AL78" s="2085"/>
      <c r="AM78" s="2085"/>
      <c r="AN78" s="2085"/>
      <c r="AO78" s="2085"/>
      <c r="AP78" s="2085"/>
      <c r="AQ78" s="2085"/>
      <c r="AR78" s="2085"/>
      <c r="AS78" s="2085"/>
    </row>
    <row r="79" spans="1:45" ht="178.5" customHeight="1" x14ac:dyDescent="0.25">
      <c r="A79" s="1998"/>
      <c r="B79" s="1992"/>
      <c r="C79" s="1998"/>
      <c r="D79" s="1992"/>
      <c r="E79" s="2006" t="s">
        <v>294</v>
      </c>
      <c r="F79" s="2006" t="s">
        <v>294</v>
      </c>
      <c r="G79" s="3917"/>
      <c r="H79" s="3918"/>
      <c r="I79" s="3919"/>
      <c r="J79" s="3920"/>
      <c r="K79" s="3921"/>
      <c r="L79" s="3516"/>
      <c r="M79" s="3922"/>
      <c r="N79" s="3923"/>
      <c r="O79" s="3924"/>
      <c r="P79" s="3925"/>
      <c r="Q79" s="3926"/>
      <c r="R79" s="3927"/>
      <c r="S79" s="3928"/>
      <c r="T79" s="3926"/>
      <c r="U79" s="3924"/>
      <c r="V79" s="3929" t="s">
        <v>3289</v>
      </c>
      <c r="W79" s="3930">
        <v>30000000</v>
      </c>
      <c r="X79" s="989" t="s">
        <v>3287</v>
      </c>
      <c r="Y79" s="989">
        <v>4</v>
      </c>
      <c r="Z79" s="989" t="s">
        <v>3221</v>
      </c>
      <c r="AA79" s="2085"/>
      <c r="AB79" s="2085">
        <v>0</v>
      </c>
      <c r="AC79" s="2085">
        <v>0</v>
      </c>
      <c r="AD79" s="2085">
        <v>0</v>
      </c>
      <c r="AE79" s="2085">
        <v>0</v>
      </c>
      <c r="AF79" s="2085" t="s">
        <v>294</v>
      </c>
      <c r="AG79" s="2085" t="s">
        <v>294</v>
      </c>
      <c r="AH79" s="2085" t="s">
        <v>294</v>
      </c>
      <c r="AI79" s="2085" t="s">
        <v>294</v>
      </c>
      <c r="AJ79" s="2085" t="s">
        <v>294</v>
      </c>
      <c r="AK79" s="2085" t="s">
        <v>294</v>
      </c>
      <c r="AL79" s="2085" t="s">
        <v>294</v>
      </c>
      <c r="AM79" s="2085">
        <v>0</v>
      </c>
      <c r="AN79" s="2085" t="s">
        <v>294</v>
      </c>
      <c r="AO79" s="2085" t="s">
        <v>294</v>
      </c>
      <c r="AP79" s="2085">
        <v>0</v>
      </c>
      <c r="AQ79" s="2085">
        <v>44200</v>
      </c>
      <c r="AR79" s="2085">
        <v>44560</v>
      </c>
      <c r="AS79" s="2085" t="s">
        <v>3187</v>
      </c>
    </row>
    <row r="80" spans="1:45" ht="15.75" x14ac:dyDescent="0.25">
      <c r="A80" s="3931"/>
      <c r="B80" s="3932"/>
      <c r="C80" s="3932"/>
      <c r="D80" s="3932"/>
      <c r="E80" s="3932" t="s">
        <v>294</v>
      </c>
      <c r="F80" s="3932" t="s">
        <v>294</v>
      </c>
      <c r="G80" s="3932" t="s">
        <v>294</v>
      </c>
      <c r="H80" s="3932"/>
      <c r="I80" s="3932" t="s">
        <v>294</v>
      </c>
      <c r="J80" s="3932"/>
      <c r="K80" s="3932" t="s">
        <v>294</v>
      </c>
      <c r="L80" s="3932"/>
      <c r="M80" s="3932" t="s">
        <v>294</v>
      </c>
      <c r="N80" s="3932"/>
      <c r="O80" s="3932" t="s">
        <v>294</v>
      </c>
      <c r="P80" s="3932" t="s">
        <v>294</v>
      </c>
      <c r="Q80" s="3933" t="s">
        <v>294</v>
      </c>
      <c r="R80" s="3932" t="s">
        <v>294</v>
      </c>
      <c r="S80" s="3934">
        <f>SUM(S13:S78)</f>
        <v>13010854314.189999</v>
      </c>
      <c r="T80" s="3932" t="s">
        <v>294</v>
      </c>
      <c r="U80" s="3932" t="s">
        <v>294</v>
      </c>
      <c r="V80" s="3932" t="s">
        <v>294</v>
      </c>
      <c r="W80" s="3935">
        <f>SUM(W13:W51,W53:W79)</f>
        <v>13010854314.189999</v>
      </c>
      <c r="X80" s="3932" t="s">
        <v>294</v>
      </c>
      <c r="Y80" s="3932" t="s">
        <v>294</v>
      </c>
      <c r="Z80" s="3932" t="s">
        <v>294</v>
      </c>
      <c r="AA80" s="3932" t="s">
        <v>294</v>
      </c>
      <c r="AB80" s="3932" t="s">
        <v>294</v>
      </c>
      <c r="AC80" s="3932" t="s">
        <v>294</v>
      </c>
      <c r="AD80" s="3932" t="s">
        <v>294</v>
      </c>
      <c r="AE80" s="3932" t="s">
        <v>294</v>
      </c>
      <c r="AF80" s="3932" t="s">
        <v>294</v>
      </c>
      <c r="AG80" s="3932" t="s">
        <v>294</v>
      </c>
      <c r="AH80" s="3932" t="s">
        <v>294</v>
      </c>
      <c r="AI80" s="3932" t="s">
        <v>294</v>
      </c>
      <c r="AJ80" s="3932" t="s">
        <v>294</v>
      </c>
      <c r="AK80" s="3932" t="s">
        <v>294</v>
      </c>
      <c r="AL80" s="3932" t="s">
        <v>294</v>
      </c>
      <c r="AM80" s="3932" t="s">
        <v>294</v>
      </c>
      <c r="AN80" s="3932" t="s">
        <v>294</v>
      </c>
      <c r="AO80" s="3932" t="s">
        <v>294</v>
      </c>
      <c r="AP80" s="3932" t="s">
        <v>294</v>
      </c>
      <c r="AQ80" s="3932" t="s">
        <v>294</v>
      </c>
      <c r="AR80" s="3932" t="s">
        <v>294</v>
      </c>
      <c r="AS80" s="3936" t="s">
        <v>294</v>
      </c>
    </row>
    <row r="82" spans="19:24" x14ac:dyDescent="0.25">
      <c r="S82" s="136">
        <f>+S80-'[2]F-PLA-47 METAS INDEPORTES'!S83</f>
        <v>0</v>
      </c>
      <c r="W82" s="136"/>
    </row>
    <row r="86" spans="19:24" x14ac:dyDescent="0.25">
      <c r="W86" s="3937"/>
      <c r="X86" s="3938"/>
    </row>
    <row r="87" spans="19:24" x14ac:dyDescent="0.25">
      <c r="W87" s="3937"/>
      <c r="X87" s="3938"/>
    </row>
    <row r="88" spans="19:24" x14ac:dyDescent="0.25">
      <c r="W88" s="3937"/>
      <c r="X88" s="3938"/>
    </row>
    <row r="89" spans="19:24" x14ac:dyDescent="0.25">
      <c r="W89" s="3937"/>
      <c r="X89" s="3938"/>
    </row>
    <row r="90" spans="19:24" x14ac:dyDescent="0.25">
      <c r="W90" s="3937"/>
      <c r="X90" s="3938"/>
    </row>
    <row r="91" spans="19:24" x14ac:dyDescent="0.25">
      <c r="W91" s="3937"/>
      <c r="X91" s="3938"/>
    </row>
    <row r="92" spans="19:24" x14ac:dyDescent="0.25">
      <c r="W92" s="3937"/>
      <c r="X92" s="3938"/>
    </row>
    <row r="93" spans="19:24" x14ac:dyDescent="0.25">
      <c r="W93" s="3937"/>
      <c r="X93" s="3938"/>
    </row>
    <row r="94" spans="19:24" x14ac:dyDescent="0.25">
      <c r="W94" s="3937"/>
      <c r="X94" s="3938"/>
    </row>
  </sheetData>
  <sheetProtection algorithmName="SHA-512" hashValue="jXLbCKf9tfbKu3w2Y/kWjczKYEG6Oo52LV4cKKh3xVtBakg9JmcuOEOYhH4GhlzKRbtQgXK5aoyG3xIuD8FchQ==" saltValue="dQkcb74nhNu6M+ttlANfLw==" spinCount="100000" sheet="1" objects="1" scenarios="1"/>
  <mergeCells count="182">
    <mergeCell ref="AN77:AN79"/>
    <mergeCell ref="AO77:AO79"/>
    <mergeCell ref="AP77:AP79"/>
    <mergeCell ref="AQ77:AQ79"/>
    <mergeCell ref="AR77:AR79"/>
    <mergeCell ref="AS77:AS79"/>
    <mergeCell ref="AH77:AH79"/>
    <mergeCell ref="AI77:AI79"/>
    <mergeCell ref="AJ77:AJ79"/>
    <mergeCell ref="AK77:AK79"/>
    <mergeCell ref="AL77:AL79"/>
    <mergeCell ref="AM77:AM79"/>
    <mergeCell ref="AB77:AB79"/>
    <mergeCell ref="AC77:AC79"/>
    <mergeCell ref="AD77:AD79"/>
    <mergeCell ref="AE77:AE79"/>
    <mergeCell ref="AF77:AF79"/>
    <mergeCell ref="AG77:AG79"/>
    <mergeCell ref="R77:R79"/>
    <mergeCell ref="S77:S79"/>
    <mergeCell ref="T77:T79"/>
    <mergeCell ref="U77:U79"/>
    <mergeCell ref="V77:V78"/>
    <mergeCell ref="AA77:AA79"/>
    <mergeCell ref="L77:L79"/>
    <mergeCell ref="M77:M79"/>
    <mergeCell ref="N77:N79"/>
    <mergeCell ref="O77:O79"/>
    <mergeCell ref="P77:P79"/>
    <mergeCell ref="Q77:Q79"/>
    <mergeCell ref="AS53:AS76"/>
    <mergeCell ref="V58:V62"/>
    <mergeCell ref="V63:V67"/>
    <mergeCell ref="V68:V69"/>
    <mergeCell ref="V72:V76"/>
    <mergeCell ref="G77:G79"/>
    <mergeCell ref="H77:H79"/>
    <mergeCell ref="I77:I79"/>
    <mergeCell ref="J77:J79"/>
    <mergeCell ref="K77:K79"/>
    <mergeCell ref="AM53:AM76"/>
    <mergeCell ref="AN53:AN76"/>
    <mergeCell ref="AO53:AO76"/>
    <mergeCell ref="AP53:AP76"/>
    <mergeCell ref="AQ53:AQ76"/>
    <mergeCell ref="AR53:AR76"/>
    <mergeCell ref="AG53:AG76"/>
    <mergeCell ref="AH53:AH76"/>
    <mergeCell ref="AI53:AI76"/>
    <mergeCell ref="AJ53:AJ76"/>
    <mergeCell ref="AK53:AK76"/>
    <mergeCell ref="AL53:AL76"/>
    <mergeCell ref="AA53:AA76"/>
    <mergeCell ref="AB53:AB76"/>
    <mergeCell ref="AC53:AC76"/>
    <mergeCell ref="AD53:AD76"/>
    <mergeCell ref="AE53:AE76"/>
    <mergeCell ref="AF53:AF76"/>
    <mergeCell ref="Q53:Q76"/>
    <mergeCell ref="R53:R76"/>
    <mergeCell ref="S53:S76"/>
    <mergeCell ref="T53:T76"/>
    <mergeCell ref="U53:U76"/>
    <mergeCell ref="V53:V57"/>
    <mergeCell ref="K53:K76"/>
    <mergeCell ref="L53:L76"/>
    <mergeCell ref="M53:M76"/>
    <mergeCell ref="N53:N76"/>
    <mergeCell ref="O53:O76"/>
    <mergeCell ref="P53:P76"/>
    <mergeCell ref="E53:E76"/>
    <mergeCell ref="F53:F76"/>
    <mergeCell ref="G53:G76"/>
    <mergeCell ref="H53:H76"/>
    <mergeCell ref="I53:I76"/>
    <mergeCell ref="J53:J76"/>
    <mergeCell ref="R49:R51"/>
    <mergeCell ref="U49:U51"/>
    <mergeCell ref="V49:V50"/>
    <mergeCell ref="AQ49:AQ51"/>
    <mergeCell ref="AR49:AR51"/>
    <mergeCell ref="AS49:AS51"/>
    <mergeCell ref="AS33:AS48"/>
    <mergeCell ref="V39:V44"/>
    <mergeCell ref="V45:V48"/>
    <mergeCell ref="G49:G51"/>
    <mergeCell ref="H49:H51"/>
    <mergeCell ref="I49:I51"/>
    <mergeCell ref="J49:J51"/>
    <mergeCell ref="K49:K51"/>
    <mergeCell ref="L49:L51"/>
    <mergeCell ref="M49:M51"/>
    <mergeCell ref="AS24:AS32"/>
    <mergeCell ref="V27:V30"/>
    <mergeCell ref="V31:V32"/>
    <mergeCell ref="K33:K48"/>
    <mergeCell ref="L33:L48"/>
    <mergeCell ref="M33:M48"/>
    <mergeCell ref="N33:N48"/>
    <mergeCell ref="O33:O48"/>
    <mergeCell ref="R33:R48"/>
    <mergeCell ref="U33:U48"/>
    <mergeCell ref="AS13:AS23"/>
    <mergeCell ref="V16:V18"/>
    <mergeCell ref="V19:V23"/>
    <mergeCell ref="G24:G48"/>
    <mergeCell ref="H24:H48"/>
    <mergeCell ref="I24:I48"/>
    <mergeCell ref="J24:J48"/>
    <mergeCell ref="K24:K32"/>
    <mergeCell ref="L24:L32"/>
    <mergeCell ref="M24:M32"/>
    <mergeCell ref="AM13:AM51"/>
    <mergeCell ref="AN13:AN51"/>
    <mergeCell ref="AO13:AO51"/>
    <mergeCell ref="AP13:AP51"/>
    <mergeCell ref="AQ13:AQ23"/>
    <mergeCell ref="AR13:AR23"/>
    <mergeCell ref="AQ24:AQ32"/>
    <mergeCell ref="AR24:AR32"/>
    <mergeCell ref="AQ33:AQ48"/>
    <mergeCell ref="AR33:AR48"/>
    <mergeCell ref="AG13:AG51"/>
    <mergeCell ref="AH13:AH51"/>
    <mergeCell ref="AI13:AI51"/>
    <mergeCell ref="AJ13:AJ51"/>
    <mergeCell ref="AK13:AK51"/>
    <mergeCell ref="AL13:AL51"/>
    <mergeCell ref="AA13:AA51"/>
    <mergeCell ref="AB13:AB51"/>
    <mergeCell ref="AC13:AC51"/>
    <mergeCell ref="AD13:AD51"/>
    <mergeCell ref="AE13:AE51"/>
    <mergeCell ref="AF13:AF51"/>
    <mergeCell ref="Q13:Q51"/>
    <mergeCell ref="R13:R23"/>
    <mergeCell ref="S13:S51"/>
    <mergeCell ref="T13:T51"/>
    <mergeCell ref="U13:U23"/>
    <mergeCell ref="V13:V14"/>
    <mergeCell ref="R24:R32"/>
    <mergeCell ref="U24:U32"/>
    <mergeCell ref="V24:V26"/>
    <mergeCell ref="V33:V38"/>
    <mergeCell ref="K13:K23"/>
    <mergeCell ref="L13:L23"/>
    <mergeCell ref="M13:M23"/>
    <mergeCell ref="N13:N23"/>
    <mergeCell ref="O13:O23"/>
    <mergeCell ref="P13:P51"/>
    <mergeCell ref="N24:N32"/>
    <mergeCell ref="O24:O32"/>
    <mergeCell ref="N49:N51"/>
    <mergeCell ref="O49:O51"/>
    <mergeCell ref="E13:E19"/>
    <mergeCell ref="F13:F19"/>
    <mergeCell ref="G13:G23"/>
    <mergeCell ref="H13:H23"/>
    <mergeCell ref="I13:I23"/>
    <mergeCell ref="J13:J23"/>
    <mergeCell ref="AQ7:AQ8"/>
    <mergeCell ref="AR7:AR8"/>
    <mergeCell ref="AS7:AS8"/>
    <mergeCell ref="B10:I10"/>
    <mergeCell ref="D11:M11"/>
    <mergeCell ref="F12:T12"/>
    <mergeCell ref="X7:Z7"/>
    <mergeCell ref="AA7:AB7"/>
    <mergeCell ref="AC7:AF7"/>
    <mergeCell ref="AG7:AL7"/>
    <mergeCell ref="AM7:AO7"/>
    <mergeCell ref="AP7:AP8"/>
    <mergeCell ref="A1:AQ4"/>
    <mergeCell ref="A5:O6"/>
    <mergeCell ref="P5:AS5"/>
    <mergeCell ref="AC6:AQ6"/>
    <mergeCell ref="A7:B7"/>
    <mergeCell ref="C7:D7"/>
    <mergeCell ref="E7:F7"/>
    <mergeCell ref="G7:J7"/>
    <mergeCell ref="K7:N7"/>
    <mergeCell ref="O7:W7"/>
  </mergeCells>
  <pageMargins left="0.7" right="0.7" top="0.75" bottom="0.75" header="0.3" footer="0.3"/>
  <pageSetup paperSize="258" scale="11" fitToHeight="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S45"/>
  <sheetViews>
    <sheetView showGridLines="0" zoomScale="70" zoomScaleNormal="70" workbookViewId="0">
      <selection sqref="A1:AQ4"/>
    </sheetView>
  </sheetViews>
  <sheetFormatPr baseColWidth="10" defaultRowHeight="15.75" x14ac:dyDescent="0.25"/>
  <cols>
    <col min="1" max="1" width="14.5703125" style="176" customWidth="1"/>
    <col min="2" max="4" width="15.140625" style="176" customWidth="1"/>
    <col min="5" max="5" width="13.140625" style="176" customWidth="1"/>
    <col min="6" max="6" width="13" style="176" customWidth="1"/>
    <col min="7" max="7" width="16.5703125" style="176" customWidth="1"/>
    <col min="8" max="8" width="37" style="176" customWidth="1"/>
    <col min="9" max="9" width="19.42578125" style="176" customWidth="1"/>
    <col min="10" max="10" width="29.140625" style="176" customWidth="1"/>
    <col min="11" max="11" width="14.85546875" style="176" customWidth="1"/>
    <col min="12" max="14" width="26" style="176" customWidth="1"/>
    <col min="15" max="15" width="11.42578125" style="4"/>
    <col min="16" max="16" width="26.7109375" style="176" customWidth="1"/>
    <col min="17" max="17" width="23.5703125" style="176" customWidth="1"/>
    <col min="18" max="18" width="11.5703125" style="176" customWidth="1"/>
    <col min="19" max="19" width="28.140625" style="176" customWidth="1"/>
    <col min="20" max="20" width="44.5703125" style="176" customWidth="1"/>
    <col min="21" max="21" width="31.5703125" style="176" customWidth="1"/>
    <col min="22" max="22" width="40.42578125" style="176" customWidth="1"/>
    <col min="23" max="23" width="28.140625" style="176" customWidth="1"/>
    <col min="24" max="24" width="36" style="176" customWidth="1"/>
    <col min="25" max="25" width="12.28515625" style="4" customWidth="1"/>
    <col min="26" max="26" width="21.140625" style="176" customWidth="1"/>
    <col min="27" max="42" width="13.5703125" style="1162" customWidth="1"/>
    <col min="43" max="43" width="20.5703125" style="176" customWidth="1"/>
    <col min="44" max="44" width="20.140625" style="176" customWidth="1"/>
    <col min="45" max="45" width="18" style="176" customWidth="1"/>
  </cols>
  <sheetData>
    <row r="1" spans="1:45" ht="22.5" customHeight="1" x14ac:dyDescent="0.25">
      <c r="A1" s="2207" t="s">
        <v>1567</v>
      </c>
      <c r="B1" s="3038"/>
      <c r="C1" s="3038"/>
      <c r="D1" s="3038"/>
      <c r="E1" s="3038"/>
      <c r="F1" s="3038"/>
      <c r="G1" s="3038"/>
      <c r="H1" s="3038"/>
      <c r="I1" s="3038"/>
      <c r="J1" s="3038"/>
      <c r="K1" s="3038"/>
      <c r="L1" s="3038"/>
      <c r="M1" s="3038"/>
      <c r="N1" s="3038"/>
      <c r="O1" s="3038"/>
      <c r="P1" s="3038"/>
      <c r="Q1" s="3038"/>
      <c r="R1" s="3038"/>
      <c r="S1" s="3038"/>
      <c r="T1" s="3038"/>
      <c r="U1" s="3038"/>
      <c r="V1" s="3038"/>
      <c r="W1" s="3038"/>
      <c r="X1" s="3038"/>
      <c r="Y1" s="3038"/>
      <c r="Z1" s="3038"/>
      <c r="AA1" s="3038"/>
      <c r="AB1" s="3038"/>
      <c r="AC1" s="3038"/>
      <c r="AD1" s="3038"/>
      <c r="AE1" s="3038"/>
      <c r="AF1" s="3038"/>
      <c r="AG1" s="3038"/>
      <c r="AH1" s="3038"/>
      <c r="AI1" s="3038"/>
      <c r="AJ1" s="3038"/>
      <c r="AK1" s="3038"/>
      <c r="AL1" s="3038"/>
      <c r="AM1" s="3038"/>
      <c r="AN1" s="3038"/>
      <c r="AO1" s="3038"/>
      <c r="AP1" s="3038"/>
      <c r="AQ1" s="2017"/>
      <c r="AR1" s="1061" t="s">
        <v>1</v>
      </c>
      <c r="AS1" s="1062" t="s">
        <v>983</v>
      </c>
    </row>
    <row r="2" spans="1:45" ht="22.5" customHeight="1" x14ac:dyDescent="0.25">
      <c r="A2" s="3038"/>
      <c r="B2" s="3038"/>
      <c r="C2" s="3038"/>
      <c r="D2" s="3038"/>
      <c r="E2" s="3038"/>
      <c r="F2" s="3038"/>
      <c r="G2" s="3038"/>
      <c r="H2" s="3038"/>
      <c r="I2" s="3038"/>
      <c r="J2" s="3038"/>
      <c r="K2" s="3038"/>
      <c r="L2" s="3038"/>
      <c r="M2" s="3038"/>
      <c r="N2" s="3038"/>
      <c r="O2" s="3038"/>
      <c r="P2" s="3038"/>
      <c r="Q2" s="3038"/>
      <c r="R2" s="3038"/>
      <c r="S2" s="3038"/>
      <c r="T2" s="3038"/>
      <c r="U2" s="3038"/>
      <c r="V2" s="3038"/>
      <c r="W2" s="3038"/>
      <c r="X2" s="3038"/>
      <c r="Y2" s="3038"/>
      <c r="Z2" s="3038"/>
      <c r="AA2" s="3038"/>
      <c r="AB2" s="3038"/>
      <c r="AC2" s="3038"/>
      <c r="AD2" s="3038"/>
      <c r="AE2" s="3038"/>
      <c r="AF2" s="3038"/>
      <c r="AG2" s="3038"/>
      <c r="AH2" s="3038"/>
      <c r="AI2" s="3038"/>
      <c r="AJ2" s="3038"/>
      <c r="AK2" s="3038"/>
      <c r="AL2" s="3038"/>
      <c r="AM2" s="3038"/>
      <c r="AN2" s="3038"/>
      <c r="AO2" s="3038"/>
      <c r="AP2" s="3038"/>
      <c r="AQ2" s="2017"/>
      <c r="AR2" s="1061" t="s">
        <v>3</v>
      </c>
      <c r="AS2" s="1063">
        <v>9</v>
      </c>
    </row>
    <row r="3" spans="1:45" ht="22.5" customHeight="1" x14ac:dyDescent="0.25">
      <c r="A3" s="3038"/>
      <c r="B3" s="3038"/>
      <c r="C3" s="3038"/>
      <c r="D3" s="3038"/>
      <c r="E3" s="3038"/>
      <c r="F3" s="3038"/>
      <c r="G3" s="3038"/>
      <c r="H3" s="3038"/>
      <c r="I3" s="3038"/>
      <c r="J3" s="3038"/>
      <c r="K3" s="3038"/>
      <c r="L3" s="3038"/>
      <c r="M3" s="3038"/>
      <c r="N3" s="3038"/>
      <c r="O3" s="3038"/>
      <c r="P3" s="3038"/>
      <c r="Q3" s="3038"/>
      <c r="R3" s="3038"/>
      <c r="S3" s="3038"/>
      <c r="T3" s="3038"/>
      <c r="U3" s="3038"/>
      <c r="V3" s="3038"/>
      <c r="W3" s="3038"/>
      <c r="X3" s="3038"/>
      <c r="Y3" s="3038"/>
      <c r="Z3" s="3038"/>
      <c r="AA3" s="3038"/>
      <c r="AB3" s="3038"/>
      <c r="AC3" s="3038"/>
      <c r="AD3" s="3038"/>
      <c r="AE3" s="3038"/>
      <c r="AF3" s="3038"/>
      <c r="AG3" s="3038"/>
      <c r="AH3" s="3038"/>
      <c r="AI3" s="3038"/>
      <c r="AJ3" s="3038"/>
      <c r="AK3" s="3038"/>
      <c r="AL3" s="3038"/>
      <c r="AM3" s="3038"/>
      <c r="AN3" s="3038"/>
      <c r="AO3" s="3038"/>
      <c r="AP3" s="3038"/>
      <c r="AQ3" s="2017"/>
      <c r="AR3" s="1061" t="s">
        <v>4</v>
      </c>
      <c r="AS3" s="971">
        <v>44266</v>
      </c>
    </row>
    <row r="4" spans="1:45" ht="22.5" customHeight="1" x14ac:dyDescent="0.25">
      <c r="A4" s="2018"/>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1061" t="s">
        <v>5</v>
      </c>
      <c r="AS4" s="1064" t="s">
        <v>114</v>
      </c>
    </row>
    <row r="5" spans="1:45" x14ac:dyDescent="0.25">
      <c r="A5" s="2021" t="s">
        <v>7</v>
      </c>
      <c r="B5" s="2021"/>
      <c r="C5" s="2021"/>
      <c r="D5" s="2021"/>
      <c r="E5" s="2021"/>
      <c r="F5" s="2021"/>
      <c r="G5" s="2021"/>
      <c r="H5" s="2021"/>
      <c r="I5" s="2021"/>
      <c r="J5" s="2021"/>
      <c r="K5" s="2021"/>
      <c r="L5" s="2021"/>
      <c r="M5" s="2021"/>
      <c r="N5" s="2021"/>
      <c r="O5" s="2021"/>
      <c r="P5" s="964"/>
      <c r="Q5" s="964"/>
      <c r="R5" s="964"/>
      <c r="S5" s="964"/>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5"/>
    </row>
    <row r="6" spans="1:45" x14ac:dyDescent="0.25">
      <c r="A6" s="2021"/>
      <c r="B6" s="2021"/>
      <c r="C6" s="2021"/>
      <c r="D6" s="2021"/>
      <c r="E6" s="2021"/>
      <c r="F6" s="2021"/>
      <c r="G6" s="2021"/>
      <c r="H6" s="2021"/>
      <c r="I6" s="2021"/>
      <c r="J6" s="2021"/>
      <c r="K6" s="2021"/>
      <c r="L6" s="2021"/>
      <c r="M6" s="2021"/>
      <c r="N6" s="2021"/>
      <c r="O6" s="2021"/>
      <c r="P6" s="952"/>
      <c r="Q6" s="952"/>
      <c r="R6" s="952"/>
      <c r="S6" s="952"/>
      <c r="T6" s="952"/>
      <c r="U6" s="952"/>
      <c r="V6" s="952"/>
      <c r="W6" s="952"/>
      <c r="X6" s="952"/>
      <c r="Y6" s="952"/>
      <c r="Z6" s="952"/>
      <c r="AA6" s="1065"/>
      <c r="AB6" s="1065"/>
      <c r="AC6" s="954" t="s">
        <v>8</v>
      </c>
      <c r="AD6" s="952"/>
      <c r="AE6" s="952"/>
      <c r="AF6" s="952"/>
      <c r="AG6" s="952"/>
      <c r="AH6" s="952"/>
      <c r="AI6" s="952"/>
      <c r="AJ6" s="952"/>
      <c r="AK6" s="952"/>
      <c r="AL6" s="952"/>
      <c r="AM6" s="952"/>
      <c r="AN6" s="952"/>
      <c r="AO6" s="952"/>
      <c r="AP6" s="952"/>
      <c r="AQ6" s="953"/>
      <c r="AR6" s="952"/>
      <c r="AS6" s="967"/>
    </row>
    <row r="7" spans="1:45" ht="35.25" customHeight="1" x14ac:dyDescent="0.25">
      <c r="A7" s="2024" t="s">
        <v>9</v>
      </c>
      <c r="B7" s="2210"/>
      <c r="C7" s="2024" t="s">
        <v>10</v>
      </c>
      <c r="D7" s="2210"/>
      <c r="E7" s="2024" t="s">
        <v>11</v>
      </c>
      <c r="F7" s="2210"/>
      <c r="G7" s="2212" t="s">
        <v>12</v>
      </c>
      <c r="H7" s="3040"/>
      <c r="I7" s="3040"/>
      <c r="J7" s="3040"/>
      <c r="K7" s="2212" t="s">
        <v>13</v>
      </c>
      <c r="L7" s="3040"/>
      <c r="M7" s="3040"/>
      <c r="N7" s="3040"/>
      <c r="O7" s="3203" t="s">
        <v>14</v>
      </c>
      <c r="P7" s="3204"/>
      <c r="Q7" s="3204"/>
      <c r="R7" s="3204"/>
      <c r="S7" s="3204"/>
      <c r="T7" s="3204"/>
      <c r="U7" s="3204"/>
      <c r="V7" s="3204"/>
      <c r="W7" s="3769"/>
      <c r="X7" s="2024" t="s">
        <v>15</v>
      </c>
      <c r="Y7" s="2025"/>
      <c r="Z7" s="2210"/>
      <c r="AA7" s="2045" t="s">
        <v>16</v>
      </c>
      <c r="AB7" s="3680"/>
      <c r="AC7" s="2045" t="s">
        <v>17</v>
      </c>
      <c r="AD7" s="2046"/>
      <c r="AE7" s="2046"/>
      <c r="AF7" s="3680"/>
      <c r="AG7" s="3778" t="s">
        <v>18</v>
      </c>
      <c r="AH7" s="3779"/>
      <c r="AI7" s="3779"/>
      <c r="AJ7" s="3779"/>
      <c r="AK7" s="3779"/>
      <c r="AL7" s="3780"/>
      <c r="AM7" s="2045" t="s">
        <v>19</v>
      </c>
      <c r="AN7" s="2046"/>
      <c r="AO7" s="3680"/>
      <c r="AP7" s="3781" t="s">
        <v>20</v>
      </c>
      <c r="AQ7" s="2937" t="s">
        <v>21</v>
      </c>
      <c r="AR7" s="2281" t="s">
        <v>22</v>
      </c>
      <c r="AS7" s="2282" t="s">
        <v>23</v>
      </c>
    </row>
    <row r="8" spans="1:45" ht="100.5" x14ac:dyDescent="0.25">
      <c r="A8" s="957" t="s">
        <v>24</v>
      </c>
      <c r="B8" s="20" t="s">
        <v>25</v>
      </c>
      <c r="C8" s="957" t="s">
        <v>24</v>
      </c>
      <c r="D8" s="20" t="s">
        <v>25</v>
      </c>
      <c r="E8" s="20" t="s">
        <v>24</v>
      </c>
      <c r="F8" s="20" t="s">
        <v>25</v>
      </c>
      <c r="G8" s="20" t="s">
        <v>26</v>
      </c>
      <c r="H8" s="20" t="s">
        <v>27</v>
      </c>
      <c r="I8" s="20" t="s">
        <v>28</v>
      </c>
      <c r="J8" s="20" t="s">
        <v>117</v>
      </c>
      <c r="K8" s="20" t="s">
        <v>26</v>
      </c>
      <c r="L8" s="20" t="s">
        <v>30</v>
      </c>
      <c r="M8" s="20" t="s">
        <v>31</v>
      </c>
      <c r="N8" s="1066" t="s">
        <v>32</v>
      </c>
      <c r="O8" s="20" t="s">
        <v>116</v>
      </c>
      <c r="P8" s="20" t="s">
        <v>34</v>
      </c>
      <c r="Q8" s="20" t="s">
        <v>35</v>
      </c>
      <c r="R8" s="689" t="s">
        <v>36</v>
      </c>
      <c r="S8" s="690" t="s">
        <v>37</v>
      </c>
      <c r="T8" s="20" t="s">
        <v>38</v>
      </c>
      <c r="U8" s="20" t="s">
        <v>39</v>
      </c>
      <c r="V8" s="20" t="s">
        <v>40</v>
      </c>
      <c r="W8" s="690" t="s">
        <v>37</v>
      </c>
      <c r="X8" s="20" t="s">
        <v>42</v>
      </c>
      <c r="Y8" s="957" t="s">
        <v>43</v>
      </c>
      <c r="Z8" s="20" t="s">
        <v>25</v>
      </c>
      <c r="AA8" s="1067" t="s">
        <v>44</v>
      </c>
      <c r="AB8" s="1067" t="s">
        <v>45</v>
      </c>
      <c r="AC8" s="1067" t="s">
        <v>46</v>
      </c>
      <c r="AD8" s="1067" t="s">
        <v>47</v>
      </c>
      <c r="AE8" s="1067" t="s">
        <v>283</v>
      </c>
      <c r="AF8" s="1067" t="s">
        <v>49</v>
      </c>
      <c r="AG8" s="1067" t="s">
        <v>50</v>
      </c>
      <c r="AH8" s="1067" t="s">
        <v>51</v>
      </c>
      <c r="AI8" s="1067" t="s">
        <v>52</v>
      </c>
      <c r="AJ8" s="1067" t="s">
        <v>53</v>
      </c>
      <c r="AK8" s="1067" t="s">
        <v>54</v>
      </c>
      <c r="AL8" s="1067" t="s">
        <v>55</v>
      </c>
      <c r="AM8" s="1067" t="s">
        <v>56</v>
      </c>
      <c r="AN8" s="1067" t="s">
        <v>57</v>
      </c>
      <c r="AO8" s="1067" t="s">
        <v>58</v>
      </c>
      <c r="AP8" s="3782"/>
      <c r="AQ8" s="3783"/>
      <c r="AR8" s="2281"/>
      <c r="AS8" s="2282"/>
    </row>
    <row r="9" spans="1:45" ht="32.25" customHeight="1" x14ac:dyDescent="0.25">
      <c r="A9" s="1068">
        <v>1</v>
      </c>
      <c r="B9" s="3770" t="s">
        <v>374</v>
      </c>
      <c r="C9" s="3771"/>
      <c r="D9" s="3771"/>
      <c r="E9" s="3771"/>
      <c r="F9" s="3771"/>
      <c r="G9" s="1069"/>
      <c r="H9" s="1069"/>
      <c r="I9" s="1069"/>
      <c r="J9" s="1069"/>
      <c r="K9" s="1069"/>
      <c r="L9" s="1069"/>
      <c r="M9" s="1069"/>
      <c r="N9" s="1069"/>
      <c r="O9" s="1070" t="s">
        <v>294</v>
      </c>
      <c r="P9" s="1069" t="s">
        <v>294</v>
      </c>
      <c r="Q9" s="1069" t="s">
        <v>294</v>
      </c>
      <c r="R9" s="1069" t="s">
        <v>294</v>
      </c>
      <c r="S9" s="1069" t="s">
        <v>294</v>
      </c>
      <c r="T9" s="1069" t="s">
        <v>294</v>
      </c>
      <c r="U9" s="1069" t="s">
        <v>294</v>
      </c>
      <c r="V9" s="1071" t="s">
        <v>294</v>
      </c>
      <c r="W9" s="1069" t="s">
        <v>294</v>
      </c>
      <c r="X9" s="1069" t="s">
        <v>294</v>
      </c>
      <c r="Y9" s="1070" t="s">
        <v>294</v>
      </c>
      <c r="Z9" s="1069" t="s">
        <v>294</v>
      </c>
      <c r="AA9" s="1072" t="s">
        <v>294</v>
      </c>
      <c r="AB9" s="1072" t="s">
        <v>294</v>
      </c>
      <c r="AC9" s="1072" t="s">
        <v>294</v>
      </c>
      <c r="AD9" s="1072" t="s">
        <v>294</v>
      </c>
      <c r="AE9" s="1072" t="s">
        <v>294</v>
      </c>
      <c r="AF9" s="1072" t="s">
        <v>294</v>
      </c>
      <c r="AG9" s="1072" t="s">
        <v>294</v>
      </c>
      <c r="AH9" s="1072" t="s">
        <v>294</v>
      </c>
      <c r="AI9" s="1072" t="s">
        <v>294</v>
      </c>
      <c r="AJ9" s="1072" t="s">
        <v>294</v>
      </c>
      <c r="AK9" s="1072" t="s">
        <v>294</v>
      </c>
      <c r="AL9" s="1072" t="s">
        <v>294</v>
      </c>
      <c r="AM9" s="1072" t="s">
        <v>294</v>
      </c>
      <c r="AN9" s="1072" t="s">
        <v>294</v>
      </c>
      <c r="AO9" s="1072" t="s">
        <v>294</v>
      </c>
      <c r="AP9" s="1072" t="s">
        <v>294</v>
      </c>
      <c r="AQ9" s="1069" t="s">
        <v>294</v>
      </c>
      <c r="AR9" s="1069" t="s">
        <v>294</v>
      </c>
      <c r="AS9" s="1073" t="s">
        <v>294</v>
      </c>
    </row>
    <row r="10" spans="1:45" ht="28.5" customHeight="1" x14ac:dyDescent="0.25">
      <c r="A10" s="1074"/>
      <c r="B10" s="1075"/>
      <c r="C10" s="1076">
        <v>43</v>
      </c>
      <c r="D10" s="2275" t="s">
        <v>457</v>
      </c>
      <c r="E10" s="2595"/>
      <c r="F10" s="2595"/>
      <c r="G10" s="2595"/>
      <c r="H10" s="2595"/>
      <c r="I10" s="958"/>
      <c r="J10" s="958"/>
      <c r="K10" s="1077"/>
      <c r="L10" s="1077"/>
      <c r="M10" s="1077"/>
      <c r="N10" s="1077"/>
      <c r="O10" s="1078"/>
      <c r="P10" s="1077"/>
      <c r="Q10" s="1077"/>
      <c r="R10" s="1077"/>
      <c r="S10" s="1077"/>
      <c r="T10" s="1077"/>
      <c r="U10" s="1077"/>
      <c r="V10" s="1079"/>
      <c r="W10" s="1077"/>
      <c r="X10" s="1077"/>
      <c r="Y10" s="1078"/>
      <c r="Z10" s="1077"/>
      <c r="AA10" s="1080"/>
      <c r="AB10" s="1080"/>
      <c r="AC10" s="1080"/>
      <c r="AD10" s="1080"/>
      <c r="AE10" s="1080"/>
      <c r="AF10" s="1080"/>
      <c r="AG10" s="1080"/>
      <c r="AH10" s="1080"/>
      <c r="AI10" s="1080"/>
      <c r="AJ10" s="1080"/>
      <c r="AK10" s="1080"/>
      <c r="AL10" s="1080"/>
      <c r="AM10" s="1080"/>
      <c r="AN10" s="1080"/>
      <c r="AO10" s="1080"/>
      <c r="AP10" s="1080"/>
      <c r="AQ10" s="1077"/>
      <c r="AR10" s="1077"/>
      <c r="AS10" s="1081"/>
    </row>
    <row r="11" spans="1:45" ht="36" customHeight="1" x14ac:dyDescent="0.25">
      <c r="A11" s="1082" t="s">
        <v>294</v>
      </c>
      <c r="B11" s="1083" t="s">
        <v>294</v>
      </c>
      <c r="C11" s="1084"/>
      <c r="D11" s="1085"/>
      <c r="E11" s="1086">
        <v>4301</v>
      </c>
      <c r="F11" s="3772" t="s">
        <v>1568</v>
      </c>
      <c r="G11" s="3773"/>
      <c r="H11" s="3773"/>
      <c r="I11" s="3773"/>
      <c r="J11" s="3773"/>
      <c r="K11" s="3773"/>
      <c r="L11" s="3773"/>
      <c r="M11" s="3773"/>
      <c r="N11" s="3773"/>
      <c r="O11" s="3773"/>
      <c r="P11" s="3773"/>
      <c r="Q11" s="3773"/>
      <c r="R11" s="3773"/>
      <c r="S11" s="3773"/>
      <c r="T11" s="1087" t="s">
        <v>294</v>
      </c>
      <c r="U11" s="1087" t="s">
        <v>294</v>
      </c>
      <c r="V11" s="1087" t="s">
        <v>294</v>
      </c>
      <c r="W11" s="1087" t="s">
        <v>294</v>
      </c>
      <c r="X11" s="1087" t="s">
        <v>294</v>
      </c>
      <c r="Y11" s="1088" t="s">
        <v>294</v>
      </c>
      <c r="Z11" s="1087" t="s">
        <v>294</v>
      </c>
      <c r="AA11" s="1089" t="s">
        <v>294</v>
      </c>
      <c r="AB11" s="1089" t="s">
        <v>294</v>
      </c>
      <c r="AC11" s="1089" t="s">
        <v>294</v>
      </c>
      <c r="AD11" s="1089" t="s">
        <v>294</v>
      </c>
      <c r="AE11" s="1089" t="s">
        <v>294</v>
      </c>
      <c r="AF11" s="1089" t="s">
        <v>294</v>
      </c>
      <c r="AG11" s="1089" t="s">
        <v>294</v>
      </c>
      <c r="AH11" s="1089" t="s">
        <v>294</v>
      </c>
      <c r="AI11" s="1089" t="s">
        <v>294</v>
      </c>
      <c r="AJ11" s="1089" t="s">
        <v>294</v>
      </c>
      <c r="AK11" s="1089" t="s">
        <v>294</v>
      </c>
      <c r="AL11" s="1089" t="s">
        <v>294</v>
      </c>
      <c r="AM11" s="1090" t="s">
        <v>294</v>
      </c>
      <c r="AN11" s="1090" t="s">
        <v>294</v>
      </c>
      <c r="AO11" s="1090" t="s">
        <v>294</v>
      </c>
      <c r="AP11" s="1090" t="s">
        <v>294</v>
      </c>
      <c r="AQ11" s="1091" t="s">
        <v>294</v>
      </c>
      <c r="AR11" s="1091" t="s">
        <v>294</v>
      </c>
      <c r="AS11" s="1092" t="s">
        <v>294</v>
      </c>
    </row>
    <row r="12" spans="1:45" ht="102.75" customHeight="1" x14ac:dyDescent="0.25">
      <c r="A12" s="1093"/>
      <c r="B12" s="35"/>
      <c r="C12" s="955"/>
      <c r="D12" s="951"/>
      <c r="E12" s="4"/>
      <c r="F12" s="4"/>
      <c r="G12" s="3774" t="s">
        <v>62</v>
      </c>
      <c r="H12" s="3776" t="s">
        <v>1569</v>
      </c>
      <c r="I12" s="3774">
        <v>4301004</v>
      </c>
      <c r="J12" s="3776" t="s">
        <v>460</v>
      </c>
      <c r="K12" s="3774" t="s">
        <v>62</v>
      </c>
      <c r="L12" s="3776" t="s">
        <v>1570</v>
      </c>
      <c r="M12" s="3774">
        <v>430100401</v>
      </c>
      <c r="N12" s="3784" t="s">
        <v>462</v>
      </c>
      <c r="O12" s="3774">
        <v>3</v>
      </c>
      <c r="P12" s="3774" t="s">
        <v>1571</v>
      </c>
      <c r="Q12" s="3776" t="s">
        <v>1572</v>
      </c>
      <c r="R12" s="3790">
        <f>SUM(W12:W13)/S12</f>
        <v>1</v>
      </c>
      <c r="S12" s="3792">
        <f>SUM(W12:W13)</f>
        <v>308302422.89999998</v>
      </c>
      <c r="T12" s="3776" t="s">
        <v>1573</v>
      </c>
      <c r="U12" s="1094" t="s">
        <v>1574</v>
      </c>
      <c r="V12" s="961" t="s">
        <v>1575</v>
      </c>
      <c r="W12" s="1095">
        <v>202521845.94999999</v>
      </c>
      <c r="X12" s="1096" t="s">
        <v>1576</v>
      </c>
      <c r="Y12" s="1097">
        <v>3</v>
      </c>
      <c r="Z12" s="1097" t="s">
        <v>1577</v>
      </c>
      <c r="AA12" s="3774">
        <v>295972</v>
      </c>
      <c r="AB12" s="3774">
        <v>285580</v>
      </c>
      <c r="AC12" s="3774">
        <v>135545</v>
      </c>
      <c r="AD12" s="3774">
        <v>44254</v>
      </c>
      <c r="AE12" s="3774">
        <v>309146</v>
      </c>
      <c r="AF12" s="3774">
        <v>92607</v>
      </c>
      <c r="AG12" s="3774">
        <v>2145</v>
      </c>
      <c r="AH12" s="3774">
        <v>12718</v>
      </c>
      <c r="AI12" s="3774">
        <v>26</v>
      </c>
      <c r="AJ12" s="3774">
        <v>37</v>
      </c>
      <c r="AK12" s="3774" t="s">
        <v>294</v>
      </c>
      <c r="AL12" s="3774" t="s">
        <v>294</v>
      </c>
      <c r="AM12" s="3774">
        <v>44350</v>
      </c>
      <c r="AN12" s="3774">
        <v>21944</v>
      </c>
      <c r="AO12" s="3774">
        <v>75687</v>
      </c>
      <c r="AP12" s="3774">
        <v>581552</v>
      </c>
      <c r="AQ12" s="3786">
        <v>44197</v>
      </c>
      <c r="AR12" s="3786">
        <v>44561</v>
      </c>
      <c r="AS12" s="3774" t="s">
        <v>1578</v>
      </c>
    </row>
    <row r="13" spans="1:45" ht="102.75" customHeight="1" x14ac:dyDescent="0.25">
      <c r="A13" s="1093"/>
      <c r="B13" s="35"/>
      <c r="C13" s="956"/>
      <c r="D13" s="963"/>
      <c r="E13" s="4"/>
      <c r="F13" s="4"/>
      <c r="G13" s="3775"/>
      <c r="H13" s="3777"/>
      <c r="I13" s="3775"/>
      <c r="J13" s="3777"/>
      <c r="K13" s="3775"/>
      <c r="L13" s="3777"/>
      <c r="M13" s="3775"/>
      <c r="N13" s="3785"/>
      <c r="O13" s="3775"/>
      <c r="P13" s="3775"/>
      <c r="Q13" s="3777"/>
      <c r="R13" s="3791"/>
      <c r="S13" s="3793"/>
      <c r="T13" s="3777"/>
      <c r="U13" s="1098" t="s">
        <v>1579</v>
      </c>
      <c r="V13" s="960" t="s">
        <v>1580</v>
      </c>
      <c r="W13" s="1099">
        <v>105780576.95</v>
      </c>
      <c r="X13" s="1100" t="s">
        <v>1581</v>
      </c>
      <c r="Y13" s="1101">
        <v>3</v>
      </c>
      <c r="Z13" s="1101" t="s">
        <v>1577</v>
      </c>
      <c r="AA13" s="3775"/>
      <c r="AB13" s="3775"/>
      <c r="AC13" s="3775"/>
      <c r="AD13" s="3775"/>
      <c r="AE13" s="3775"/>
      <c r="AF13" s="3775"/>
      <c r="AG13" s="3775"/>
      <c r="AH13" s="3775"/>
      <c r="AI13" s="3775"/>
      <c r="AJ13" s="3775"/>
      <c r="AK13" s="3775"/>
      <c r="AL13" s="3775"/>
      <c r="AM13" s="3775"/>
      <c r="AN13" s="3775"/>
      <c r="AO13" s="3775"/>
      <c r="AP13" s="3775"/>
      <c r="AQ13" s="3787"/>
      <c r="AR13" s="3787"/>
      <c r="AS13" s="3775"/>
    </row>
    <row r="14" spans="1:45" ht="29.25" customHeight="1" x14ac:dyDescent="0.25">
      <c r="A14" s="1093"/>
      <c r="B14" s="951"/>
      <c r="C14" s="1102">
        <v>22</v>
      </c>
      <c r="D14" s="1103" t="s">
        <v>407</v>
      </c>
      <c r="E14" s="1104"/>
      <c r="F14" s="1104"/>
      <c r="G14" s="824"/>
      <c r="H14" s="1105"/>
      <c r="I14" s="824"/>
      <c r="J14" s="824"/>
      <c r="K14" s="824"/>
      <c r="L14" s="1105"/>
      <c r="M14" s="824"/>
      <c r="N14" s="824"/>
      <c r="O14" s="824"/>
      <c r="P14" s="824"/>
      <c r="Q14" s="1105"/>
      <c r="R14" s="1106"/>
      <c r="S14" s="1107"/>
      <c r="T14" s="1105"/>
      <c r="U14" s="1105"/>
      <c r="V14" s="1105"/>
      <c r="W14" s="1108"/>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1109"/>
    </row>
    <row r="15" spans="1:45" ht="29.25" customHeight="1" x14ac:dyDescent="0.25">
      <c r="A15" s="1082" t="s">
        <v>294</v>
      </c>
      <c r="B15" s="51" t="s">
        <v>294</v>
      </c>
      <c r="C15" s="324"/>
      <c r="D15" s="53"/>
      <c r="E15" s="1086">
        <v>2201</v>
      </c>
      <c r="F15" s="1110" t="s">
        <v>1582</v>
      </c>
      <c r="G15" s="1111"/>
      <c r="H15" s="1112"/>
      <c r="I15" s="1111"/>
      <c r="J15" s="1111"/>
      <c r="K15" s="1111"/>
      <c r="L15" s="1112"/>
      <c r="M15" s="1111"/>
      <c r="N15" s="1111"/>
      <c r="O15" s="1111"/>
      <c r="P15" s="1111"/>
      <c r="Q15" s="1112"/>
      <c r="R15" s="1088" t="s">
        <v>294</v>
      </c>
      <c r="S15" s="1113" t="s">
        <v>294</v>
      </c>
      <c r="T15" s="1114" t="s">
        <v>294</v>
      </c>
      <c r="U15" s="1114" t="s">
        <v>294</v>
      </c>
      <c r="V15" s="1114" t="s">
        <v>294</v>
      </c>
      <c r="W15" s="1088" t="s">
        <v>294</v>
      </c>
      <c r="X15" s="1088" t="s">
        <v>294</v>
      </c>
      <c r="Y15" s="1088" t="s">
        <v>294</v>
      </c>
      <c r="Z15" s="1088" t="s">
        <v>294</v>
      </c>
      <c r="AA15" s="1115" t="s">
        <v>294</v>
      </c>
      <c r="AB15" s="1115" t="s">
        <v>294</v>
      </c>
      <c r="AC15" s="1115" t="s">
        <v>294</v>
      </c>
      <c r="AD15" s="1115" t="s">
        <v>294</v>
      </c>
      <c r="AE15" s="1115" t="s">
        <v>294</v>
      </c>
      <c r="AF15" s="1115" t="s">
        <v>294</v>
      </c>
      <c r="AG15" s="1115" t="s">
        <v>294</v>
      </c>
      <c r="AH15" s="1115" t="s">
        <v>294</v>
      </c>
      <c r="AI15" s="1115" t="s">
        <v>294</v>
      </c>
      <c r="AJ15" s="1115" t="s">
        <v>294</v>
      </c>
      <c r="AK15" s="1115" t="s">
        <v>294</v>
      </c>
      <c r="AL15" s="1115" t="s">
        <v>294</v>
      </c>
      <c r="AM15" s="1116" t="s">
        <v>294</v>
      </c>
      <c r="AN15" s="1116" t="s">
        <v>294</v>
      </c>
      <c r="AO15" s="1116" t="s">
        <v>294</v>
      </c>
      <c r="AP15" s="1116" t="s">
        <v>294</v>
      </c>
      <c r="AQ15" s="1117" t="s">
        <v>294</v>
      </c>
      <c r="AR15" s="1117" t="s">
        <v>294</v>
      </c>
      <c r="AS15" s="1118" t="s">
        <v>294</v>
      </c>
    </row>
    <row r="16" spans="1:45" ht="105" customHeight="1" x14ac:dyDescent="0.25">
      <c r="A16" s="1119" t="s">
        <v>294</v>
      </c>
      <c r="B16" s="1101" t="s">
        <v>294</v>
      </c>
      <c r="C16" s="1120"/>
      <c r="D16" s="1101"/>
      <c r="E16" s="1120" t="s">
        <v>294</v>
      </c>
      <c r="F16" s="1120" t="s">
        <v>294</v>
      </c>
      <c r="G16" s="3774" t="s">
        <v>1363</v>
      </c>
      <c r="H16" s="3788" t="s">
        <v>1583</v>
      </c>
      <c r="I16" s="3774">
        <v>2201062</v>
      </c>
      <c r="J16" s="3776" t="s">
        <v>410</v>
      </c>
      <c r="K16" s="3774" t="s">
        <v>62</v>
      </c>
      <c r="L16" s="3776" t="s">
        <v>1584</v>
      </c>
      <c r="M16" s="3774">
        <v>220106200</v>
      </c>
      <c r="N16" s="3799" t="s">
        <v>412</v>
      </c>
      <c r="O16" s="3774">
        <v>15</v>
      </c>
      <c r="P16" s="3774" t="s">
        <v>1585</v>
      </c>
      <c r="Q16" s="3776" t="s">
        <v>1586</v>
      </c>
      <c r="R16" s="3790">
        <f>SUM(W16:W17)/S16</f>
        <v>1</v>
      </c>
      <c r="S16" s="3792">
        <f>SUM(W16:W17)</f>
        <v>308302422.89999998</v>
      </c>
      <c r="T16" s="3776" t="s">
        <v>1587</v>
      </c>
      <c r="U16" s="1098" t="s">
        <v>1588</v>
      </c>
      <c r="V16" s="961" t="s">
        <v>1589</v>
      </c>
      <c r="W16" s="1121">
        <v>202521845.94999999</v>
      </c>
      <c r="X16" s="1096" t="s">
        <v>1590</v>
      </c>
      <c r="Y16" s="1097">
        <v>3</v>
      </c>
      <c r="Z16" s="1097" t="s">
        <v>1577</v>
      </c>
      <c r="AA16" s="3774">
        <v>295972</v>
      </c>
      <c r="AB16" s="3774">
        <v>285580</v>
      </c>
      <c r="AC16" s="3774">
        <v>135545</v>
      </c>
      <c r="AD16" s="3774">
        <v>44254</v>
      </c>
      <c r="AE16" s="3774">
        <v>309146</v>
      </c>
      <c r="AF16" s="3774">
        <v>92607</v>
      </c>
      <c r="AG16" s="3774">
        <v>2145</v>
      </c>
      <c r="AH16" s="3774">
        <v>12718</v>
      </c>
      <c r="AI16" s="3774">
        <v>26</v>
      </c>
      <c r="AJ16" s="3774">
        <v>37</v>
      </c>
      <c r="AK16" s="3774" t="s">
        <v>294</v>
      </c>
      <c r="AL16" s="3774" t="s">
        <v>294</v>
      </c>
      <c r="AM16" s="3774">
        <v>44350</v>
      </c>
      <c r="AN16" s="3774">
        <v>21944</v>
      </c>
      <c r="AO16" s="3774">
        <v>75687</v>
      </c>
      <c r="AP16" s="3774">
        <v>581552</v>
      </c>
      <c r="AQ16" s="3786">
        <v>44197</v>
      </c>
      <c r="AR16" s="3786">
        <v>44561</v>
      </c>
      <c r="AS16" s="3774" t="s">
        <v>1578</v>
      </c>
    </row>
    <row r="17" spans="1:45" ht="105" customHeight="1" x14ac:dyDescent="0.25">
      <c r="A17" s="1122"/>
      <c r="B17" s="1097"/>
      <c r="C17" s="1123"/>
      <c r="D17" s="1097"/>
      <c r="E17" s="1120"/>
      <c r="F17" s="1120"/>
      <c r="G17" s="3775"/>
      <c r="H17" s="3789"/>
      <c r="I17" s="3775"/>
      <c r="J17" s="3777"/>
      <c r="K17" s="3775"/>
      <c r="L17" s="3777"/>
      <c r="M17" s="3775"/>
      <c r="N17" s="2653"/>
      <c r="O17" s="3775"/>
      <c r="P17" s="3775"/>
      <c r="Q17" s="3777"/>
      <c r="R17" s="3791"/>
      <c r="S17" s="3793"/>
      <c r="T17" s="3777"/>
      <c r="U17" s="1124" t="s">
        <v>1591</v>
      </c>
      <c r="V17" s="959" t="s">
        <v>1592</v>
      </c>
      <c r="W17" s="1125">
        <v>105780576.95</v>
      </c>
      <c r="X17" s="1100" t="s">
        <v>1593</v>
      </c>
      <c r="Y17" s="1101">
        <v>3</v>
      </c>
      <c r="Z17" s="1101" t="s">
        <v>1577</v>
      </c>
      <c r="AA17" s="3775"/>
      <c r="AB17" s="3775"/>
      <c r="AC17" s="3775"/>
      <c r="AD17" s="3775"/>
      <c r="AE17" s="3775"/>
      <c r="AF17" s="3775"/>
      <c r="AG17" s="3775"/>
      <c r="AH17" s="3775"/>
      <c r="AI17" s="3775"/>
      <c r="AJ17" s="3775"/>
      <c r="AK17" s="3775"/>
      <c r="AL17" s="3775"/>
      <c r="AM17" s="3775"/>
      <c r="AN17" s="3775"/>
      <c r="AO17" s="3775"/>
      <c r="AP17" s="3775"/>
      <c r="AQ17" s="3787"/>
      <c r="AR17" s="3787"/>
      <c r="AS17" s="3775"/>
    </row>
    <row r="18" spans="1:45" ht="23.25" customHeight="1" x14ac:dyDescent="0.25">
      <c r="A18" s="25">
        <v>3</v>
      </c>
      <c r="B18" s="2041" t="s">
        <v>1594</v>
      </c>
      <c r="C18" s="2042"/>
      <c r="D18" s="2042"/>
      <c r="E18" s="3794"/>
      <c r="F18" s="3794"/>
      <c r="G18" s="1126"/>
      <c r="H18" s="1126"/>
      <c r="I18" s="1126"/>
      <c r="J18" s="1126"/>
      <c r="K18" s="1126"/>
      <c r="L18" s="1126"/>
      <c r="M18" s="1126"/>
      <c r="N18" s="1126"/>
      <c r="O18" s="1126" t="s">
        <v>294</v>
      </c>
      <c r="P18" s="1126" t="s">
        <v>294</v>
      </c>
      <c r="Q18" s="1127" t="s">
        <v>294</v>
      </c>
      <c r="R18" s="1126" t="s">
        <v>294</v>
      </c>
      <c r="S18" s="1128" t="s">
        <v>294</v>
      </c>
      <c r="T18" s="1126" t="s">
        <v>294</v>
      </c>
      <c r="U18" s="1126" t="s">
        <v>294</v>
      </c>
      <c r="V18" s="1126" t="s">
        <v>294</v>
      </c>
      <c r="W18" s="1128" t="s">
        <v>294</v>
      </c>
      <c r="X18" s="1126" t="s">
        <v>294</v>
      </c>
      <c r="Y18" s="1126" t="s">
        <v>294</v>
      </c>
      <c r="Z18" s="1126" t="s">
        <v>294</v>
      </c>
      <c r="AA18" s="1129" t="s">
        <v>294</v>
      </c>
      <c r="AB18" s="1129" t="s">
        <v>294</v>
      </c>
      <c r="AC18" s="1129" t="s">
        <v>294</v>
      </c>
      <c r="AD18" s="1129" t="s">
        <v>294</v>
      </c>
      <c r="AE18" s="1129" t="s">
        <v>294</v>
      </c>
      <c r="AF18" s="1129" t="s">
        <v>294</v>
      </c>
      <c r="AG18" s="1129" t="s">
        <v>294</v>
      </c>
      <c r="AH18" s="1129" t="s">
        <v>294</v>
      </c>
      <c r="AI18" s="1129" t="s">
        <v>294</v>
      </c>
      <c r="AJ18" s="1129" t="s">
        <v>294</v>
      </c>
      <c r="AK18" s="1129" t="s">
        <v>294</v>
      </c>
      <c r="AL18" s="1129" t="s">
        <v>294</v>
      </c>
      <c r="AM18" s="1130" t="s">
        <v>294</v>
      </c>
      <c r="AN18" s="1130" t="s">
        <v>294</v>
      </c>
      <c r="AO18" s="1130" t="s">
        <v>294</v>
      </c>
      <c r="AP18" s="1130" t="s">
        <v>294</v>
      </c>
      <c r="AQ18" s="1127" t="s">
        <v>294</v>
      </c>
      <c r="AR18" s="1127" t="s">
        <v>294</v>
      </c>
      <c r="AS18" s="1131" t="s">
        <v>294</v>
      </c>
    </row>
    <row r="19" spans="1:45" ht="23.25" customHeight="1" x14ac:dyDescent="0.25">
      <c r="A19" s="1084"/>
      <c r="B19" s="53"/>
      <c r="C19" s="1132">
        <v>24</v>
      </c>
      <c r="D19" s="801" t="s">
        <v>489</v>
      </c>
      <c r="E19" s="1076"/>
      <c r="F19" s="1076"/>
      <c r="G19" s="1076"/>
      <c r="H19" s="1076"/>
      <c r="I19" s="1076"/>
      <c r="J19" s="1076"/>
      <c r="K19" s="1076"/>
      <c r="L19" s="1076"/>
      <c r="M19" s="1076"/>
      <c r="N19" s="1076"/>
      <c r="O19" s="1076"/>
      <c r="P19" s="1076"/>
      <c r="Q19" s="513"/>
      <c r="R19" s="1076"/>
      <c r="S19" s="1133"/>
      <c r="T19" s="1076"/>
      <c r="U19" s="1076"/>
      <c r="V19" s="1076"/>
      <c r="W19" s="1133"/>
      <c r="X19" s="1076"/>
      <c r="Y19" s="1076"/>
      <c r="Z19" s="1076"/>
      <c r="AA19" s="1134"/>
      <c r="AB19" s="1134"/>
      <c r="AC19" s="1134"/>
      <c r="AD19" s="1134"/>
      <c r="AE19" s="1134"/>
      <c r="AF19" s="1134"/>
      <c r="AG19" s="1134"/>
      <c r="AH19" s="1134"/>
      <c r="AI19" s="1134"/>
      <c r="AJ19" s="1134"/>
      <c r="AK19" s="1134"/>
      <c r="AL19" s="1134"/>
      <c r="AM19" s="1135"/>
      <c r="AN19" s="1135"/>
      <c r="AO19" s="1135"/>
      <c r="AP19" s="1135"/>
      <c r="AQ19" s="513"/>
      <c r="AR19" s="513"/>
      <c r="AS19" s="1136"/>
    </row>
    <row r="20" spans="1:45" ht="23.25" customHeight="1" x14ac:dyDescent="0.25">
      <c r="A20" s="1082" t="s">
        <v>294</v>
      </c>
      <c r="B20" s="51" t="s">
        <v>294</v>
      </c>
      <c r="C20" s="52"/>
      <c r="D20" s="53"/>
      <c r="E20" s="1086">
        <v>2402</v>
      </c>
      <c r="F20" s="2550" t="s">
        <v>490</v>
      </c>
      <c r="G20" s="2551"/>
      <c r="H20" s="2551"/>
      <c r="I20" s="2551"/>
      <c r="J20" s="2551"/>
      <c r="K20" s="2551"/>
      <c r="L20" s="2551"/>
      <c r="M20" s="2551"/>
      <c r="N20" s="2551"/>
      <c r="O20" s="2551"/>
      <c r="P20" s="2551"/>
      <c r="Q20" s="101" t="s">
        <v>294</v>
      </c>
      <c r="R20" s="389" t="s">
        <v>294</v>
      </c>
      <c r="S20" s="1137" t="s">
        <v>294</v>
      </c>
      <c r="T20" s="389" t="s">
        <v>294</v>
      </c>
      <c r="U20" s="389" t="s">
        <v>294</v>
      </c>
      <c r="V20" s="389" t="s">
        <v>294</v>
      </c>
      <c r="W20" s="1137" t="s">
        <v>294</v>
      </c>
      <c r="X20" s="389" t="s">
        <v>294</v>
      </c>
      <c r="Y20" s="389" t="s">
        <v>294</v>
      </c>
      <c r="Z20" s="389" t="s">
        <v>294</v>
      </c>
      <c r="AA20" s="1138" t="s">
        <v>294</v>
      </c>
      <c r="AB20" s="1138" t="s">
        <v>294</v>
      </c>
      <c r="AC20" s="1138" t="s">
        <v>294</v>
      </c>
      <c r="AD20" s="1138" t="s">
        <v>294</v>
      </c>
      <c r="AE20" s="1138" t="s">
        <v>294</v>
      </c>
      <c r="AF20" s="1138" t="s">
        <v>294</v>
      </c>
      <c r="AG20" s="1138" t="s">
        <v>294</v>
      </c>
      <c r="AH20" s="1138" t="s">
        <v>294</v>
      </c>
      <c r="AI20" s="1138" t="s">
        <v>294</v>
      </c>
      <c r="AJ20" s="1138" t="s">
        <v>294</v>
      </c>
      <c r="AK20" s="1138" t="s">
        <v>294</v>
      </c>
      <c r="AL20" s="1138" t="s">
        <v>294</v>
      </c>
      <c r="AM20" s="1139" t="s">
        <v>294</v>
      </c>
      <c r="AN20" s="1139" t="s">
        <v>294</v>
      </c>
      <c r="AO20" s="1139" t="s">
        <v>294</v>
      </c>
      <c r="AP20" s="1139" t="s">
        <v>294</v>
      </c>
      <c r="AQ20" s="101" t="s">
        <v>294</v>
      </c>
      <c r="AR20" s="101" t="s">
        <v>294</v>
      </c>
      <c r="AS20" s="1140" t="s">
        <v>294</v>
      </c>
    </row>
    <row r="21" spans="1:45" ht="60" x14ac:dyDescent="0.25">
      <c r="A21" s="1119" t="s">
        <v>294</v>
      </c>
      <c r="B21" s="1101" t="s">
        <v>294</v>
      </c>
      <c r="C21" s="1141"/>
      <c r="D21" s="1101"/>
      <c r="E21" s="1120" t="s">
        <v>294</v>
      </c>
      <c r="F21" s="1120" t="s">
        <v>294</v>
      </c>
      <c r="G21" s="3795" t="s">
        <v>1363</v>
      </c>
      <c r="H21" s="3788" t="s">
        <v>1595</v>
      </c>
      <c r="I21" s="3795">
        <v>2402041</v>
      </c>
      <c r="J21" s="3797" t="s">
        <v>506</v>
      </c>
      <c r="K21" s="3774" t="s">
        <v>62</v>
      </c>
      <c r="L21" s="3776" t="s">
        <v>1596</v>
      </c>
      <c r="M21" s="3774">
        <v>240204100</v>
      </c>
      <c r="N21" s="3805" t="s">
        <v>508</v>
      </c>
      <c r="O21" s="3774">
        <v>130</v>
      </c>
      <c r="P21" s="3774" t="s">
        <v>1597</v>
      </c>
      <c r="Q21" s="3776" t="s">
        <v>1598</v>
      </c>
      <c r="R21" s="3790">
        <f>SUM(W21:W22)/S21</f>
        <v>1</v>
      </c>
      <c r="S21" s="3792">
        <f>SUM(W21:W22)</f>
        <v>199461691</v>
      </c>
      <c r="T21" s="3776" t="s">
        <v>1599</v>
      </c>
      <c r="U21" s="1098" t="s">
        <v>1600</v>
      </c>
      <c r="V21" s="961" t="s">
        <v>1601</v>
      </c>
      <c r="W21" s="1121">
        <v>139623124</v>
      </c>
      <c r="X21" s="1096" t="s">
        <v>1602</v>
      </c>
      <c r="Y21" s="1097">
        <v>4</v>
      </c>
      <c r="Z21" s="1097" t="s">
        <v>1603</v>
      </c>
      <c r="AA21" s="3774">
        <v>295972</v>
      </c>
      <c r="AB21" s="3774">
        <v>285580</v>
      </c>
      <c r="AC21" s="3774">
        <v>135545</v>
      </c>
      <c r="AD21" s="3774">
        <v>44254</v>
      </c>
      <c r="AE21" s="3774">
        <v>309146</v>
      </c>
      <c r="AF21" s="3774">
        <v>92607</v>
      </c>
      <c r="AG21" s="3774">
        <v>2145</v>
      </c>
      <c r="AH21" s="3774">
        <v>12718</v>
      </c>
      <c r="AI21" s="3774">
        <v>26</v>
      </c>
      <c r="AJ21" s="3774">
        <v>37</v>
      </c>
      <c r="AK21" s="3774" t="s">
        <v>294</v>
      </c>
      <c r="AL21" s="3774" t="s">
        <v>294</v>
      </c>
      <c r="AM21" s="3774">
        <v>44350</v>
      </c>
      <c r="AN21" s="3774">
        <v>21944</v>
      </c>
      <c r="AO21" s="3774">
        <v>75687</v>
      </c>
      <c r="AP21" s="3774">
        <v>581552</v>
      </c>
      <c r="AQ21" s="3786">
        <v>44197</v>
      </c>
      <c r="AR21" s="3786">
        <v>44561</v>
      </c>
      <c r="AS21" s="3774" t="s">
        <v>1578</v>
      </c>
    </row>
    <row r="22" spans="1:45" ht="105" x14ac:dyDescent="0.25">
      <c r="A22" s="1119"/>
      <c r="B22" s="1101"/>
      <c r="C22" s="1142"/>
      <c r="D22" s="1097"/>
      <c r="E22" s="1120"/>
      <c r="F22" s="1120"/>
      <c r="G22" s="3796"/>
      <c r="H22" s="3789"/>
      <c r="I22" s="3796"/>
      <c r="J22" s="3798"/>
      <c r="K22" s="3775"/>
      <c r="L22" s="3777"/>
      <c r="M22" s="3775"/>
      <c r="N22" s="3806"/>
      <c r="O22" s="3775"/>
      <c r="P22" s="3775"/>
      <c r="Q22" s="3777"/>
      <c r="R22" s="3791"/>
      <c r="S22" s="3793"/>
      <c r="T22" s="3777"/>
      <c r="U22" s="1124" t="s">
        <v>1604</v>
      </c>
      <c r="V22" s="959" t="s">
        <v>1605</v>
      </c>
      <c r="W22" s="1125">
        <v>59838567</v>
      </c>
      <c r="X22" s="1100" t="s">
        <v>1606</v>
      </c>
      <c r="Y22" s="1101">
        <v>4</v>
      </c>
      <c r="Z22" s="1101" t="s">
        <v>1603</v>
      </c>
      <c r="AA22" s="3775"/>
      <c r="AB22" s="3775"/>
      <c r="AC22" s="3775"/>
      <c r="AD22" s="3775"/>
      <c r="AE22" s="3775"/>
      <c r="AF22" s="3775"/>
      <c r="AG22" s="3775"/>
      <c r="AH22" s="3775"/>
      <c r="AI22" s="3775"/>
      <c r="AJ22" s="3775"/>
      <c r="AK22" s="3775"/>
      <c r="AL22" s="3775"/>
      <c r="AM22" s="3775"/>
      <c r="AN22" s="3775"/>
      <c r="AO22" s="3775"/>
      <c r="AP22" s="3775"/>
      <c r="AQ22" s="3787"/>
      <c r="AR22" s="3787"/>
      <c r="AS22" s="3775"/>
    </row>
    <row r="23" spans="1:45" s="1143" customFormat="1" ht="25.5" customHeight="1" x14ac:dyDescent="0.25">
      <c r="A23" s="1141"/>
      <c r="B23" s="1101"/>
      <c r="C23" s="1076">
        <v>40</v>
      </c>
      <c r="D23" s="2275" t="s">
        <v>601</v>
      </c>
      <c r="E23" s="2044"/>
      <c r="F23" s="2044"/>
      <c r="G23" s="2044"/>
      <c r="H23" s="2044"/>
      <c r="I23" s="966"/>
      <c r="J23" s="966"/>
      <c r="K23" s="824"/>
      <c r="L23" s="824"/>
      <c r="M23" s="824"/>
      <c r="N23" s="824"/>
      <c r="O23" s="824"/>
      <c r="P23" s="824"/>
      <c r="Q23" s="824"/>
      <c r="R23" s="824"/>
      <c r="S23" s="1107"/>
      <c r="T23" s="824"/>
      <c r="U23" s="824"/>
      <c r="V23" s="824"/>
      <c r="W23" s="1107"/>
      <c r="X23" s="824"/>
      <c r="Y23" s="824"/>
      <c r="Z23" s="824"/>
      <c r="AA23" s="824"/>
      <c r="AB23" s="824"/>
      <c r="AC23" s="824"/>
      <c r="AD23" s="824"/>
      <c r="AE23" s="824"/>
      <c r="AF23" s="824"/>
      <c r="AG23" s="824"/>
      <c r="AH23" s="824"/>
      <c r="AI23" s="824"/>
      <c r="AJ23" s="824"/>
      <c r="AK23" s="824"/>
      <c r="AL23" s="824"/>
      <c r="AM23" s="824"/>
      <c r="AN23" s="824"/>
      <c r="AO23" s="824"/>
      <c r="AP23" s="824"/>
      <c r="AQ23" s="824"/>
      <c r="AR23" s="824"/>
      <c r="AS23" s="1109"/>
    </row>
    <row r="24" spans="1:45" s="1143" customFormat="1" ht="25.5" customHeight="1" x14ac:dyDescent="0.25">
      <c r="A24" s="968" t="s">
        <v>294</v>
      </c>
      <c r="B24" s="51" t="s">
        <v>294</v>
      </c>
      <c r="C24" s="52"/>
      <c r="D24" s="53"/>
      <c r="E24" s="54">
        <v>4001</v>
      </c>
      <c r="F24" s="3772" t="s">
        <v>602</v>
      </c>
      <c r="G24" s="3773"/>
      <c r="H24" s="3773"/>
      <c r="I24" s="3773"/>
      <c r="J24" s="3773"/>
      <c r="K24" s="3773"/>
      <c r="L24" s="3773"/>
      <c r="M24" s="3773"/>
      <c r="N24" s="3773"/>
      <c r="O24" s="3773"/>
      <c r="P24" s="1088" t="s">
        <v>294</v>
      </c>
      <c r="Q24" s="1117" t="s">
        <v>294</v>
      </c>
      <c r="R24" s="1088" t="s">
        <v>294</v>
      </c>
      <c r="S24" s="1113" t="s">
        <v>294</v>
      </c>
      <c r="T24" s="1088" t="s">
        <v>294</v>
      </c>
      <c r="U24" s="1088" t="s">
        <v>294</v>
      </c>
      <c r="V24" s="1088" t="s">
        <v>1607</v>
      </c>
      <c r="W24" s="1113" t="s">
        <v>294</v>
      </c>
      <c r="X24" s="1088"/>
      <c r="Y24" s="1088" t="s">
        <v>294</v>
      </c>
      <c r="Z24" s="1088" t="s">
        <v>294</v>
      </c>
      <c r="AA24" s="1115" t="s">
        <v>294</v>
      </c>
      <c r="AB24" s="1115" t="s">
        <v>294</v>
      </c>
      <c r="AC24" s="1115" t="s">
        <v>294</v>
      </c>
      <c r="AD24" s="1115" t="s">
        <v>294</v>
      </c>
      <c r="AE24" s="1115" t="s">
        <v>294</v>
      </c>
      <c r="AF24" s="1115" t="s">
        <v>294</v>
      </c>
      <c r="AG24" s="1115" t="s">
        <v>294</v>
      </c>
      <c r="AH24" s="1115" t="s">
        <v>294</v>
      </c>
      <c r="AI24" s="1115" t="s">
        <v>294</v>
      </c>
      <c r="AJ24" s="1115" t="s">
        <v>294</v>
      </c>
      <c r="AK24" s="1115" t="s">
        <v>294</v>
      </c>
      <c r="AL24" s="1115" t="s">
        <v>294</v>
      </c>
      <c r="AM24" s="1116" t="s">
        <v>294</v>
      </c>
      <c r="AN24" s="1116" t="s">
        <v>294</v>
      </c>
      <c r="AO24" s="1116" t="s">
        <v>294</v>
      </c>
      <c r="AP24" s="1116" t="s">
        <v>294</v>
      </c>
      <c r="AQ24" s="1117" t="s">
        <v>294</v>
      </c>
      <c r="AR24" s="1117" t="s">
        <v>294</v>
      </c>
      <c r="AS24" s="1118" t="s">
        <v>294</v>
      </c>
    </row>
    <row r="25" spans="1:45" ht="120" x14ac:dyDescent="0.25">
      <c r="A25" s="1119" t="s">
        <v>294</v>
      </c>
      <c r="B25" s="1101" t="s">
        <v>294</v>
      </c>
      <c r="C25" s="1141"/>
      <c r="D25" s="1101"/>
      <c r="E25" s="1120" t="s">
        <v>294</v>
      </c>
      <c r="F25" s="1120" t="s">
        <v>294</v>
      </c>
      <c r="G25" s="1144">
        <v>4001001</v>
      </c>
      <c r="H25" s="1145" t="s">
        <v>1608</v>
      </c>
      <c r="I25" s="1144">
        <v>4001001</v>
      </c>
      <c r="J25" s="1145" t="s">
        <v>1608</v>
      </c>
      <c r="K25" s="1146">
        <v>400100100</v>
      </c>
      <c r="L25" s="1147" t="s">
        <v>1609</v>
      </c>
      <c r="M25" s="1146">
        <v>400100100</v>
      </c>
      <c r="N25" s="1147" t="s">
        <v>1609</v>
      </c>
      <c r="O25" s="1146">
        <v>3</v>
      </c>
      <c r="P25" s="3774" t="s">
        <v>1610</v>
      </c>
      <c r="Q25" s="3776" t="s">
        <v>1611</v>
      </c>
      <c r="R25" s="1148">
        <f>W25/S25</f>
        <v>8.2496046861499864E-3</v>
      </c>
      <c r="S25" s="3792">
        <f>SUM(W25:W44)</f>
        <v>1208916662.0000002</v>
      </c>
      <c r="T25" s="1147" t="s">
        <v>1612</v>
      </c>
      <c r="U25" s="3776" t="s">
        <v>1613</v>
      </c>
      <c r="V25" s="960" t="s">
        <v>1609</v>
      </c>
      <c r="W25" s="1125">
        <v>9973084.5600000005</v>
      </c>
      <c r="X25" s="1100" t="s">
        <v>1614</v>
      </c>
      <c r="Y25" s="1100">
        <v>4</v>
      </c>
      <c r="Z25" s="1100" t="s">
        <v>1603</v>
      </c>
      <c r="AA25" s="3802">
        <v>295972</v>
      </c>
      <c r="AB25" s="3802">
        <v>285580</v>
      </c>
      <c r="AC25" s="3802">
        <v>135545</v>
      </c>
      <c r="AD25" s="3802">
        <v>44254</v>
      </c>
      <c r="AE25" s="3802">
        <v>309146</v>
      </c>
      <c r="AF25" s="3802">
        <v>92607</v>
      </c>
      <c r="AG25" s="3802">
        <v>2145</v>
      </c>
      <c r="AH25" s="3802">
        <v>12718</v>
      </c>
      <c r="AI25" s="3802">
        <v>26</v>
      </c>
      <c r="AJ25" s="3802">
        <v>37</v>
      </c>
      <c r="AK25" s="3802" t="s">
        <v>294</v>
      </c>
      <c r="AL25" s="3802" t="s">
        <v>294</v>
      </c>
      <c r="AM25" s="3802">
        <v>44350</v>
      </c>
      <c r="AN25" s="3802">
        <v>21944</v>
      </c>
      <c r="AO25" s="3802">
        <v>75687</v>
      </c>
      <c r="AP25" s="3802">
        <v>581552</v>
      </c>
      <c r="AQ25" s="3786">
        <v>44197</v>
      </c>
      <c r="AR25" s="3786">
        <v>44561</v>
      </c>
      <c r="AS25" s="3774" t="s">
        <v>1578</v>
      </c>
    </row>
    <row r="26" spans="1:45" ht="30" x14ac:dyDescent="0.25">
      <c r="A26" s="1119" t="s">
        <v>294</v>
      </c>
      <c r="B26" s="1101" t="s">
        <v>294</v>
      </c>
      <c r="C26" s="1141"/>
      <c r="D26" s="1101"/>
      <c r="E26" s="1120" t="s">
        <v>294</v>
      </c>
      <c r="F26" s="1120" t="s">
        <v>294</v>
      </c>
      <c r="G26" s="3795">
        <v>4001017</v>
      </c>
      <c r="H26" s="3788" t="s">
        <v>1615</v>
      </c>
      <c r="I26" s="3795">
        <v>4001017</v>
      </c>
      <c r="J26" s="3788" t="s">
        <v>1615</v>
      </c>
      <c r="K26" s="3774">
        <v>400101700</v>
      </c>
      <c r="L26" s="3776" t="s">
        <v>1616</v>
      </c>
      <c r="M26" s="3774">
        <v>400101700</v>
      </c>
      <c r="N26" s="3776" t="s">
        <v>1616</v>
      </c>
      <c r="O26" s="3774">
        <v>25</v>
      </c>
      <c r="P26" s="3800"/>
      <c r="Q26" s="2237"/>
      <c r="R26" s="3808">
        <f>SUM(W26:W29)/S25</f>
        <v>6.7252767196950072E-2</v>
      </c>
      <c r="S26" s="3801"/>
      <c r="T26" s="3776" t="s">
        <v>1612</v>
      </c>
      <c r="U26" s="2237"/>
      <c r="V26" s="962" t="s">
        <v>1616</v>
      </c>
      <c r="W26" s="1149">
        <v>42792392.207500003</v>
      </c>
      <c r="X26" s="1150" t="s">
        <v>1617</v>
      </c>
      <c r="Y26" s="1151">
        <v>3</v>
      </c>
      <c r="Z26" s="1151" t="s">
        <v>1577</v>
      </c>
      <c r="AA26" s="3803"/>
      <c r="AB26" s="3803"/>
      <c r="AC26" s="3803"/>
      <c r="AD26" s="3803"/>
      <c r="AE26" s="3803"/>
      <c r="AF26" s="3803"/>
      <c r="AG26" s="3803"/>
      <c r="AH26" s="3803"/>
      <c r="AI26" s="3803"/>
      <c r="AJ26" s="3803"/>
      <c r="AK26" s="3803"/>
      <c r="AL26" s="3803"/>
      <c r="AM26" s="3803"/>
      <c r="AN26" s="3803"/>
      <c r="AO26" s="3803"/>
      <c r="AP26" s="3803"/>
      <c r="AQ26" s="3807"/>
      <c r="AR26" s="3807"/>
      <c r="AS26" s="3800"/>
    </row>
    <row r="27" spans="1:45" ht="45" x14ac:dyDescent="0.25">
      <c r="A27" s="1119"/>
      <c r="B27" s="1101"/>
      <c r="C27" s="1141"/>
      <c r="D27" s="1101"/>
      <c r="E27" s="1120"/>
      <c r="F27" s="1120"/>
      <c r="G27" s="3811"/>
      <c r="H27" s="3812"/>
      <c r="I27" s="3811"/>
      <c r="J27" s="3812"/>
      <c r="K27" s="3800"/>
      <c r="L27" s="2237"/>
      <c r="M27" s="3800"/>
      <c r="N27" s="2237"/>
      <c r="O27" s="3800"/>
      <c r="P27" s="3800"/>
      <c r="Q27" s="2237"/>
      <c r="R27" s="3809"/>
      <c r="S27" s="3801"/>
      <c r="T27" s="2237"/>
      <c r="U27" s="2237"/>
      <c r="V27" s="961" t="s">
        <v>1605</v>
      </c>
      <c r="W27" s="1121">
        <v>8591345.2074999996</v>
      </c>
      <c r="X27" s="1096" t="s">
        <v>1618</v>
      </c>
      <c r="Y27" s="1097">
        <v>3</v>
      </c>
      <c r="Z27" s="1097" t="s">
        <v>1577</v>
      </c>
      <c r="AA27" s="3803"/>
      <c r="AB27" s="3803"/>
      <c r="AC27" s="3803"/>
      <c r="AD27" s="3803"/>
      <c r="AE27" s="3803"/>
      <c r="AF27" s="3803"/>
      <c r="AG27" s="3803"/>
      <c r="AH27" s="3803"/>
      <c r="AI27" s="3803"/>
      <c r="AJ27" s="3803"/>
      <c r="AK27" s="3803"/>
      <c r="AL27" s="3803"/>
      <c r="AM27" s="3803"/>
      <c r="AN27" s="3803"/>
      <c r="AO27" s="3803"/>
      <c r="AP27" s="3803"/>
      <c r="AQ27" s="3807"/>
      <c r="AR27" s="3807"/>
      <c r="AS27" s="3800"/>
    </row>
    <row r="28" spans="1:45" ht="30" x14ac:dyDescent="0.25">
      <c r="A28" s="1119"/>
      <c r="B28" s="1101"/>
      <c r="C28" s="1141"/>
      <c r="D28" s="1101"/>
      <c r="E28" s="1120"/>
      <c r="F28" s="1120"/>
      <c r="G28" s="3811"/>
      <c r="H28" s="3812"/>
      <c r="I28" s="3811"/>
      <c r="J28" s="3812"/>
      <c r="K28" s="3800"/>
      <c r="L28" s="2237"/>
      <c r="M28" s="3800"/>
      <c r="N28" s="2237"/>
      <c r="O28" s="3800"/>
      <c r="P28" s="3800"/>
      <c r="Q28" s="2237"/>
      <c r="R28" s="3809"/>
      <c r="S28" s="3801"/>
      <c r="T28" s="2237"/>
      <c r="U28" s="2237"/>
      <c r="V28" s="961" t="s">
        <v>1616</v>
      </c>
      <c r="W28" s="1121">
        <v>27767253.2075</v>
      </c>
      <c r="X28" s="1096" t="s">
        <v>1617</v>
      </c>
      <c r="Y28" s="1097">
        <v>4</v>
      </c>
      <c r="Z28" s="1097" t="s">
        <v>1603</v>
      </c>
      <c r="AA28" s="3803"/>
      <c r="AB28" s="3803"/>
      <c r="AC28" s="3803"/>
      <c r="AD28" s="3803"/>
      <c r="AE28" s="3803"/>
      <c r="AF28" s="3803"/>
      <c r="AG28" s="3803"/>
      <c r="AH28" s="3803"/>
      <c r="AI28" s="3803"/>
      <c r="AJ28" s="3803"/>
      <c r="AK28" s="3803"/>
      <c r="AL28" s="3803"/>
      <c r="AM28" s="3803"/>
      <c r="AN28" s="3803"/>
      <c r="AO28" s="3803"/>
      <c r="AP28" s="3803"/>
      <c r="AQ28" s="3807"/>
      <c r="AR28" s="3807"/>
      <c r="AS28" s="3800"/>
    </row>
    <row r="29" spans="1:45" ht="45" x14ac:dyDescent="0.25">
      <c r="A29" s="1119"/>
      <c r="B29" s="1101"/>
      <c r="C29" s="1141"/>
      <c r="D29" s="1101"/>
      <c r="E29" s="1120"/>
      <c r="F29" s="1120"/>
      <c r="G29" s="3796"/>
      <c r="H29" s="3789"/>
      <c r="I29" s="3796"/>
      <c r="J29" s="3789"/>
      <c r="K29" s="3775"/>
      <c r="L29" s="3777"/>
      <c r="M29" s="3775"/>
      <c r="N29" s="3777"/>
      <c r="O29" s="3775"/>
      <c r="P29" s="3800"/>
      <c r="Q29" s="2237"/>
      <c r="R29" s="3810"/>
      <c r="S29" s="3801"/>
      <c r="T29" s="3777"/>
      <c r="U29" s="2237"/>
      <c r="V29" s="961" t="s">
        <v>1605</v>
      </c>
      <c r="W29" s="1121">
        <v>2152000.2075</v>
      </c>
      <c r="X29" s="1096" t="s">
        <v>1618</v>
      </c>
      <c r="Y29" s="1097">
        <v>4</v>
      </c>
      <c r="Z29" s="1097" t="s">
        <v>1603</v>
      </c>
      <c r="AA29" s="3803"/>
      <c r="AB29" s="3803"/>
      <c r="AC29" s="3803"/>
      <c r="AD29" s="3803"/>
      <c r="AE29" s="3803"/>
      <c r="AF29" s="3803"/>
      <c r="AG29" s="3803"/>
      <c r="AH29" s="3803"/>
      <c r="AI29" s="3803"/>
      <c r="AJ29" s="3803"/>
      <c r="AK29" s="3803"/>
      <c r="AL29" s="3803"/>
      <c r="AM29" s="3803"/>
      <c r="AN29" s="3803"/>
      <c r="AO29" s="3803"/>
      <c r="AP29" s="3803"/>
      <c r="AQ29" s="3807"/>
      <c r="AR29" s="3807"/>
      <c r="AS29" s="3800"/>
    </row>
    <row r="30" spans="1:45" ht="30" x14ac:dyDescent="0.25">
      <c r="A30" s="1119" t="s">
        <v>294</v>
      </c>
      <c r="B30" s="1101" t="s">
        <v>294</v>
      </c>
      <c r="C30" s="1141"/>
      <c r="D30" s="1101"/>
      <c r="E30" s="1120" t="s">
        <v>294</v>
      </c>
      <c r="F30" s="1120" t="s">
        <v>294</v>
      </c>
      <c r="G30" s="3795">
        <v>4001018</v>
      </c>
      <c r="H30" s="3788" t="s">
        <v>1619</v>
      </c>
      <c r="I30" s="3795">
        <v>4001018</v>
      </c>
      <c r="J30" s="3788" t="s">
        <v>1619</v>
      </c>
      <c r="K30" s="3774">
        <v>400101800</v>
      </c>
      <c r="L30" s="3776" t="s">
        <v>1620</v>
      </c>
      <c r="M30" s="3774">
        <v>400101800</v>
      </c>
      <c r="N30" s="3776" t="s">
        <v>1620</v>
      </c>
      <c r="O30" s="3774">
        <v>75</v>
      </c>
      <c r="P30" s="3800"/>
      <c r="Q30" s="2237"/>
      <c r="R30" s="3808">
        <f>SUM(W30:W33)/S25</f>
        <v>0.16850869690470024</v>
      </c>
      <c r="S30" s="3801"/>
      <c r="T30" s="3776" t="s">
        <v>1612</v>
      </c>
      <c r="U30" s="2237"/>
      <c r="V30" s="961" t="s">
        <v>1620</v>
      </c>
      <c r="W30" s="1121">
        <v>107535901.095</v>
      </c>
      <c r="X30" s="1096" t="s">
        <v>1621</v>
      </c>
      <c r="Y30" s="1097">
        <v>3</v>
      </c>
      <c r="Z30" s="1097" t="s">
        <v>1577</v>
      </c>
      <c r="AA30" s="3803"/>
      <c r="AB30" s="3803"/>
      <c r="AC30" s="3803"/>
      <c r="AD30" s="3803"/>
      <c r="AE30" s="3803"/>
      <c r="AF30" s="3803"/>
      <c r="AG30" s="3803"/>
      <c r="AH30" s="3803"/>
      <c r="AI30" s="3803"/>
      <c r="AJ30" s="3803"/>
      <c r="AK30" s="3803"/>
      <c r="AL30" s="3803"/>
      <c r="AM30" s="3803"/>
      <c r="AN30" s="3803"/>
      <c r="AO30" s="3803"/>
      <c r="AP30" s="3803"/>
      <c r="AQ30" s="3807"/>
      <c r="AR30" s="3807"/>
      <c r="AS30" s="3800"/>
    </row>
    <row r="31" spans="1:45" ht="45" x14ac:dyDescent="0.25">
      <c r="A31" s="1119"/>
      <c r="B31" s="1101"/>
      <c r="C31" s="1141"/>
      <c r="D31" s="1101"/>
      <c r="E31" s="1120"/>
      <c r="F31" s="1120"/>
      <c r="G31" s="3811"/>
      <c r="H31" s="3812"/>
      <c r="I31" s="3811"/>
      <c r="J31" s="3812"/>
      <c r="K31" s="3800"/>
      <c r="L31" s="2237"/>
      <c r="M31" s="3800"/>
      <c r="N31" s="2237"/>
      <c r="O31" s="3800"/>
      <c r="P31" s="3800"/>
      <c r="Q31" s="2237"/>
      <c r="R31" s="3809"/>
      <c r="S31" s="3801"/>
      <c r="T31" s="2237"/>
      <c r="U31" s="3777"/>
      <c r="V31" s="961" t="s">
        <v>1605</v>
      </c>
      <c r="W31" s="1121">
        <v>36338563.094999999</v>
      </c>
      <c r="X31" s="1096" t="s">
        <v>1622</v>
      </c>
      <c r="Y31" s="1097">
        <v>3</v>
      </c>
      <c r="Z31" s="1097" t="s">
        <v>1577</v>
      </c>
      <c r="AA31" s="3803"/>
      <c r="AB31" s="3803"/>
      <c r="AC31" s="3803"/>
      <c r="AD31" s="3803"/>
      <c r="AE31" s="3803"/>
      <c r="AF31" s="3803"/>
      <c r="AG31" s="3803"/>
      <c r="AH31" s="3803"/>
      <c r="AI31" s="3803"/>
      <c r="AJ31" s="3803"/>
      <c r="AK31" s="3803"/>
      <c r="AL31" s="3803"/>
      <c r="AM31" s="3803"/>
      <c r="AN31" s="3803"/>
      <c r="AO31" s="3803"/>
      <c r="AP31" s="3803"/>
      <c r="AQ31" s="3807"/>
      <c r="AR31" s="3807"/>
      <c r="AS31" s="3800"/>
    </row>
    <row r="32" spans="1:45" ht="30" x14ac:dyDescent="0.25">
      <c r="A32" s="1119"/>
      <c r="B32" s="1101"/>
      <c r="C32" s="1141"/>
      <c r="D32" s="1101"/>
      <c r="E32" s="1120"/>
      <c r="F32" s="1120"/>
      <c r="G32" s="3811"/>
      <c r="H32" s="3812"/>
      <c r="I32" s="3811"/>
      <c r="J32" s="3812"/>
      <c r="K32" s="3800"/>
      <c r="L32" s="2237"/>
      <c r="M32" s="3800"/>
      <c r="N32" s="2237"/>
      <c r="O32" s="3800"/>
      <c r="P32" s="3800"/>
      <c r="Q32" s="2237"/>
      <c r="R32" s="3809"/>
      <c r="S32" s="3801"/>
      <c r="T32" s="2237"/>
      <c r="U32" s="3776" t="s">
        <v>1623</v>
      </c>
      <c r="V32" s="712" t="s">
        <v>1620</v>
      </c>
      <c r="W32" s="1121">
        <v>48710731.094999999</v>
      </c>
      <c r="X32" s="1096" t="s">
        <v>1621</v>
      </c>
      <c r="Y32" s="1097">
        <v>4</v>
      </c>
      <c r="Z32" s="1097" t="s">
        <v>1603</v>
      </c>
      <c r="AA32" s="3803"/>
      <c r="AB32" s="3803"/>
      <c r="AC32" s="3803"/>
      <c r="AD32" s="3803"/>
      <c r="AE32" s="3803"/>
      <c r="AF32" s="3803"/>
      <c r="AG32" s="3803"/>
      <c r="AH32" s="3803"/>
      <c r="AI32" s="3803"/>
      <c r="AJ32" s="3803"/>
      <c r="AK32" s="3803"/>
      <c r="AL32" s="3803"/>
      <c r="AM32" s="3803"/>
      <c r="AN32" s="3803"/>
      <c r="AO32" s="3803"/>
      <c r="AP32" s="3803"/>
      <c r="AQ32" s="3807"/>
      <c r="AR32" s="3807"/>
      <c r="AS32" s="3800"/>
    </row>
    <row r="33" spans="1:45" ht="45" x14ac:dyDescent="0.25">
      <c r="A33" s="1119"/>
      <c r="B33" s="1101"/>
      <c r="C33" s="1141"/>
      <c r="D33" s="1101"/>
      <c r="E33" s="1120"/>
      <c r="F33" s="1120"/>
      <c r="G33" s="3796"/>
      <c r="H33" s="3789"/>
      <c r="I33" s="3796"/>
      <c r="J33" s="3789"/>
      <c r="K33" s="3775"/>
      <c r="L33" s="3777"/>
      <c r="M33" s="3775"/>
      <c r="N33" s="3777"/>
      <c r="O33" s="3775"/>
      <c r="P33" s="3800"/>
      <c r="Q33" s="2237"/>
      <c r="R33" s="3810"/>
      <c r="S33" s="3801"/>
      <c r="T33" s="3777"/>
      <c r="U33" s="2237"/>
      <c r="V33" s="712" t="s">
        <v>1605</v>
      </c>
      <c r="W33" s="1121">
        <v>11127776.095000001</v>
      </c>
      <c r="X33" s="1096" t="s">
        <v>1622</v>
      </c>
      <c r="Y33" s="1097">
        <v>4</v>
      </c>
      <c r="Z33" s="1097" t="s">
        <v>1603</v>
      </c>
      <c r="AA33" s="3803"/>
      <c r="AB33" s="3803"/>
      <c r="AC33" s="3803"/>
      <c r="AD33" s="3803"/>
      <c r="AE33" s="3803"/>
      <c r="AF33" s="3803"/>
      <c r="AG33" s="3803"/>
      <c r="AH33" s="3803"/>
      <c r="AI33" s="3803"/>
      <c r="AJ33" s="3803"/>
      <c r="AK33" s="3803"/>
      <c r="AL33" s="3803"/>
      <c r="AM33" s="3803"/>
      <c r="AN33" s="3803"/>
      <c r="AO33" s="3803"/>
      <c r="AP33" s="3803"/>
      <c r="AQ33" s="3807"/>
      <c r="AR33" s="3807"/>
      <c r="AS33" s="3800"/>
    </row>
    <row r="34" spans="1:45" ht="120" x14ac:dyDescent="0.25">
      <c r="A34" s="1119" t="s">
        <v>294</v>
      </c>
      <c r="B34" s="1101" t="s">
        <v>294</v>
      </c>
      <c r="C34" s="1141"/>
      <c r="D34" s="1101"/>
      <c r="E34" s="1120" t="s">
        <v>294</v>
      </c>
      <c r="F34" s="1120" t="s">
        <v>294</v>
      </c>
      <c r="G34" s="1144">
        <v>4001030</v>
      </c>
      <c r="H34" s="1145" t="s">
        <v>1624</v>
      </c>
      <c r="I34" s="1144">
        <v>4001030</v>
      </c>
      <c r="J34" s="1145" t="s">
        <v>1624</v>
      </c>
      <c r="K34" s="1146">
        <v>400103000</v>
      </c>
      <c r="L34" s="1147" t="s">
        <v>670</v>
      </c>
      <c r="M34" s="1146">
        <v>400103000</v>
      </c>
      <c r="N34" s="1147" t="s">
        <v>670</v>
      </c>
      <c r="O34" s="1146">
        <v>3</v>
      </c>
      <c r="P34" s="3800"/>
      <c r="Q34" s="2237"/>
      <c r="R34" s="1148">
        <f>SUM(W34)/S25</f>
        <v>8.2496046861499864E-3</v>
      </c>
      <c r="S34" s="3801"/>
      <c r="T34" s="1147" t="s">
        <v>1612</v>
      </c>
      <c r="U34" s="2237"/>
      <c r="V34" s="959" t="s">
        <v>670</v>
      </c>
      <c r="W34" s="1152">
        <v>9973084.5600000005</v>
      </c>
      <c r="X34" s="1153" t="s">
        <v>1625</v>
      </c>
      <c r="Y34" s="1153">
        <v>4</v>
      </c>
      <c r="Z34" s="1153" t="s">
        <v>1603</v>
      </c>
      <c r="AA34" s="3803"/>
      <c r="AB34" s="3803"/>
      <c r="AC34" s="3803"/>
      <c r="AD34" s="3803"/>
      <c r="AE34" s="3803"/>
      <c r="AF34" s="3803"/>
      <c r="AG34" s="3803"/>
      <c r="AH34" s="3803"/>
      <c r="AI34" s="3803"/>
      <c r="AJ34" s="3803"/>
      <c r="AK34" s="3803"/>
      <c r="AL34" s="3803"/>
      <c r="AM34" s="3803"/>
      <c r="AN34" s="3803"/>
      <c r="AO34" s="3803"/>
      <c r="AP34" s="3803"/>
      <c r="AQ34" s="3807"/>
      <c r="AR34" s="3807"/>
      <c r="AS34" s="3800"/>
    </row>
    <row r="35" spans="1:45" ht="50.25" customHeight="1" x14ac:dyDescent="0.25">
      <c r="A35" s="1119" t="s">
        <v>294</v>
      </c>
      <c r="B35" s="1101" t="s">
        <v>294</v>
      </c>
      <c r="C35" s="1141"/>
      <c r="D35" s="1101"/>
      <c r="E35" s="1120" t="s">
        <v>294</v>
      </c>
      <c r="F35" s="1120" t="s">
        <v>294</v>
      </c>
      <c r="G35" s="3795">
        <v>4001031</v>
      </c>
      <c r="H35" s="3788" t="s">
        <v>1626</v>
      </c>
      <c r="I35" s="3795">
        <v>4001031</v>
      </c>
      <c r="J35" s="3788" t="s">
        <v>1626</v>
      </c>
      <c r="K35" s="3774">
        <v>400103103</v>
      </c>
      <c r="L35" s="3776" t="s">
        <v>1627</v>
      </c>
      <c r="M35" s="3774">
        <v>400103103</v>
      </c>
      <c r="N35" s="3776" t="s">
        <v>1627</v>
      </c>
      <c r="O35" s="3774">
        <v>8</v>
      </c>
      <c r="P35" s="3800"/>
      <c r="Q35" s="2237"/>
      <c r="R35" s="3808">
        <f>SUM(W35:W36)/S25</f>
        <v>0.49497628116899917</v>
      </c>
      <c r="S35" s="3801"/>
      <c r="T35" s="3776" t="s">
        <v>1612</v>
      </c>
      <c r="U35" s="2237"/>
      <c r="V35" s="1154" t="s">
        <v>1628</v>
      </c>
      <c r="W35" s="1149">
        <v>405579700.60000002</v>
      </c>
      <c r="X35" s="1150" t="s">
        <v>1629</v>
      </c>
      <c r="Y35" s="1151">
        <v>4</v>
      </c>
      <c r="Z35" s="1151" t="s">
        <v>1603</v>
      </c>
      <c r="AA35" s="3803"/>
      <c r="AB35" s="3803"/>
      <c r="AC35" s="3803"/>
      <c r="AD35" s="3803"/>
      <c r="AE35" s="3803"/>
      <c r="AF35" s="3803"/>
      <c r="AG35" s="3803"/>
      <c r="AH35" s="3803"/>
      <c r="AI35" s="3803"/>
      <c r="AJ35" s="3803"/>
      <c r="AK35" s="3803"/>
      <c r="AL35" s="3803"/>
      <c r="AM35" s="3803"/>
      <c r="AN35" s="3803"/>
      <c r="AO35" s="3803"/>
      <c r="AP35" s="3803"/>
      <c r="AQ35" s="3807"/>
      <c r="AR35" s="3807"/>
      <c r="AS35" s="3800"/>
    </row>
    <row r="36" spans="1:45" ht="50.25" customHeight="1" x14ac:dyDescent="0.25">
      <c r="A36" s="1119"/>
      <c r="B36" s="1101"/>
      <c r="C36" s="1141"/>
      <c r="D36" s="1101"/>
      <c r="E36" s="1120"/>
      <c r="F36" s="1120"/>
      <c r="G36" s="3796"/>
      <c r="H36" s="3789"/>
      <c r="I36" s="3796"/>
      <c r="J36" s="3789"/>
      <c r="K36" s="3775"/>
      <c r="L36" s="3777"/>
      <c r="M36" s="3775"/>
      <c r="N36" s="3777"/>
      <c r="O36" s="3775"/>
      <c r="P36" s="3800"/>
      <c r="Q36" s="2237"/>
      <c r="R36" s="3810"/>
      <c r="S36" s="3801"/>
      <c r="T36" s="3777"/>
      <c r="U36" s="2237"/>
      <c r="V36" s="712" t="s">
        <v>1605</v>
      </c>
      <c r="W36" s="1121">
        <v>192805373</v>
      </c>
      <c r="X36" s="1096" t="s">
        <v>1630</v>
      </c>
      <c r="Y36" s="1097">
        <v>4</v>
      </c>
      <c r="Z36" s="1097" t="s">
        <v>1603</v>
      </c>
      <c r="AA36" s="3803"/>
      <c r="AB36" s="3803"/>
      <c r="AC36" s="3803"/>
      <c r="AD36" s="3803"/>
      <c r="AE36" s="3803"/>
      <c r="AF36" s="3803"/>
      <c r="AG36" s="3803"/>
      <c r="AH36" s="3803"/>
      <c r="AI36" s="3803"/>
      <c r="AJ36" s="3803"/>
      <c r="AK36" s="3803"/>
      <c r="AL36" s="3803"/>
      <c r="AM36" s="3803"/>
      <c r="AN36" s="3803"/>
      <c r="AO36" s="3803"/>
      <c r="AP36" s="3803"/>
      <c r="AQ36" s="3807"/>
      <c r="AR36" s="3807"/>
      <c r="AS36" s="3800"/>
    </row>
    <row r="37" spans="1:45" ht="50.25" customHeight="1" x14ac:dyDescent="0.25">
      <c r="A37" s="1119" t="s">
        <v>294</v>
      </c>
      <c r="B37" s="1101" t="s">
        <v>294</v>
      </c>
      <c r="C37" s="1141"/>
      <c r="D37" s="1101"/>
      <c r="E37" s="1120" t="s">
        <v>294</v>
      </c>
      <c r="F37" s="1120" t="s">
        <v>294</v>
      </c>
      <c r="G37" s="3795">
        <v>4001014</v>
      </c>
      <c r="H37" s="3788" t="s">
        <v>1631</v>
      </c>
      <c r="I37" s="3795">
        <v>4001014</v>
      </c>
      <c r="J37" s="3788" t="s">
        <v>1631</v>
      </c>
      <c r="K37" s="3774">
        <v>400101400</v>
      </c>
      <c r="L37" s="3776" t="s">
        <v>1631</v>
      </c>
      <c r="M37" s="3774">
        <v>400101400</v>
      </c>
      <c r="N37" s="3776" t="s">
        <v>1631</v>
      </c>
      <c r="O37" s="3774">
        <v>35</v>
      </c>
      <c r="P37" s="3800"/>
      <c r="Q37" s="2237"/>
      <c r="R37" s="3808">
        <f>SUM(W37:W40)/S25</f>
        <v>8.4254348452350122E-2</v>
      </c>
      <c r="S37" s="3801"/>
      <c r="T37" s="3776" t="s">
        <v>1612</v>
      </c>
      <c r="U37" s="2237"/>
      <c r="V37" s="712" t="s">
        <v>1631</v>
      </c>
      <c r="W37" s="1121">
        <v>57179838.172499999</v>
      </c>
      <c r="X37" s="1096" t="s">
        <v>1632</v>
      </c>
      <c r="Y37" s="1097">
        <v>3</v>
      </c>
      <c r="Z37" s="1097" t="s">
        <v>1577</v>
      </c>
      <c r="AA37" s="3803"/>
      <c r="AB37" s="3803"/>
      <c r="AC37" s="3803"/>
      <c r="AD37" s="3803"/>
      <c r="AE37" s="3803"/>
      <c r="AF37" s="3803"/>
      <c r="AG37" s="3803"/>
      <c r="AH37" s="3803"/>
      <c r="AI37" s="3803"/>
      <c r="AJ37" s="3803"/>
      <c r="AK37" s="3803"/>
      <c r="AL37" s="3803"/>
      <c r="AM37" s="3803"/>
      <c r="AN37" s="3803"/>
      <c r="AO37" s="3803"/>
      <c r="AP37" s="3803"/>
      <c r="AQ37" s="3807"/>
      <c r="AR37" s="3807"/>
      <c r="AS37" s="3800"/>
    </row>
    <row r="38" spans="1:45" ht="50.25" customHeight="1" x14ac:dyDescent="0.25">
      <c r="A38" s="1119"/>
      <c r="B38" s="1101"/>
      <c r="C38" s="1141"/>
      <c r="D38" s="1101"/>
      <c r="E38" s="1120"/>
      <c r="F38" s="1120"/>
      <c r="G38" s="3811"/>
      <c r="H38" s="3812"/>
      <c r="I38" s="3811"/>
      <c r="J38" s="3812"/>
      <c r="K38" s="3800"/>
      <c r="L38" s="2237"/>
      <c r="M38" s="3800"/>
      <c r="N38" s="2237"/>
      <c r="O38" s="3800"/>
      <c r="P38" s="3800"/>
      <c r="Q38" s="2237"/>
      <c r="R38" s="3809"/>
      <c r="S38" s="3801"/>
      <c r="T38" s="2237"/>
      <c r="U38" s="2237"/>
      <c r="V38" s="712" t="s">
        <v>1605</v>
      </c>
      <c r="W38" s="1121">
        <v>14757394.172499999</v>
      </c>
      <c r="X38" s="1096" t="s">
        <v>1633</v>
      </c>
      <c r="Y38" s="1097">
        <v>3</v>
      </c>
      <c r="Z38" s="1097" t="s">
        <v>1577</v>
      </c>
      <c r="AA38" s="3803"/>
      <c r="AB38" s="3803"/>
      <c r="AC38" s="3803"/>
      <c r="AD38" s="3803"/>
      <c r="AE38" s="3803"/>
      <c r="AF38" s="3803"/>
      <c r="AG38" s="3803"/>
      <c r="AH38" s="3803"/>
      <c r="AI38" s="3803"/>
      <c r="AJ38" s="3803"/>
      <c r="AK38" s="3803"/>
      <c r="AL38" s="3803"/>
      <c r="AM38" s="3803"/>
      <c r="AN38" s="3803"/>
      <c r="AO38" s="3803"/>
      <c r="AP38" s="3803"/>
      <c r="AQ38" s="3807"/>
      <c r="AR38" s="3807"/>
      <c r="AS38" s="3800"/>
    </row>
    <row r="39" spans="1:45" ht="50.25" customHeight="1" x14ac:dyDescent="0.25">
      <c r="A39" s="1119"/>
      <c r="B39" s="1101"/>
      <c r="C39" s="1141"/>
      <c r="D39" s="1101"/>
      <c r="E39" s="1120"/>
      <c r="F39" s="1120"/>
      <c r="G39" s="3811"/>
      <c r="H39" s="3812"/>
      <c r="I39" s="3811"/>
      <c r="J39" s="3812"/>
      <c r="K39" s="3800"/>
      <c r="L39" s="2237"/>
      <c r="M39" s="3800"/>
      <c r="N39" s="2237"/>
      <c r="O39" s="3800"/>
      <c r="P39" s="3800"/>
      <c r="Q39" s="2237"/>
      <c r="R39" s="3809"/>
      <c r="S39" s="3801"/>
      <c r="T39" s="2237"/>
      <c r="U39" s="2237"/>
      <c r="V39" s="712" t="s">
        <v>1631</v>
      </c>
      <c r="W39" s="1121">
        <v>27767253.172499999</v>
      </c>
      <c r="X39" s="1096" t="s">
        <v>1632</v>
      </c>
      <c r="Y39" s="1097">
        <v>4</v>
      </c>
      <c r="Z39" s="1097" t="s">
        <v>1603</v>
      </c>
      <c r="AA39" s="3803"/>
      <c r="AB39" s="3803"/>
      <c r="AC39" s="3803"/>
      <c r="AD39" s="3803"/>
      <c r="AE39" s="3803"/>
      <c r="AF39" s="3803"/>
      <c r="AG39" s="3803"/>
      <c r="AH39" s="3803"/>
      <c r="AI39" s="3803"/>
      <c r="AJ39" s="3803"/>
      <c r="AK39" s="3803"/>
      <c r="AL39" s="3803"/>
      <c r="AM39" s="3803"/>
      <c r="AN39" s="3803"/>
      <c r="AO39" s="3803"/>
      <c r="AP39" s="3803"/>
      <c r="AQ39" s="3807"/>
      <c r="AR39" s="3807"/>
      <c r="AS39" s="3800"/>
    </row>
    <row r="40" spans="1:45" ht="50.25" customHeight="1" x14ac:dyDescent="0.25">
      <c r="A40" s="1119"/>
      <c r="B40" s="1101"/>
      <c r="C40" s="1141"/>
      <c r="D40" s="1101"/>
      <c r="E40" s="1120"/>
      <c r="F40" s="1120"/>
      <c r="G40" s="3796"/>
      <c r="H40" s="3789"/>
      <c r="I40" s="3796"/>
      <c r="J40" s="3789"/>
      <c r="K40" s="3775"/>
      <c r="L40" s="3777"/>
      <c r="M40" s="3775"/>
      <c r="N40" s="3777"/>
      <c r="O40" s="3775"/>
      <c r="P40" s="3800"/>
      <c r="Q40" s="2237"/>
      <c r="R40" s="3810"/>
      <c r="S40" s="3801"/>
      <c r="T40" s="3777"/>
      <c r="U40" s="2237"/>
      <c r="V40" s="712" t="s">
        <v>1605</v>
      </c>
      <c r="W40" s="1121">
        <v>2152000.1724999999</v>
      </c>
      <c r="X40" s="1096" t="s">
        <v>1633</v>
      </c>
      <c r="Y40" s="1097">
        <v>4</v>
      </c>
      <c r="Z40" s="1097" t="s">
        <v>1603</v>
      </c>
      <c r="AA40" s="3803"/>
      <c r="AB40" s="3803"/>
      <c r="AC40" s="3803"/>
      <c r="AD40" s="3803"/>
      <c r="AE40" s="3803"/>
      <c r="AF40" s="3803"/>
      <c r="AG40" s="3803"/>
      <c r="AH40" s="3803"/>
      <c r="AI40" s="3803"/>
      <c r="AJ40" s="3803"/>
      <c r="AK40" s="3803"/>
      <c r="AL40" s="3803"/>
      <c r="AM40" s="3803"/>
      <c r="AN40" s="3803"/>
      <c r="AO40" s="3803"/>
      <c r="AP40" s="3803"/>
      <c r="AQ40" s="3807"/>
      <c r="AR40" s="3807"/>
      <c r="AS40" s="3800"/>
    </row>
    <row r="41" spans="1:45" ht="50.25" customHeight="1" x14ac:dyDescent="0.25">
      <c r="A41" s="1119" t="s">
        <v>294</v>
      </c>
      <c r="B41" s="1101" t="s">
        <v>294</v>
      </c>
      <c r="C41" s="1141"/>
      <c r="D41" s="1101"/>
      <c r="E41" s="1120" t="s">
        <v>294</v>
      </c>
      <c r="F41" s="1120" t="s">
        <v>294</v>
      </c>
      <c r="G41" s="3795">
        <v>4001015</v>
      </c>
      <c r="H41" s="3788" t="s">
        <v>605</v>
      </c>
      <c r="I41" s="3795">
        <v>4001015</v>
      </c>
      <c r="J41" s="3788" t="s">
        <v>605</v>
      </c>
      <c r="K41" s="3774">
        <v>400101500</v>
      </c>
      <c r="L41" s="3776" t="s">
        <v>605</v>
      </c>
      <c r="M41" s="3774">
        <v>400101500</v>
      </c>
      <c r="N41" s="3776" t="s">
        <v>605</v>
      </c>
      <c r="O41" s="3774">
        <v>50</v>
      </c>
      <c r="P41" s="3800"/>
      <c r="Q41" s="2237"/>
      <c r="R41" s="3808">
        <f>SUM(W41:W44)/S25</f>
        <v>0.16850869690470024</v>
      </c>
      <c r="S41" s="3801"/>
      <c r="T41" s="3776" t="s">
        <v>1612</v>
      </c>
      <c r="U41" s="2237"/>
      <c r="V41" s="712" t="s">
        <v>605</v>
      </c>
      <c r="W41" s="1121">
        <v>107535901.095</v>
      </c>
      <c r="X41" s="1096" t="s">
        <v>1634</v>
      </c>
      <c r="Y41" s="1097">
        <v>3</v>
      </c>
      <c r="Z41" s="1097" t="s">
        <v>1577</v>
      </c>
      <c r="AA41" s="3803"/>
      <c r="AB41" s="3803"/>
      <c r="AC41" s="3803"/>
      <c r="AD41" s="3803"/>
      <c r="AE41" s="3803"/>
      <c r="AF41" s="3803"/>
      <c r="AG41" s="3803"/>
      <c r="AH41" s="3803"/>
      <c r="AI41" s="3803"/>
      <c r="AJ41" s="3803"/>
      <c r="AK41" s="3803"/>
      <c r="AL41" s="3803"/>
      <c r="AM41" s="3803"/>
      <c r="AN41" s="3803"/>
      <c r="AO41" s="3803"/>
      <c r="AP41" s="3803"/>
      <c r="AQ41" s="3807"/>
      <c r="AR41" s="3807"/>
      <c r="AS41" s="3800"/>
    </row>
    <row r="42" spans="1:45" ht="50.25" customHeight="1" x14ac:dyDescent="0.25">
      <c r="A42" s="1119"/>
      <c r="B42" s="1101"/>
      <c r="C42" s="1141"/>
      <c r="D42" s="1101"/>
      <c r="E42" s="1120"/>
      <c r="F42" s="1120"/>
      <c r="G42" s="3811"/>
      <c r="H42" s="3812"/>
      <c r="I42" s="3811"/>
      <c r="J42" s="3812"/>
      <c r="K42" s="3800"/>
      <c r="L42" s="2237"/>
      <c r="M42" s="3800"/>
      <c r="N42" s="2237"/>
      <c r="O42" s="3800"/>
      <c r="P42" s="3800"/>
      <c r="Q42" s="2237"/>
      <c r="R42" s="3809"/>
      <c r="S42" s="3801"/>
      <c r="T42" s="2237"/>
      <c r="U42" s="2237"/>
      <c r="V42" s="712" t="s">
        <v>1605</v>
      </c>
      <c r="W42" s="1121">
        <v>36338563.094999999</v>
      </c>
      <c r="X42" s="1096" t="s">
        <v>1635</v>
      </c>
      <c r="Y42" s="1097">
        <v>3</v>
      </c>
      <c r="Z42" s="1097" t="s">
        <v>1577</v>
      </c>
      <c r="AA42" s="3803"/>
      <c r="AB42" s="3803"/>
      <c r="AC42" s="3803"/>
      <c r="AD42" s="3803"/>
      <c r="AE42" s="3803"/>
      <c r="AF42" s="3803"/>
      <c r="AG42" s="3803"/>
      <c r="AH42" s="3803"/>
      <c r="AI42" s="3803"/>
      <c r="AJ42" s="3803"/>
      <c r="AK42" s="3803"/>
      <c r="AL42" s="3803"/>
      <c r="AM42" s="3803"/>
      <c r="AN42" s="3803"/>
      <c r="AO42" s="3803"/>
      <c r="AP42" s="3803"/>
      <c r="AQ42" s="3807"/>
      <c r="AR42" s="3807"/>
      <c r="AS42" s="3800"/>
    </row>
    <row r="43" spans="1:45" ht="50.25" customHeight="1" x14ac:dyDescent="0.25">
      <c r="A43" s="1119"/>
      <c r="B43" s="1101"/>
      <c r="C43" s="1141"/>
      <c r="D43" s="1101"/>
      <c r="E43" s="1120"/>
      <c r="F43" s="1120"/>
      <c r="G43" s="3811"/>
      <c r="H43" s="3812"/>
      <c r="I43" s="3811"/>
      <c r="J43" s="3812"/>
      <c r="K43" s="3800"/>
      <c r="L43" s="2237"/>
      <c r="M43" s="3800"/>
      <c r="N43" s="2237"/>
      <c r="O43" s="3800"/>
      <c r="P43" s="3800"/>
      <c r="Q43" s="2237"/>
      <c r="R43" s="3809"/>
      <c r="S43" s="3801"/>
      <c r="T43" s="2237"/>
      <c r="U43" s="2237"/>
      <c r="V43" s="712" t="s">
        <v>605</v>
      </c>
      <c r="W43" s="1121">
        <v>48710731.094999999</v>
      </c>
      <c r="X43" s="1096" t="s">
        <v>1634</v>
      </c>
      <c r="Y43" s="1097">
        <v>4</v>
      </c>
      <c r="Z43" s="1097" t="s">
        <v>1603</v>
      </c>
      <c r="AA43" s="3803"/>
      <c r="AB43" s="3803"/>
      <c r="AC43" s="3803"/>
      <c r="AD43" s="3803"/>
      <c r="AE43" s="3803"/>
      <c r="AF43" s="3803"/>
      <c r="AG43" s="3803"/>
      <c r="AH43" s="3803"/>
      <c r="AI43" s="3803"/>
      <c r="AJ43" s="3803"/>
      <c r="AK43" s="3803"/>
      <c r="AL43" s="3803"/>
      <c r="AM43" s="3803"/>
      <c r="AN43" s="3803"/>
      <c r="AO43" s="3803"/>
      <c r="AP43" s="3803"/>
      <c r="AQ43" s="3807"/>
      <c r="AR43" s="3807"/>
      <c r="AS43" s="3800"/>
    </row>
    <row r="44" spans="1:45" ht="50.25" customHeight="1" x14ac:dyDescent="0.25">
      <c r="A44" s="1122"/>
      <c r="B44" s="1097"/>
      <c r="C44" s="1142"/>
      <c r="D44" s="1097"/>
      <c r="E44" s="1155"/>
      <c r="F44" s="1155"/>
      <c r="G44" s="3796"/>
      <c r="H44" s="3789"/>
      <c r="I44" s="3796"/>
      <c r="J44" s="3789"/>
      <c r="K44" s="3775"/>
      <c r="L44" s="3777"/>
      <c r="M44" s="3775"/>
      <c r="N44" s="3777"/>
      <c r="O44" s="3775"/>
      <c r="P44" s="3775"/>
      <c r="Q44" s="3777"/>
      <c r="R44" s="3813"/>
      <c r="S44" s="3793"/>
      <c r="T44" s="3777"/>
      <c r="U44" s="2237"/>
      <c r="V44" s="712" t="s">
        <v>1605</v>
      </c>
      <c r="W44" s="1121">
        <v>11127776.095000001</v>
      </c>
      <c r="X44" s="1096" t="s">
        <v>1635</v>
      </c>
      <c r="Y44" s="1097">
        <v>4</v>
      </c>
      <c r="Z44" s="1097" t="s">
        <v>1603</v>
      </c>
      <c r="AA44" s="3804"/>
      <c r="AB44" s="3804"/>
      <c r="AC44" s="3804"/>
      <c r="AD44" s="3804"/>
      <c r="AE44" s="3804"/>
      <c r="AF44" s="3804"/>
      <c r="AG44" s="3804"/>
      <c r="AH44" s="3804"/>
      <c r="AI44" s="3804"/>
      <c r="AJ44" s="3804"/>
      <c r="AK44" s="3804"/>
      <c r="AL44" s="3804"/>
      <c r="AM44" s="3804"/>
      <c r="AN44" s="3804"/>
      <c r="AO44" s="3804"/>
      <c r="AP44" s="3804"/>
      <c r="AQ44" s="3787"/>
      <c r="AR44" s="3787"/>
      <c r="AS44" s="3775"/>
    </row>
    <row r="45" spans="1:45" ht="28.5" customHeight="1" x14ac:dyDescent="0.25">
      <c r="A45" s="1156" t="s">
        <v>294</v>
      </c>
      <c r="B45" s="1156" t="s">
        <v>294</v>
      </c>
      <c r="C45" s="1156"/>
      <c r="D45" s="1156"/>
      <c r="E45" s="1156" t="s">
        <v>294</v>
      </c>
      <c r="F45" s="1156" t="s">
        <v>294</v>
      </c>
      <c r="G45" s="1156" t="s">
        <v>294</v>
      </c>
      <c r="H45" s="1156" t="s">
        <v>294</v>
      </c>
      <c r="I45" s="1156"/>
      <c r="J45" s="1156"/>
      <c r="K45" s="1156" t="s">
        <v>294</v>
      </c>
      <c r="L45" s="1156" t="s">
        <v>294</v>
      </c>
      <c r="M45" s="1156"/>
      <c r="N45" s="1156"/>
      <c r="O45" s="1156" t="s">
        <v>294</v>
      </c>
      <c r="P45" s="1156" t="s">
        <v>294</v>
      </c>
      <c r="Q45" s="1156" t="s">
        <v>294</v>
      </c>
      <c r="R45" s="1156" t="s">
        <v>294</v>
      </c>
      <c r="S45" s="1157">
        <f>SUM(S12:S44)</f>
        <v>2024983198.8000002</v>
      </c>
      <c r="T45" s="1156" t="s">
        <v>294</v>
      </c>
      <c r="U45" s="1156" t="s">
        <v>294</v>
      </c>
      <c r="V45" s="1158" t="s">
        <v>294</v>
      </c>
      <c r="W45" s="1157">
        <f>SUM(W12:W44)</f>
        <v>2024983198.7999997</v>
      </c>
      <c r="X45" s="1156" t="s">
        <v>294</v>
      </c>
      <c r="Y45" s="1156" t="s">
        <v>294</v>
      </c>
      <c r="Z45" s="1156" t="s">
        <v>294</v>
      </c>
      <c r="AA45" s="1159" t="s">
        <v>294</v>
      </c>
      <c r="AB45" s="1159" t="s">
        <v>294</v>
      </c>
      <c r="AC45" s="1159" t="s">
        <v>294</v>
      </c>
      <c r="AD45" s="1159" t="s">
        <v>294</v>
      </c>
      <c r="AE45" s="1159" t="s">
        <v>294</v>
      </c>
      <c r="AF45" s="1159" t="s">
        <v>294</v>
      </c>
      <c r="AG45" s="1159" t="s">
        <v>294</v>
      </c>
      <c r="AH45" s="1159" t="s">
        <v>294</v>
      </c>
      <c r="AI45" s="1159" t="s">
        <v>294</v>
      </c>
      <c r="AJ45" s="1159" t="s">
        <v>294</v>
      </c>
      <c r="AK45" s="1159" t="s">
        <v>294</v>
      </c>
      <c r="AL45" s="1159" t="s">
        <v>294</v>
      </c>
      <c r="AM45" s="1159" t="s">
        <v>294</v>
      </c>
      <c r="AN45" s="1159" t="s">
        <v>294</v>
      </c>
      <c r="AO45" s="1159" t="s">
        <v>294</v>
      </c>
      <c r="AP45" s="1159" t="s">
        <v>294</v>
      </c>
      <c r="AQ45" s="1160" t="s">
        <v>294</v>
      </c>
      <c r="AR45" s="1160" t="s">
        <v>294</v>
      </c>
      <c r="AS45" s="1161" t="s">
        <v>294</v>
      </c>
    </row>
  </sheetData>
  <sheetProtection algorithmName="SHA-512" hashValue="W8P7qSuAUQDKVAKOjYNlwFkmkD6Jgwu9z2Gih17PoeB6sAYETgKv5hiK23T+KKXevpfBOu8spv6SUPoRDUN1+g==" saltValue="L/Vav9utohk55Zbla6KGyw==" spinCount="100000" sheet="1" objects="1" scenarios="1"/>
  <mergeCells count="202">
    <mergeCell ref="O41:O44"/>
    <mergeCell ref="R41:R44"/>
    <mergeCell ref="T41:T44"/>
    <mergeCell ref="O37:O40"/>
    <mergeCell ref="R37:R40"/>
    <mergeCell ref="T37:T40"/>
    <mergeCell ref="G41:G44"/>
    <mergeCell ref="H41:H44"/>
    <mergeCell ref="I41:I44"/>
    <mergeCell ref="J41:J44"/>
    <mergeCell ref="K41:K44"/>
    <mergeCell ref="L41:L44"/>
    <mergeCell ref="M41:M44"/>
    <mergeCell ref="G37:G40"/>
    <mergeCell ref="H37:H40"/>
    <mergeCell ref="I37:I40"/>
    <mergeCell ref="J37:J40"/>
    <mergeCell ref="K37:K40"/>
    <mergeCell ref="L37:L40"/>
    <mergeCell ref="M37:M40"/>
    <mergeCell ref="N37:N40"/>
    <mergeCell ref="N41:N44"/>
    <mergeCell ref="M35:M36"/>
    <mergeCell ref="N35:N36"/>
    <mergeCell ref="O35:O36"/>
    <mergeCell ref="L30:L33"/>
    <mergeCell ref="M30:M33"/>
    <mergeCell ref="N30:N33"/>
    <mergeCell ref="O30:O33"/>
    <mergeCell ref="R30:R33"/>
    <mergeCell ref="T30:T33"/>
    <mergeCell ref="R35:R36"/>
    <mergeCell ref="T35:T36"/>
    <mergeCell ref="AM25:AM44"/>
    <mergeCell ref="M26:M29"/>
    <mergeCell ref="N26:N29"/>
    <mergeCell ref="O26:O29"/>
    <mergeCell ref="R26:R29"/>
    <mergeCell ref="T26:T29"/>
    <mergeCell ref="G30:G33"/>
    <mergeCell ref="H30:H33"/>
    <mergeCell ref="I30:I33"/>
    <mergeCell ref="J30:J33"/>
    <mergeCell ref="K30:K33"/>
    <mergeCell ref="G26:G29"/>
    <mergeCell ref="H26:H29"/>
    <mergeCell ref="I26:I29"/>
    <mergeCell ref="J26:J29"/>
    <mergeCell ref="K26:K29"/>
    <mergeCell ref="L26:L29"/>
    <mergeCell ref="U32:U44"/>
    <mergeCell ref="G35:G36"/>
    <mergeCell ref="H35:H36"/>
    <mergeCell ref="I35:I36"/>
    <mergeCell ref="J35:J36"/>
    <mergeCell ref="K35:K36"/>
    <mergeCell ref="L35:L36"/>
    <mergeCell ref="AB25:AB44"/>
    <mergeCell ref="AC25:AC44"/>
    <mergeCell ref="AD25:AD44"/>
    <mergeCell ref="AE25:AE44"/>
    <mergeCell ref="AF25:AF44"/>
    <mergeCell ref="AG25:AG44"/>
    <mergeCell ref="AQ21:AQ22"/>
    <mergeCell ref="AR21:AR22"/>
    <mergeCell ref="AS21:AS22"/>
    <mergeCell ref="AM21:AM22"/>
    <mergeCell ref="AN21:AN22"/>
    <mergeCell ref="AO21:AO22"/>
    <mergeCell ref="AP21:AP22"/>
    <mergeCell ref="AN25:AN44"/>
    <mergeCell ref="AO25:AO44"/>
    <mergeCell ref="AP25:AP44"/>
    <mergeCell ref="AQ25:AQ44"/>
    <mergeCell ref="AR25:AR44"/>
    <mergeCell ref="AS25:AS44"/>
    <mergeCell ref="AH25:AH44"/>
    <mergeCell ref="AI25:AI44"/>
    <mergeCell ref="AJ25:AJ44"/>
    <mergeCell ref="AK25:AK44"/>
    <mergeCell ref="AL25:AL44"/>
    <mergeCell ref="D23:H23"/>
    <mergeCell ref="F24:O24"/>
    <mergeCell ref="P25:P44"/>
    <mergeCell ref="Q25:Q44"/>
    <mergeCell ref="S25:S44"/>
    <mergeCell ref="U25:U31"/>
    <mergeCell ref="AA25:AA44"/>
    <mergeCell ref="AK21:AK22"/>
    <mergeCell ref="AL21:AL22"/>
    <mergeCell ref="AE21:AE22"/>
    <mergeCell ref="AF21:AF22"/>
    <mergeCell ref="AG21:AG22"/>
    <mergeCell ref="AH21:AH22"/>
    <mergeCell ref="AI21:AI22"/>
    <mergeCell ref="AJ21:AJ22"/>
    <mergeCell ref="S21:S22"/>
    <mergeCell ref="T21:T22"/>
    <mergeCell ref="AA21:AA22"/>
    <mergeCell ref="AB21:AB22"/>
    <mergeCell ref="AC21:AC22"/>
    <mergeCell ref="AD21:AD22"/>
    <mergeCell ref="M21:M22"/>
    <mergeCell ref="N21:N22"/>
    <mergeCell ref="O21:O22"/>
    <mergeCell ref="AR16:AR17"/>
    <mergeCell ref="AS16:AS17"/>
    <mergeCell ref="B18:F18"/>
    <mergeCell ref="F20:P20"/>
    <mergeCell ref="G21:G22"/>
    <mergeCell ref="H21:H22"/>
    <mergeCell ref="I21:I22"/>
    <mergeCell ref="J21:J22"/>
    <mergeCell ref="K21:K22"/>
    <mergeCell ref="L21:L22"/>
    <mergeCell ref="AL16:AL17"/>
    <mergeCell ref="AM16:AM17"/>
    <mergeCell ref="AN16:AN17"/>
    <mergeCell ref="AO16:AO17"/>
    <mergeCell ref="AP16:AP17"/>
    <mergeCell ref="AQ16:AQ17"/>
    <mergeCell ref="AF16:AF17"/>
    <mergeCell ref="AG16:AG17"/>
    <mergeCell ref="AH16:AH17"/>
    <mergeCell ref="AI16:AI17"/>
    <mergeCell ref="AJ16:AJ17"/>
    <mergeCell ref="N16:N17"/>
    <mergeCell ref="O16:O17"/>
    <mergeCell ref="P16:P17"/>
    <mergeCell ref="S16:S17"/>
    <mergeCell ref="P21:P22"/>
    <mergeCell ref="Q21:Q22"/>
    <mergeCell ref="R21:R22"/>
    <mergeCell ref="S12:S13"/>
    <mergeCell ref="T12:T13"/>
    <mergeCell ref="AK16:AK17"/>
    <mergeCell ref="T16:T17"/>
    <mergeCell ref="AA16:AA17"/>
    <mergeCell ref="AB16:AB17"/>
    <mergeCell ref="AC16:AC17"/>
    <mergeCell ref="AD16:AD17"/>
    <mergeCell ref="AE16:AE17"/>
    <mergeCell ref="Q12:Q13"/>
    <mergeCell ref="R12:R13"/>
    <mergeCell ref="AQ12:AQ13"/>
    <mergeCell ref="AR12:AR13"/>
    <mergeCell ref="AS12:AS13"/>
    <mergeCell ref="G16:G17"/>
    <mergeCell ref="H16:H17"/>
    <mergeCell ref="I16:I17"/>
    <mergeCell ref="J16:J17"/>
    <mergeCell ref="K16:K17"/>
    <mergeCell ref="L16:L17"/>
    <mergeCell ref="M16:M17"/>
    <mergeCell ref="AK12:AK13"/>
    <mergeCell ref="AL12:AL13"/>
    <mergeCell ref="AM12:AM13"/>
    <mergeCell ref="AN12:AN13"/>
    <mergeCell ref="AO12:AO13"/>
    <mergeCell ref="AP12:AP13"/>
    <mergeCell ref="AE12:AE13"/>
    <mergeCell ref="AF12:AF13"/>
    <mergeCell ref="AG12:AG13"/>
    <mergeCell ref="AH12:AH13"/>
    <mergeCell ref="AI12:AI13"/>
    <mergeCell ref="AJ12:AJ13"/>
    <mergeCell ref="Q16:Q17"/>
    <mergeCell ref="R16:R17"/>
    <mergeCell ref="AS7:AS8"/>
    <mergeCell ref="B9:F9"/>
    <mergeCell ref="D10:H10"/>
    <mergeCell ref="F11:S11"/>
    <mergeCell ref="G12:G13"/>
    <mergeCell ref="H12:H13"/>
    <mergeCell ref="I12:I13"/>
    <mergeCell ref="J12:J13"/>
    <mergeCell ref="K12:K13"/>
    <mergeCell ref="L12:L13"/>
    <mergeCell ref="AC7:AF7"/>
    <mergeCell ref="AG7:AL7"/>
    <mergeCell ref="AM7:AO7"/>
    <mergeCell ref="AP7:AP8"/>
    <mergeCell ref="AQ7:AQ8"/>
    <mergeCell ref="AR7:AR8"/>
    <mergeCell ref="AA12:AA13"/>
    <mergeCell ref="AB12:AB13"/>
    <mergeCell ref="AC12:AC13"/>
    <mergeCell ref="AD12:AD13"/>
    <mergeCell ref="M12:M13"/>
    <mergeCell ref="N12:N13"/>
    <mergeCell ref="O12:O13"/>
    <mergeCell ref="P12:P13"/>
    <mergeCell ref="A1:AQ4"/>
    <mergeCell ref="A5:O6"/>
    <mergeCell ref="A7:B7"/>
    <mergeCell ref="C7:D7"/>
    <mergeCell ref="E7:F7"/>
    <mergeCell ref="G7:J7"/>
    <mergeCell ref="K7:N7"/>
    <mergeCell ref="O7:W7"/>
    <mergeCell ref="X7:Z7"/>
    <mergeCell ref="AA7:AB7"/>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L35"/>
  <sheetViews>
    <sheetView showGridLines="0" zoomScale="70" zoomScaleNormal="70" workbookViewId="0">
      <selection sqref="A1:AQ4"/>
    </sheetView>
  </sheetViews>
  <sheetFormatPr baseColWidth="10" defaultColWidth="9.140625" defaultRowHeight="14.25" x14ac:dyDescent="0.25"/>
  <cols>
    <col min="1" max="1" width="13.28515625" style="706" customWidth="1"/>
    <col min="2" max="4" width="15.140625" style="706" customWidth="1"/>
    <col min="5" max="5" width="12" style="706" customWidth="1"/>
    <col min="6" max="6" width="11.85546875" style="706" customWidth="1"/>
    <col min="7" max="7" width="15.5703125" style="706" customWidth="1"/>
    <col min="8" max="8" width="37" style="706" customWidth="1"/>
    <col min="9" max="9" width="20.140625" style="706" customWidth="1"/>
    <col min="10" max="10" width="37" style="706" customWidth="1"/>
    <col min="11" max="11" width="14.85546875" style="706" customWidth="1"/>
    <col min="12" max="14" width="26" style="706" customWidth="1"/>
    <col min="15" max="15" width="9.140625" style="706" bestFit="1" customWidth="1"/>
    <col min="16" max="16" width="24.5703125" style="706" customWidth="1"/>
    <col min="17" max="17" width="28.140625" style="706" customWidth="1"/>
    <col min="18" max="18" width="16.5703125" style="706" customWidth="1"/>
    <col min="19" max="19" width="23.7109375" style="706" customWidth="1"/>
    <col min="20" max="20" width="22.140625" style="706" customWidth="1"/>
    <col min="21" max="21" width="26.140625" style="706" customWidth="1"/>
    <col min="22" max="22" width="22.85546875" style="706" customWidth="1"/>
    <col min="23" max="24" width="21.28515625" style="706" customWidth="1"/>
    <col min="25" max="25" width="12.28515625" style="706" customWidth="1"/>
    <col min="26" max="26" width="21.140625" style="706" customWidth="1"/>
    <col min="27" max="28" width="9.140625" style="706" bestFit="1" customWidth="1"/>
    <col min="29" max="29" width="10.7109375" style="706" customWidth="1"/>
    <col min="30" max="41" width="9.140625" style="706" bestFit="1" customWidth="1"/>
    <col min="42" max="42" width="18.5703125" style="706" customWidth="1"/>
    <col min="43" max="43" width="20.5703125" style="706" customWidth="1"/>
    <col min="44" max="44" width="18.140625" style="706" customWidth="1"/>
    <col min="45" max="45" width="32.28515625" style="706" customWidth="1"/>
    <col min="46" max="16384" width="9.140625" style="706"/>
  </cols>
  <sheetData>
    <row r="1" spans="1:64" s="4" customFormat="1" ht="18.75" customHeight="1" x14ac:dyDescent="0.25">
      <c r="A1" s="2207" t="s">
        <v>982</v>
      </c>
      <c r="B1" s="3038"/>
      <c r="C1" s="3038"/>
      <c r="D1" s="3038"/>
      <c r="E1" s="3038"/>
      <c r="F1" s="3038"/>
      <c r="G1" s="3038"/>
      <c r="H1" s="3038"/>
      <c r="I1" s="3038"/>
      <c r="J1" s="3038"/>
      <c r="K1" s="3038"/>
      <c r="L1" s="3038"/>
      <c r="M1" s="3038"/>
      <c r="N1" s="3038"/>
      <c r="O1" s="3038"/>
      <c r="P1" s="3038"/>
      <c r="Q1" s="3038"/>
      <c r="R1" s="3038"/>
      <c r="S1" s="3038"/>
      <c r="T1" s="3038"/>
      <c r="U1" s="3038"/>
      <c r="V1" s="3038"/>
      <c r="W1" s="3038"/>
      <c r="X1" s="3038"/>
      <c r="Y1" s="3038"/>
      <c r="Z1" s="3038"/>
      <c r="AA1" s="3038"/>
      <c r="AB1" s="3038"/>
      <c r="AC1" s="3038"/>
      <c r="AD1" s="3038"/>
      <c r="AE1" s="3038"/>
      <c r="AF1" s="3038"/>
      <c r="AG1" s="3038"/>
      <c r="AH1" s="3038"/>
      <c r="AI1" s="3038"/>
      <c r="AJ1" s="3038"/>
      <c r="AK1" s="3038"/>
      <c r="AL1" s="3038"/>
      <c r="AM1" s="3038"/>
      <c r="AN1" s="3038"/>
      <c r="AO1" s="3038"/>
      <c r="AP1" s="3038"/>
      <c r="AQ1" s="2017"/>
      <c r="AR1" s="556" t="s">
        <v>1</v>
      </c>
      <c r="AS1" s="556" t="s">
        <v>983</v>
      </c>
      <c r="AT1" s="3"/>
      <c r="AU1" s="3"/>
      <c r="AV1" s="3"/>
      <c r="AW1" s="3"/>
      <c r="AX1" s="3"/>
      <c r="AY1" s="3"/>
      <c r="AZ1" s="3"/>
      <c r="BA1" s="3"/>
      <c r="BB1" s="3"/>
      <c r="BC1" s="3"/>
      <c r="BD1" s="3"/>
      <c r="BE1" s="3"/>
      <c r="BF1" s="3"/>
      <c r="BG1" s="3"/>
      <c r="BH1" s="3"/>
      <c r="BI1" s="3"/>
      <c r="BJ1" s="3"/>
      <c r="BK1" s="3"/>
      <c r="BL1" s="3"/>
    </row>
    <row r="2" spans="1:64" s="4" customFormat="1" ht="15" customHeight="1" x14ac:dyDescent="0.25">
      <c r="A2" s="3038"/>
      <c r="B2" s="3038"/>
      <c r="C2" s="3038"/>
      <c r="D2" s="3038"/>
      <c r="E2" s="3038"/>
      <c r="F2" s="3038"/>
      <c r="G2" s="3038"/>
      <c r="H2" s="3038"/>
      <c r="I2" s="3038"/>
      <c r="J2" s="3038"/>
      <c r="K2" s="3038"/>
      <c r="L2" s="3038"/>
      <c r="M2" s="3038"/>
      <c r="N2" s="3038"/>
      <c r="O2" s="3038"/>
      <c r="P2" s="3038"/>
      <c r="Q2" s="3038"/>
      <c r="R2" s="3038"/>
      <c r="S2" s="3038"/>
      <c r="T2" s="3038"/>
      <c r="U2" s="3038"/>
      <c r="V2" s="3038"/>
      <c r="W2" s="3038"/>
      <c r="X2" s="3038"/>
      <c r="Y2" s="3038"/>
      <c r="Z2" s="3038"/>
      <c r="AA2" s="3038"/>
      <c r="AB2" s="3038"/>
      <c r="AC2" s="3038"/>
      <c r="AD2" s="3038"/>
      <c r="AE2" s="3038"/>
      <c r="AF2" s="3038"/>
      <c r="AG2" s="3038"/>
      <c r="AH2" s="3038"/>
      <c r="AI2" s="3038"/>
      <c r="AJ2" s="3038"/>
      <c r="AK2" s="3038"/>
      <c r="AL2" s="3038"/>
      <c r="AM2" s="3038"/>
      <c r="AN2" s="3038"/>
      <c r="AO2" s="3038"/>
      <c r="AP2" s="3038"/>
      <c r="AQ2" s="2017"/>
      <c r="AR2" s="556" t="s">
        <v>3</v>
      </c>
      <c r="AS2" s="762" t="s">
        <v>984</v>
      </c>
      <c r="AT2" s="3"/>
      <c r="AU2" s="3"/>
      <c r="AV2" s="3"/>
      <c r="AW2" s="3"/>
      <c r="AX2" s="3"/>
      <c r="AY2" s="3"/>
      <c r="AZ2" s="3"/>
      <c r="BA2" s="3"/>
      <c r="BB2" s="3"/>
      <c r="BC2" s="3"/>
      <c r="BD2" s="3"/>
      <c r="BE2" s="3"/>
      <c r="BF2" s="3"/>
      <c r="BG2" s="3"/>
      <c r="BH2" s="3"/>
      <c r="BI2" s="3"/>
      <c r="BJ2" s="3"/>
      <c r="BK2" s="3"/>
      <c r="BL2" s="3"/>
    </row>
    <row r="3" spans="1:64" s="4" customFormat="1" ht="17.25" customHeight="1" x14ac:dyDescent="0.25">
      <c r="A3" s="3038"/>
      <c r="B3" s="3038"/>
      <c r="C3" s="3038"/>
      <c r="D3" s="3038"/>
      <c r="E3" s="3038"/>
      <c r="F3" s="3038"/>
      <c r="G3" s="3038"/>
      <c r="H3" s="3038"/>
      <c r="I3" s="3038"/>
      <c r="J3" s="3038"/>
      <c r="K3" s="3038"/>
      <c r="L3" s="3038"/>
      <c r="M3" s="3038"/>
      <c r="N3" s="3038"/>
      <c r="O3" s="3038"/>
      <c r="P3" s="3038"/>
      <c r="Q3" s="3038"/>
      <c r="R3" s="3038"/>
      <c r="S3" s="3038"/>
      <c r="T3" s="3038"/>
      <c r="U3" s="3038"/>
      <c r="V3" s="3038"/>
      <c r="W3" s="3038"/>
      <c r="X3" s="3038"/>
      <c r="Y3" s="3038"/>
      <c r="Z3" s="3038"/>
      <c r="AA3" s="3038"/>
      <c r="AB3" s="3038"/>
      <c r="AC3" s="3038"/>
      <c r="AD3" s="3038"/>
      <c r="AE3" s="3038"/>
      <c r="AF3" s="3038"/>
      <c r="AG3" s="3038"/>
      <c r="AH3" s="3038"/>
      <c r="AI3" s="3038"/>
      <c r="AJ3" s="3038"/>
      <c r="AK3" s="3038"/>
      <c r="AL3" s="3038"/>
      <c r="AM3" s="3038"/>
      <c r="AN3" s="3038"/>
      <c r="AO3" s="3038"/>
      <c r="AP3" s="3038"/>
      <c r="AQ3" s="2017"/>
      <c r="AR3" s="556" t="s">
        <v>4</v>
      </c>
      <c r="AS3" s="763">
        <v>44266</v>
      </c>
      <c r="AT3" s="3"/>
      <c r="AU3" s="3"/>
      <c r="AV3" s="3"/>
      <c r="AW3" s="3"/>
      <c r="AX3" s="3"/>
      <c r="AY3" s="3"/>
      <c r="AZ3" s="3"/>
      <c r="BA3" s="3"/>
      <c r="BB3" s="3"/>
      <c r="BC3" s="3"/>
      <c r="BD3" s="3"/>
      <c r="BE3" s="3"/>
      <c r="BF3" s="3"/>
      <c r="BG3" s="3"/>
      <c r="BH3" s="3"/>
      <c r="BI3" s="3"/>
      <c r="BJ3" s="3"/>
      <c r="BK3" s="3"/>
      <c r="BL3" s="3"/>
    </row>
    <row r="4" spans="1:64" s="4" customFormat="1" ht="19.5" customHeight="1" x14ac:dyDescent="0.25">
      <c r="A4" s="2018"/>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556" t="s">
        <v>5</v>
      </c>
      <c r="AS4" s="687" t="s">
        <v>114</v>
      </c>
      <c r="AT4" s="3"/>
      <c r="AU4" s="3"/>
      <c r="AV4" s="3"/>
      <c r="AW4" s="3"/>
      <c r="AX4" s="3"/>
      <c r="AY4" s="3"/>
      <c r="AZ4" s="3"/>
      <c r="BA4" s="3"/>
      <c r="BB4" s="3"/>
      <c r="BC4" s="3"/>
      <c r="BD4" s="3"/>
      <c r="BE4" s="3"/>
      <c r="BF4" s="3"/>
      <c r="BG4" s="3"/>
      <c r="BH4" s="3"/>
      <c r="BI4" s="3"/>
      <c r="BJ4" s="3"/>
      <c r="BK4" s="3"/>
      <c r="BL4" s="3"/>
    </row>
    <row r="5" spans="1:64" s="4" customFormat="1" ht="20.25" customHeight="1" x14ac:dyDescent="0.25">
      <c r="A5" s="2444" t="s">
        <v>7</v>
      </c>
      <c r="B5" s="2020"/>
      <c r="C5" s="2020"/>
      <c r="D5" s="2020"/>
      <c r="E5" s="2020"/>
      <c r="F5" s="2020"/>
      <c r="G5" s="2020"/>
      <c r="H5" s="2020"/>
      <c r="I5" s="2020"/>
      <c r="J5" s="2020"/>
      <c r="K5" s="2020"/>
      <c r="L5" s="2020"/>
      <c r="M5" s="2020"/>
      <c r="N5" s="2020"/>
      <c r="O5" s="2445"/>
      <c r="P5" s="2447"/>
      <c r="Q5" s="2447"/>
      <c r="R5" s="2447"/>
      <c r="S5" s="2447"/>
      <c r="T5" s="2447"/>
      <c r="U5" s="2447"/>
      <c r="V5" s="2447"/>
      <c r="W5" s="2447"/>
      <c r="X5" s="2447"/>
      <c r="Y5" s="2447"/>
      <c r="Z5" s="2447"/>
      <c r="AA5" s="2447"/>
      <c r="AB5" s="2447"/>
      <c r="AC5" s="2447"/>
      <c r="AD5" s="2447"/>
      <c r="AE5" s="2447"/>
      <c r="AF5" s="2447"/>
      <c r="AG5" s="2447"/>
      <c r="AH5" s="2447"/>
      <c r="AI5" s="2447"/>
      <c r="AJ5" s="2447"/>
      <c r="AK5" s="2447"/>
      <c r="AL5" s="2447"/>
      <c r="AM5" s="2447"/>
      <c r="AN5" s="2447"/>
      <c r="AO5" s="2447"/>
      <c r="AP5" s="2447"/>
      <c r="AQ5" s="2447"/>
      <c r="AR5" s="2447"/>
      <c r="AS5" s="2448"/>
      <c r="AT5" s="3"/>
      <c r="AU5" s="3"/>
      <c r="AV5" s="3"/>
      <c r="AW5" s="3"/>
      <c r="AX5" s="3"/>
      <c r="AY5" s="3"/>
      <c r="AZ5" s="3"/>
      <c r="BA5" s="3"/>
      <c r="BB5" s="3"/>
      <c r="BC5" s="3"/>
      <c r="BD5" s="3"/>
      <c r="BE5" s="3"/>
      <c r="BF5" s="3"/>
      <c r="BG5" s="3"/>
      <c r="BH5" s="3"/>
      <c r="BI5" s="3"/>
      <c r="BJ5" s="3"/>
      <c r="BK5" s="3"/>
      <c r="BL5" s="3"/>
    </row>
    <row r="6" spans="1:64" s="4" customFormat="1" ht="16.5" customHeight="1" x14ac:dyDescent="0.25">
      <c r="A6" s="2209"/>
      <c r="B6" s="2018"/>
      <c r="C6" s="2018"/>
      <c r="D6" s="2018"/>
      <c r="E6" s="2018"/>
      <c r="F6" s="2018"/>
      <c r="G6" s="2018"/>
      <c r="H6" s="2018"/>
      <c r="I6" s="2018"/>
      <c r="J6" s="2018"/>
      <c r="K6" s="2018"/>
      <c r="L6" s="2018"/>
      <c r="M6" s="2018"/>
      <c r="N6" s="2018"/>
      <c r="O6" s="2019"/>
      <c r="P6" s="555"/>
      <c r="Q6" s="555"/>
      <c r="R6" s="555"/>
      <c r="S6" s="555"/>
      <c r="T6" s="555"/>
      <c r="U6" s="555"/>
      <c r="V6" s="555"/>
      <c r="W6" s="555"/>
      <c r="X6" s="555"/>
      <c r="Y6" s="555"/>
      <c r="Z6" s="555"/>
      <c r="AA6" s="555"/>
      <c r="AB6" s="555"/>
      <c r="AC6" s="2022" t="s">
        <v>8</v>
      </c>
      <c r="AD6" s="2016"/>
      <c r="AE6" s="2016"/>
      <c r="AF6" s="2016"/>
      <c r="AG6" s="2016"/>
      <c r="AH6" s="2016"/>
      <c r="AI6" s="2016"/>
      <c r="AJ6" s="2016"/>
      <c r="AK6" s="2016"/>
      <c r="AL6" s="2016"/>
      <c r="AM6" s="2016"/>
      <c r="AN6" s="2016"/>
      <c r="AO6" s="2016"/>
      <c r="AP6" s="2016"/>
      <c r="AQ6" s="2017"/>
      <c r="AR6" s="555"/>
      <c r="AS6" s="688"/>
      <c r="AT6" s="3"/>
      <c r="AU6" s="3"/>
      <c r="AV6" s="3"/>
      <c r="AW6" s="3"/>
      <c r="AX6" s="3"/>
      <c r="AY6" s="3"/>
      <c r="AZ6" s="3"/>
      <c r="BA6" s="3"/>
      <c r="BB6" s="3"/>
      <c r="BC6" s="3"/>
      <c r="BD6" s="3"/>
      <c r="BE6" s="3"/>
      <c r="BF6" s="3"/>
      <c r="BG6" s="3"/>
      <c r="BH6" s="3"/>
      <c r="BI6" s="3"/>
      <c r="BJ6" s="3"/>
      <c r="BK6" s="3"/>
      <c r="BL6" s="3"/>
    </row>
    <row r="7" spans="1:64" s="4" customFormat="1" ht="30.75" customHeight="1" x14ac:dyDescent="0.25">
      <c r="A7" s="2023" t="s">
        <v>9</v>
      </c>
      <c r="B7" s="2023"/>
      <c r="C7" s="2023" t="s">
        <v>10</v>
      </c>
      <c r="D7" s="2023"/>
      <c r="E7" s="2023" t="s">
        <v>11</v>
      </c>
      <c r="F7" s="2023"/>
      <c r="G7" s="2023" t="s">
        <v>12</v>
      </c>
      <c r="H7" s="2023"/>
      <c r="I7" s="2023"/>
      <c r="J7" s="2023"/>
      <c r="K7" s="2023" t="s">
        <v>13</v>
      </c>
      <c r="L7" s="2023"/>
      <c r="M7" s="2023"/>
      <c r="N7" s="2023"/>
      <c r="O7" s="3828" t="s">
        <v>14</v>
      </c>
      <c r="P7" s="3828"/>
      <c r="Q7" s="3828"/>
      <c r="R7" s="3828"/>
      <c r="S7" s="3828"/>
      <c r="T7" s="3828"/>
      <c r="U7" s="3828"/>
      <c r="V7" s="3828"/>
      <c r="W7" s="3828"/>
      <c r="X7" s="2023" t="s">
        <v>15</v>
      </c>
      <c r="Y7" s="2023"/>
      <c r="Z7" s="2023"/>
      <c r="AA7" s="2277" t="s">
        <v>16</v>
      </c>
      <c r="AB7" s="2277"/>
      <c r="AC7" s="2050" t="s">
        <v>17</v>
      </c>
      <c r="AD7" s="2050"/>
      <c r="AE7" s="2050"/>
      <c r="AF7" s="2049" t="s">
        <v>18</v>
      </c>
      <c r="AG7" s="2049"/>
      <c r="AH7" s="2049"/>
      <c r="AI7" s="2049"/>
      <c r="AJ7" s="2049"/>
      <c r="AK7" s="2049"/>
      <c r="AL7" s="558"/>
      <c r="AM7" s="2050" t="s">
        <v>19</v>
      </c>
      <c r="AN7" s="2050"/>
      <c r="AO7" s="2050"/>
      <c r="AP7" s="3829" t="s">
        <v>20</v>
      </c>
      <c r="AQ7" s="2281" t="s">
        <v>986</v>
      </c>
      <c r="AR7" s="2281" t="s">
        <v>987</v>
      </c>
      <c r="AS7" s="2282" t="s">
        <v>23</v>
      </c>
      <c r="AT7" s="3"/>
      <c r="AU7" s="3"/>
      <c r="AV7" s="3"/>
      <c r="AW7" s="3"/>
      <c r="AX7" s="3"/>
      <c r="AY7" s="3"/>
      <c r="AZ7" s="3"/>
      <c r="BA7" s="3"/>
      <c r="BB7" s="3"/>
      <c r="BC7" s="3"/>
      <c r="BD7" s="3"/>
      <c r="BE7" s="3"/>
      <c r="BF7" s="3"/>
      <c r="BG7" s="3"/>
      <c r="BH7" s="3"/>
      <c r="BI7" s="3"/>
      <c r="BJ7" s="3"/>
      <c r="BK7" s="3"/>
      <c r="BL7" s="3"/>
    </row>
    <row r="8" spans="1:64" s="4" customFormat="1" ht="126.75" customHeight="1" x14ac:dyDescent="0.25">
      <c r="A8" s="560" t="s">
        <v>24</v>
      </c>
      <c r="B8" s="20" t="s">
        <v>25</v>
      </c>
      <c r="C8" s="560" t="s">
        <v>24</v>
      </c>
      <c r="D8" s="20" t="s">
        <v>25</v>
      </c>
      <c r="E8" s="20" t="s">
        <v>24</v>
      </c>
      <c r="F8" s="20" t="s">
        <v>25</v>
      </c>
      <c r="G8" s="20" t="s">
        <v>26</v>
      </c>
      <c r="H8" s="20" t="s">
        <v>27</v>
      </c>
      <c r="I8" s="20" t="s">
        <v>28</v>
      </c>
      <c r="J8" s="20" t="s">
        <v>117</v>
      </c>
      <c r="K8" s="20" t="s">
        <v>26</v>
      </c>
      <c r="L8" s="20" t="s">
        <v>30</v>
      </c>
      <c r="M8" s="20" t="s">
        <v>31</v>
      </c>
      <c r="N8" s="20" t="s">
        <v>32</v>
      </c>
      <c r="O8" s="20" t="s">
        <v>116</v>
      </c>
      <c r="P8" s="20" t="s">
        <v>34</v>
      </c>
      <c r="Q8" s="20" t="s">
        <v>35</v>
      </c>
      <c r="R8" s="689" t="s">
        <v>36</v>
      </c>
      <c r="S8" s="690" t="s">
        <v>37</v>
      </c>
      <c r="T8" s="20" t="s">
        <v>38</v>
      </c>
      <c r="U8" s="20" t="s">
        <v>39</v>
      </c>
      <c r="V8" s="20" t="s">
        <v>40</v>
      </c>
      <c r="W8" s="690" t="s">
        <v>988</v>
      </c>
      <c r="X8" s="20" t="s">
        <v>42</v>
      </c>
      <c r="Y8" s="560" t="s">
        <v>43</v>
      </c>
      <c r="Z8" s="20" t="s">
        <v>25</v>
      </c>
      <c r="AA8" s="300" t="s">
        <v>44</v>
      </c>
      <c r="AB8" s="557" t="s">
        <v>45</v>
      </c>
      <c r="AC8" s="300" t="s">
        <v>46</v>
      </c>
      <c r="AD8" s="300" t="s">
        <v>47</v>
      </c>
      <c r="AE8" s="300" t="s">
        <v>283</v>
      </c>
      <c r="AF8" s="300" t="s">
        <v>49</v>
      </c>
      <c r="AG8" s="300" t="s">
        <v>50</v>
      </c>
      <c r="AH8" s="300" t="s">
        <v>51</v>
      </c>
      <c r="AI8" s="300" t="s">
        <v>52</v>
      </c>
      <c r="AJ8" s="300" t="s">
        <v>53</v>
      </c>
      <c r="AK8" s="300" t="s">
        <v>54</v>
      </c>
      <c r="AL8" s="300" t="s">
        <v>55</v>
      </c>
      <c r="AM8" s="300" t="s">
        <v>56</v>
      </c>
      <c r="AN8" s="300" t="s">
        <v>57</v>
      </c>
      <c r="AO8" s="300" t="s">
        <v>58</v>
      </c>
      <c r="AP8" s="3830"/>
      <c r="AQ8" s="2281"/>
      <c r="AR8" s="2281"/>
      <c r="AS8" s="2282"/>
      <c r="AT8" s="3"/>
      <c r="AU8" s="3"/>
      <c r="AV8" s="3"/>
      <c r="AW8" s="3"/>
      <c r="AX8" s="3"/>
      <c r="AY8" s="3"/>
      <c r="AZ8" s="3"/>
      <c r="BA8" s="3"/>
      <c r="BB8" s="3"/>
      <c r="BC8" s="3"/>
      <c r="BD8" s="3"/>
      <c r="BE8" s="3"/>
      <c r="BF8" s="3"/>
      <c r="BG8" s="3"/>
      <c r="BH8" s="3"/>
      <c r="BI8" s="3"/>
      <c r="BJ8" s="3"/>
      <c r="BK8" s="3"/>
      <c r="BL8" s="3"/>
    </row>
    <row r="9" spans="1:64" s="4" customFormat="1" ht="21" customHeight="1" x14ac:dyDescent="0.25">
      <c r="A9" s="691">
        <v>3</v>
      </c>
      <c r="B9" s="3821" t="s">
        <v>488</v>
      </c>
      <c r="C9" s="3822"/>
      <c r="D9" s="3822"/>
      <c r="E9" s="3822"/>
      <c r="F9" s="3822"/>
      <c r="G9" s="692" t="s">
        <v>294</v>
      </c>
      <c r="H9" s="692" t="s">
        <v>294</v>
      </c>
      <c r="I9" s="692"/>
      <c r="J9" s="692"/>
      <c r="K9" s="26"/>
      <c r="L9" s="26"/>
      <c r="M9" s="26"/>
      <c r="N9" s="26"/>
      <c r="O9" s="26"/>
      <c r="P9" s="26"/>
      <c r="Q9" s="26"/>
      <c r="R9" s="28"/>
      <c r="S9" s="29"/>
      <c r="T9" s="31"/>
      <c r="U9" s="26"/>
      <c r="V9" s="26"/>
      <c r="W9" s="26"/>
      <c r="X9" s="26"/>
      <c r="Y9" s="26"/>
      <c r="Z9" s="26"/>
      <c r="AA9" s="31"/>
      <c r="AB9" s="32"/>
      <c r="AC9" s="26"/>
      <c r="AD9" s="26"/>
      <c r="AE9" s="26"/>
      <c r="AF9" s="26"/>
      <c r="AG9" s="26"/>
      <c r="AH9" s="26"/>
      <c r="AI9" s="26"/>
      <c r="AJ9" s="26"/>
      <c r="AK9" s="26"/>
      <c r="AL9" s="26"/>
      <c r="AM9" s="26"/>
      <c r="AN9" s="26"/>
      <c r="AO9" s="26"/>
      <c r="AP9" s="26"/>
      <c r="AQ9" s="26"/>
      <c r="AR9" s="26"/>
      <c r="AS9" s="380"/>
      <c r="AT9" s="3"/>
      <c r="AU9" s="3"/>
      <c r="AV9" s="3"/>
      <c r="AW9" s="3"/>
      <c r="AX9" s="3"/>
      <c r="AY9" s="3"/>
      <c r="AZ9" s="3"/>
      <c r="BA9" s="3"/>
      <c r="BB9" s="3"/>
      <c r="BC9" s="3"/>
      <c r="BD9" s="3"/>
      <c r="BE9" s="3"/>
      <c r="BF9" s="3"/>
      <c r="BG9" s="3"/>
      <c r="BH9" s="3"/>
      <c r="BI9" s="3"/>
      <c r="BJ9" s="3"/>
    </row>
    <row r="10" spans="1:64" s="80" customFormat="1" ht="21" customHeight="1" x14ac:dyDescent="0.25">
      <c r="A10" s="693"/>
      <c r="B10" s="694"/>
      <c r="C10" s="695">
        <v>24</v>
      </c>
      <c r="D10" s="696" t="s">
        <v>489</v>
      </c>
      <c r="E10" s="697"/>
      <c r="F10" s="698"/>
      <c r="G10" s="698"/>
      <c r="H10" s="698"/>
      <c r="I10" s="698"/>
      <c r="J10" s="698"/>
      <c r="K10" s="40"/>
      <c r="L10" s="40"/>
      <c r="M10" s="40"/>
      <c r="N10" s="40"/>
      <c r="O10" s="40"/>
      <c r="P10" s="40"/>
      <c r="Q10" s="40"/>
      <c r="R10" s="41"/>
      <c r="S10" s="42"/>
      <c r="T10" s="44"/>
      <c r="U10" s="40"/>
      <c r="V10" s="40"/>
      <c r="W10" s="40"/>
      <c r="X10" s="40"/>
      <c r="Y10" s="40"/>
      <c r="Z10" s="40"/>
      <c r="AA10" s="44"/>
      <c r="AB10" s="45"/>
      <c r="AC10" s="40"/>
      <c r="AD10" s="40"/>
      <c r="AE10" s="40"/>
      <c r="AF10" s="40"/>
      <c r="AG10" s="40"/>
      <c r="AH10" s="40"/>
      <c r="AI10" s="40"/>
      <c r="AJ10" s="40"/>
      <c r="AK10" s="40"/>
      <c r="AL10" s="40"/>
      <c r="AM10" s="40"/>
      <c r="AN10" s="40"/>
      <c r="AO10" s="40"/>
      <c r="AP10" s="40"/>
      <c r="AQ10" s="40"/>
      <c r="AR10" s="40"/>
      <c r="AS10" s="384"/>
    </row>
    <row r="11" spans="1:64" ht="21.75" customHeight="1" x14ac:dyDescent="0.25">
      <c r="A11" s="3823" t="s">
        <v>294</v>
      </c>
      <c r="B11" s="3824"/>
      <c r="C11" s="699"/>
      <c r="D11" s="700"/>
      <c r="E11" s="701">
        <v>2409</v>
      </c>
      <c r="F11" s="2262" t="s">
        <v>989</v>
      </c>
      <c r="G11" s="2551"/>
      <c r="H11" s="2551"/>
      <c r="I11" s="2551"/>
      <c r="J11" s="2551"/>
      <c r="K11" s="2551"/>
      <c r="L11" s="702" t="s">
        <v>294</v>
      </c>
      <c r="M11" s="702"/>
      <c r="N11" s="702"/>
      <c r="O11" s="702" t="s">
        <v>294</v>
      </c>
      <c r="P11" s="702" t="s">
        <v>294</v>
      </c>
      <c r="Q11" s="702" t="s">
        <v>294</v>
      </c>
      <c r="R11" s="702" t="s">
        <v>294</v>
      </c>
      <c r="S11" s="702" t="s">
        <v>294</v>
      </c>
      <c r="T11" s="702" t="s">
        <v>294</v>
      </c>
      <c r="U11" s="702" t="s">
        <v>294</v>
      </c>
      <c r="V11" s="703" t="s">
        <v>294</v>
      </c>
      <c r="W11" s="702" t="s">
        <v>294</v>
      </c>
      <c r="X11" s="702" t="s">
        <v>294</v>
      </c>
      <c r="Y11" s="702" t="s">
        <v>294</v>
      </c>
      <c r="Z11" s="702" t="s">
        <v>294</v>
      </c>
      <c r="AA11" s="702" t="s">
        <v>294</v>
      </c>
      <c r="AB11" s="702" t="s">
        <v>294</v>
      </c>
      <c r="AC11" s="702" t="s">
        <v>294</v>
      </c>
      <c r="AD11" s="702" t="s">
        <v>294</v>
      </c>
      <c r="AE11" s="702" t="s">
        <v>294</v>
      </c>
      <c r="AF11" s="702" t="s">
        <v>294</v>
      </c>
      <c r="AG11" s="702" t="s">
        <v>294</v>
      </c>
      <c r="AH11" s="702" t="s">
        <v>294</v>
      </c>
      <c r="AI11" s="702" t="s">
        <v>294</v>
      </c>
      <c r="AJ11" s="702" t="s">
        <v>294</v>
      </c>
      <c r="AK11" s="702" t="s">
        <v>294</v>
      </c>
      <c r="AL11" s="702" t="s">
        <v>294</v>
      </c>
      <c r="AM11" s="702" t="s">
        <v>294</v>
      </c>
      <c r="AN11" s="702" t="s">
        <v>294</v>
      </c>
      <c r="AO11" s="702" t="s">
        <v>294</v>
      </c>
      <c r="AP11" s="702" t="s">
        <v>294</v>
      </c>
      <c r="AQ11" s="702" t="s">
        <v>294</v>
      </c>
      <c r="AR11" s="702" t="s">
        <v>294</v>
      </c>
      <c r="AS11" s="704" t="s">
        <v>294</v>
      </c>
      <c r="AT11" s="705" t="s">
        <v>294</v>
      </c>
      <c r="AU11" s="705" t="s">
        <v>294</v>
      </c>
      <c r="AV11" s="705" t="s">
        <v>294</v>
      </c>
      <c r="AW11" s="705" t="s">
        <v>294</v>
      </c>
      <c r="AX11" s="705" t="s">
        <v>294</v>
      </c>
      <c r="AY11" s="705" t="s">
        <v>294</v>
      </c>
      <c r="AZ11" s="705" t="s">
        <v>294</v>
      </c>
      <c r="BA11" s="705" t="s">
        <v>294</v>
      </c>
      <c r="BB11" s="705" t="s">
        <v>294</v>
      </c>
      <c r="BC11" s="705" t="s">
        <v>294</v>
      </c>
      <c r="BD11" s="705" t="s">
        <v>294</v>
      </c>
      <c r="BE11" s="705" t="s">
        <v>294</v>
      </c>
      <c r="BF11" s="705" t="s">
        <v>294</v>
      </c>
      <c r="BG11" s="705" t="s">
        <v>294</v>
      </c>
      <c r="BH11" s="705" t="s">
        <v>294</v>
      </c>
      <c r="BI11" s="705" t="s">
        <v>294</v>
      </c>
      <c r="BJ11" s="705" t="s">
        <v>294</v>
      </c>
      <c r="BK11" s="705" t="s">
        <v>294</v>
      </c>
    </row>
    <row r="12" spans="1:64" ht="86.25" customHeight="1" x14ac:dyDescent="0.25">
      <c r="A12" s="3823"/>
      <c r="B12" s="3824"/>
      <c r="C12" s="707"/>
      <c r="D12" s="708"/>
      <c r="E12" s="3569" t="s">
        <v>294</v>
      </c>
      <c r="F12" s="3827" t="s">
        <v>294</v>
      </c>
      <c r="G12" s="254" t="s">
        <v>62</v>
      </c>
      <c r="H12" s="709" t="s">
        <v>990</v>
      </c>
      <c r="I12" s="254">
        <v>2409009</v>
      </c>
      <c r="J12" s="709" t="s">
        <v>991</v>
      </c>
      <c r="K12" s="254" t="s">
        <v>62</v>
      </c>
      <c r="L12" s="709" t="s">
        <v>992</v>
      </c>
      <c r="M12" s="254">
        <v>240900900</v>
      </c>
      <c r="N12" s="709" t="s">
        <v>993</v>
      </c>
      <c r="O12" s="710">
        <v>1</v>
      </c>
      <c r="P12" s="2072" t="s">
        <v>994</v>
      </c>
      <c r="Q12" s="2709" t="s">
        <v>995</v>
      </c>
      <c r="R12" s="711">
        <f>W12/S12</f>
        <v>0.24672897196261681</v>
      </c>
      <c r="S12" s="3816">
        <f>SUM(W12:W15)</f>
        <v>110210000</v>
      </c>
      <c r="T12" s="3819" t="s">
        <v>996</v>
      </c>
      <c r="U12" s="2142" t="s">
        <v>997</v>
      </c>
      <c r="V12" s="712" t="s">
        <v>998</v>
      </c>
      <c r="W12" s="713">
        <v>27192000</v>
      </c>
      <c r="X12" s="710" t="s">
        <v>999</v>
      </c>
      <c r="Y12" s="710">
        <v>23</v>
      </c>
      <c r="Z12" s="710" t="s">
        <v>1000</v>
      </c>
      <c r="AA12" s="3479">
        <v>57163</v>
      </c>
      <c r="AB12" s="3479">
        <v>57815</v>
      </c>
      <c r="AC12" s="3479">
        <v>27805</v>
      </c>
      <c r="AD12" s="3479">
        <v>8790</v>
      </c>
      <c r="AE12" s="3479">
        <v>60583</v>
      </c>
      <c r="AF12" s="3479">
        <v>17800</v>
      </c>
      <c r="AG12" s="3479">
        <v>283</v>
      </c>
      <c r="AH12" s="3479">
        <v>1495</v>
      </c>
      <c r="AI12" s="3479">
        <v>8</v>
      </c>
      <c r="AJ12" s="3479">
        <v>0</v>
      </c>
      <c r="AK12" s="3479">
        <v>0</v>
      </c>
      <c r="AL12" s="3479">
        <v>0</v>
      </c>
      <c r="AM12" s="3479">
        <v>44350</v>
      </c>
      <c r="AN12" s="3479">
        <v>6251</v>
      </c>
      <c r="AO12" s="3479">
        <v>75687</v>
      </c>
      <c r="AP12" s="3479">
        <f>SUM(AC12:AO15)</f>
        <v>243052</v>
      </c>
      <c r="AQ12" s="2088">
        <v>44198</v>
      </c>
      <c r="AR12" s="2088">
        <v>44561</v>
      </c>
      <c r="AS12" s="3479" t="s">
        <v>1001</v>
      </c>
      <c r="AT12" s="714" t="s">
        <v>294</v>
      </c>
      <c r="AU12" s="714" t="s">
        <v>294</v>
      </c>
      <c r="AV12" s="714" t="s">
        <v>294</v>
      </c>
      <c r="AW12" s="714" t="s">
        <v>294</v>
      </c>
      <c r="AX12" s="714" t="s">
        <v>294</v>
      </c>
      <c r="AY12" s="714" t="s">
        <v>294</v>
      </c>
      <c r="AZ12" s="714" t="s">
        <v>294</v>
      </c>
      <c r="BA12" s="714" t="s">
        <v>294</v>
      </c>
      <c r="BB12" s="714" t="s">
        <v>294</v>
      </c>
      <c r="BC12" s="714" t="s">
        <v>294</v>
      </c>
      <c r="BD12" s="714" t="s">
        <v>294</v>
      </c>
      <c r="BE12" s="714" t="s">
        <v>294</v>
      </c>
      <c r="BF12" s="714" t="s">
        <v>294</v>
      </c>
      <c r="BG12" s="714" t="s">
        <v>294</v>
      </c>
      <c r="BH12" s="714" t="s">
        <v>294</v>
      </c>
      <c r="BI12" s="714" t="s">
        <v>294</v>
      </c>
      <c r="BJ12" s="714" t="s">
        <v>294</v>
      </c>
      <c r="BK12" s="714" t="s">
        <v>294</v>
      </c>
    </row>
    <row r="13" spans="1:64" ht="92.25" customHeight="1" x14ac:dyDescent="0.25">
      <c r="A13" s="3823"/>
      <c r="B13" s="3824"/>
      <c r="C13" s="707"/>
      <c r="D13" s="708"/>
      <c r="E13" s="3566"/>
      <c r="F13" s="3564"/>
      <c r="G13" s="254" t="s">
        <v>62</v>
      </c>
      <c r="H13" s="709" t="s">
        <v>1002</v>
      </c>
      <c r="I13" s="254">
        <v>2409022</v>
      </c>
      <c r="J13" s="709" t="s">
        <v>1003</v>
      </c>
      <c r="K13" s="254" t="s">
        <v>62</v>
      </c>
      <c r="L13" s="709" t="s">
        <v>1004</v>
      </c>
      <c r="M13" s="254">
        <v>240902202</v>
      </c>
      <c r="N13" s="709" t="s">
        <v>1005</v>
      </c>
      <c r="O13" s="710">
        <v>1</v>
      </c>
      <c r="P13" s="2072"/>
      <c r="Q13" s="2709"/>
      <c r="R13" s="711">
        <f>W13/S12</f>
        <v>7.8504672897196259E-2</v>
      </c>
      <c r="S13" s="3817"/>
      <c r="T13" s="3819"/>
      <c r="U13" s="2142"/>
      <c r="V13" s="559" t="s">
        <v>1006</v>
      </c>
      <c r="W13" s="715">
        <v>8652000</v>
      </c>
      <c r="X13" s="710" t="s">
        <v>1007</v>
      </c>
      <c r="Y13" s="710">
        <v>23</v>
      </c>
      <c r="Z13" s="710" t="s">
        <v>1000</v>
      </c>
      <c r="AA13" s="3479"/>
      <c r="AB13" s="3479"/>
      <c r="AC13" s="3479"/>
      <c r="AD13" s="3479"/>
      <c r="AE13" s="3479"/>
      <c r="AF13" s="3479"/>
      <c r="AG13" s="3479"/>
      <c r="AH13" s="3479"/>
      <c r="AI13" s="3479"/>
      <c r="AJ13" s="3479"/>
      <c r="AK13" s="3479"/>
      <c r="AL13" s="3479"/>
      <c r="AM13" s="3479"/>
      <c r="AN13" s="3479"/>
      <c r="AO13" s="3479"/>
      <c r="AP13" s="3479"/>
      <c r="AQ13" s="3479"/>
      <c r="AR13" s="3479"/>
      <c r="AS13" s="3479"/>
      <c r="AT13" s="714" t="s">
        <v>294</v>
      </c>
      <c r="AU13" s="714" t="s">
        <v>294</v>
      </c>
      <c r="AV13" s="714" t="s">
        <v>294</v>
      </c>
      <c r="AW13" s="714" t="s">
        <v>294</v>
      </c>
      <c r="AX13" s="714" t="s">
        <v>294</v>
      </c>
      <c r="AY13" s="714" t="s">
        <v>294</v>
      </c>
      <c r="AZ13" s="714" t="s">
        <v>294</v>
      </c>
      <c r="BA13" s="714" t="s">
        <v>294</v>
      </c>
      <c r="BB13" s="714" t="s">
        <v>294</v>
      </c>
      <c r="BC13" s="714" t="s">
        <v>294</v>
      </c>
      <c r="BD13" s="714" t="s">
        <v>294</v>
      </c>
      <c r="BE13" s="714" t="s">
        <v>294</v>
      </c>
      <c r="BF13" s="714" t="s">
        <v>294</v>
      </c>
      <c r="BG13" s="714" t="s">
        <v>294</v>
      </c>
      <c r="BH13" s="714" t="s">
        <v>294</v>
      </c>
      <c r="BI13" s="714" t="s">
        <v>294</v>
      </c>
      <c r="BJ13" s="714" t="s">
        <v>294</v>
      </c>
      <c r="BK13" s="714" t="s">
        <v>294</v>
      </c>
    </row>
    <row r="14" spans="1:64" ht="113.25" customHeight="1" x14ac:dyDescent="0.25">
      <c r="A14" s="3823"/>
      <c r="B14" s="3824"/>
      <c r="C14" s="707"/>
      <c r="D14" s="708"/>
      <c r="E14" s="3566"/>
      <c r="F14" s="3564"/>
      <c r="G14" s="254" t="s">
        <v>62</v>
      </c>
      <c r="H14" s="709" t="s">
        <v>1008</v>
      </c>
      <c r="I14" s="254">
        <v>2409014</v>
      </c>
      <c r="J14" s="709" t="s">
        <v>745</v>
      </c>
      <c r="K14" s="254" t="s">
        <v>62</v>
      </c>
      <c r="L14" s="709" t="s">
        <v>1009</v>
      </c>
      <c r="M14" s="254">
        <v>240901400</v>
      </c>
      <c r="N14" s="709" t="s">
        <v>1010</v>
      </c>
      <c r="O14" s="710">
        <v>1</v>
      </c>
      <c r="P14" s="2072"/>
      <c r="Q14" s="2709"/>
      <c r="R14" s="711">
        <f>W14/S12</f>
        <v>0.23551401869158878</v>
      </c>
      <c r="S14" s="3817"/>
      <c r="T14" s="3819"/>
      <c r="U14" s="2142"/>
      <c r="V14" s="559" t="s">
        <v>1011</v>
      </c>
      <c r="W14" s="715">
        <v>25956000</v>
      </c>
      <c r="X14" s="710" t="s">
        <v>1012</v>
      </c>
      <c r="Y14" s="710">
        <v>23</v>
      </c>
      <c r="Z14" s="710" t="s">
        <v>1000</v>
      </c>
      <c r="AA14" s="3479"/>
      <c r="AB14" s="3479"/>
      <c r="AC14" s="3479"/>
      <c r="AD14" s="3479"/>
      <c r="AE14" s="3479"/>
      <c r="AF14" s="3479"/>
      <c r="AG14" s="3479"/>
      <c r="AH14" s="3479"/>
      <c r="AI14" s="3479"/>
      <c r="AJ14" s="3479"/>
      <c r="AK14" s="3479"/>
      <c r="AL14" s="3479"/>
      <c r="AM14" s="3479"/>
      <c r="AN14" s="3479"/>
      <c r="AO14" s="3479"/>
      <c r="AP14" s="3479"/>
      <c r="AQ14" s="3479"/>
      <c r="AR14" s="3479"/>
      <c r="AS14" s="3479"/>
      <c r="AT14" s="714" t="s">
        <v>294</v>
      </c>
      <c r="AU14" s="714" t="s">
        <v>294</v>
      </c>
      <c r="AV14" s="714" t="s">
        <v>294</v>
      </c>
      <c r="AW14" s="714" t="s">
        <v>294</v>
      </c>
      <c r="AX14" s="714" t="s">
        <v>294</v>
      </c>
      <c r="AY14" s="714" t="s">
        <v>294</v>
      </c>
      <c r="AZ14" s="714" t="s">
        <v>294</v>
      </c>
      <c r="BA14" s="714" t="s">
        <v>294</v>
      </c>
      <c r="BB14" s="714" t="s">
        <v>294</v>
      </c>
      <c r="BC14" s="714" t="s">
        <v>294</v>
      </c>
      <c r="BD14" s="714" t="s">
        <v>294</v>
      </c>
      <c r="BE14" s="714" t="s">
        <v>294</v>
      </c>
      <c r="BF14" s="714" t="s">
        <v>294</v>
      </c>
      <c r="BG14" s="714" t="s">
        <v>294</v>
      </c>
      <c r="BH14" s="714" t="s">
        <v>294</v>
      </c>
      <c r="BI14" s="714" t="s">
        <v>294</v>
      </c>
      <c r="BJ14" s="714" t="s">
        <v>294</v>
      </c>
      <c r="BK14" s="714" t="s">
        <v>294</v>
      </c>
    </row>
    <row r="15" spans="1:64" ht="109.5" customHeight="1" x14ac:dyDescent="0.25">
      <c r="A15" s="3823"/>
      <c r="B15" s="3824"/>
      <c r="C15" s="707"/>
      <c r="D15" s="708"/>
      <c r="E15" s="3567"/>
      <c r="F15" s="3716"/>
      <c r="G15" s="254" t="s">
        <v>62</v>
      </c>
      <c r="H15" s="709" t="s">
        <v>1013</v>
      </c>
      <c r="I15" s="254">
        <v>2409039</v>
      </c>
      <c r="J15" s="709" t="s">
        <v>1014</v>
      </c>
      <c r="K15" s="254" t="s">
        <v>62</v>
      </c>
      <c r="L15" s="709" t="s">
        <v>1015</v>
      </c>
      <c r="M15" s="254">
        <v>240903905</v>
      </c>
      <c r="N15" s="709" t="s">
        <v>1016</v>
      </c>
      <c r="O15" s="710">
        <v>1</v>
      </c>
      <c r="P15" s="2092"/>
      <c r="Q15" s="2710"/>
      <c r="R15" s="711">
        <f>W15/S12</f>
        <v>0.43925233644859812</v>
      </c>
      <c r="S15" s="3818"/>
      <c r="T15" s="3820"/>
      <c r="U15" s="2705"/>
      <c r="V15" s="559" t="s">
        <v>1017</v>
      </c>
      <c r="W15" s="716">
        <v>48410000</v>
      </c>
      <c r="X15" s="710" t="s">
        <v>1018</v>
      </c>
      <c r="Y15" s="710">
        <v>23</v>
      </c>
      <c r="Z15" s="710" t="s">
        <v>1000</v>
      </c>
      <c r="AA15" s="3814"/>
      <c r="AB15" s="3814"/>
      <c r="AC15" s="3814"/>
      <c r="AD15" s="3814"/>
      <c r="AE15" s="3814"/>
      <c r="AF15" s="3814"/>
      <c r="AG15" s="3814"/>
      <c r="AH15" s="3814"/>
      <c r="AI15" s="3814"/>
      <c r="AJ15" s="3814"/>
      <c r="AK15" s="3814"/>
      <c r="AL15" s="3814"/>
      <c r="AM15" s="3814"/>
      <c r="AN15" s="3814"/>
      <c r="AO15" s="3814"/>
      <c r="AP15" s="3814"/>
      <c r="AQ15" s="3815"/>
      <c r="AR15" s="3815"/>
      <c r="AS15" s="3815"/>
      <c r="AT15" s="714" t="s">
        <v>294</v>
      </c>
      <c r="AU15" s="714" t="s">
        <v>294</v>
      </c>
      <c r="AV15" s="714" t="s">
        <v>294</v>
      </c>
      <c r="AW15" s="714" t="s">
        <v>294</v>
      </c>
      <c r="AX15" s="714" t="s">
        <v>294</v>
      </c>
      <c r="AY15" s="714" t="s">
        <v>294</v>
      </c>
      <c r="AZ15" s="714" t="s">
        <v>294</v>
      </c>
      <c r="BA15" s="714" t="s">
        <v>294</v>
      </c>
      <c r="BB15" s="714" t="s">
        <v>294</v>
      </c>
      <c r="BC15" s="714" t="s">
        <v>294</v>
      </c>
      <c r="BD15" s="714" t="s">
        <v>294</v>
      </c>
      <c r="BE15" s="714" t="s">
        <v>294</v>
      </c>
      <c r="BF15" s="714" t="s">
        <v>294</v>
      </c>
      <c r="BG15" s="714" t="s">
        <v>294</v>
      </c>
      <c r="BH15" s="714" t="s">
        <v>294</v>
      </c>
      <c r="BI15" s="714" t="s">
        <v>294</v>
      </c>
      <c r="BJ15" s="714" t="s">
        <v>294</v>
      </c>
      <c r="BK15" s="714" t="s">
        <v>294</v>
      </c>
    </row>
    <row r="16" spans="1:64" s="4" customFormat="1" ht="25.5" customHeight="1" x14ac:dyDescent="0.25">
      <c r="A16" s="3825"/>
      <c r="B16" s="3826"/>
      <c r="C16" s="717"/>
      <c r="D16" s="718"/>
      <c r="E16" s="719" t="s">
        <v>294</v>
      </c>
      <c r="F16" s="719" t="s">
        <v>294</v>
      </c>
      <c r="G16" s="719" t="s">
        <v>294</v>
      </c>
      <c r="H16" s="719" t="s">
        <v>294</v>
      </c>
      <c r="I16" s="719"/>
      <c r="J16" s="719"/>
      <c r="K16" s="719" t="s">
        <v>294</v>
      </c>
      <c r="L16" s="719" t="s">
        <v>294</v>
      </c>
      <c r="M16" s="719"/>
      <c r="N16" s="719"/>
      <c r="O16" s="719" t="s">
        <v>294</v>
      </c>
      <c r="P16" s="719" t="s">
        <v>294</v>
      </c>
      <c r="Q16" s="719" t="s">
        <v>294</v>
      </c>
      <c r="R16" s="719" t="s">
        <v>294</v>
      </c>
      <c r="S16" s="720">
        <f>SUM(S12:S15)</f>
        <v>110210000</v>
      </c>
      <c r="T16" s="719" t="s">
        <v>294</v>
      </c>
      <c r="U16" s="719" t="s">
        <v>294</v>
      </c>
      <c r="V16" s="719" t="s">
        <v>294</v>
      </c>
      <c r="W16" s="721">
        <f>SUM(W12:W15)</f>
        <v>110210000</v>
      </c>
      <c r="X16" s="719" t="s">
        <v>294</v>
      </c>
      <c r="Y16" s="719" t="s">
        <v>294</v>
      </c>
      <c r="Z16" s="719" t="s">
        <v>294</v>
      </c>
      <c r="AA16" s="719" t="s">
        <v>294</v>
      </c>
      <c r="AB16" s="719" t="s">
        <v>294</v>
      </c>
      <c r="AC16" s="719" t="s">
        <v>294</v>
      </c>
      <c r="AD16" s="719" t="s">
        <v>294</v>
      </c>
      <c r="AE16" s="719" t="s">
        <v>294</v>
      </c>
      <c r="AF16" s="719" t="s">
        <v>294</v>
      </c>
      <c r="AG16" s="719" t="s">
        <v>294</v>
      </c>
      <c r="AH16" s="719" t="s">
        <v>294</v>
      </c>
      <c r="AI16" s="719" t="s">
        <v>294</v>
      </c>
      <c r="AJ16" s="719" t="s">
        <v>294</v>
      </c>
      <c r="AK16" s="719" t="s">
        <v>294</v>
      </c>
      <c r="AL16" s="719" t="s">
        <v>294</v>
      </c>
      <c r="AM16" s="719" t="s">
        <v>294</v>
      </c>
      <c r="AN16" s="719" t="s">
        <v>294</v>
      </c>
      <c r="AO16" s="719" t="s">
        <v>294</v>
      </c>
      <c r="AP16" s="719" t="s">
        <v>294</v>
      </c>
      <c r="AQ16" s="719" t="s">
        <v>294</v>
      </c>
      <c r="AR16" s="719" t="s">
        <v>294</v>
      </c>
      <c r="AS16" s="722" t="s">
        <v>294</v>
      </c>
      <c r="AT16" s="714" t="s">
        <v>294</v>
      </c>
      <c r="AU16" s="714" t="s">
        <v>294</v>
      </c>
      <c r="AV16" s="714" t="s">
        <v>294</v>
      </c>
      <c r="AW16" s="714" t="s">
        <v>294</v>
      </c>
      <c r="AX16" s="714" t="s">
        <v>294</v>
      </c>
      <c r="AY16" s="714" t="s">
        <v>294</v>
      </c>
      <c r="AZ16" s="714" t="s">
        <v>294</v>
      </c>
      <c r="BA16" s="714" t="s">
        <v>294</v>
      </c>
      <c r="BB16" s="714" t="s">
        <v>294</v>
      </c>
      <c r="BC16" s="714" t="s">
        <v>294</v>
      </c>
      <c r="BD16" s="714" t="s">
        <v>294</v>
      </c>
      <c r="BE16" s="714" t="s">
        <v>294</v>
      </c>
      <c r="BF16" s="714" t="s">
        <v>294</v>
      </c>
      <c r="BG16" s="714" t="s">
        <v>294</v>
      </c>
      <c r="BH16" s="714" t="s">
        <v>294</v>
      </c>
      <c r="BI16" s="714" t="s">
        <v>294</v>
      </c>
      <c r="BJ16" s="714" t="s">
        <v>294</v>
      </c>
      <c r="BK16" s="714" t="s">
        <v>294</v>
      </c>
    </row>
    <row r="27" spans="16:20" x14ac:dyDescent="0.2">
      <c r="R27" s="723" t="s">
        <v>1019</v>
      </c>
      <c r="S27" s="723" t="s">
        <v>1019</v>
      </c>
      <c r="T27" s="724" t="s">
        <v>1020</v>
      </c>
    </row>
    <row r="28" spans="16:20" x14ac:dyDescent="0.25">
      <c r="R28" s="723" t="s">
        <v>1021</v>
      </c>
      <c r="S28" s="723">
        <f>S22</f>
        <v>0</v>
      </c>
      <c r="T28" s="725" t="e">
        <f>S28/S28</f>
        <v>#DIV/0!</v>
      </c>
    </row>
    <row r="29" spans="16:20" ht="35.25" customHeight="1" x14ac:dyDescent="0.25">
      <c r="R29" s="723" t="s">
        <v>1022</v>
      </c>
      <c r="S29" s="723">
        <f>T22</f>
        <v>0</v>
      </c>
      <c r="T29" s="725" t="e">
        <f>S29/S28</f>
        <v>#DIV/0!</v>
      </c>
    </row>
    <row r="30" spans="16:20" ht="35.25" customHeight="1" x14ac:dyDescent="0.25">
      <c r="P30" s="706">
        <v>0</v>
      </c>
      <c r="R30" s="723" t="s">
        <v>1023</v>
      </c>
      <c r="S30" s="723">
        <f>U22</f>
        <v>0</v>
      </c>
      <c r="T30" s="725" t="e">
        <f>S30/S29</f>
        <v>#DIV/0!</v>
      </c>
    </row>
    <row r="31" spans="16:20" ht="35.25" customHeight="1" x14ac:dyDescent="0.25">
      <c r="R31" s="723" t="s">
        <v>1024</v>
      </c>
      <c r="S31" s="723">
        <f>S28-S29</f>
        <v>0</v>
      </c>
      <c r="T31" s="725" t="e">
        <f>S31/S28</f>
        <v>#DIV/0!</v>
      </c>
    </row>
    <row r="32" spans="16:20" ht="35.25" customHeight="1" x14ac:dyDescent="0.25">
      <c r="P32" s="706">
        <v>0</v>
      </c>
    </row>
    <row r="33" spans="16:17" ht="35.25" customHeight="1" x14ac:dyDescent="0.25">
      <c r="P33" s="706">
        <v>1</v>
      </c>
    </row>
    <row r="34" spans="16:17" ht="35.25" customHeight="1" x14ac:dyDescent="0.25">
      <c r="P34" s="706">
        <v>3</v>
      </c>
    </row>
    <row r="35" spans="16:17" ht="35.25" customHeight="1" x14ac:dyDescent="0.25">
      <c r="Q35" s="706">
        <f>SUM(Q30:Q34)</f>
        <v>0</v>
      </c>
    </row>
  </sheetData>
  <sheetProtection algorithmName="SHA-512" hashValue="8+Wdaa6/06XC1Y358+LF+dy2bK13keVY7qFCax34RkMiXPZtWQJKJnA9OYX/DWZFcvdCwF4MVwYJ1kN+wUEizw==" saltValue="2YIRkwjhUitJdkZ7CxqY4A==" spinCount="100000" sheet="1" objects="1" scenarios="1"/>
  <mergeCells count="48">
    <mergeCell ref="A1:AQ4"/>
    <mergeCell ref="A5:O6"/>
    <mergeCell ref="P5:AS5"/>
    <mergeCell ref="AC6:AQ6"/>
    <mergeCell ref="A7:B7"/>
    <mergeCell ref="C7:D7"/>
    <mergeCell ref="E7:F7"/>
    <mergeCell ref="G7:J7"/>
    <mergeCell ref="K7:N7"/>
    <mergeCell ref="O7:W7"/>
    <mergeCell ref="AQ7:AQ8"/>
    <mergeCell ref="AR7:AR8"/>
    <mergeCell ref="AS7:AS8"/>
    <mergeCell ref="AF7:AK7"/>
    <mergeCell ref="AM7:AO7"/>
    <mergeCell ref="AP7:AP8"/>
    <mergeCell ref="B9:F9"/>
    <mergeCell ref="A11:B16"/>
    <mergeCell ref="F11:K11"/>
    <mergeCell ref="E12:E15"/>
    <mergeCell ref="F12:F15"/>
    <mergeCell ref="P12:P15"/>
    <mergeCell ref="Q12:Q15"/>
    <mergeCell ref="X7:Z7"/>
    <mergeCell ref="AA7:AB7"/>
    <mergeCell ref="AC7:AE7"/>
    <mergeCell ref="AI12:AI15"/>
    <mergeCell ref="S12:S15"/>
    <mergeCell ref="T12:T15"/>
    <mergeCell ref="U12:U15"/>
    <mergeCell ref="AA12:AA15"/>
    <mergeCell ref="AB12:AB15"/>
    <mergeCell ref="AC12:AC15"/>
    <mergeCell ref="AD12:AD15"/>
    <mergeCell ref="AE12:AE15"/>
    <mergeCell ref="AF12:AF15"/>
    <mergeCell ref="AG12:AG15"/>
    <mergeCell ref="AH12:AH15"/>
    <mergeCell ref="AP12:AP15"/>
    <mergeCell ref="AQ12:AQ15"/>
    <mergeCell ref="AR12:AR15"/>
    <mergeCell ref="AS12:AS15"/>
    <mergeCell ref="AJ12:AJ15"/>
    <mergeCell ref="AK12:AK15"/>
    <mergeCell ref="AL12:AL15"/>
    <mergeCell ref="AM12:AM15"/>
    <mergeCell ref="AN12:AN15"/>
    <mergeCell ref="AO12:AO1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L101"/>
  <sheetViews>
    <sheetView showGridLines="0" zoomScale="60" zoomScaleNormal="60" workbookViewId="0">
      <selection sqref="A1:AQ4"/>
    </sheetView>
  </sheetViews>
  <sheetFormatPr baseColWidth="10" defaultColWidth="11.42578125" defaultRowHeight="15" x14ac:dyDescent="0.2"/>
  <cols>
    <col min="1" max="1" width="15.7109375" style="281" customWidth="1"/>
    <col min="2" max="2" width="17.7109375" style="160" customWidth="1"/>
    <col min="3" max="3" width="13.42578125" style="160" customWidth="1"/>
    <col min="4" max="4" width="21.42578125" style="160" customWidth="1"/>
    <col min="5" max="5" width="17" style="160" customWidth="1"/>
    <col min="6" max="6" width="18.85546875" style="160" customWidth="1"/>
    <col min="7" max="7" width="15.85546875" style="160" customWidth="1"/>
    <col min="8" max="8" width="31.5703125" style="160" customWidth="1"/>
    <col min="9" max="9" width="22.7109375" style="160" customWidth="1"/>
    <col min="10" max="10" width="31.5703125" style="160" customWidth="1"/>
    <col min="11" max="11" width="18.7109375" style="160" customWidth="1"/>
    <col min="12" max="12" width="25" style="132" customWidth="1"/>
    <col min="13" max="13" width="24.7109375" style="160" customWidth="1"/>
    <col min="14" max="14" width="25" style="132" customWidth="1"/>
    <col min="15" max="15" width="21.85546875" style="159" customWidth="1"/>
    <col min="16" max="16" width="26.85546875" style="159" customWidth="1"/>
    <col min="17" max="17" width="23" style="175" customWidth="1"/>
    <col min="18" max="18" width="20.28515625" style="282" customWidth="1"/>
    <col min="19" max="19" width="25" style="283" customWidth="1"/>
    <col min="20" max="20" width="34" style="284" customWidth="1"/>
    <col min="21" max="21" width="38.85546875" style="3" customWidth="1"/>
    <col min="22" max="22" width="72.140625" style="132" customWidth="1"/>
    <col min="23" max="23" width="30" style="291" customWidth="1"/>
    <col min="24" max="24" width="55.5703125" style="287" customWidth="1"/>
    <col min="25" max="25" width="16.140625" style="143" customWidth="1"/>
    <col min="26" max="26" width="23.5703125" style="137" customWidth="1"/>
    <col min="27" max="27" width="13.7109375" style="3" customWidth="1"/>
    <col min="28" max="42" width="13.7109375" style="160" customWidth="1"/>
    <col min="43" max="43" width="17.140625" style="160" customWidth="1"/>
    <col min="44" max="44" width="22.140625" style="288" customWidth="1"/>
    <col min="45" max="45" width="30.5703125" style="289" bestFit="1" customWidth="1"/>
    <col min="46" max="46" width="9.140625" style="160" customWidth="1"/>
    <col min="47" max="16384" width="11.42578125" style="160"/>
  </cols>
  <sheetData>
    <row r="1" spans="1:64" ht="18" customHeight="1" x14ac:dyDescent="0.2">
      <c r="A1" s="2207" t="s">
        <v>3177</v>
      </c>
      <c r="B1" s="2207"/>
      <c r="C1" s="2207"/>
      <c r="D1" s="2207"/>
      <c r="E1" s="2207"/>
      <c r="F1" s="2207"/>
      <c r="G1" s="2207"/>
      <c r="H1" s="2207"/>
      <c r="I1" s="2207"/>
      <c r="J1" s="2207"/>
      <c r="K1" s="2207"/>
      <c r="L1" s="2207"/>
      <c r="M1" s="2207"/>
      <c r="N1" s="2207"/>
      <c r="O1" s="2207"/>
      <c r="P1" s="2207"/>
      <c r="Q1" s="2207"/>
      <c r="R1" s="2207"/>
      <c r="S1" s="2207"/>
      <c r="T1" s="2207"/>
      <c r="U1" s="2207"/>
      <c r="V1" s="2207"/>
      <c r="W1" s="2207"/>
      <c r="X1" s="2207"/>
      <c r="Y1" s="2207"/>
      <c r="Z1" s="2207"/>
      <c r="AA1" s="2207"/>
      <c r="AB1" s="2207"/>
      <c r="AC1" s="2207"/>
      <c r="AD1" s="2207"/>
      <c r="AE1" s="2207"/>
      <c r="AF1" s="2207"/>
      <c r="AG1" s="2207"/>
      <c r="AH1" s="2207"/>
      <c r="AI1" s="2207"/>
      <c r="AJ1" s="2207"/>
      <c r="AK1" s="2207"/>
      <c r="AL1" s="2207"/>
      <c r="AM1" s="2207"/>
      <c r="AN1" s="2207"/>
      <c r="AO1" s="2207"/>
      <c r="AP1" s="2207"/>
      <c r="AQ1" s="2207"/>
      <c r="AR1" s="158" t="s">
        <v>1</v>
      </c>
      <c r="AS1" s="158" t="s">
        <v>2</v>
      </c>
      <c r="AT1" s="159"/>
      <c r="AU1" s="159"/>
      <c r="AV1" s="159"/>
      <c r="AW1" s="159"/>
      <c r="AX1" s="159"/>
      <c r="AY1" s="159"/>
      <c r="AZ1" s="159"/>
      <c r="BA1" s="159"/>
      <c r="BB1" s="159"/>
      <c r="BC1" s="159"/>
      <c r="BD1" s="159"/>
      <c r="BE1" s="159"/>
      <c r="BF1" s="159"/>
      <c r="BG1" s="159"/>
      <c r="BH1" s="159"/>
      <c r="BI1" s="159"/>
      <c r="BJ1" s="159"/>
      <c r="BK1" s="159"/>
      <c r="BL1" s="159"/>
    </row>
    <row r="2" spans="1:64" ht="18" customHeight="1" x14ac:dyDescent="0.2">
      <c r="A2" s="2207"/>
      <c r="B2" s="2207"/>
      <c r="C2" s="2207"/>
      <c r="D2" s="2207"/>
      <c r="E2" s="2207"/>
      <c r="F2" s="2207"/>
      <c r="G2" s="2207"/>
      <c r="H2" s="2207"/>
      <c r="I2" s="2207"/>
      <c r="J2" s="2207"/>
      <c r="K2" s="2207"/>
      <c r="L2" s="2207"/>
      <c r="M2" s="2207"/>
      <c r="N2" s="2207"/>
      <c r="O2" s="2207"/>
      <c r="P2" s="2207"/>
      <c r="Q2" s="2207"/>
      <c r="R2" s="2207"/>
      <c r="S2" s="2207"/>
      <c r="T2" s="2207"/>
      <c r="U2" s="2207"/>
      <c r="V2" s="2207"/>
      <c r="W2" s="2207"/>
      <c r="X2" s="2207"/>
      <c r="Y2" s="2207"/>
      <c r="Z2" s="2207"/>
      <c r="AA2" s="2207"/>
      <c r="AB2" s="2207"/>
      <c r="AC2" s="2207"/>
      <c r="AD2" s="2207"/>
      <c r="AE2" s="2207"/>
      <c r="AF2" s="2207"/>
      <c r="AG2" s="2207"/>
      <c r="AH2" s="2207"/>
      <c r="AI2" s="2207"/>
      <c r="AJ2" s="2207"/>
      <c r="AK2" s="2207"/>
      <c r="AL2" s="2207"/>
      <c r="AM2" s="2207"/>
      <c r="AN2" s="2207"/>
      <c r="AO2" s="2207"/>
      <c r="AP2" s="2207"/>
      <c r="AQ2" s="2207"/>
      <c r="AR2" s="161" t="s">
        <v>3</v>
      </c>
      <c r="AS2" s="5">
        <v>9</v>
      </c>
      <c r="AT2" s="159"/>
      <c r="AU2" s="159"/>
      <c r="AV2" s="159"/>
      <c r="AW2" s="159"/>
      <c r="AX2" s="159"/>
      <c r="AY2" s="159"/>
      <c r="AZ2" s="159"/>
      <c r="BA2" s="159"/>
      <c r="BB2" s="159"/>
      <c r="BC2" s="159"/>
      <c r="BD2" s="159"/>
      <c r="BE2" s="159"/>
      <c r="BF2" s="159"/>
      <c r="BG2" s="159"/>
      <c r="BH2" s="159"/>
      <c r="BI2" s="159"/>
      <c r="BJ2" s="159"/>
      <c r="BK2" s="159"/>
      <c r="BL2" s="159"/>
    </row>
    <row r="3" spans="1:64" ht="18" customHeight="1" x14ac:dyDescent="0.2">
      <c r="A3" s="2207"/>
      <c r="B3" s="2207"/>
      <c r="C3" s="2207"/>
      <c r="D3" s="2207"/>
      <c r="E3" s="2207"/>
      <c r="F3" s="2207"/>
      <c r="G3" s="2207"/>
      <c r="H3" s="2207"/>
      <c r="I3" s="2207"/>
      <c r="J3" s="2207"/>
      <c r="K3" s="2207"/>
      <c r="L3" s="2207"/>
      <c r="M3" s="2207"/>
      <c r="N3" s="2207"/>
      <c r="O3" s="2207"/>
      <c r="P3" s="2207"/>
      <c r="Q3" s="2207"/>
      <c r="R3" s="2207"/>
      <c r="S3" s="2207"/>
      <c r="T3" s="2207"/>
      <c r="U3" s="2207"/>
      <c r="V3" s="2207"/>
      <c r="W3" s="2207"/>
      <c r="X3" s="2207"/>
      <c r="Y3" s="2207"/>
      <c r="Z3" s="2207"/>
      <c r="AA3" s="2207"/>
      <c r="AB3" s="2207"/>
      <c r="AC3" s="2207"/>
      <c r="AD3" s="2207"/>
      <c r="AE3" s="2207"/>
      <c r="AF3" s="2207"/>
      <c r="AG3" s="2207"/>
      <c r="AH3" s="2207"/>
      <c r="AI3" s="2207"/>
      <c r="AJ3" s="2207"/>
      <c r="AK3" s="2207"/>
      <c r="AL3" s="2207"/>
      <c r="AM3" s="2207"/>
      <c r="AN3" s="2207"/>
      <c r="AO3" s="2207"/>
      <c r="AP3" s="2207"/>
      <c r="AQ3" s="2207"/>
      <c r="AR3" s="158" t="s">
        <v>4</v>
      </c>
      <c r="AS3" s="6">
        <v>44266</v>
      </c>
      <c r="AT3" s="159"/>
      <c r="AU3" s="159"/>
      <c r="AV3" s="159"/>
      <c r="AW3" s="159"/>
      <c r="AX3" s="159"/>
      <c r="AY3" s="159"/>
      <c r="AZ3" s="159"/>
      <c r="BA3" s="159"/>
      <c r="BB3" s="159"/>
      <c r="BC3" s="159"/>
      <c r="BD3" s="159"/>
      <c r="BE3" s="159"/>
      <c r="BF3" s="159"/>
      <c r="BG3" s="159"/>
      <c r="BH3" s="159"/>
      <c r="BI3" s="159"/>
      <c r="BJ3" s="159"/>
      <c r="BK3" s="159"/>
      <c r="BL3" s="159"/>
    </row>
    <row r="4" spans="1:64" ht="18" customHeight="1" x14ac:dyDescent="0.2">
      <c r="A4" s="2208"/>
      <c r="B4" s="2208"/>
      <c r="C4" s="2208"/>
      <c r="D4" s="2208"/>
      <c r="E4" s="2208"/>
      <c r="F4" s="2208"/>
      <c r="G4" s="2208"/>
      <c r="H4" s="2208"/>
      <c r="I4" s="2208"/>
      <c r="J4" s="2208"/>
      <c r="K4" s="2208"/>
      <c r="L4" s="2208"/>
      <c r="M4" s="2208"/>
      <c r="N4" s="2208"/>
      <c r="O4" s="2208"/>
      <c r="P4" s="2208"/>
      <c r="Q4" s="2208"/>
      <c r="R4" s="2208"/>
      <c r="S4" s="2208"/>
      <c r="T4" s="2208"/>
      <c r="U4" s="2208"/>
      <c r="V4" s="2208"/>
      <c r="W4" s="2208"/>
      <c r="X4" s="2208"/>
      <c r="Y4" s="2208"/>
      <c r="Z4" s="2208"/>
      <c r="AA4" s="2208"/>
      <c r="AB4" s="2208"/>
      <c r="AC4" s="2208"/>
      <c r="AD4" s="2208"/>
      <c r="AE4" s="2208"/>
      <c r="AF4" s="2208"/>
      <c r="AG4" s="2208"/>
      <c r="AH4" s="2208"/>
      <c r="AI4" s="2208"/>
      <c r="AJ4" s="2208"/>
      <c r="AK4" s="2208"/>
      <c r="AL4" s="2208"/>
      <c r="AM4" s="2208"/>
      <c r="AN4" s="2208"/>
      <c r="AO4" s="2208"/>
      <c r="AP4" s="2208"/>
      <c r="AQ4" s="2208"/>
      <c r="AR4" s="158" t="s">
        <v>5</v>
      </c>
      <c r="AS4" s="162" t="s">
        <v>114</v>
      </c>
      <c r="AT4" s="159"/>
      <c r="AU4" s="159"/>
      <c r="AV4" s="159"/>
      <c r="AW4" s="159"/>
      <c r="AX4" s="159"/>
      <c r="AY4" s="159"/>
      <c r="AZ4" s="159"/>
      <c r="BA4" s="159"/>
      <c r="BB4" s="159"/>
      <c r="BC4" s="159"/>
      <c r="BD4" s="159"/>
      <c r="BE4" s="159"/>
      <c r="BF4" s="159"/>
      <c r="BG4" s="159"/>
      <c r="BH4" s="159"/>
      <c r="BI4" s="159"/>
      <c r="BJ4" s="159"/>
      <c r="BK4" s="159"/>
      <c r="BL4" s="159"/>
    </row>
    <row r="5" spans="1:64" ht="12.75" customHeight="1" x14ac:dyDescent="0.2">
      <c r="A5" s="2020" t="s">
        <v>115</v>
      </c>
      <c r="B5" s="2020"/>
      <c r="C5" s="2020"/>
      <c r="D5" s="2020"/>
      <c r="E5" s="2020"/>
      <c r="F5" s="2020"/>
      <c r="G5" s="2020"/>
      <c r="H5" s="2020"/>
      <c r="I5" s="2020"/>
      <c r="J5" s="2020"/>
      <c r="K5" s="2020"/>
      <c r="L5" s="2020"/>
      <c r="M5" s="2020"/>
      <c r="N5" s="2020"/>
      <c r="O5" s="2020"/>
      <c r="P5" s="2021"/>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159"/>
      <c r="AU5" s="159"/>
      <c r="AV5" s="159"/>
      <c r="AW5" s="159"/>
      <c r="AX5" s="159"/>
      <c r="AY5" s="159"/>
      <c r="AZ5" s="159"/>
      <c r="BA5" s="159"/>
      <c r="BB5" s="159"/>
      <c r="BC5" s="159"/>
      <c r="BD5" s="159"/>
      <c r="BE5" s="159"/>
      <c r="BF5" s="159"/>
      <c r="BG5" s="159"/>
      <c r="BH5" s="159"/>
      <c r="BI5" s="159"/>
      <c r="BJ5" s="159"/>
      <c r="BK5" s="159"/>
      <c r="BL5" s="159"/>
    </row>
    <row r="6" spans="1:64" ht="16.5" customHeight="1" x14ac:dyDescent="0.2">
      <c r="A6" s="2018"/>
      <c r="B6" s="2018"/>
      <c r="C6" s="2018"/>
      <c r="D6" s="2018"/>
      <c r="E6" s="2018"/>
      <c r="F6" s="2018"/>
      <c r="G6" s="2018"/>
      <c r="H6" s="2018"/>
      <c r="I6" s="2018"/>
      <c r="J6" s="2018"/>
      <c r="K6" s="2018"/>
      <c r="L6" s="2018"/>
      <c r="M6" s="2018"/>
      <c r="N6" s="2018"/>
      <c r="O6" s="2018"/>
      <c r="P6" s="163"/>
      <c r="Q6" s="163"/>
      <c r="R6" s="163"/>
      <c r="S6" s="164"/>
      <c r="T6" s="165"/>
      <c r="U6" s="7"/>
      <c r="V6" s="163"/>
      <c r="W6" s="166"/>
      <c r="X6" s="167"/>
      <c r="Y6" s="163"/>
      <c r="Z6" s="163"/>
      <c r="AA6" s="2209" t="s">
        <v>8</v>
      </c>
      <c r="AB6" s="2018"/>
      <c r="AC6" s="2018"/>
      <c r="AD6" s="2018"/>
      <c r="AE6" s="2018"/>
      <c r="AF6" s="2018"/>
      <c r="AG6" s="2018"/>
      <c r="AH6" s="2018"/>
      <c r="AI6" s="2018"/>
      <c r="AJ6" s="2018"/>
      <c r="AK6" s="2018"/>
      <c r="AL6" s="2018"/>
      <c r="AM6" s="2018"/>
      <c r="AN6" s="2018"/>
      <c r="AO6" s="2019"/>
      <c r="AP6" s="7"/>
      <c r="AQ6" s="163"/>
      <c r="AR6" s="163"/>
      <c r="AS6" s="168"/>
      <c r="AT6" s="159"/>
      <c r="AU6" s="159"/>
      <c r="AV6" s="159"/>
      <c r="AW6" s="159"/>
      <c r="AX6" s="159"/>
      <c r="AY6" s="159"/>
      <c r="AZ6" s="159"/>
      <c r="BA6" s="159"/>
      <c r="BB6" s="159"/>
      <c r="BC6" s="159"/>
      <c r="BD6" s="159"/>
      <c r="BE6" s="159"/>
      <c r="BF6" s="159"/>
      <c r="BG6" s="159"/>
      <c r="BH6" s="159"/>
      <c r="BI6" s="159"/>
      <c r="BJ6" s="159"/>
      <c r="BK6" s="159"/>
      <c r="BL6" s="159"/>
    </row>
    <row r="7" spans="1:64" ht="19.5" customHeight="1" x14ac:dyDescent="0.2">
      <c r="A7" s="2025" t="s">
        <v>9</v>
      </c>
      <c r="B7" s="2210"/>
      <c r="C7" s="2024" t="s">
        <v>10</v>
      </c>
      <c r="D7" s="2210"/>
      <c r="E7" s="2025" t="s">
        <v>11</v>
      </c>
      <c r="F7" s="2210"/>
      <c r="G7" s="2024" t="s">
        <v>12</v>
      </c>
      <c r="H7" s="2025"/>
      <c r="I7" s="2025"/>
      <c r="J7" s="2025"/>
      <c r="K7" s="2024" t="s">
        <v>13</v>
      </c>
      <c r="L7" s="2025"/>
      <c r="M7" s="2025"/>
      <c r="N7" s="2210"/>
      <c r="O7" s="2211" t="s">
        <v>116</v>
      </c>
      <c r="P7" s="2204" t="s">
        <v>14</v>
      </c>
      <c r="Q7" s="2205"/>
      <c r="R7" s="2205"/>
      <c r="S7" s="2205"/>
      <c r="T7" s="2205"/>
      <c r="U7" s="2205"/>
      <c r="V7" s="2206"/>
      <c r="W7" s="169"/>
      <c r="X7" s="2204" t="s">
        <v>15</v>
      </c>
      <c r="Y7" s="2205"/>
      <c r="Z7" s="2206"/>
      <c r="AA7" s="2045" t="s">
        <v>16</v>
      </c>
      <c r="AB7" s="2046"/>
      <c r="AC7" s="2047" t="s">
        <v>17</v>
      </c>
      <c r="AD7" s="2048"/>
      <c r="AE7" s="2048"/>
      <c r="AF7" s="2048"/>
      <c r="AG7" s="2216" t="s">
        <v>18</v>
      </c>
      <c r="AH7" s="2217"/>
      <c r="AI7" s="2217"/>
      <c r="AJ7" s="2217"/>
      <c r="AK7" s="2217"/>
      <c r="AL7" s="2217"/>
      <c r="AM7" s="2218" t="s">
        <v>19</v>
      </c>
      <c r="AN7" s="2219"/>
      <c r="AO7" s="2219"/>
      <c r="AP7" s="2213" t="s">
        <v>20</v>
      </c>
      <c r="AQ7" s="2036" t="s">
        <v>21</v>
      </c>
      <c r="AR7" s="2036" t="s">
        <v>22</v>
      </c>
      <c r="AS7" s="2038" t="s">
        <v>23</v>
      </c>
      <c r="AT7" s="159"/>
      <c r="AU7" s="159"/>
      <c r="AV7" s="159"/>
      <c r="AW7" s="159"/>
      <c r="AX7" s="159"/>
      <c r="AY7" s="159"/>
      <c r="AZ7" s="159"/>
      <c r="BA7" s="159"/>
      <c r="BB7" s="159"/>
      <c r="BC7" s="159"/>
      <c r="BD7" s="159"/>
      <c r="BE7" s="159"/>
      <c r="BF7" s="159"/>
      <c r="BG7" s="159"/>
      <c r="BH7" s="159"/>
      <c r="BI7" s="159"/>
      <c r="BJ7" s="159"/>
      <c r="BK7" s="159"/>
      <c r="BL7" s="159"/>
    </row>
    <row r="8" spans="1:64" s="176" customFormat="1" ht="120.75" customHeight="1" x14ac:dyDescent="0.2">
      <c r="A8" s="170" t="s">
        <v>24</v>
      </c>
      <c r="B8" s="171" t="s">
        <v>25</v>
      </c>
      <c r="C8" s="170" t="s">
        <v>24</v>
      </c>
      <c r="D8" s="171" t="s">
        <v>25</v>
      </c>
      <c r="E8" s="171" t="s">
        <v>24</v>
      </c>
      <c r="F8" s="171" t="s">
        <v>25</v>
      </c>
      <c r="G8" s="171" t="s">
        <v>26</v>
      </c>
      <c r="H8" s="171" t="s">
        <v>27</v>
      </c>
      <c r="I8" s="171" t="s">
        <v>28</v>
      </c>
      <c r="J8" s="171" t="s">
        <v>117</v>
      </c>
      <c r="K8" s="171" t="s">
        <v>26</v>
      </c>
      <c r="L8" s="171" t="s">
        <v>30</v>
      </c>
      <c r="M8" s="171" t="s">
        <v>31</v>
      </c>
      <c r="N8" s="171" t="s">
        <v>32</v>
      </c>
      <c r="O8" s="2212"/>
      <c r="P8" s="171" t="s">
        <v>34</v>
      </c>
      <c r="Q8" s="171" t="s">
        <v>35</v>
      </c>
      <c r="R8" s="172" t="s">
        <v>36</v>
      </c>
      <c r="S8" s="173" t="s">
        <v>118</v>
      </c>
      <c r="T8" s="171" t="s">
        <v>38</v>
      </c>
      <c r="U8" s="171" t="s">
        <v>39</v>
      </c>
      <c r="V8" s="171" t="s">
        <v>40</v>
      </c>
      <c r="W8" s="174" t="s">
        <v>119</v>
      </c>
      <c r="X8" s="171" t="s">
        <v>42</v>
      </c>
      <c r="Y8" s="19" t="s">
        <v>43</v>
      </c>
      <c r="Z8" s="171" t="s">
        <v>25</v>
      </c>
      <c r="AA8" s="21" t="s">
        <v>44</v>
      </c>
      <c r="AB8" s="22" t="s">
        <v>45</v>
      </c>
      <c r="AC8" s="21" t="s">
        <v>46</v>
      </c>
      <c r="AD8" s="21" t="s">
        <v>47</v>
      </c>
      <c r="AE8" s="21" t="s">
        <v>48</v>
      </c>
      <c r="AF8" s="21" t="s">
        <v>49</v>
      </c>
      <c r="AG8" s="21" t="s">
        <v>50</v>
      </c>
      <c r="AH8" s="21" t="s">
        <v>51</v>
      </c>
      <c r="AI8" s="21" t="s">
        <v>52</v>
      </c>
      <c r="AJ8" s="21" t="s">
        <v>120</v>
      </c>
      <c r="AK8" s="21" t="s">
        <v>54</v>
      </c>
      <c r="AL8" s="21" t="s">
        <v>55</v>
      </c>
      <c r="AM8" s="21" t="s">
        <v>56</v>
      </c>
      <c r="AN8" s="21" t="s">
        <v>57</v>
      </c>
      <c r="AO8" s="21" t="s">
        <v>58</v>
      </c>
      <c r="AP8" s="2214"/>
      <c r="AQ8" s="2215"/>
      <c r="AR8" s="2215"/>
      <c r="AS8" s="2039"/>
      <c r="AT8" s="175"/>
      <c r="AU8" s="175"/>
      <c r="AV8" s="175"/>
      <c r="AW8" s="175"/>
      <c r="AX8" s="175"/>
      <c r="AY8" s="175"/>
      <c r="AZ8" s="175"/>
      <c r="BA8" s="175"/>
      <c r="BB8" s="175"/>
      <c r="BC8" s="175"/>
      <c r="BD8" s="175"/>
      <c r="BE8" s="175"/>
      <c r="BF8" s="175"/>
      <c r="BG8" s="175"/>
      <c r="BH8" s="175"/>
      <c r="BI8" s="175"/>
      <c r="BJ8" s="175"/>
      <c r="BK8" s="175"/>
      <c r="BL8" s="175"/>
    </row>
    <row r="9" spans="1:64" ht="21" customHeight="1" x14ac:dyDescent="0.2">
      <c r="A9" s="177">
        <v>4</v>
      </c>
      <c r="B9" s="178" t="s">
        <v>59</v>
      </c>
      <c r="C9" s="179"/>
      <c r="D9" s="179"/>
      <c r="E9" s="180"/>
      <c r="F9" s="181"/>
      <c r="G9" s="181"/>
      <c r="H9" s="181"/>
      <c r="I9" s="181"/>
      <c r="J9" s="181"/>
      <c r="K9" s="181"/>
      <c r="L9" s="182"/>
      <c r="M9" s="181"/>
      <c r="N9" s="182"/>
      <c r="O9" s="181"/>
      <c r="P9" s="181"/>
      <c r="Q9" s="181"/>
      <c r="R9" s="181"/>
      <c r="S9" s="181"/>
      <c r="T9" s="181"/>
      <c r="U9" s="181"/>
      <c r="V9" s="181"/>
      <c r="W9" s="181"/>
      <c r="X9" s="181"/>
      <c r="Y9" s="183"/>
      <c r="Z9" s="184"/>
      <c r="AA9" s="185"/>
      <c r="AB9" s="186"/>
      <c r="AC9" s="181"/>
      <c r="AD9" s="181"/>
      <c r="AE9" s="181"/>
      <c r="AF9" s="181"/>
      <c r="AG9" s="181"/>
      <c r="AH9" s="181"/>
      <c r="AI9" s="181"/>
      <c r="AJ9" s="181"/>
      <c r="AK9" s="181"/>
      <c r="AL9" s="181"/>
      <c r="AM9" s="181"/>
      <c r="AN9" s="181"/>
      <c r="AO9" s="181"/>
      <c r="AP9" s="181"/>
      <c r="AQ9" s="181"/>
      <c r="AR9" s="187"/>
      <c r="AS9" s="187"/>
      <c r="AT9" s="159"/>
      <c r="AU9" s="159"/>
      <c r="AV9" s="159"/>
      <c r="AW9" s="159"/>
      <c r="AX9" s="159"/>
      <c r="AY9" s="159"/>
      <c r="AZ9" s="159"/>
      <c r="BA9" s="159"/>
      <c r="BB9" s="159"/>
      <c r="BC9" s="159"/>
      <c r="BD9" s="159"/>
      <c r="BE9" s="159"/>
      <c r="BF9" s="159"/>
      <c r="BG9" s="159"/>
      <c r="BH9" s="159"/>
      <c r="BI9" s="159"/>
      <c r="BJ9" s="159"/>
    </row>
    <row r="10" spans="1:64" ht="21" customHeight="1" x14ac:dyDescent="0.2">
      <c r="A10" s="188"/>
      <c r="B10" s="189"/>
      <c r="C10" s="190">
        <v>45</v>
      </c>
      <c r="D10" s="191" t="s">
        <v>121</v>
      </c>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59"/>
      <c r="AU10" s="159"/>
      <c r="AV10" s="159"/>
      <c r="AW10" s="159"/>
      <c r="AX10" s="159"/>
      <c r="AY10" s="159"/>
      <c r="AZ10" s="159"/>
      <c r="BA10" s="159"/>
      <c r="BB10" s="159"/>
      <c r="BC10" s="159"/>
      <c r="BD10" s="159"/>
      <c r="BE10" s="159"/>
      <c r="BF10" s="159"/>
      <c r="BG10" s="159"/>
      <c r="BH10" s="159"/>
      <c r="BI10" s="159"/>
      <c r="BJ10" s="159"/>
    </row>
    <row r="11" spans="1:64" ht="21.75" customHeight="1" x14ac:dyDescent="0.2">
      <c r="A11" s="193"/>
      <c r="B11" s="194"/>
      <c r="C11" s="195"/>
      <c r="D11" s="196"/>
      <c r="E11" s="197">
        <v>4502</v>
      </c>
      <c r="F11" s="198" t="s">
        <v>100</v>
      </c>
      <c r="G11" s="199"/>
      <c r="H11" s="199"/>
      <c r="I11" s="199"/>
      <c r="J11" s="199"/>
      <c r="K11" s="200"/>
      <c r="L11" s="201"/>
      <c r="M11" s="200"/>
      <c r="N11" s="201"/>
      <c r="O11" s="201"/>
      <c r="P11" s="202"/>
      <c r="Q11" s="203"/>
      <c r="R11" s="204"/>
      <c r="S11" s="205"/>
      <c r="T11" s="203"/>
      <c r="U11" s="206"/>
      <c r="V11" s="200"/>
      <c r="W11" s="207"/>
      <c r="X11" s="208"/>
      <c r="Y11" s="209"/>
      <c r="Z11" s="206"/>
      <c r="AA11" s="210"/>
      <c r="AB11" s="201"/>
      <c r="AC11" s="201"/>
      <c r="AD11" s="201"/>
      <c r="AE11" s="201"/>
      <c r="AF11" s="201"/>
      <c r="AG11" s="201"/>
      <c r="AH11" s="201"/>
      <c r="AI11" s="201"/>
      <c r="AJ11" s="201"/>
      <c r="AK11" s="201"/>
      <c r="AL11" s="201"/>
      <c r="AM11" s="201"/>
      <c r="AN11" s="201"/>
      <c r="AO11" s="201"/>
      <c r="AP11" s="201"/>
      <c r="AQ11" s="211"/>
      <c r="AR11" s="211"/>
      <c r="AS11" s="200"/>
      <c r="AU11" s="159"/>
      <c r="AV11" s="159"/>
      <c r="AW11" s="159"/>
      <c r="AX11" s="159"/>
      <c r="AY11" s="159"/>
      <c r="AZ11" s="159"/>
      <c r="BA11" s="159"/>
      <c r="BB11" s="159"/>
      <c r="BC11" s="159"/>
      <c r="BD11" s="159"/>
      <c r="BE11" s="159"/>
      <c r="BF11" s="159"/>
      <c r="BG11" s="159"/>
      <c r="BH11" s="159"/>
      <c r="BI11" s="159"/>
      <c r="BJ11" s="159"/>
    </row>
    <row r="12" spans="1:64" ht="45.75" customHeight="1" x14ac:dyDescent="0.2">
      <c r="A12" s="193"/>
      <c r="B12" s="194"/>
      <c r="C12" s="193"/>
      <c r="D12" s="212"/>
      <c r="E12" s="213"/>
      <c r="F12" s="213"/>
      <c r="G12" s="2202" t="s">
        <v>62</v>
      </c>
      <c r="H12" s="2203" t="s">
        <v>122</v>
      </c>
      <c r="I12" s="2202">
        <v>4502001</v>
      </c>
      <c r="J12" s="2203" t="s">
        <v>123</v>
      </c>
      <c r="K12" s="2172" t="s">
        <v>62</v>
      </c>
      <c r="L12" s="2174" t="s">
        <v>124</v>
      </c>
      <c r="M12" s="2172">
        <v>450200100</v>
      </c>
      <c r="N12" s="2174" t="s">
        <v>125</v>
      </c>
      <c r="O12" s="2057">
        <v>1</v>
      </c>
      <c r="P12" s="2182" t="s">
        <v>126</v>
      </c>
      <c r="Q12" s="2119" t="s">
        <v>127</v>
      </c>
      <c r="R12" s="2114">
        <f>SUM(W12:W29)/S12</f>
        <v>1</v>
      </c>
      <c r="S12" s="2178">
        <f>SUM(W12:W29)</f>
        <v>143333529</v>
      </c>
      <c r="T12" s="2055" t="s">
        <v>128</v>
      </c>
      <c r="U12" s="2180" t="s">
        <v>129</v>
      </c>
      <c r="V12" s="2192" t="s">
        <v>130</v>
      </c>
      <c r="W12" s="216">
        <v>5000000</v>
      </c>
      <c r="X12" s="217" t="s">
        <v>131</v>
      </c>
      <c r="Y12" s="112">
        <v>20</v>
      </c>
      <c r="Z12" s="218" t="s">
        <v>132</v>
      </c>
      <c r="AA12" s="2098">
        <v>295972</v>
      </c>
      <c r="AB12" s="2122">
        <v>285580</v>
      </c>
      <c r="AC12" s="2175">
        <v>135545</v>
      </c>
      <c r="AD12" s="2197">
        <v>44254</v>
      </c>
      <c r="AE12" s="2198">
        <v>309146</v>
      </c>
      <c r="AF12" s="2197">
        <v>92607</v>
      </c>
      <c r="AG12" s="2175">
        <v>2145</v>
      </c>
      <c r="AH12" s="2197">
        <v>12718</v>
      </c>
      <c r="AI12" s="2195">
        <v>26</v>
      </c>
      <c r="AJ12" s="2196">
        <v>37</v>
      </c>
      <c r="AK12" s="2195">
        <v>0</v>
      </c>
      <c r="AL12" s="2196">
        <v>0</v>
      </c>
      <c r="AM12" s="2175">
        <v>44350</v>
      </c>
      <c r="AN12" s="2197">
        <v>21944</v>
      </c>
      <c r="AO12" s="2175">
        <v>75687</v>
      </c>
      <c r="AP12" s="2176">
        <f>+AA12+AB12</f>
        <v>581552</v>
      </c>
      <c r="AQ12" s="2177">
        <v>44197</v>
      </c>
      <c r="AR12" s="2188">
        <v>44561</v>
      </c>
      <c r="AS12" s="2189" t="s">
        <v>133</v>
      </c>
    </row>
    <row r="13" spans="1:64" ht="48" customHeight="1" x14ac:dyDescent="0.2">
      <c r="A13" s="193"/>
      <c r="B13" s="194"/>
      <c r="C13" s="193"/>
      <c r="D13" s="212"/>
      <c r="E13" s="213"/>
      <c r="F13" s="213"/>
      <c r="G13" s="2032"/>
      <c r="H13" s="2033"/>
      <c r="I13" s="2032"/>
      <c r="J13" s="2033"/>
      <c r="K13" s="2172"/>
      <c r="L13" s="2174"/>
      <c r="M13" s="2172"/>
      <c r="N13" s="2174"/>
      <c r="O13" s="2057"/>
      <c r="P13" s="2182"/>
      <c r="Q13" s="2119"/>
      <c r="R13" s="2114"/>
      <c r="S13" s="2178"/>
      <c r="T13" s="2055"/>
      <c r="U13" s="2180"/>
      <c r="V13" s="2192"/>
      <c r="W13" s="216">
        <v>10000000</v>
      </c>
      <c r="X13" s="217" t="s">
        <v>134</v>
      </c>
      <c r="Y13" s="112">
        <v>20</v>
      </c>
      <c r="Z13" s="218" t="s">
        <v>132</v>
      </c>
      <c r="AA13" s="2070"/>
      <c r="AB13" s="2122"/>
      <c r="AC13" s="2175"/>
      <c r="AD13" s="2197"/>
      <c r="AE13" s="2199"/>
      <c r="AF13" s="2197"/>
      <c r="AG13" s="2175"/>
      <c r="AH13" s="2197"/>
      <c r="AI13" s="2195"/>
      <c r="AJ13" s="2196"/>
      <c r="AK13" s="2195"/>
      <c r="AL13" s="2196"/>
      <c r="AM13" s="2175"/>
      <c r="AN13" s="2197"/>
      <c r="AO13" s="2175"/>
      <c r="AP13" s="2176"/>
      <c r="AQ13" s="2177"/>
      <c r="AR13" s="2188"/>
      <c r="AS13" s="2189"/>
    </row>
    <row r="14" spans="1:64" ht="45" customHeight="1" x14ac:dyDescent="0.2">
      <c r="A14" s="193"/>
      <c r="B14" s="194"/>
      <c r="C14" s="193"/>
      <c r="D14" s="212"/>
      <c r="E14" s="213"/>
      <c r="F14" s="213"/>
      <c r="G14" s="2032"/>
      <c r="H14" s="2033"/>
      <c r="I14" s="2032"/>
      <c r="J14" s="2033"/>
      <c r="K14" s="2172"/>
      <c r="L14" s="2174"/>
      <c r="M14" s="2172"/>
      <c r="N14" s="2174"/>
      <c r="O14" s="2057"/>
      <c r="P14" s="2182"/>
      <c r="Q14" s="2119"/>
      <c r="R14" s="2114"/>
      <c r="S14" s="2178"/>
      <c r="T14" s="2055"/>
      <c r="U14" s="2180"/>
      <c r="V14" s="2190" t="s">
        <v>135</v>
      </c>
      <c r="W14" s="216">
        <v>5000000</v>
      </c>
      <c r="X14" s="217" t="s">
        <v>131</v>
      </c>
      <c r="Y14" s="112">
        <v>20</v>
      </c>
      <c r="Z14" s="218" t="s">
        <v>132</v>
      </c>
      <c r="AA14" s="2070"/>
      <c r="AB14" s="2122"/>
      <c r="AC14" s="2175"/>
      <c r="AD14" s="2197"/>
      <c r="AE14" s="2199"/>
      <c r="AF14" s="2197"/>
      <c r="AG14" s="2175"/>
      <c r="AH14" s="2197"/>
      <c r="AI14" s="2195"/>
      <c r="AJ14" s="2196"/>
      <c r="AK14" s="2195"/>
      <c r="AL14" s="2196"/>
      <c r="AM14" s="2175"/>
      <c r="AN14" s="2197"/>
      <c r="AO14" s="2175"/>
      <c r="AP14" s="2176"/>
      <c r="AQ14" s="2177"/>
      <c r="AR14" s="2188"/>
      <c r="AS14" s="2189"/>
    </row>
    <row r="15" spans="1:64" ht="39" customHeight="1" x14ac:dyDescent="0.2">
      <c r="A15" s="193"/>
      <c r="B15" s="194"/>
      <c r="C15" s="193"/>
      <c r="D15" s="212"/>
      <c r="E15" s="213"/>
      <c r="F15" s="213"/>
      <c r="G15" s="2032"/>
      <c r="H15" s="2033"/>
      <c r="I15" s="2032"/>
      <c r="J15" s="2033"/>
      <c r="K15" s="2172"/>
      <c r="L15" s="2174"/>
      <c r="M15" s="2172"/>
      <c r="N15" s="2174"/>
      <c r="O15" s="2057"/>
      <c r="P15" s="2182"/>
      <c r="Q15" s="2119"/>
      <c r="R15" s="2114"/>
      <c r="S15" s="2178"/>
      <c r="T15" s="2055"/>
      <c r="U15" s="2180"/>
      <c r="V15" s="2190"/>
      <c r="W15" s="216">
        <v>5000000</v>
      </c>
      <c r="X15" s="217" t="s">
        <v>134</v>
      </c>
      <c r="Y15" s="112">
        <v>20</v>
      </c>
      <c r="Z15" s="218" t="s">
        <v>132</v>
      </c>
      <c r="AA15" s="2070"/>
      <c r="AB15" s="2122"/>
      <c r="AC15" s="2175"/>
      <c r="AD15" s="2197"/>
      <c r="AE15" s="2199"/>
      <c r="AF15" s="2197"/>
      <c r="AG15" s="2175"/>
      <c r="AH15" s="2197"/>
      <c r="AI15" s="2195"/>
      <c r="AJ15" s="2196"/>
      <c r="AK15" s="2195"/>
      <c r="AL15" s="2196"/>
      <c r="AM15" s="2175"/>
      <c r="AN15" s="2197"/>
      <c r="AO15" s="2175"/>
      <c r="AP15" s="2176"/>
      <c r="AQ15" s="2177"/>
      <c r="AR15" s="2188"/>
      <c r="AS15" s="2189"/>
    </row>
    <row r="16" spans="1:64" ht="83.25" customHeight="1" x14ac:dyDescent="0.2">
      <c r="A16" s="193"/>
      <c r="B16" s="194"/>
      <c r="C16" s="193"/>
      <c r="D16" s="212"/>
      <c r="E16" s="213"/>
      <c r="F16" s="213"/>
      <c r="G16" s="2032"/>
      <c r="H16" s="2033"/>
      <c r="I16" s="2032"/>
      <c r="J16" s="2033"/>
      <c r="K16" s="2172"/>
      <c r="L16" s="2174"/>
      <c r="M16" s="2172"/>
      <c r="N16" s="2174"/>
      <c r="O16" s="2057"/>
      <c r="P16" s="2182"/>
      <c r="Q16" s="2119"/>
      <c r="R16" s="2114"/>
      <c r="S16" s="2178"/>
      <c r="T16" s="2055"/>
      <c r="U16" s="2180"/>
      <c r="V16" s="2190"/>
      <c r="W16" s="216">
        <v>5000000</v>
      </c>
      <c r="X16" s="217" t="s">
        <v>136</v>
      </c>
      <c r="Y16" s="220">
        <v>20</v>
      </c>
      <c r="Z16" s="218" t="s">
        <v>132</v>
      </c>
      <c r="AA16" s="2070"/>
      <c r="AB16" s="2122"/>
      <c r="AC16" s="2175"/>
      <c r="AD16" s="2197"/>
      <c r="AE16" s="2199"/>
      <c r="AF16" s="2197"/>
      <c r="AG16" s="2175"/>
      <c r="AH16" s="2197"/>
      <c r="AI16" s="2195"/>
      <c r="AJ16" s="2196"/>
      <c r="AK16" s="2195"/>
      <c r="AL16" s="2196"/>
      <c r="AM16" s="2175"/>
      <c r="AN16" s="2197"/>
      <c r="AO16" s="2175"/>
      <c r="AP16" s="2176"/>
      <c r="AQ16" s="2177"/>
      <c r="AR16" s="2188"/>
      <c r="AS16" s="2189"/>
    </row>
    <row r="17" spans="1:45" ht="69" customHeight="1" x14ac:dyDescent="0.2">
      <c r="A17" s="193"/>
      <c r="B17" s="194"/>
      <c r="C17" s="193"/>
      <c r="D17" s="212"/>
      <c r="E17" s="213"/>
      <c r="F17" s="213"/>
      <c r="G17" s="2032"/>
      <c r="H17" s="2033"/>
      <c r="I17" s="2032"/>
      <c r="J17" s="2033"/>
      <c r="K17" s="2172"/>
      <c r="L17" s="2174"/>
      <c r="M17" s="2172"/>
      <c r="N17" s="2174"/>
      <c r="O17" s="2057"/>
      <c r="P17" s="2182"/>
      <c r="Q17" s="2119"/>
      <c r="R17" s="2114"/>
      <c r="S17" s="2178"/>
      <c r="T17" s="2055"/>
      <c r="U17" s="2180"/>
      <c r="V17" s="2191" t="s">
        <v>137</v>
      </c>
      <c r="W17" s="216">
        <v>10000000</v>
      </c>
      <c r="X17" s="217" t="s">
        <v>136</v>
      </c>
      <c r="Y17" s="220">
        <v>20</v>
      </c>
      <c r="Z17" s="218" t="s">
        <v>132</v>
      </c>
      <c r="AA17" s="2070"/>
      <c r="AB17" s="2122"/>
      <c r="AC17" s="2175"/>
      <c r="AD17" s="2197"/>
      <c r="AE17" s="2199"/>
      <c r="AF17" s="2197"/>
      <c r="AG17" s="2175"/>
      <c r="AH17" s="2197"/>
      <c r="AI17" s="2195"/>
      <c r="AJ17" s="2196"/>
      <c r="AK17" s="2195"/>
      <c r="AL17" s="2196"/>
      <c r="AM17" s="2175"/>
      <c r="AN17" s="2197"/>
      <c r="AO17" s="2175"/>
      <c r="AP17" s="2176"/>
      <c r="AQ17" s="2177"/>
      <c r="AR17" s="2188"/>
      <c r="AS17" s="2189"/>
    </row>
    <row r="18" spans="1:45" ht="69" customHeight="1" x14ac:dyDescent="0.2">
      <c r="A18" s="193"/>
      <c r="B18" s="194"/>
      <c r="C18" s="193"/>
      <c r="D18" s="212"/>
      <c r="E18" s="213"/>
      <c r="F18" s="213"/>
      <c r="G18" s="2032"/>
      <c r="H18" s="2033"/>
      <c r="I18" s="2032"/>
      <c r="J18" s="2033"/>
      <c r="K18" s="2172"/>
      <c r="L18" s="2174"/>
      <c r="M18" s="2172"/>
      <c r="N18" s="2174"/>
      <c r="O18" s="2057"/>
      <c r="P18" s="2182"/>
      <c r="Q18" s="2119"/>
      <c r="R18" s="2114"/>
      <c r="S18" s="2178"/>
      <c r="T18" s="2055"/>
      <c r="U18" s="2180"/>
      <c r="V18" s="2191"/>
      <c r="W18" s="216">
        <v>5000000</v>
      </c>
      <c r="X18" s="217" t="s">
        <v>134</v>
      </c>
      <c r="Y18" s="220">
        <v>20</v>
      </c>
      <c r="Z18" s="218" t="s">
        <v>132</v>
      </c>
      <c r="AA18" s="2070"/>
      <c r="AB18" s="2122"/>
      <c r="AC18" s="2175"/>
      <c r="AD18" s="2197"/>
      <c r="AE18" s="2199"/>
      <c r="AF18" s="2197"/>
      <c r="AG18" s="2175"/>
      <c r="AH18" s="2197"/>
      <c r="AI18" s="2195"/>
      <c r="AJ18" s="2196"/>
      <c r="AK18" s="2195"/>
      <c r="AL18" s="2196"/>
      <c r="AM18" s="2175"/>
      <c r="AN18" s="2197"/>
      <c r="AO18" s="2175"/>
      <c r="AP18" s="2176"/>
      <c r="AQ18" s="2177"/>
      <c r="AR18" s="2188"/>
      <c r="AS18" s="2189"/>
    </row>
    <row r="19" spans="1:45" ht="54.75" customHeight="1" x14ac:dyDescent="0.2">
      <c r="A19" s="193"/>
      <c r="B19" s="194"/>
      <c r="C19" s="193"/>
      <c r="D19" s="212"/>
      <c r="E19" s="213"/>
      <c r="F19" s="213"/>
      <c r="G19" s="2032"/>
      <c r="H19" s="2033"/>
      <c r="I19" s="2032"/>
      <c r="J19" s="2033"/>
      <c r="K19" s="2172"/>
      <c r="L19" s="2174"/>
      <c r="M19" s="2172"/>
      <c r="N19" s="2174"/>
      <c r="O19" s="2057"/>
      <c r="P19" s="2182"/>
      <c r="Q19" s="2119"/>
      <c r="R19" s="2114"/>
      <c r="S19" s="2178"/>
      <c r="T19" s="2055"/>
      <c r="U19" s="2180"/>
      <c r="V19" s="2192" t="s">
        <v>138</v>
      </c>
      <c r="W19" s="216">
        <v>1500000</v>
      </c>
      <c r="X19" s="217" t="s">
        <v>139</v>
      </c>
      <c r="Y19" s="220">
        <v>20</v>
      </c>
      <c r="Z19" s="218" t="s">
        <v>132</v>
      </c>
      <c r="AA19" s="2070"/>
      <c r="AB19" s="2122"/>
      <c r="AC19" s="2175"/>
      <c r="AD19" s="2197"/>
      <c r="AE19" s="2199"/>
      <c r="AF19" s="2197"/>
      <c r="AG19" s="2175"/>
      <c r="AH19" s="2197"/>
      <c r="AI19" s="2195"/>
      <c r="AJ19" s="2196"/>
      <c r="AK19" s="2195"/>
      <c r="AL19" s="2196"/>
      <c r="AM19" s="2175"/>
      <c r="AN19" s="2197"/>
      <c r="AO19" s="2175"/>
      <c r="AP19" s="2176"/>
      <c r="AQ19" s="2177"/>
      <c r="AR19" s="2188"/>
      <c r="AS19" s="2189"/>
    </row>
    <row r="20" spans="1:45" ht="45.75" customHeight="1" x14ac:dyDescent="0.2">
      <c r="A20" s="193"/>
      <c r="B20" s="194"/>
      <c r="C20" s="193"/>
      <c r="D20" s="212"/>
      <c r="E20" s="213"/>
      <c r="F20" s="213"/>
      <c r="G20" s="2032"/>
      <c r="H20" s="2033"/>
      <c r="I20" s="2032"/>
      <c r="J20" s="2033"/>
      <c r="K20" s="2172"/>
      <c r="L20" s="2174"/>
      <c r="M20" s="2172"/>
      <c r="N20" s="2174"/>
      <c r="O20" s="2057"/>
      <c r="P20" s="2182"/>
      <c r="Q20" s="2119"/>
      <c r="R20" s="2114"/>
      <c r="S20" s="2178"/>
      <c r="T20" s="2055"/>
      <c r="U20" s="2180"/>
      <c r="V20" s="2192"/>
      <c r="W20" s="216">
        <v>7500000</v>
      </c>
      <c r="X20" s="217" t="s">
        <v>140</v>
      </c>
      <c r="Y20" s="220">
        <v>20</v>
      </c>
      <c r="Z20" s="218" t="s">
        <v>132</v>
      </c>
      <c r="AA20" s="2070"/>
      <c r="AB20" s="2122"/>
      <c r="AC20" s="2175"/>
      <c r="AD20" s="2197"/>
      <c r="AE20" s="2199"/>
      <c r="AF20" s="2197"/>
      <c r="AG20" s="2175"/>
      <c r="AH20" s="2197"/>
      <c r="AI20" s="2195"/>
      <c r="AJ20" s="2196"/>
      <c r="AK20" s="2195"/>
      <c r="AL20" s="2196"/>
      <c r="AM20" s="2175"/>
      <c r="AN20" s="2197"/>
      <c r="AO20" s="2175"/>
      <c r="AP20" s="2176"/>
      <c r="AQ20" s="2177"/>
      <c r="AR20" s="2188"/>
      <c r="AS20" s="2189"/>
    </row>
    <row r="21" spans="1:45" ht="45.75" customHeight="1" x14ac:dyDescent="0.2">
      <c r="A21" s="193"/>
      <c r="B21" s="194"/>
      <c r="C21" s="193"/>
      <c r="D21" s="212"/>
      <c r="E21" s="213"/>
      <c r="F21" s="213"/>
      <c r="G21" s="2032"/>
      <c r="H21" s="2033"/>
      <c r="I21" s="2032"/>
      <c r="J21" s="2033"/>
      <c r="K21" s="2172"/>
      <c r="L21" s="2174"/>
      <c r="M21" s="2172"/>
      <c r="N21" s="2174"/>
      <c r="O21" s="2057"/>
      <c r="P21" s="2182"/>
      <c r="Q21" s="2119"/>
      <c r="R21" s="2114"/>
      <c r="S21" s="2178"/>
      <c r="T21" s="2055"/>
      <c r="U21" s="2180"/>
      <c r="V21" s="221" t="s">
        <v>141</v>
      </c>
      <c r="W21" s="216">
        <v>9000000</v>
      </c>
      <c r="X21" s="217" t="s">
        <v>142</v>
      </c>
      <c r="Y21" s="112">
        <v>20</v>
      </c>
      <c r="Z21" s="218" t="s">
        <v>132</v>
      </c>
      <c r="AA21" s="2070"/>
      <c r="AB21" s="2122"/>
      <c r="AC21" s="2175"/>
      <c r="AD21" s="2197"/>
      <c r="AE21" s="2199"/>
      <c r="AF21" s="2197"/>
      <c r="AG21" s="2175"/>
      <c r="AH21" s="2197"/>
      <c r="AI21" s="2195"/>
      <c r="AJ21" s="2196"/>
      <c r="AK21" s="2195"/>
      <c r="AL21" s="2196"/>
      <c r="AM21" s="2175"/>
      <c r="AN21" s="2197"/>
      <c r="AO21" s="2175"/>
      <c r="AP21" s="2176"/>
      <c r="AQ21" s="2177"/>
      <c r="AR21" s="2188"/>
      <c r="AS21" s="2189"/>
    </row>
    <row r="22" spans="1:45" ht="45.75" customHeight="1" x14ac:dyDescent="0.2">
      <c r="A22" s="193"/>
      <c r="B22" s="194"/>
      <c r="C22" s="193"/>
      <c r="D22" s="212"/>
      <c r="E22" s="213"/>
      <c r="F22" s="213"/>
      <c r="G22" s="2032"/>
      <c r="H22" s="2033"/>
      <c r="I22" s="2032"/>
      <c r="J22" s="2033"/>
      <c r="K22" s="2172"/>
      <c r="L22" s="2174"/>
      <c r="M22" s="2172"/>
      <c r="N22" s="2174"/>
      <c r="O22" s="2057"/>
      <c r="P22" s="2182"/>
      <c r="Q22" s="2119"/>
      <c r="R22" s="2114"/>
      <c r="S22" s="2178"/>
      <c r="T22" s="2055"/>
      <c r="U22" s="2180"/>
      <c r="V22" s="221" t="s">
        <v>143</v>
      </c>
      <c r="W22" s="216">
        <v>15000000</v>
      </c>
      <c r="X22" s="217" t="s">
        <v>144</v>
      </c>
      <c r="Y22" s="112">
        <v>20</v>
      </c>
      <c r="Z22" s="218" t="s">
        <v>132</v>
      </c>
      <c r="AA22" s="2070"/>
      <c r="AB22" s="2122"/>
      <c r="AC22" s="2175"/>
      <c r="AD22" s="2197"/>
      <c r="AE22" s="2199"/>
      <c r="AF22" s="2197"/>
      <c r="AG22" s="2175"/>
      <c r="AH22" s="2197"/>
      <c r="AI22" s="2195"/>
      <c r="AJ22" s="2196"/>
      <c r="AK22" s="2195"/>
      <c r="AL22" s="2196"/>
      <c r="AM22" s="2175"/>
      <c r="AN22" s="2197"/>
      <c r="AO22" s="2175"/>
      <c r="AP22" s="2176"/>
      <c r="AQ22" s="2177"/>
      <c r="AR22" s="2188"/>
      <c r="AS22" s="2189"/>
    </row>
    <row r="23" spans="1:45" ht="45.75" customHeight="1" x14ac:dyDescent="0.2">
      <c r="A23" s="193"/>
      <c r="B23" s="194"/>
      <c r="C23" s="193"/>
      <c r="D23" s="212"/>
      <c r="E23" s="213"/>
      <c r="F23" s="213"/>
      <c r="G23" s="2032"/>
      <c r="H23" s="2033"/>
      <c r="I23" s="2032"/>
      <c r="J23" s="2033"/>
      <c r="K23" s="2172"/>
      <c r="L23" s="2174"/>
      <c r="M23" s="2172"/>
      <c r="N23" s="2174"/>
      <c r="O23" s="2057"/>
      <c r="P23" s="2182"/>
      <c r="Q23" s="2119"/>
      <c r="R23" s="2114"/>
      <c r="S23" s="2178"/>
      <c r="T23" s="2055"/>
      <c r="U23" s="2180"/>
      <c r="V23" s="222" t="s">
        <v>145</v>
      </c>
      <c r="W23" s="216">
        <v>11000000</v>
      </c>
      <c r="X23" s="217" t="s">
        <v>146</v>
      </c>
      <c r="Y23" s="112">
        <v>20</v>
      </c>
      <c r="Z23" s="218" t="s">
        <v>132</v>
      </c>
      <c r="AA23" s="2070"/>
      <c r="AB23" s="2122"/>
      <c r="AC23" s="2175"/>
      <c r="AD23" s="2197"/>
      <c r="AE23" s="2199"/>
      <c r="AF23" s="2197"/>
      <c r="AG23" s="2175"/>
      <c r="AH23" s="2197"/>
      <c r="AI23" s="2195"/>
      <c r="AJ23" s="2196"/>
      <c r="AK23" s="2195"/>
      <c r="AL23" s="2196"/>
      <c r="AM23" s="2175"/>
      <c r="AN23" s="2197"/>
      <c r="AO23" s="2175"/>
      <c r="AP23" s="2176"/>
      <c r="AQ23" s="2177"/>
      <c r="AR23" s="2188"/>
      <c r="AS23" s="2189"/>
    </row>
    <row r="24" spans="1:45" ht="45.75" customHeight="1" x14ac:dyDescent="0.2">
      <c r="A24" s="193"/>
      <c r="B24" s="194"/>
      <c r="C24" s="193"/>
      <c r="D24" s="212"/>
      <c r="E24" s="213"/>
      <c r="F24" s="213"/>
      <c r="G24" s="2032"/>
      <c r="H24" s="2033"/>
      <c r="I24" s="2032"/>
      <c r="J24" s="2033"/>
      <c r="K24" s="2172"/>
      <c r="L24" s="2174"/>
      <c r="M24" s="2172"/>
      <c r="N24" s="2174"/>
      <c r="O24" s="2057"/>
      <c r="P24" s="2182"/>
      <c r="Q24" s="2119"/>
      <c r="R24" s="2114"/>
      <c r="S24" s="2178"/>
      <c r="T24" s="2055"/>
      <c r="U24" s="2180"/>
      <c r="V24" s="222" t="s">
        <v>147</v>
      </c>
      <c r="W24" s="216">
        <v>14000000</v>
      </c>
      <c r="X24" s="217" t="s">
        <v>148</v>
      </c>
      <c r="Y24" s="112">
        <v>20</v>
      </c>
      <c r="Z24" s="218" t="s">
        <v>132</v>
      </c>
      <c r="AA24" s="2070"/>
      <c r="AB24" s="2122"/>
      <c r="AC24" s="2175"/>
      <c r="AD24" s="2197"/>
      <c r="AE24" s="2199"/>
      <c r="AF24" s="2197"/>
      <c r="AG24" s="2175"/>
      <c r="AH24" s="2197"/>
      <c r="AI24" s="2195"/>
      <c r="AJ24" s="2196"/>
      <c r="AK24" s="2195"/>
      <c r="AL24" s="2196"/>
      <c r="AM24" s="2175"/>
      <c r="AN24" s="2197"/>
      <c r="AO24" s="2175"/>
      <c r="AP24" s="2176"/>
      <c r="AQ24" s="2177"/>
      <c r="AR24" s="2188"/>
      <c r="AS24" s="2189"/>
    </row>
    <row r="25" spans="1:45" ht="45.75" customHeight="1" x14ac:dyDescent="0.2">
      <c r="A25" s="193"/>
      <c r="B25" s="194"/>
      <c r="C25" s="193"/>
      <c r="D25" s="212"/>
      <c r="E25" s="213"/>
      <c r="F25" s="213"/>
      <c r="G25" s="2032"/>
      <c r="H25" s="2033"/>
      <c r="I25" s="2032"/>
      <c r="J25" s="2033"/>
      <c r="K25" s="2172"/>
      <c r="L25" s="2174"/>
      <c r="M25" s="2172"/>
      <c r="N25" s="2174"/>
      <c r="O25" s="2057"/>
      <c r="P25" s="2182"/>
      <c r="Q25" s="2119"/>
      <c r="R25" s="2114"/>
      <c r="S25" s="2178"/>
      <c r="T25" s="2055"/>
      <c r="U25" s="2180"/>
      <c r="V25" s="221" t="s">
        <v>149</v>
      </c>
      <c r="W25" s="216">
        <f>15000000+3000000</f>
        <v>18000000</v>
      </c>
      <c r="X25" s="223" t="s">
        <v>150</v>
      </c>
      <c r="Y25" s="112">
        <v>20</v>
      </c>
      <c r="Z25" s="218" t="s">
        <v>132</v>
      </c>
      <c r="AA25" s="2070"/>
      <c r="AB25" s="2122"/>
      <c r="AC25" s="2175"/>
      <c r="AD25" s="2197"/>
      <c r="AE25" s="2199"/>
      <c r="AF25" s="2197"/>
      <c r="AG25" s="2175"/>
      <c r="AH25" s="2197"/>
      <c r="AI25" s="2195"/>
      <c r="AJ25" s="2196"/>
      <c r="AK25" s="2195"/>
      <c r="AL25" s="2196"/>
      <c r="AM25" s="2175"/>
      <c r="AN25" s="2197"/>
      <c r="AO25" s="2175"/>
      <c r="AP25" s="2176"/>
      <c r="AQ25" s="2177"/>
      <c r="AR25" s="2188"/>
      <c r="AS25" s="2189"/>
    </row>
    <row r="26" spans="1:45" ht="45.75" customHeight="1" x14ac:dyDescent="0.2">
      <c r="A26" s="193"/>
      <c r="B26" s="194"/>
      <c r="C26" s="193"/>
      <c r="D26" s="212"/>
      <c r="E26" s="213"/>
      <c r="F26" s="213"/>
      <c r="G26" s="2032"/>
      <c r="H26" s="2033"/>
      <c r="I26" s="2032"/>
      <c r="J26" s="2033"/>
      <c r="K26" s="2172"/>
      <c r="L26" s="2174"/>
      <c r="M26" s="2172"/>
      <c r="N26" s="2174"/>
      <c r="O26" s="2057"/>
      <c r="P26" s="2182"/>
      <c r="Q26" s="2119"/>
      <c r="R26" s="2114"/>
      <c r="S26" s="2178"/>
      <c r="T26" s="2055"/>
      <c r="U26" s="2180"/>
      <c r="V26" s="221" t="s">
        <v>151</v>
      </c>
      <c r="W26" s="216">
        <f>12000000-8000000</f>
        <v>4000000</v>
      </c>
      <c r="X26" s="223" t="s">
        <v>150</v>
      </c>
      <c r="Y26" s="112">
        <v>20</v>
      </c>
      <c r="Z26" s="218" t="s">
        <v>132</v>
      </c>
      <c r="AA26" s="2070"/>
      <c r="AB26" s="2122"/>
      <c r="AC26" s="2175"/>
      <c r="AD26" s="2197"/>
      <c r="AE26" s="2199"/>
      <c r="AF26" s="2197"/>
      <c r="AG26" s="2175"/>
      <c r="AH26" s="2197"/>
      <c r="AI26" s="2195"/>
      <c r="AJ26" s="2196"/>
      <c r="AK26" s="2195"/>
      <c r="AL26" s="2196"/>
      <c r="AM26" s="2175"/>
      <c r="AN26" s="2197"/>
      <c r="AO26" s="2175"/>
      <c r="AP26" s="2176"/>
      <c r="AQ26" s="2177"/>
      <c r="AR26" s="2188"/>
      <c r="AS26" s="2189"/>
    </row>
    <row r="27" spans="1:45" ht="36" customHeight="1" x14ac:dyDescent="0.2">
      <c r="A27" s="193"/>
      <c r="B27" s="194"/>
      <c r="C27" s="193"/>
      <c r="D27" s="212"/>
      <c r="E27" s="213"/>
      <c r="F27" s="213"/>
      <c r="G27" s="2032"/>
      <c r="H27" s="2033"/>
      <c r="I27" s="2032"/>
      <c r="J27" s="2033"/>
      <c r="K27" s="2172"/>
      <c r="L27" s="2174"/>
      <c r="M27" s="2172"/>
      <c r="N27" s="2174"/>
      <c r="O27" s="2057"/>
      <c r="P27" s="2182"/>
      <c r="Q27" s="2119"/>
      <c r="R27" s="2114"/>
      <c r="S27" s="2178"/>
      <c r="T27" s="2055"/>
      <c r="U27" s="2180"/>
      <c r="V27" s="224" t="s">
        <v>152</v>
      </c>
      <c r="W27" s="216">
        <f>3000000+5000000</f>
        <v>8000000</v>
      </c>
      <c r="X27" s="223" t="s">
        <v>150</v>
      </c>
      <c r="Y27" s="112">
        <v>20</v>
      </c>
      <c r="Z27" s="218" t="s">
        <v>132</v>
      </c>
      <c r="AA27" s="2070"/>
      <c r="AB27" s="2122"/>
      <c r="AC27" s="2175"/>
      <c r="AD27" s="2197"/>
      <c r="AE27" s="2199"/>
      <c r="AF27" s="2197"/>
      <c r="AG27" s="2175"/>
      <c r="AH27" s="2197"/>
      <c r="AI27" s="2195"/>
      <c r="AJ27" s="2196"/>
      <c r="AK27" s="2195"/>
      <c r="AL27" s="2196"/>
      <c r="AM27" s="2175"/>
      <c r="AN27" s="2197"/>
      <c r="AO27" s="2175"/>
      <c r="AP27" s="2176"/>
      <c r="AQ27" s="2177"/>
      <c r="AR27" s="2188"/>
      <c r="AS27" s="2189"/>
    </row>
    <row r="28" spans="1:45" ht="28.5" customHeight="1" x14ac:dyDescent="0.2">
      <c r="A28" s="193"/>
      <c r="B28" s="194"/>
      <c r="C28" s="193"/>
      <c r="D28" s="212"/>
      <c r="E28" s="213"/>
      <c r="F28" s="213"/>
      <c r="G28" s="2032"/>
      <c r="H28" s="2033"/>
      <c r="I28" s="2032"/>
      <c r="J28" s="2033"/>
      <c r="K28" s="2172"/>
      <c r="L28" s="2174"/>
      <c r="M28" s="2172"/>
      <c r="N28" s="2174"/>
      <c r="O28" s="2057"/>
      <c r="P28" s="2183"/>
      <c r="Q28" s="2141"/>
      <c r="R28" s="2184"/>
      <c r="S28" s="2179"/>
      <c r="T28" s="2056"/>
      <c r="U28" s="2181"/>
      <c r="V28" s="2193" t="s">
        <v>153</v>
      </c>
      <c r="W28" s="216">
        <v>7000000</v>
      </c>
      <c r="X28" s="217" t="s">
        <v>139</v>
      </c>
      <c r="Y28" s="112">
        <v>20</v>
      </c>
      <c r="Z28" s="218" t="s">
        <v>132</v>
      </c>
      <c r="AA28" s="2070"/>
      <c r="AB28" s="2122"/>
      <c r="AC28" s="2175"/>
      <c r="AD28" s="2197"/>
      <c r="AE28" s="2199"/>
      <c r="AF28" s="2197"/>
      <c r="AG28" s="2175"/>
      <c r="AH28" s="2197"/>
      <c r="AI28" s="2195"/>
      <c r="AJ28" s="2196"/>
      <c r="AK28" s="2195"/>
      <c r="AL28" s="2196"/>
      <c r="AM28" s="2175"/>
      <c r="AN28" s="2197"/>
      <c r="AO28" s="2175"/>
      <c r="AP28" s="2176"/>
      <c r="AQ28" s="2177"/>
      <c r="AR28" s="2188"/>
      <c r="AS28" s="2189"/>
    </row>
    <row r="29" spans="1:45" ht="28.5" customHeight="1" x14ac:dyDescent="0.2">
      <c r="A29" s="193"/>
      <c r="B29" s="194"/>
      <c r="C29" s="193"/>
      <c r="D29" s="212"/>
      <c r="E29" s="213"/>
      <c r="F29" s="213"/>
      <c r="G29" s="2032"/>
      <c r="H29" s="2033"/>
      <c r="I29" s="2032"/>
      <c r="J29" s="2033"/>
      <c r="K29" s="2172"/>
      <c r="L29" s="2174"/>
      <c r="M29" s="2172"/>
      <c r="N29" s="2174"/>
      <c r="O29" s="2057"/>
      <c r="P29" s="2183"/>
      <c r="Q29" s="2141"/>
      <c r="R29" s="2184"/>
      <c r="S29" s="2179"/>
      <c r="T29" s="2056"/>
      <c r="U29" s="2181"/>
      <c r="V29" s="2194"/>
      <c r="W29" s="216">
        <v>3333529</v>
      </c>
      <c r="X29" s="217" t="s">
        <v>154</v>
      </c>
      <c r="Y29" s="112">
        <v>88</v>
      </c>
      <c r="Z29" s="218" t="s">
        <v>155</v>
      </c>
      <c r="AA29" s="2201"/>
      <c r="AB29" s="2122"/>
      <c r="AC29" s="2175"/>
      <c r="AD29" s="2197"/>
      <c r="AE29" s="2200"/>
      <c r="AF29" s="2197"/>
      <c r="AG29" s="2175"/>
      <c r="AH29" s="2197"/>
      <c r="AI29" s="2195"/>
      <c r="AJ29" s="2196"/>
      <c r="AK29" s="2195"/>
      <c r="AL29" s="2196"/>
      <c r="AM29" s="2175"/>
      <c r="AN29" s="2197"/>
      <c r="AO29" s="2175"/>
      <c r="AP29" s="2176"/>
      <c r="AQ29" s="2177"/>
      <c r="AR29" s="2188"/>
      <c r="AS29" s="2189"/>
    </row>
    <row r="30" spans="1:45" ht="66.75" customHeight="1" x14ac:dyDescent="0.2">
      <c r="A30" s="193"/>
      <c r="B30" s="194"/>
      <c r="C30" s="193"/>
      <c r="D30" s="212"/>
      <c r="E30" s="213"/>
      <c r="F30" s="213"/>
      <c r="G30" s="2172" t="s">
        <v>62</v>
      </c>
      <c r="H30" s="2173" t="s">
        <v>156</v>
      </c>
      <c r="I30" s="2172">
        <v>4502001</v>
      </c>
      <c r="J30" s="2173" t="s">
        <v>123</v>
      </c>
      <c r="K30" s="2172" t="s">
        <v>62</v>
      </c>
      <c r="L30" s="2174" t="s">
        <v>157</v>
      </c>
      <c r="M30" s="2172" t="s">
        <v>62</v>
      </c>
      <c r="N30" s="2174" t="s">
        <v>158</v>
      </c>
      <c r="O30" s="2057">
        <v>12</v>
      </c>
      <c r="P30" s="2166" t="s">
        <v>159</v>
      </c>
      <c r="Q30" s="2167" t="s">
        <v>160</v>
      </c>
      <c r="R30" s="2168">
        <f>SUM(W30:W34)/S30</f>
        <v>1</v>
      </c>
      <c r="S30" s="2187">
        <f>SUM(W30:W34)</f>
        <v>35000000</v>
      </c>
      <c r="T30" s="2096" t="s">
        <v>161</v>
      </c>
      <c r="U30" s="2185" t="s">
        <v>162</v>
      </c>
      <c r="V30" s="225" t="s">
        <v>163</v>
      </c>
      <c r="W30" s="226">
        <v>6000000</v>
      </c>
      <c r="X30" s="227" t="s">
        <v>164</v>
      </c>
      <c r="Y30" s="112">
        <v>20</v>
      </c>
      <c r="Z30" s="218" t="s">
        <v>132</v>
      </c>
      <c r="AA30" s="2171">
        <v>295972</v>
      </c>
      <c r="AB30" s="2171">
        <v>285580</v>
      </c>
      <c r="AC30" s="2171">
        <v>135545</v>
      </c>
      <c r="AD30" s="2171">
        <v>44254</v>
      </c>
      <c r="AE30" s="2171">
        <v>309146</v>
      </c>
      <c r="AF30" s="2171">
        <v>92607</v>
      </c>
      <c r="AG30" s="2171">
        <v>2145</v>
      </c>
      <c r="AH30" s="2171">
        <v>12718</v>
      </c>
      <c r="AI30" s="2171">
        <v>26</v>
      </c>
      <c r="AJ30" s="2171">
        <v>37</v>
      </c>
      <c r="AK30" s="2171">
        <v>0</v>
      </c>
      <c r="AL30" s="2171">
        <v>0</v>
      </c>
      <c r="AM30" s="2171">
        <v>44350</v>
      </c>
      <c r="AN30" s="2171">
        <v>21944</v>
      </c>
      <c r="AO30" s="2171">
        <v>75687</v>
      </c>
      <c r="AP30" s="2171">
        <f>AA30+AB30</f>
        <v>581552</v>
      </c>
      <c r="AQ30" s="2186">
        <v>44197</v>
      </c>
      <c r="AR30" s="2171" t="s">
        <v>165</v>
      </c>
      <c r="AS30" s="2171" t="s">
        <v>133</v>
      </c>
    </row>
    <row r="31" spans="1:45" ht="66.75" customHeight="1" x14ac:dyDescent="0.2">
      <c r="A31" s="193"/>
      <c r="B31" s="194"/>
      <c r="C31" s="193"/>
      <c r="D31" s="212"/>
      <c r="E31" s="213"/>
      <c r="F31" s="213"/>
      <c r="G31" s="2172"/>
      <c r="H31" s="2173"/>
      <c r="I31" s="2172"/>
      <c r="J31" s="2173"/>
      <c r="K31" s="2172"/>
      <c r="L31" s="2174"/>
      <c r="M31" s="2172"/>
      <c r="N31" s="2174"/>
      <c r="O31" s="2057"/>
      <c r="P31" s="2166"/>
      <c r="Q31" s="2167"/>
      <c r="R31" s="2168"/>
      <c r="S31" s="2187"/>
      <c r="T31" s="2096"/>
      <c r="U31" s="2185"/>
      <c r="V31" s="225" t="s">
        <v>166</v>
      </c>
      <c r="W31" s="226">
        <v>3000000</v>
      </c>
      <c r="X31" s="227" t="s">
        <v>164</v>
      </c>
      <c r="Y31" s="112">
        <v>20</v>
      </c>
      <c r="Z31" s="218" t="s">
        <v>132</v>
      </c>
      <c r="AA31" s="2169"/>
      <c r="AB31" s="2169"/>
      <c r="AC31" s="2169"/>
      <c r="AD31" s="2169"/>
      <c r="AE31" s="2169"/>
      <c r="AF31" s="2169"/>
      <c r="AG31" s="2169"/>
      <c r="AH31" s="2169"/>
      <c r="AI31" s="2169"/>
      <c r="AJ31" s="2169"/>
      <c r="AK31" s="2169"/>
      <c r="AL31" s="2169"/>
      <c r="AM31" s="2169"/>
      <c r="AN31" s="2169"/>
      <c r="AO31" s="2169"/>
      <c r="AP31" s="2169"/>
      <c r="AQ31" s="2169"/>
      <c r="AR31" s="2169"/>
      <c r="AS31" s="2169"/>
    </row>
    <row r="32" spans="1:45" ht="87" customHeight="1" x14ac:dyDescent="0.2">
      <c r="A32" s="193"/>
      <c r="B32" s="194"/>
      <c r="C32" s="193"/>
      <c r="D32" s="212"/>
      <c r="E32" s="213"/>
      <c r="F32" s="213"/>
      <c r="G32" s="2172"/>
      <c r="H32" s="2173"/>
      <c r="I32" s="2172"/>
      <c r="J32" s="2173"/>
      <c r="K32" s="2172"/>
      <c r="L32" s="2174"/>
      <c r="M32" s="2172"/>
      <c r="N32" s="2174"/>
      <c r="O32" s="2057"/>
      <c r="P32" s="2166"/>
      <c r="Q32" s="2167"/>
      <c r="R32" s="2168"/>
      <c r="S32" s="2187"/>
      <c r="T32" s="2096"/>
      <c r="U32" s="2185"/>
      <c r="V32" s="225" t="s">
        <v>167</v>
      </c>
      <c r="W32" s="226">
        <v>15000000</v>
      </c>
      <c r="X32" s="227" t="s">
        <v>164</v>
      </c>
      <c r="Y32" s="112">
        <v>20</v>
      </c>
      <c r="Z32" s="218" t="s">
        <v>132</v>
      </c>
      <c r="AA32" s="2169"/>
      <c r="AB32" s="2169"/>
      <c r="AC32" s="2169"/>
      <c r="AD32" s="2169"/>
      <c r="AE32" s="2169"/>
      <c r="AF32" s="2169"/>
      <c r="AG32" s="2169"/>
      <c r="AH32" s="2169"/>
      <c r="AI32" s="2169"/>
      <c r="AJ32" s="2169"/>
      <c r="AK32" s="2169"/>
      <c r="AL32" s="2169"/>
      <c r="AM32" s="2169"/>
      <c r="AN32" s="2169"/>
      <c r="AO32" s="2169"/>
      <c r="AP32" s="2169"/>
      <c r="AQ32" s="2169"/>
      <c r="AR32" s="2169"/>
      <c r="AS32" s="2169"/>
    </row>
    <row r="33" spans="1:45" ht="66.75" customHeight="1" x14ac:dyDescent="0.2">
      <c r="A33" s="193"/>
      <c r="B33" s="194"/>
      <c r="C33" s="193"/>
      <c r="D33" s="212"/>
      <c r="E33" s="213"/>
      <c r="F33" s="213"/>
      <c r="G33" s="2172"/>
      <c r="H33" s="2173"/>
      <c r="I33" s="2172"/>
      <c r="J33" s="2173"/>
      <c r="K33" s="2172"/>
      <c r="L33" s="2174"/>
      <c r="M33" s="2172"/>
      <c r="N33" s="2174"/>
      <c r="O33" s="2057"/>
      <c r="P33" s="2166"/>
      <c r="Q33" s="2167"/>
      <c r="R33" s="2168"/>
      <c r="S33" s="2187"/>
      <c r="T33" s="2096"/>
      <c r="U33" s="2185"/>
      <c r="V33" s="225" t="s">
        <v>168</v>
      </c>
      <c r="W33" s="226">
        <v>3000000</v>
      </c>
      <c r="X33" s="227" t="s">
        <v>164</v>
      </c>
      <c r="Y33" s="112">
        <v>20</v>
      </c>
      <c r="Z33" s="218" t="s">
        <v>132</v>
      </c>
      <c r="AA33" s="2169"/>
      <c r="AB33" s="2169"/>
      <c r="AC33" s="2169"/>
      <c r="AD33" s="2169"/>
      <c r="AE33" s="2169"/>
      <c r="AF33" s="2169"/>
      <c r="AG33" s="2169"/>
      <c r="AH33" s="2169"/>
      <c r="AI33" s="2169"/>
      <c r="AJ33" s="2169"/>
      <c r="AK33" s="2169"/>
      <c r="AL33" s="2169"/>
      <c r="AM33" s="2169"/>
      <c r="AN33" s="2169"/>
      <c r="AO33" s="2169"/>
      <c r="AP33" s="2169"/>
      <c r="AQ33" s="2169"/>
      <c r="AR33" s="2169"/>
      <c r="AS33" s="2169"/>
    </row>
    <row r="34" spans="1:45" ht="48.75" customHeight="1" x14ac:dyDescent="0.2">
      <c r="A34" s="193"/>
      <c r="B34" s="194"/>
      <c r="C34" s="193"/>
      <c r="D34" s="212"/>
      <c r="E34" s="213"/>
      <c r="F34" s="213"/>
      <c r="G34" s="2172"/>
      <c r="H34" s="2173"/>
      <c r="I34" s="2172"/>
      <c r="J34" s="2173"/>
      <c r="K34" s="2172"/>
      <c r="L34" s="2174"/>
      <c r="M34" s="2172"/>
      <c r="N34" s="2174"/>
      <c r="O34" s="2057"/>
      <c r="P34" s="2166"/>
      <c r="Q34" s="2167"/>
      <c r="R34" s="2168"/>
      <c r="S34" s="2187"/>
      <c r="T34" s="2096"/>
      <c r="U34" s="2185"/>
      <c r="V34" s="225" t="s">
        <v>169</v>
      </c>
      <c r="W34" s="226">
        <v>8000000</v>
      </c>
      <c r="X34" s="217" t="s">
        <v>170</v>
      </c>
      <c r="Y34" s="112">
        <v>20</v>
      </c>
      <c r="Z34" s="218" t="s">
        <v>132</v>
      </c>
      <c r="AA34" s="2170"/>
      <c r="AB34" s="2170"/>
      <c r="AC34" s="2170"/>
      <c r="AD34" s="2170"/>
      <c r="AE34" s="2170"/>
      <c r="AF34" s="2170"/>
      <c r="AG34" s="2170"/>
      <c r="AH34" s="2170"/>
      <c r="AI34" s="2170"/>
      <c r="AJ34" s="2170"/>
      <c r="AK34" s="2170"/>
      <c r="AL34" s="2170"/>
      <c r="AM34" s="2170"/>
      <c r="AN34" s="2170"/>
      <c r="AO34" s="2170"/>
      <c r="AP34" s="2170"/>
      <c r="AQ34" s="2170"/>
      <c r="AR34" s="2170"/>
      <c r="AS34" s="2170"/>
    </row>
    <row r="35" spans="1:45" ht="22.5" customHeight="1" x14ac:dyDescent="0.2">
      <c r="A35" s="193"/>
      <c r="B35" s="194"/>
      <c r="C35" s="193"/>
      <c r="D35" s="212"/>
      <c r="E35" s="228">
        <v>4599</v>
      </c>
      <c r="F35" s="229" t="s">
        <v>171</v>
      </c>
      <c r="G35" s="107"/>
      <c r="H35" s="230"/>
      <c r="I35" s="107"/>
      <c r="J35" s="230"/>
      <c r="K35" s="105"/>
      <c r="L35" s="105"/>
      <c r="M35" s="105"/>
      <c r="N35" s="105"/>
      <c r="O35" s="105"/>
      <c r="P35" s="231"/>
      <c r="Q35" s="232"/>
      <c r="R35" s="233"/>
      <c r="S35" s="234"/>
      <c r="T35" s="232"/>
      <c r="U35" s="235"/>
      <c r="V35" s="105"/>
      <c r="W35" s="236"/>
      <c r="X35" s="237"/>
      <c r="Y35" s="108"/>
      <c r="Z35" s="105"/>
      <c r="AA35" s="109"/>
      <c r="AB35" s="109"/>
      <c r="AC35" s="109"/>
      <c r="AD35" s="109"/>
      <c r="AE35" s="109"/>
      <c r="AF35" s="109"/>
      <c r="AG35" s="109"/>
      <c r="AH35" s="109"/>
      <c r="AI35" s="109"/>
      <c r="AJ35" s="109"/>
      <c r="AK35" s="109"/>
      <c r="AL35" s="109"/>
      <c r="AM35" s="109"/>
      <c r="AN35" s="109"/>
      <c r="AO35" s="109"/>
      <c r="AP35" s="109"/>
      <c r="AQ35" s="109"/>
      <c r="AR35" s="109"/>
      <c r="AS35" s="238"/>
    </row>
    <row r="36" spans="1:45" ht="105.75" customHeight="1" x14ac:dyDescent="0.2">
      <c r="A36" s="193"/>
      <c r="B36" s="194"/>
      <c r="C36" s="193"/>
      <c r="D36" s="212"/>
      <c r="E36" s="239"/>
      <c r="F36" s="189"/>
      <c r="G36" s="2118" t="s">
        <v>62</v>
      </c>
      <c r="H36" s="2119" t="s">
        <v>172</v>
      </c>
      <c r="I36" s="2054">
        <v>4599018</v>
      </c>
      <c r="J36" s="2119" t="s">
        <v>173</v>
      </c>
      <c r="K36" s="2054" t="s">
        <v>62</v>
      </c>
      <c r="L36" s="2119" t="s">
        <v>174</v>
      </c>
      <c r="M36" s="2054">
        <v>459901800</v>
      </c>
      <c r="N36" s="2119" t="s">
        <v>175</v>
      </c>
      <c r="O36" s="2054">
        <v>5</v>
      </c>
      <c r="P36" s="2054" t="s">
        <v>176</v>
      </c>
      <c r="Q36" s="2119" t="s">
        <v>177</v>
      </c>
      <c r="R36" s="2147">
        <f>SUM(W36:W41)/S36</f>
        <v>1</v>
      </c>
      <c r="S36" s="2120">
        <f>SUM(W36:W41)</f>
        <v>144000000</v>
      </c>
      <c r="T36" s="2119" t="s">
        <v>178</v>
      </c>
      <c r="U36" s="2121" t="s">
        <v>179</v>
      </c>
      <c r="V36" s="222" t="s">
        <v>180</v>
      </c>
      <c r="W36" s="240">
        <f>36000000-12900000</f>
        <v>23100000</v>
      </c>
      <c r="X36" s="241" t="s">
        <v>181</v>
      </c>
      <c r="Y36" s="112">
        <v>20</v>
      </c>
      <c r="Z36" s="218" t="s">
        <v>132</v>
      </c>
      <c r="AA36" s="2123">
        <v>295972</v>
      </c>
      <c r="AB36" s="2123">
        <v>285580</v>
      </c>
      <c r="AC36" s="2123">
        <v>135545</v>
      </c>
      <c r="AD36" s="2123">
        <v>44254</v>
      </c>
      <c r="AE36" s="2123">
        <v>309146</v>
      </c>
      <c r="AF36" s="2123">
        <v>92607</v>
      </c>
      <c r="AG36" s="2123">
        <v>2145</v>
      </c>
      <c r="AH36" s="2123">
        <v>12718</v>
      </c>
      <c r="AI36" s="2123">
        <v>26</v>
      </c>
      <c r="AJ36" s="2123">
        <v>37</v>
      </c>
      <c r="AK36" s="2123">
        <v>0</v>
      </c>
      <c r="AL36" s="2123">
        <v>0</v>
      </c>
      <c r="AM36" s="2123">
        <v>44350</v>
      </c>
      <c r="AN36" s="2123">
        <v>21944</v>
      </c>
      <c r="AO36" s="2123">
        <v>75687</v>
      </c>
      <c r="AP36" s="2123">
        <f>SUM(AA36,AB36)</f>
        <v>581552</v>
      </c>
      <c r="AQ36" s="2132">
        <v>44197</v>
      </c>
      <c r="AR36" s="2132">
        <v>44561</v>
      </c>
      <c r="AS36" s="2058" t="s">
        <v>133</v>
      </c>
    </row>
    <row r="37" spans="1:45" ht="102" customHeight="1" x14ac:dyDescent="0.2">
      <c r="A37" s="193"/>
      <c r="B37" s="194"/>
      <c r="C37" s="193"/>
      <c r="D37" s="212"/>
      <c r="E37" s="213"/>
      <c r="F37" s="242"/>
      <c r="G37" s="2118"/>
      <c r="H37" s="2119"/>
      <c r="I37" s="2054"/>
      <c r="J37" s="2119"/>
      <c r="K37" s="2054"/>
      <c r="L37" s="2119"/>
      <c r="M37" s="2054"/>
      <c r="N37" s="2119"/>
      <c r="O37" s="2054"/>
      <c r="P37" s="2054"/>
      <c r="Q37" s="2119"/>
      <c r="R37" s="2147"/>
      <c r="S37" s="2120"/>
      <c r="T37" s="2119"/>
      <c r="U37" s="2121"/>
      <c r="V37" s="222" t="s">
        <v>182</v>
      </c>
      <c r="W37" s="243">
        <f>18000000+12900000</f>
        <v>30900000</v>
      </c>
      <c r="X37" s="241" t="s">
        <v>181</v>
      </c>
      <c r="Y37" s="112">
        <v>20</v>
      </c>
      <c r="Z37" s="218" t="s">
        <v>132</v>
      </c>
      <c r="AA37" s="2124"/>
      <c r="AB37" s="2124"/>
      <c r="AC37" s="2124"/>
      <c r="AD37" s="2124"/>
      <c r="AE37" s="2124"/>
      <c r="AF37" s="2124"/>
      <c r="AG37" s="2124"/>
      <c r="AH37" s="2124"/>
      <c r="AI37" s="2124"/>
      <c r="AJ37" s="2124"/>
      <c r="AK37" s="2124"/>
      <c r="AL37" s="2124"/>
      <c r="AM37" s="2124"/>
      <c r="AN37" s="2124"/>
      <c r="AO37" s="2124"/>
      <c r="AP37" s="2124"/>
      <c r="AQ37" s="2124"/>
      <c r="AR37" s="2124"/>
      <c r="AS37" s="2169"/>
    </row>
    <row r="38" spans="1:45" ht="90" customHeight="1" x14ac:dyDescent="0.2">
      <c r="A38" s="193"/>
      <c r="B38" s="194"/>
      <c r="C38" s="193"/>
      <c r="D38" s="212"/>
      <c r="E38" s="213"/>
      <c r="F38" s="242"/>
      <c r="G38" s="2118"/>
      <c r="H38" s="2119"/>
      <c r="I38" s="2054"/>
      <c r="J38" s="2119"/>
      <c r="K38" s="2054"/>
      <c r="L38" s="2119"/>
      <c r="M38" s="2054"/>
      <c r="N38" s="2119"/>
      <c r="O38" s="2054"/>
      <c r="P38" s="2054"/>
      <c r="Q38" s="2119"/>
      <c r="R38" s="2147"/>
      <c r="S38" s="2120"/>
      <c r="T38" s="2119"/>
      <c r="U38" s="2121"/>
      <c r="V38" s="222" t="s">
        <v>183</v>
      </c>
      <c r="W38" s="243">
        <v>36000000</v>
      </c>
      <c r="X38" s="241" t="s">
        <v>181</v>
      </c>
      <c r="Y38" s="112">
        <v>20</v>
      </c>
      <c r="Z38" s="218" t="s">
        <v>132</v>
      </c>
      <c r="AA38" s="2124"/>
      <c r="AB38" s="2124"/>
      <c r="AC38" s="2124"/>
      <c r="AD38" s="2124"/>
      <c r="AE38" s="2124"/>
      <c r="AF38" s="2124"/>
      <c r="AG38" s="2124"/>
      <c r="AH38" s="2124"/>
      <c r="AI38" s="2124"/>
      <c r="AJ38" s="2124"/>
      <c r="AK38" s="2124"/>
      <c r="AL38" s="2124"/>
      <c r="AM38" s="2124"/>
      <c r="AN38" s="2124"/>
      <c r="AO38" s="2124"/>
      <c r="AP38" s="2124"/>
      <c r="AQ38" s="2124"/>
      <c r="AR38" s="2124"/>
      <c r="AS38" s="2169"/>
    </row>
    <row r="39" spans="1:45" ht="59.25" customHeight="1" x14ac:dyDescent="0.2">
      <c r="A39" s="193"/>
      <c r="B39" s="194"/>
      <c r="C39" s="193"/>
      <c r="D39" s="212"/>
      <c r="E39" s="213"/>
      <c r="F39" s="242"/>
      <c r="G39" s="2118"/>
      <c r="H39" s="2119"/>
      <c r="I39" s="2054"/>
      <c r="J39" s="2119"/>
      <c r="K39" s="2054"/>
      <c r="L39" s="2119"/>
      <c r="M39" s="2054"/>
      <c r="N39" s="2119"/>
      <c r="O39" s="2054"/>
      <c r="P39" s="2054"/>
      <c r="Q39" s="2119"/>
      <c r="R39" s="2147"/>
      <c r="S39" s="2120"/>
      <c r="T39" s="2119"/>
      <c r="U39" s="2121"/>
      <c r="V39" s="222" t="s">
        <v>184</v>
      </c>
      <c r="W39" s="243">
        <v>28252000</v>
      </c>
      <c r="X39" s="241" t="s">
        <v>181</v>
      </c>
      <c r="Y39" s="112">
        <v>20</v>
      </c>
      <c r="Z39" s="218" t="s">
        <v>132</v>
      </c>
      <c r="AA39" s="2124"/>
      <c r="AB39" s="2124"/>
      <c r="AC39" s="2124"/>
      <c r="AD39" s="2124"/>
      <c r="AE39" s="2124"/>
      <c r="AF39" s="2124"/>
      <c r="AG39" s="2124"/>
      <c r="AH39" s="2124"/>
      <c r="AI39" s="2124"/>
      <c r="AJ39" s="2124"/>
      <c r="AK39" s="2124"/>
      <c r="AL39" s="2124"/>
      <c r="AM39" s="2124"/>
      <c r="AN39" s="2124"/>
      <c r="AO39" s="2124"/>
      <c r="AP39" s="2124"/>
      <c r="AQ39" s="2124"/>
      <c r="AR39" s="2124"/>
      <c r="AS39" s="2169"/>
    </row>
    <row r="40" spans="1:45" ht="93.75" customHeight="1" x14ac:dyDescent="0.2">
      <c r="A40" s="193"/>
      <c r="B40" s="194"/>
      <c r="C40" s="193"/>
      <c r="D40" s="212"/>
      <c r="E40" s="213"/>
      <c r="F40" s="242"/>
      <c r="G40" s="2118"/>
      <c r="H40" s="2119"/>
      <c r="I40" s="2054"/>
      <c r="J40" s="2119"/>
      <c r="K40" s="2054"/>
      <c r="L40" s="2119"/>
      <c r="M40" s="2054"/>
      <c r="N40" s="2119"/>
      <c r="O40" s="2054"/>
      <c r="P40" s="2054"/>
      <c r="Q40" s="2119"/>
      <c r="R40" s="2147"/>
      <c r="S40" s="2120"/>
      <c r="T40" s="2119"/>
      <c r="U40" s="2121"/>
      <c r="V40" s="222" t="s">
        <v>185</v>
      </c>
      <c r="W40" s="243">
        <f>15000000-11652000</f>
        <v>3348000</v>
      </c>
      <c r="X40" s="241" t="s">
        <v>181</v>
      </c>
      <c r="Y40" s="112">
        <v>20</v>
      </c>
      <c r="Z40" s="218" t="s">
        <v>132</v>
      </c>
      <c r="AA40" s="2124"/>
      <c r="AB40" s="2124"/>
      <c r="AC40" s="2124"/>
      <c r="AD40" s="2124"/>
      <c r="AE40" s="2124"/>
      <c r="AF40" s="2124"/>
      <c r="AG40" s="2124"/>
      <c r="AH40" s="2124"/>
      <c r="AI40" s="2124"/>
      <c r="AJ40" s="2124"/>
      <c r="AK40" s="2124"/>
      <c r="AL40" s="2124"/>
      <c r="AM40" s="2124"/>
      <c r="AN40" s="2124"/>
      <c r="AO40" s="2124"/>
      <c r="AP40" s="2124"/>
      <c r="AQ40" s="2124"/>
      <c r="AR40" s="2124"/>
      <c r="AS40" s="2169"/>
    </row>
    <row r="41" spans="1:45" ht="86.25" customHeight="1" x14ac:dyDescent="0.2">
      <c r="A41" s="193"/>
      <c r="B41" s="194"/>
      <c r="C41" s="193"/>
      <c r="D41" s="212"/>
      <c r="E41" s="213"/>
      <c r="F41" s="242"/>
      <c r="G41" s="2118"/>
      <c r="H41" s="2119"/>
      <c r="I41" s="2054"/>
      <c r="J41" s="2119"/>
      <c r="K41" s="2054"/>
      <c r="L41" s="2119"/>
      <c r="M41" s="2054"/>
      <c r="N41" s="2119"/>
      <c r="O41" s="2054"/>
      <c r="P41" s="2054"/>
      <c r="Q41" s="2119"/>
      <c r="R41" s="2147"/>
      <c r="S41" s="2120"/>
      <c r="T41" s="2119"/>
      <c r="U41" s="2121"/>
      <c r="V41" s="222" t="s">
        <v>186</v>
      </c>
      <c r="W41" s="243">
        <f>10748000+11652000</f>
        <v>22400000</v>
      </c>
      <c r="X41" s="241" t="s">
        <v>181</v>
      </c>
      <c r="Y41" s="112">
        <v>20</v>
      </c>
      <c r="Z41" s="218" t="s">
        <v>132</v>
      </c>
      <c r="AA41" s="2125"/>
      <c r="AB41" s="2125"/>
      <c r="AC41" s="2125"/>
      <c r="AD41" s="2125"/>
      <c r="AE41" s="2125"/>
      <c r="AF41" s="2125"/>
      <c r="AG41" s="2125"/>
      <c r="AH41" s="2125"/>
      <c r="AI41" s="2125"/>
      <c r="AJ41" s="2125"/>
      <c r="AK41" s="2125"/>
      <c r="AL41" s="2125"/>
      <c r="AM41" s="2125"/>
      <c r="AN41" s="2125"/>
      <c r="AO41" s="2125"/>
      <c r="AP41" s="2125"/>
      <c r="AQ41" s="2125"/>
      <c r="AR41" s="2125"/>
      <c r="AS41" s="2170"/>
    </row>
    <row r="42" spans="1:45" ht="138.75" customHeight="1" x14ac:dyDescent="0.2">
      <c r="A42" s="244"/>
      <c r="C42" s="245"/>
      <c r="D42" s="246"/>
      <c r="F42" s="246"/>
      <c r="G42" s="2054" t="s">
        <v>62</v>
      </c>
      <c r="H42" s="2119" t="s">
        <v>187</v>
      </c>
      <c r="I42" s="2054">
        <v>4599025</v>
      </c>
      <c r="J42" s="2119" t="s">
        <v>188</v>
      </c>
      <c r="K42" s="2054" t="s">
        <v>62</v>
      </c>
      <c r="L42" s="2119" t="s">
        <v>189</v>
      </c>
      <c r="M42" s="2054">
        <v>459902500</v>
      </c>
      <c r="N42" s="2119" t="s">
        <v>190</v>
      </c>
      <c r="O42" s="2054">
        <v>1</v>
      </c>
      <c r="P42" s="2054" t="s">
        <v>191</v>
      </c>
      <c r="Q42" s="2119" t="s">
        <v>192</v>
      </c>
      <c r="R42" s="2149">
        <f>SUM(W42:W44)/S42</f>
        <v>1</v>
      </c>
      <c r="S42" s="2136">
        <f>SUM(W42:W44)</f>
        <v>72000000</v>
      </c>
      <c r="T42" s="2119" t="s">
        <v>193</v>
      </c>
      <c r="U42" s="2121" t="s">
        <v>194</v>
      </c>
      <c r="V42" s="222" t="s">
        <v>195</v>
      </c>
      <c r="W42" s="247">
        <v>30000000</v>
      </c>
      <c r="X42" s="241" t="s">
        <v>196</v>
      </c>
      <c r="Y42" s="112">
        <v>20</v>
      </c>
      <c r="Z42" s="218" t="s">
        <v>132</v>
      </c>
      <c r="AA42" s="2115">
        <v>295972</v>
      </c>
      <c r="AB42" s="2130">
        <v>285580</v>
      </c>
      <c r="AC42" s="2130">
        <v>135545</v>
      </c>
      <c r="AD42" s="2130">
        <v>44254</v>
      </c>
      <c r="AE42" s="2130">
        <v>309146</v>
      </c>
      <c r="AF42" s="2130">
        <v>92607</v>
      </c>
      <c r="AG42" s="2130">
        <v>2145</v>
      </c>
      <c r="AH42" s="2130">
        <v>12718</v>
      </c>
      <c r="AI42" s="2130">
        <v>26</v>
      </c>
      <c r="AJ42" s="2130">
        <v>37</v>
      </c>
      <c r="AK42" s="2130">
        <v>0</v>
      </c>
      <c r="AL42" s="2130">
        <v>0</v>
      </c>
      <c r="AM42" s="2130">
        <v>44350</v>
      </c>
      <c r="AN42" s="2130">
        <v>21944</v>
      </c>
      <c r="AO42" s="2130">
        <v>75687</v>
      </c>
      <c r="AP42" s="2130">
        <v>581552</v>
      </c>
      <c r="AQ42" s="2131">
        <v>44197</v>
      </c>
      <c r="AR42" s="2131">
        <v>44561</v>
      </c>
      <c r="AS42" s="2154" t="s">
        <v>133</v>
      </c>
    </row>
    <row r="43" spans="1:45" ht="64.5" customHeight="1" x14ac:dyDescent="0.2">
      <c r="A43" s="244"/>
      <c r="C43" s="245"/>
      <c r="D43" s="246"/>
      <c r="F43" s="246"/>
      <c r="G43" s="2054"/>
      <c r="H43" s="2119"/>
      <c r="I43" s="2054"/>
      <c r="J43" s="2119"/>
      <c r="K43" s="2054"/>
      <c r="L43" s="2119"/>
      <c r="M43" s="2054"/>
      <c r="N43" s="2119"/>
      <c r="O43" s="2054"/>
      <c r="P43" s="2054"/>
      <c r="Q43" s="2119"/>
      <c r="R43" s="2150"/>
      <c r="S43" s="2137"/>
      <c r="T43" s="2119"/>
      <c r="U43" s="2121"/>
      <c r="V43" s="74" t="s">
        <v>197</v>
      </c>
      <c r="W43" s="240">
        <v>30000000</v>
      </c>
      <c r="X43" s="241" t="s">
        <v>196</v>
      </c>
      <c r="Y43" s="112">
        <v>20</v>
      </c>
      <c r="Z43" s="218" t="s">
        <v>132</v>
      </c>
      <c r="AA43" s="2116"/>
      <c r="AB43" s="2130"/>
      <c r="AC43" s="2130"/>
      <c r="AD43" s="2130"/>
      <c r="AE43" s="2130"/>
      <c r="AF43" s="2130"/>
      <c r="AG43" s="2130"/>
      <c r="AH43" s="2130"/>
      <c r="AI43" s="2130"/>
      <c r="AJ43" s="2130"/>
      <c r="AK43" s="2130"/>
      <c r="AL43" s="2130"/>
      <c r="AM43" s="2130"/>
      <c r="AN43" s="2130"/>
      <c r="AO43" s="2130"/>
      <c r="AP43" s="2130"/>
      <c r="AQ43" s="2130"/>
      <c r="AR43" s="2130"/>
      <c r="AS43" s="2128"/>
    </row>
    <row r="44" spans="1:45" ht="87.75" customHeight="1" x14ac:dyDescent="0.2">
      <c r="A44" s="244"/>
      <c r="C44" s="245"/>
      <c r="D44" s="246"/>
      <c r="F44" s="246"/>
      <c r="G44" s="2054"/>
      <c r="H44" s="2119"/>
      <c r="I44" s="2054"/>
      <c r="J44" s="2119"/>
      <c r="K44" s="2054"/>
      <c r="L44" s="2141"/>
      <c r="M44" s="2148"/>
      <c r="N44" s="2141"/>
      <c r="O44" s="2054"/>
      <c r="P44" s="2054"/>
      <c r="Q44" s="2119"/>
      <c r="R44" s="2150"/>
      <c r="S44" s="2137"/>
      <c r="T44" s="2119"/>
      <c r="U44" s="2121"/>
      <c r="V44" s="222" t="s">
        <v>198</v>
      </c>
      <c r="W44" s="240">
        <v>12000000</v>
      </c>
      <c r="X44" s="241" t="s">
        <v>196</v>
      </c>
      <c r="Y44" s="112">
        <v>20</v>
      </c>
      <c r="Z44" s="218" t="s">
        <v>132</v>
      </c>
      <c r="AA44" s="2117"/>
      <c r="AB44" s="2130"/>
      <c r="AC44" s="2130"/>
      <c r="AD44" s="2130"/>
      <c r="AE44" s="2130"/>
      <c r="AF44" s="2130"/>
      <c r="AG44" s="2130"/>
      <c r="AH44" s="2130"/>
      <c r="AI44" s="2130"/>
      <c r="AJ44" s="2130"/>
      <c r="AK44" s="2130"/>
      <c r="AL44" s="2130"/>
      <c r="AM44" s="2130"/>
      <c r="AN44" s="2130"/>
      <c r="AO44" s="2130"/>
      <c r="AP44" s="2130"/>
      <c r="AQ44" s="2130"/>
      <c r="AR44" s="2130"/>
      <c r="AS44" s="2129"/>
    </row>
    <row r="45" spans="1:45" ht="99" customHeight="1" x14ac:dyDescent="0.2">
      <c r="A45" s="244"/>
      <c r="C45" s="245"/>
      <c r="D45" s="246"/>
      <c r="F45" s="246"/>
      <c r="G45" s="2155" t="s">
        <v>62</v>
      </c>
      <c r="H45" s="2099" t="s">
        <v>199</v>
      </c>
      <c r="I45" s="2159">
        <v>4599025</v>
      </c>
      <c r="J45" s="2099" t="s">
        <v>188</v>
      </c>
      <c r="K45" s="2159" t="s">
        <v>62</v>
      </c>
      <c r="L45" s="2099" t="s">
        <v>200</v>
      </c>
      <c r="M45" s="2159">
        <v>459902500</v>
      </c>
      <c r="N45" s="2099" t="s">
        <v>190</v>
      </c>
      <c r="O45" s="2162">
        <v>1</v>
      </c>
      <c r="P45" s="2148" t="s">
        <v>201</v>
      </c>
      <c r="Q45" s="2141" t="s">
        <v>202</v>
      </c>
      <c r="R45" s="2151">
        <f>SUM(W45:W56)/S45</f>
        <v>1</v>
      </c>
      <c r="S45" s="2139">
        <f>SUM(W45:W56)</f>
        <v>280000000</v>
      </c>
      <c r="T45" s="2141" t="s">
        <v>203</v>
      </c>
      <c r="U45" s="2144" t="s">
        <v>204</v>
      </c>
      <c r="V45" s="74" t="s">
        <v>205</v>
      </c>
      <c r="W45" s="226">
        <f>40321000+15119000</f>
        <v>55440000</v>
      </c>
      <c r="X45" s="227" t="s">
        <v>206</v>
      </c>
      <c r="Y45" s="112">
        <v>20</v>
      </c>
      <c r="Z45" s="218" t="s">
        <v>132</v>
      </c>
      <c r="AA45" s="2115">
        <v>295972</v>
      </c>
      <c r="AB45" s="2115">
        <v>285580</v>
      </c>
      <c r="AC45" s="2115">
        <v>135545</v>
      </c>
      <c r="AD45" s="2115">
        <v>44254</v>
      </c>
      <c r="AE45" s="2115">
        <v>309146</v>
      </c>
      <c r="AF45" s="2115">
        <v>92607</v>
      </c>
      <c r="AG45" s="2130">
        <v>2145</v>
      </c>
      <c r="AH45" s="2130">
        <v>12718</v>
      </c>
      <c r="AI45" s="2130">
        <v>26</v>
      </c>
      <c r="AJ45" s="2130">
        <v>37</v>
      </c>
      <c r="AK45" s="2130">
        <v>0</v>
      </c>
      <c r="AL45" s="2130">
        <v>0</v>
      </c>
      <c r="AM45" s="2130">
        <v>44350</v>
      </c>
      <c r="AN45" s="2130">
        <v>21944</v>
      </c>
      <c r="AO45" s="2130">
        <v>75687</v>
      </c>
      <c r="AP45" s="2130">
        <v>581552</v>
      </c>
      <c r="AQ45" s="2131">
        <v>44197</v>
      </c>
      <c r="AR45" s="2131">
        <v>44561</v>
      </c>
      <c r="AS45" s="2109" t="s">
        <v>133</v>
      </c>
    </row>
    <row r="46" spans="1:45" ht="96.75" customHeight="1" x14ac:dyDescent="0.2">
      <c r="A46" s="244"/>
      <c r="C46" s="245"/>
      <c r="D46" s="246"/>
      <c r="F46" s="246"/>
      <c r="G46" s="2156"/>
      <c r="H46" s="2100"/>
      <c r="I46" s="2160"/>
      <c r="J46" s="2100"/>
      <c r="K46" s="2160"/>
      <c r="L46" s="2100"/>
      <c r="M46" s="2160"/>
      <c r="N46" s="2100"/>
      <c r="O46" s="2163"/>
      <c r="P46" s="2111"/>
      <c r="Q46" s="2142"/>
      <c r="R46" s="2152"/>
      <c r="S46" s="2140"/>
      <c r="T46" s="2142"/>
      <c r="U46" s="2145"/>
      <c r="V46" s="74" t="s">
        <v>207</v>
      </c>
      <c r="W46" s="250">
        <v>34650999</v>
      </c>
      <c r="X46" s="227" t="s">
        <v>206</v>
      </c>
      <c r="Y46" s="112">
        <v>20</v>
      </c>
      <c r="Z46" s="218" t="s">
        <v>132</v>
      </c>
      <c r="AA46" s="2116"/>
      <c r="AB46" s="2116"/>
      <c r="AC46" s="2116"/>
      <c r="AD46" s="2116"/>
      <c r="AE46" s="2116"/>
      <c r="AF46" s="2116"/>
      <c r="AG46" s="2130"/>
      <c r="AH46" s="2130"/>
      <c r="AI46" s="2130"/>
      <c r="AJ46" s="2130"/>
      <c r="AK46" s="2130"/>
      <c r="AL46" s="2130"/>
      <c r="AM46" s="2130"/>
      <c r="AN46" s="2130"/>
      <c r="AO46" s="2130"/>
      <c r="AP46" s="2130"/>
      <c r="AQ46" s="2131"/>
      <c r="AR46" s="2131"/>
      <c r="AS46" s="2109"/>
    </row>
    <row r="47" spans="1:45" ht="85.5" customHeight="1" x14ac:dyDescent="0.2">
      <c r="A47" s="244"/>
      <c r="C47" s="245"/>
      <c r="D47" s="246"/>
      <c r="F47" s="246"/>
      <c r="G47" s="2156"/>
      <c r="H47" s="2100"/>
      <c r="I47" s="2160"/>
      <c r="J47" s="2100"/>
      <c r="K47" s="2160"/>
      <c r="L47" s="2100"/>
      <c r="M47" s="2160"/>
      <c r="N47" s="2100"/>
      <c r="O47" s="2163"/>
      <c r="P47" s="2111"/>
      <c r="Q47" s="2142"/>
      <c r="R47" s="2152"/>
      <c r="S47" s="2140"/>
      <c r="T47" s="2142"/>
      <c r="U47" s="2145"/>
      <c r="V47" s="74" t="s">
        <v>208</v>
      </c>
      <c r="W47" s="250">
        <f>73041890-14137140</f>
        <v>58904750</v>
      </c>
      <c r="X47" s="227" t="s">
        <v>206</v>
      </c>
      <c r="Y47" s="112">
        <v>20</v>
      </c>
      <c r="Z47" s="218" t="s">
        <v>132</v>
      </c>
      <c r="AA47" s="2116"/>
      <c r="AB47" s="2116"/>
      <c r="AC47" s="2116"/>
      <c r="AD47" s="2116"/>
      <c r="AE47" s="2116"/>
      <c r="AF47" s="2116"/>
      <c r="AG47" s="2130"/>
      <c r="AH47" s="2130"/>
      <c r="AI47" s="2130"/>
      <c r="AJ47" s="2130"/>
      <c r="AK47" s="2130"/>
      <c r="AL47" s="2130"/>
      <c r="AM47" s="2130"/>
      <c r="AN47" s="2130"/>
      <c r="AO47" s="2130"/>
      <c r="AP47" s="2130"/>
      <c r="AQ47" s="2131"/>
      <c r="AR47" s="2131"/>
      <c r="AS47" s="2109"/>
    </row>
    <row r="48" spans="1:45" ht="131.25" customHeight="1" x14ac:dyDescent="0.2">
      <c r="A48" s="244"/>
      <c r="C48" s="245"/>
      <c r="D48" s="246"/>
      <c r="F48" s="246"/>
      <c r="G48" s="2156"/>
      <c r="H48" s="2100"/>
      <c r="I48" s="2160"/>
      <c r="J48" s="2100"/>
      <c r="K48" s="2160"/>
      <c r="L48" s="2100"/>
      <c r="M48" s="2160"/>
      <c r="N48" s="2100"/>
      <c r="O48" s="2163"/>
      <c r="P48" s="2111"/>
      <c r="Q48" s="2142"/>
      <c r="R48" s="2152"/>
      <c r="S48" s="2140"/>
      <c r="T48" s="2142"/>
      <c r="U48" s="2145"/>
      <c r="V48" s="74" t="s">
        <v>209</v>
      </c>
      <c r="W48" s="251">
        <f>25952111-25952111</f>
        <v>0</v>
      </c>
      <c r="X48" s="227" t="s">
        <v>206</v>
      </c>
      <c r="Y48" s="112">
        <v>20</v>
      </c>
      <c r="Z48" s="218" t="s">
        <v>132</v>
      </c>
      <c r="AA48" s="2116"/>
      <c r="AB48" s="2116"/>
      <c r="AC48" s="2116"/>
      <c r="AD48" s="2116"/>
      <c r="AE48" s="2116"/>
      <c r="AF48" s="2116"/>
      <c r="AG48" s="2130"/>
      <c r="AH48" s="2130"/>
      <c r="AI48" s="2130"/>
      <c r="AJ48" s="2130"/>
      <c r="AK48" s="2130"/>
      <c r="AL48" s="2130"/>
      <c r="AM48" s="2130"/>
      <c r="AN48" s="2130"/>
      <c r="AO48" s="2130"/>
      <c r="AP48" s="2130"/>
      <c r="AQ48" s="2131"/>
      <c r="AR48" s="2131"/>
      <c r="AS48" s="2109"/>
    </row>
    <row r="49" spans="1:45" ht="135" customHeight="1" x14ac:dyDescent="0.2">
      <c r="A49" s="244"/>
      <c r="C49" s="245"/>
      <c r="D49" s="246"/>
      <c r="F49" s="246"/>
      <c r="G49" s="2156"/>
      <c r="H49" s="2100"/>
      <c r="I49" s="2160"/>
      <c r="J49" s="2100"/>
      <c r="K49" s="2160"/>
      <c r="L49" s="2100"/>
      <c r="M49" s="2160"/>
      <c r="N49" s="2100"/>
      <c r="O49" s="2163"/>
      <c r="P49" s="2111"/>
      <c r="Q49" s="2142"/>
      <c r="R49" s="2152"/>
      <c r="S49" s="2140"/>
      <c r="T49" s="2142"/>
      <c r="U49" s="2145"/>
      <c r="V49" s="74" t="s">
        <v>210</v>
      </c>
      <c r="W49" s="250">
        <v>25965000</v>
      </c>
      <c r="X49" s="227" t="s">
        <v>206</v>
      </c>
      <c r="Y49" s="112">
        <v>20</v>
      </c>
      <c r="Z49" s="218" t="s">
        <v>132</v>
      </c>
      <c r="AA49" s="2116"/>
      <c r="AB49" s="2116"/>
      <c r="AC49" s="2116"/>
      <c r="AD49" s="2116"/>
      <c r="AE49" s="2116"/>
      <c r="AF49" s="2116"/>
      <c r="AG49" s="2130"/>
      <c r="AH49" s="2130"/>
      <c r="AI49" s="2130"/>
      <c r="AJ49" s="2130"/>
      <c r="AK49" s="2130"/>
      <c r="AL49" s="2130"/>
      <c r="AM49" s="2130"/>
      <c r="AN49" s="2130"/>
      <c r="AO49" s="2130"/>
      <c r="AP49" s="2130"/>
      <c r="AQ49" s="2131"/>
      <c r="AR49" s="2131"/>
      <c r="AS49" s="2109"/>
    </row>
    <row r="50" spans="1:45" ht="95.25" customHeight="1" x14ac:dyDescent="0.2">
      <c r="A50" s="244"/>
      <c r="C50" s="245"/>
      <c r="D50" s="246"/>
      <c r="F50" s="246"/>
      <c r="G50" s="2156"/>
      <c r="H50" s="2100"/>
      <c r="I50" s="2160"/>
      <c r="J50" s="2100"/>
      <c r="K50" s="2160"/>
      <c r="L50" s="2100"/>
      <c r="M50" s="2160"/>
      <c r="N50" s="2100"/>
      <c r="O50" s="2163"/>
      <c r="P50" s="2111"/>
      <c r="Q50" s="2142"/>
      <c r="R50" s="2152"/>
      <c r="S50" s="2140"/>
      <c r="T50" s="2142"/>
      <c r="U50" s="2145"/>
      <c r="V50" s="74" t="s">
        <v>211</v>
      </c>
      <c r="W50" s="250">
        <v>25965000</v>
      </c>
      <c r="X50" s="227" t="s">
        <v>206</v>
      </c>
      <c r="Y50" s="112">
        <v>20</v>
      </c>
      <c r="Z50" s="218" t="s">
        <v>132</v>
      </c>
      <c r="AA50" s="2116"/>
      <c r="AB50" s="2116"/>
      <c r="AC50" s="2116"/>
      <c r="AD50" s="2116"/>
      <c r="AE50" s="2116"/>
      <c r="AF50" s="2116"/>
      <c r="AG50" s="2130"/>
      <c r="AH50" s="2130"/>
      <c r="AI50" s="2130"/>
      <c r="AJ50" s="2130"/>
      <c r="AK50" s="2130"/>
      <c r="AL50" s="2130"/>
      <c r="AM50" s="2130"/>
      <c r="AN50" s="2130"/>
      <c r="AO50" s="2130"/>
      <c r="AP50" s="2130"/>
      <c r="AQ50" s="2131"/>
      <c r="AR50" s="2131"/>
      <c r="AS50" s="2109"/>
    </row>
    <row r="51" spans="1:45" ht="80.25" customHeight="1" x14ac:dyDescent="0.2">
      <c r="A51" s="244"/>
      <c r="C51" s="245"/>
      <c r="D51" s="246"/>
      <c r="F51" s="246"/>
      <c r="G51" s="2156"/>
      <c r="H51" s="2100"/>
      <c r="I51" s="2160"/>
      <c r="J51" s="2100"/>
      <c r="K51" s="2160"/>
      <c r="L51" s="2100"/>
      <c r="M51" s="2160"/>
      <c r="N51" s="2100"/>
      <c r="O51" s="2163"/>
      <c r="P51" s="2111"/>
      <c r="Q51" s="2142"/>
      <c r="R51" s="2152"/>
      <c r="S51" s="2140"/>
      <c r="T51" s="2142"/>
      <c r="U51" s="2145"/>
      <c r="V51" s="74" t="s">
        <v>212</v>
      </c>
      <c r="W51" s="250">
        <v>34620000</v>
      </c>
      <c r="X51" s="227" t="s">
        <v>206</v>
      </c>
      <c r="Y51" s="112">
        <v>20</v>
      </c>
      <c r="Z51" s="218" t="s">
        <v>132</v>
      </c>
      <c r="AA51" s="2116"/>
      <c r="AB51" s="2116"/>
      <c r="AC51" s="2116"/>
      <c r="AD51" s="2116"/>
      <c r="AE51" s="2116"/>
      <c r="AF51" s="2116"/>
      <c r="AG51" s="2130"/>
      <c r="AH51" s="2130"/>
      <c r="AI51" s="2130"/>
      <c r="AJ51" s="2130"/>
      <c r="AK51" s="2130"/>
      <c r="AL51" s="2130"/>
      <c r="AM51" s="2130"/>
      <c r="AN51" s="2130"/>
      <c r="AO51" s="2130"/>
      <c r="AP51" s="2130"/>
      <c r="AQ51" s="2131"/>
      <c r="AR51" s="2131"/>
      <c r="AS51" s="2109"/>
    </row>
    <row r="52" spans="1:45" ht="105" customHeight="1" x14ac:dyDescent="0.2">
      <c r="A52" s="244"/>
      <c r="C52" s="245"/>
      <c r="D52" s="246"/>
      <c r="F52" s="246"/>
      <c r="G52" s="2156"/>
      <c r="H52" s="2100"/>
      <c r="I52" s="2160"/>
      <c r="J52" s="2100"/>
      <c r="K52" s="2160"/>
      <c r="L52" s="2100"/>
      <c r="M52" s="2160"/>
      <c r="N52" s="2100"/>
      <c r="O52" s="2163"/>
      <c r="P52" s="2111"/>
      <c r="Q52" s="2142"/>
      <c r="R52" s="2152"/>
      <c r="S52" s="2140"/>
      <c r="T52" s="2142"/>
      <c r="U52" s="2145"/>
      <c r="V52" s="74" t="s">
        <v>213</v>
      </c>
      <c r="W52" s="250">
        <f>1660000+1660000</f>
        <v>3320000</v>
      </c>
      <c r="X52" s="227" t="s">
        <v>206</v>
      </c>
      <c r="Y52" s="112">
        <v>20</v>
      </c>
      <c r="Z52" s="218" t="s">
        <v>132</v>
      </c>
      <c r="AA52" s="2116"/>
      <c r="AB52" s="2116"/>
      <c r="AC52" s="2116"/>
      <c r="AD52" s="2116"/>
      <c r="AE52" s="2116"/>
      <c r="AF52" s="2116"/>
      <c r="AG52" s="2130"/>
      <c r="AH52" s="2130"/>
      <c r="AI52" s="2130"/>
      <c r="AJ52" s="2130"/>
      <c r="AK52" s="2130"/>
      <c r="AL52" s="2130"/>
      <c r="AM52" s="2130"/>
      <c r="AN52" s="2130"/>
      <c r="AO52" s="2130"/>
      <c r="AP52" s="2130"/>
      <c r="AQ52" s="2131"/>
      <c r="AR52" s="2131"/>
      <c r="AS52" s="2109"/>
    </row>
    <row r="53" spans="1:45" ht="148.5" customHeight="1" x14ac:dyDescent="0.2">
      <c r="A53" s="244"/>
      <c r="C53" s="245"/>
      <c r="D53" s="246"/>
      <c r="F53" s="246"/>
      <c r="G53" s="2156"/>
      <c r="H53" s="2100"/>
      <c r="I53" s="2160"/>
      <c r="J53" s="2100"/>
      <c r="K53" s="2160"/>
      <c r="L53" s="2100"/>
      <c r="M53" s="2160"/>
      <c r="N53" s="2100"/>
      <c r="O53" s="2163"/>
      <c r="P53" s="2111"/>
      <c r="Q53" s="2142"/>
      <c r="R53" s="2152"/>
      <c r="S53" s="2140"/>
      <c r="T53" s="2142"/>
      <c r="U53" s="2145"/>
      <c r="V53" s="74" t="s">
        <v>214</v>
      </c>
      <c r="W53" s="250">
        <f>9120000+8512000-7904000</f>
        <v>9728000</v>
      </c>
      <c r="X53" s="227" t="s">
        <v>206</v>
      </c>
      <c r="Y53" s="112">
        <v>20</v>
      </c>
      <c r="Z53" s="218" t="s">
        <v>132</v>
      </c>
      <c r="AA53" s="2116"/>
      <c r="AB53" s="2116"/>
      <c r="AC53" s="2116"/>
      <c r="AD53" s="2116"/>
      <c r="AE53" s="2116"/>
      <c r="AF53" s="2116"/>
      <c r="AG53" s="2130"/>
      <c r="AH53" s="2130"/>
      <c r="AI53" s="2130"/>
      <c r="AJ53" s="2130"/>
      <c r="AK53" s="2130"/>
      <c r="AL53" s="2130"/>
      <c r="AM53" s="2130"/>
      <c r="AN53" s="2130"/>
      <c r="AO53" s="2130"/>
      <c r="AP53" s="2130"/>
      <c r="AQ53" s="2131"/>
      <c r="AR53" s="2131"/>
      <c r="AS53" s="2109"/>
    </row>
    <row r="54" spans="1:45" ht="144" customHeight="1" x14ac:dyDescent="0.2">
      <c r="A54" s="244"/>
      <c r="C54" s="245"/>
      <c r="D54" s="246"/>
      <c r="F54" s="246"/>
      <c r="G54" s="2156"/>
      <c r="H54" s="2100"/>
      <c r="I54" s="2160"/>
      <c r="J54" s="2100"/>
      <c r="K54" s="2160"/>
      <c r="L54" s="2100"/>
      <c r="M54" s="2160"/>
      <c r="N54" s="2100"/>
      <c r="O54" s="2163"/>
      <c r="P54" s="2111"/>
      <c r="Q54" s="2142"/>
      <c r="R54" s="2152"/>
      <c r="S54" s="2140"/>
      <c r="T54" s="2142"/>
      <c r="U54" s="2145"/>
      <c r="V54" s="74" t="s">
        <v>215</v>
      </c>
      <c r="W54" s="250">
        <f>0+17440111</f>
        <v>17440111</v>
      </c>
      <c r="X54" s="227" t="s">
        <v>206</v>
      </c>
      <c r="Y54" s="112">
        <v>20</v>
      </c>
      <c r="Z54" s="218" t="s">
        <v>132</v>
      </c>
      <c r="AA54" s="2116"/>
      <c r="AB54" s="2116"/>
      <c r="AC54" s="2116"/>
      <c r="AD54" s="2116"/>
      <c r="AE54" s="2116"/>
      <c r="AF54" s="2116"/>
      <c r="AG54" s="2130"/>
      <c r="AH54" s="2130"/>
      <c r="AI54" s="2130"/>
      <c r="AJ54" s="2130"/>
      <c r="AK54" s="2130"/>
      <c r="AL54" s="2130"/>
      <c r="AM54" s="2130"/>
      <c r="AN54" s="2130"/>
      <c r="AO54" s="2130"/>
      <c r="AP54" s="2130"/>
      <c r="AQ54" s="2131"/>
      <c r="AR54" s="2131"/>
      <c r="AS54" s="2109"/>
    </row>
    <row r="55" spans="1:45" ht="100.5" customHeight="1" x14ac:dyDescent="0.2">
      <c r="A55" s="244"/>
      <c r="C55" s="245"/>
      <c r="D55" s="246"/>
      <c r="F55" s="246"/>
      <c r="G55" s="2156"/>
      <c r="H55" s="2100"/>
      <c r="I55" s="2160"/>
      <c r="J55" s="2100"/>
      <c r="K55" s="2160"/>
      <c r="L55" s="2100"/>
      <c r="M55" s="2160"/>
      <c r="N55" s="2100"/>
      <c r="O55" s="2163"/>
      <c r="P55" s="2111"/>
      <c r="Q55" s="2142"/>
      <c r="R55" s="2152"/>
      <c r="S55" s="2140"/>
      <c r="T55" s="2142"/>
      <c r="U55" s="2145"/>
      <c r="V55" s="74" t="s">
        <v>216</v>
      </c>
      <c r="W55" s="250">
        <f>8704000-2641860</f>
        <v>6062140</v>
      </c>
      <c r="X55" s="227" t="s">
        <v>206</v>
      </c>
      <c r="Y55" s="112">
        <v>20</v>
      </c>
      <c r="Z55" s="218" t="s">
        <v>132</v>
      </c>
      <c r="AA55" s="2116"/>
      <c r="AB55" s="2116"/>
      <c r="AC55" s="2116"/>
      <c r="AD55" s="2116"/>
      <c r="AE55" s="2116"/>
      <c r="AF55" s="2116"/>
      <c r="AG55" s="2130"/>
      <c r="AH55" s="2130"/>
      <c r="AI55" s="2130"/>
      <c r="AJ55" s="2130"/>
      <c r="AK55" s="2130"/>
      <c r="AL55" s="2130"/>
      <c r="AM55" s="2130"/>
      <c r="AN55" s="2130"/>
      <c r="AO55" s="2130"/>
      <c r="AP55" s="2130"/>
      <c r="AQ55" s="2131"/>
      <c r="AR55" s="2131"/>
      <c r="AS55" s="2109"/>
    </row>
    <row r="56" spans="1:45" ht="78" customHeight="1" x14ac:dyDescent="0.2">
      <c r="A56" s="244"/>
      <c r="C56" s="245"/>
      <c r="D56" s="246"/>
      <c r="F56" s="246"/>
      <c r="G56" s="2157"/>
      <c r="H56" s="2158"/>
      <c r="I56" s="2161"/>
      <c r="J56" s="2158"/>
      <c r="K56" s="2161"/>
      <c r="L56" s="2158"/>
      <c r="M56" s="2161"/>
      <c r="N56" s="2158"/>
      <c r="O56" s="2164"/>
      <c r="P56" s="2165"/>
      <c r="Q56" s="2143"/>
      <c r="R56" s="2153"/>
      <c r="S56" s="2140"/>
      <c r="T56" s="2143"/>
      <c r="U56" s="2146"/>
      <c r="V56" s="253" t="s">
        <v>217</v>
      </c>
      <c r="W56" s="250">
        <v>7904000</v>
      </c>
      <c r="X56" s="227" t="s">
        <v>206</v>
      </c>
      <c r="Y56" s="112">
        <v>20</v>
      </c>
      <c r="Z56" s="218" t="s">
        <v>132</v>
      </c>
      <c r="AA56" s="2117"/>
      <c r="AB56" s="2116"/>
      <c r="AC56" s="2116"/>
      <c r="AD56" s="2116"/>
      <c r="AE56" s="2116"/>
      <c r="AF56" s="2116"/>
      <c r="AG56" s="2130"/>
      <c r="AH56" s="2130"/>
      <c r="AI56" s="2130"/>
      <c r="AJ56" s="2130"/>
      <c r="AK56" s="2130"/>
      <c r="AL56" s="2130"/>
      <c r="AM56" s="2130"/>
      <c r="AN56" s="2130"/>
      <c r="AO56" s="2130"/>
      <c r="AP56" s="2130"/>
      <c r="AQ56" s="2131"/>
      <c r="AR56" s="2131"/>
      <c r="AS56" s="2109"/>
    </row>
    <row r="57" spans="1:45" ht="97.5" customHeight="1" x14ac:dyDescent="0.2">
      <c r="A57" s="244"/>
      <c r="C57" s="245"/>
      <c r="D57" s="246"/>
      <c r="F57" s="246"/>
      <c r="G57" s="254" t="s">
        <v>62</v>
      </c>
      <c r="H57" s="255" t="s">
        <v>218</v>
      </c>
      <c r="I57" s="110">
        <v>4599031</v>
      </c>
      <c r="J57" s="255" t="s">
        <v>219</v>
      </c>
      <c r="K57" s="110" t="s">
        <v>62</v>
      </c>
      <c r="L57" s="255" t="s">
        <v>220</v>
      </c>
      <c r="M57" s="110">
        <v>459903101</v>
      </c>
      <c r="N57" s="255" t="s">
        <v>221</v>
      </c>
      <c r="O57" s="81">
        <v>12</v>
      </c>
      <c r="P57" s="2054" t="s">
        <v>222</v>
      </c>
      <c r="Q57" s="2119" t="s">
        <v>223</v>
      </c>
      <c r="R57" s="256">
        <f>W57/S57</f>
        <v>0.15</v>
      </c>
      <c r="S57" s="2136">
        <f>SUM(W57:W62)</f>
        <v>240000000</v>
      </c>
      <c r="T57" s="2119" t="s">
        <v>224</v>
      </c>
      <c r="U57" s="2121" t="s">
        <v>225</v>
      </c>
      <c r="V57" s="74" t="s">
        <v>226</v>
      </c>
      <c r="W57" s="257">
        <v>36000000</v>
      </c>
      <c r="X57" s="258" t="s">
        <v>227</v>
      </c>
      <c r="Y57" s="112">
        <v>20</v>
      </c>
      <c r="Z57" s="218" t="s">
        <v>132</v>
      </c>
      <c r="AA57" s="2123">
        <v>295972</v>
      </c>
      <c r="AB57" s="2123">
        <v>285580</v>
      </c>
      <c r="AC57" s="2123">
        <v>135545</v>
      </c>
      <c r="AD57" s="2123">
        <v>44254</v>
      </c>
      <c r="AE57" s="2123">
        <v>309146</v>
      </c>
      <c r="AF57" s="2123">
        <v>92607</v>
      </c>
      <c r="AG57" s="2123">
        <v>2145</v>
      </c>
      <c r="AH57" s="2123">
        <v>12718</v>
      </c>
      <c r="AI57" s="2123">
        <v>26</v>
      </c>
      <c r="AJ57" s="2123">
        <v>37</v>
      </c>
      <c r="AK57" s="2123">
        <v>0</v>
      </c>
      <c r="AL57" s="2123">
        <v>0</v>
      </c>
      <c r="AM57" s="2123">
        <v>44350</v>
      </c>
      <c r="AN57" s="2123">
        <v>21944</v>
      </c>
      <c r="AO57" s="2123">
        <v>75687</v>
      </c>
      <c r="AP57" s="2123">
        <f>SUM(AA57,AB57)</f>
        <v>581552</v>
      </c>
      <c r="AQ57" s="2132">
        <v>44197</v>
      </c>
      <c r="AR57" s="2133">
        <v>44561</v>
      </c>
      <c r="AS57" s="2122" t="s">
        <v>133</v>
      </c>
    </row>
    <row r="58" spans="1:45" ht="75" x14ac:dyDescent="0.2">
      <c r="A58" s="244"/>
      <c r="C58" s="245"/>
      <c r="D58" s="246"/>
      <c r="F58" s="246"/>
      <c r="G58" s="254" t="s">
        <v>62</v>
      </c>
      <c r="H58" s="259" t="s">
        <v>228</v>
      </c>
      <c r="I58" s="114">
        <v>4599031</v>
      </c>
      <c r="J58" s="255" t="s">
        <v>219</v>
      </c>
      <c r="K58" s="110" t="s">
        <v>62</v>
      </c>
      <c r="L58" s="259" t="s">
        <v>229</v>
      </c>
      <c r="M58" s="114">
        <v>459903101</v>
      </c>
      <c r="N58" s="259" t="s">
        <v>221</v>
      </c>
      <c r="O58" s="81">
        <v>12</v>
      </c>
      <c r="P58" s="2054"/>
      <c r="Q58" s="2119"/>
      <c r="R58" s="256">
        <f>W58/S57</f>
        <v>0.15</v>
      </c>
      <c r="S58" s="2137"/>
      <c r="T58" s="2119"/>
      <c r="U58" s="2121"/>
      <c r="V58" s="222" t="s">
        <v>230</v>
      </c>
      <c r="W58" s="257">
        <v>36000000</v>
      </c>
      <c r="X58" s="258" t="s">
        <v>231</v>
      </c>
      <c r="Y58" s="112">
        <v>20</v>
      </c>
      <c r="Z58" s="218" t="s">
        <v>132</v>
      </c>
      <c r="AA58" s="2124"/>
      <c r="AB58" s="2124"/>
      <c r="AC58" s="2124"/>
      <c r="AD58" s="2124"/>
      <c r="AE58" s="2124"/>
      <c r="AF58" s="2124"/>
      <c r="AG58" s="2124"/>
      <c r="AH58" s="2124"/>
      <c r="AI58" s="2124"/>
      <c r="AJ58" s="2124"/>
      <c r="AK58" s="2124"/>
      <c r="AL58" s="2124"/>
      <c r="AM58" s="2124"/>
      <c r="AN58" s="2124"/>
      <c r="AO58" s="2124"/>
      <c r="AP58" s="2124"/>
      <c r="AQ58" s="2124"/>
      <c r="AR58" s="2134"/>
      <c r="AS58" s="2122"/>
    </row>
    <row r="59" spans="1:45" ht="69.75" customHeight="1" x14ac:dyDescent="0.2">
      <c r="A59" s="244"/>
      <c r="C59" s="245"/>
      <c r="D59" s="246"/>
      <c r="F59" s="246"/>
      <c r="G59" s="254" t="s">
        <v>62</v>
      </c>
      <c r="H59" s="259" t="s">
        <v>232</v>
      </c>
      <c r="I59" s="114">
        <v>4599031</v>
      </c>
      <c r="J59" s="255" t="s">
        <v>219</v>
      </c>
      <c r="K59" s="110" t="s">
        <v>62</v>
      </c>
      <c r="L59" s="259" t="s">
        <v>229</v>
      </c>
      <c r="M59" s="114">
        <v>459903101</v>
      </c>
      <c r="N59" s="259" t="s">
        <v>221</v>
      </c>
      <c r="O59" s="81">
        <v>12</v>
      </c>
      <c r="P59" s="2054"/>
      <c r="Q59" s="2119"/>
      <c r="R59" s="256">
        <f>W59/S57</f>
        <v>0.15</v>
      </c>
      <c r="S59" s="2137"/>
      <c r="T59" s="2119"/>
      <c r="U59" s="2121"/>
      <c r="V59" s="222" t="s">
        <v>233</v>
      </c>
      <c r="W59" s="257">
        <v>36000000</v>
      </c>
      <c r="X59" s="258" t="s">
        <v>234</v>
      </c>
      <c r="Y59" s="220">
        <v>20</v>
      </c>
      <c r="Z59" s="82" t="s">
        <v>132</v>
      </c>
      <c r="AA59" s="2124"/>
      <c r="AB59" s="2124"/>
      <c r="AC59" s="2124"/>
      <c r="AD59" s="2124"/>
      <c r="AE59" s="2124"/>
      <c r="AF59" s="2124"/>
      <c r="AG59" s="2124"/>
      <c r="AH59" s="2124"/>
      <c r="AI59" s="2124"/>
      <c r="AJ59" s="2124"/>
      <c r="AK59" s="2124"/>
      <c r="AL59" s="2124"/>
      <c r="AM59" s="2124"/>
      <c r="AN59" s="2124"/>
      <c r="AO59" s="2124"/>
      <c r="AP59" s="2124"/>
      <c r="AQ59" s="2124"/>
      <c r="AR59" s="2134"/>
      <c r="AS59" s="2122"/>
    </row>
    <row r="60" spans="1:45" ht="300.75" customHeight="1" x14ac:dyDescent="0.2">
      <c r="A60" s="244"/>
      <c r="C60" s="245"/>
      <c r="D60" s="246"/>
      <c r="F60" s="246"/>
      <c r="G60" s="254" t="s">
        <v>62</v>
      </c>
      <c r="H60" s="259" t="s">
        <v>235</v>
      </c>
      <c r="I60" s="114">
        <v>4599031</v>
      </c>
      <c r="J60" s="255" t="s">
        <v>219</v>
      </c>
      <c r="K60" s="110" t="s">
        <v>62</v>
      </c>
      <c r="L60" s="260" t="s">
        <v>229</v>
      </c>
      <c r="M60" s="114">
        <v>459903101</v>
      </c>
      <c r="N60" s="260" t="s">
        <v>221</v>
      </c>
      <c r="O60" s="81">
        <v>12</v>
      </c>
      <c r="P60" s="2054"/>
      <c r="Q60" s="2119"/>
      <c r="R60" s="256">
        <f>W60/S57</f>
        <v>0.15</v>
      </c>
      <c r="S60" s="2137"/>
      <c r="T60" s="2119"/>
      <c r="U60" s="2121"/>
      <c r="V60" s="261" t="s">
        <v>236</v>
      </c>
      <c r="W60" s="257">
        <v>36000000</v>
      </c>
      <c r="X60" s="262" t="s">
        <v>237</v>
      </c>
      <c r="Y60" s="220">
        <v>20</v>
      </c>
      <c r="Z60" s="82" t="s">
        <v>132</v>
      </c>
      <c r="AA60" s="2124"/>
      <c r="AB60" s="2124"/>
      <c r="AC60" s="2124"/>
      <c r="AD60" s="2124"/>
      <c r="AE60" s="2124"/>
      <c r="AF60" s="2124"/>
      <c r="AG60" s="2124"/>
      <c r="AH60" s="2124"/>
      <c r="AI60" s="2124"/>
      <c r="AJ60" s="2124"/>
      <c r="AK60" s="2124"/>
      <c r="AL60" s="2124"/>
      <c r="AM60" s="2124"/>
      <c r="AN60" s="2124"/>
      <c r="AO60" s="2124"/>
      <c r="AP60" s="2124"/>
      <c r="AQ60" s="2124"/>
      <c r="AR60" s="2134"/>
      <c r="AS60" s="2122"/>
    </row>
    <row r="61" spans="1:45" ht="178.5" customHeight="1" x14ac:dyDescent="0.2">
      <c r="A61" s="244"/>
      <c r="C61" s="245"/>
      <c r="D61" s="246"/>
      <c r="F61" s="246"/>
      <c r="G61" s="254" t="s">
        <v>62</v>
      </c>
      <c r="H61" s="259" t="s">
        <v>238</v>
      </c>
      <c r="I61" s="114">
        <v>4599031</v>
      </c>
      <c r="J61" s="255" t="s">
        <v>219</v>
      </c>
      <c r="K61" s="110" t="s">
        <v>62</v>
      </c>
      <c r="L61" s="259" t="s">
        <v>229</v>
      </c>
      <c r="M61" s="114">
        <v>459903101</v>
      </c>
      <c r="N61" s="259" t="s">
        <v>221</v>
      </c>
      <c r="O61" s="81">
        <v>12</v>
      </c>
      <c r="P61" s="2054"/>
      <c r="Q61" s="2119"/>
      <c r="R61" s="256">
        <f>W61/S57</f>
        <v>0.25</v>
      </c>
      <c r="S61" s="2137"/>
      <c r="T61" s="2119"/>
      <c r="U61" s="2121"/>
      <c r="V61" s="263" t="s">
        <v>239</v>
      </c>
      <c r="W61" s="257">
        <v>60000000</v>
      </c>
      <c r="X61" s="258" t="s">
        <v>240</v>
      </c>
      <c r="Y61" s="112">
        <v>20</v>
      </c>
      <c r="Z61" s="218" t="s">
        <v>132</v>
      </c>
      <c r="AA61" s="2124"/>
      <c r="AB61" s="2124"/>
      <c r="AC61" s="2124"/>
      <c r="AD61" s="2124"/>
      <c r="AE61" s="2124"/>
      <c r="AF61" s="2124"/>
      <c r="AG61" s="2124"/>
      <c r="AH61" s="2124"/>
      <c r="AI61" s="2124"/>
      <c r="AJ61" s="2124"/>
      <c r="AK61" s="2124"/>
      <c r="AL61" s="2124"/>
      <c r="AM61" s="2124"/>
      <c r="AN61" s="2124"/>
      <c r="AO61" s="2124"/>
      <c r="AP61" s="2124"/>
      <c r="AQ61" s="2124"/>
      <c r="AR61" s="2134"/>
      <c r="AS61" s="2122"/>
    </row>
    <row r="62" spans="1:45" ht="58.5" customHeight="1" x14ac:dyDescent="0.2">
      <c r="A62" s="244"/>
      <c r="C62" s="245"/>
      <c r="D62" s="246"/>
      <c r="F62" s="246"/>
      <c r="G62" s="254" t="s">
        <v>62</v>
      </c>
      <c r="H62" s="259" t="s">
        <v>241</v>
      </c>
      <c r="I62" s="114">
        <v>4599031</v>
      </c>
      <c r="J62" s="255" t="s">
        <v>219</v>
      </c>
      <c r="K62" s="110" t="s">
        <v>62</v>
      </c>
      <c r="L62" s="259" t="s">
        <v>229</v>
      </c>
      <c r="M62" s="114">
        <v>459903101</v>
      </c>
      <c r="N62" s="259" t="s">
        <v>221</v>
      </c>
      <c r="O62" s="81">
        <v>12</v>
      </c>
      <c r="P62" s="2054"/>
      <c r="Q62" s="2119"/>
      <c r="R62" s="256">
        <f>W62/S57</f>
        <v>0.15</v>
      </c>
      <c r="S62" s="2138"/>
      <c r="T62" s="2119"/>
      <c r="U62" s="2121"/>
      <c r="V62" s="222" t="s">
        <v>242</v>
      </c>
      <c r="W62" s="257">
        <v>36000000</v>
      </c>
      <c r="X62" s="258" t="s">
        <v>243</v>
      </c>
      <c r="Y62" s="112">
        <v>20</v>
      </c>
      <c r="Z62" s="218" t="s">
        <v>132</v>
      </c>
      <c r="AA62" s="2125"/>
      <c r="AB62" s="2125"/>
      <c r="AC62" s="2125"/>
      <c r="AD62" s="2125"/>
      <c r="AE62" s="2125"/>
      <c r="AF62" s="2125"/>
      <c r="AG62" s="2125"/>
      <c r="AH62" s="2125"/>
      <c r="AI62" s="2125"/>
      <c r="AJ62" s="2125"/>
      <c r="AK62" s="2125"/>
      <c r="AL62" s="2125"/>
      <c r="AM62" s="2125"/>
      <c r="AN62" s="2125"/>
      <c r="AO62" s="2125"/>
      <c r="AP62" s="2125"/>
      <c r="AQ62" s="2125"/>
      <c r="AR62" s="2135"/>
      <c r="AS62" s="2122"/>
    </row>
    <row r="63" spans="1:45" ht="42.75" customHeight="1" x14ac:dyDescent="0.2">
      <c r="A63" s="244"/>
      <c r="C63" s="245"/>
      <c r="D63" s="246"/>
      <c r="F63" s="246"/>
      <c r="G63" s="2118" t="s">
        <v>62</v>
      </c>
      <c r="H63" s="2119" t="s">
        <v>63</v>
      </c>
      <c r="I63" s="2054">
        <v>4599023</v>
      </c>
      <c r="J63" s="2119" t="s">
        <v>244</v>
      </c>
      <c r="K63" s="2054" t="s">
        <v>62</v>
      </c>
      <c r="L63" s="2119" t="s">
        <v>65</v>
      </c>
      <c r="M63" s="2054">
        <v>459902300</v>
      </c>
      <c r="N63" s="2119" t="s">
        <v>245</v>
      </c>
      <c r="O63" s="2054">
        <v>18</v>
      </c>
      <c r="P63" s="2054" t="s">
        <v>246</v>
      </c>
      <c r="Q63" s="2119" t="s">
        <v>247</v>
      </c>
      <c r="R63" s="2126">
        <f>SUM(W63:W89)/S63</f>
        <v>1</v>
      </c>
      <c r="S63" s="2120">
        <f>SUM(W63:W89)</f>
        <v>72000000</v>
      </c>
      <c r="T63" s="2119" t="s">
        <v>248</v>
      </c>
      <c r="U63" s="2121" t="s">
        <v>249</v>
      </c>
      <c r="V63" s="74" t="s">
        <v>250</v>
      </c>
      <c r="W63" s="257">
        <v>500000</v>
      </c>
      <c r="X63" s="241" t="s">
        <v>251</v>
      </c>
      <c r="Y63" s="112">
        <v>20</v>
      </c>
      <c r="Z63" s="218" t="s">
        <v>132</v>
      </c>
      <c r="AA63" s="2115">
        <v>295972</v>
      </c>
      <c r="AB63" s="2115">
        <v>285580</v>
      </c>
      <c r="AC63" s="2115">
        <v>135545</v>
      </c>
      <c r="AD63" s="2115">
        <v>44254</v>
      </c>
      <c r="AE63" s="2115">
        <v>309146</v>
      </c>
      <c r="AF63" s="2115">
        <v>92607</v>
      </c>
      <c r="AG63" s="2115">
        <v>2145</v>
      </c>
      <c r="AH63" s="2115">
        <v>12718</v>
      </c>
      <c r="AI63" s="2115">
        <v>26</v>
      </c>
      <c r="AJ63" s="2115">
        <v>37</v>
      </c>
      <c r="AK63" s="2115">
        <v>0</v>
      </c>
      <c r="AL63" s="2115">
        <v>0</v>
      </c>
      <c r="AM63" s="2115">
        <v>44350</v>
      </c>
      <c r="AN63" s="2115">
        <v>21944</v>
      </c>
      <c r="AO63" s="2115">
        <v>75687</v>
      </c>
      <c r="AP63" s="2115">
        <v>581552</v>
      </c>
      <c r="AQ63" s="2127">
        <v>44197</v>
      </c>
      <c r="AR63" s="2127">
        <v>44561</v>
      </c>
      <c r="AS63" s="2128" t="s">
        <v>133</v>
      </c>
    </row>
    <row r="64" spans="1:45" ht="42.75" customHeight="1" x14ac:dyDescent="0.2">
      <c r="A64" s="244"/>
      <c r="C64" s="245"/>
      <c r="D64" s="246"/>
      <c r="F64" s="246"/>
      <c r="G64" s="2118"/>
      <c r="H64" s="2119"/>
      <c r="I64" s="2054"/>
      <c r="J64" s="2119"/>
      <c r="K64" s="2054"/>
      <c r="L64" s="2119"/>
      <c r="M64" s="2054"/>
      <c r="N64" s="2119"/>
      <c r="O64" s="2054"/>
      <c r="P64" s="2054"/>
      <c r="Q64" s="2119"/>
      <c r="R64" s="2126"/>
      <c r="S64" s="2120"/>
      <c r="T64" s="2119"/>
      <c r="U64" s="2121"/>
      <c r="V64" s="74" t="s">
        <v>252</v>
      </c>
      <c r="W64" s="257">
        <v>500000</v>
      </c>
      <c r="X64" s="241" t="s">
        <v>251</v>
      </c>
      <c r="Y64" s="112">
        <v>20</v>
      </c>
      <c r="Z64" s="218" t="s">
        <v>132</v>
      </c>
      <c r="AA64" s="2116"/>
      <c r="AB64" s="2116"/>
      <c r="AC64" s="2116"/>
      <c r="AD64" s="2116"/>
      <c r="AE64" s="2116"/>
      <c r="AF64" s="2116"/>
      <c r="AG64" s="2116"/>
      <c r="AH64" s="2116"/>
      <c r="AI64" s="2116"/>
      <c r="AJ64" s="2116"/>
      <c r="AK64" s="2116"/>
      <c r="AL64" s="2116"/>
      <c r="AM64" s="2116"/>
      <c r="AN64" s="2116"/>
      <c r="AO64" s="2116"/>
      <c r="AP64" s="2116"/>
      <c r="AQ64" s="2116"/>
      <c r="AR64" s="2116"/>
      <c r="AS64" s="2128"/>
    </row>
    <row r="65" spans="1:45" ht="42.75" customHeight="1" x14ac:dyDescent="0.2">
      <c r="A65" s="244"/>
      <c r="C65" s="245"/>
      <c r="D65" s="246"/>
      <c r="F65" s="246"/>
      <c r="G65" s="2118"/>
      <c r="H65" s="2119"/>
      <c r="I65" s="2054"/>
      <c r="J65" s="2119"/>
      <c r="K65" s="2054"/>
      <c r="L65" s="2119"/>
      <c r="M65" s="2054"/>
      <c r="N65" s="2119"/>
      <c r="O65" s="2054"/>
      <c r="P65" s="2054"/>
      <c r="Q65" s="2119"/>
      <c r="R65" s="2126"/>
      <c r="S65" s="2120"/>
      <c r="T65" s="2119"/>
      <c r="U65" s="2121"/>
      <c r="V65" s="74" t="s">
        <v>253</v>
      </c>
      <c r="W65" s="257">
        <v>500000</v>
      </c>
      <c r="X65" s="241" t="s">
        <v>251</v>
      </c>
      <c r="Y65" s="112">
        <v>20</v>
      </c>
      <c r="Z65" s="218" t="s">
        <v>132</v>
      </c>
      <c r="AA65" s="2116"/>
      <c r="AB65" s="2116"/>
      <c r="AC65" s="2116"/>
      <c r="AD65" s="2116"/>
      <c r="AE65" s="2116"/>
      <c r="AF65" s="2116"/>
      <c r="AG65" s="2116"/>
      <c r="AH65" s="2116"/>
      <c r="AI65" s="2116"/>
      <c r="AJ65" s="2116"/>
      <c r="AK65" s="2116"/>
      <c r="AL65" s="2116"/>
      <c r="AM65" s="2116"/>
      <c r="AN65" s="2116"/>
      <c r="AO65" s="2116"/>
      <c r="AP65" s="2116"/>
      <c r="AQ65" s="2116"/>
      <c r="AR65" s="2116"/>
      <c r="AS65" s="2128"/>
    </row>
    <row r="66" spans="1:45" ht="42.75" customHeight="1" x14ac:dyDescent="0.2">
      <c r="A66" s="244"/>
      <c r="C66" s="245"/>
      <c r="D66" s="246"/>
      <c r="F66" s="246"/>
      <c r="G66" s="2118"/>
      <c r="H66" s="2119"/>
      <c r="I66" s="2054"/>
      <c r="J66" s="2119"/>
      <c r="K66" s="2054"/>
      <c r="L66" s="2119"/>
      <c r="M66" s="2054"/>
      <c r="N66" s="2119"/>
      <c r="O66" s="2054"/>
      <c r="P66" s="2054"/>
      <c r="Q66" s="2119"/>
      <c r="R66" s="2126"/>
      <c r="S66" s="2120"/>
      <c r="T66" s="2119"/>
      <c r="U66" s="2121"/>
      <c r="V66" s="74" t="s">
        <v>254</v>
      </c>
      <c r="W66" s="257">
        <v>500000</v>
      </c>
      <c r="X66" s="241" t="s">
        <v>251</v>
      </c>
      <c r="Y66" s="112">
        <v>20</v>
      </c>
      <c r="Z66" s="218" t="s">
        <v>132</v>
      </c>
      <c r="AA66" s="2116"/>
      <c r="AB66" s="2116"/>
      <c r="AC66" s="2116"/>
      <c r="AD66" s="2116"/>
      <c r="AE66" s="2116"/>
      <c r="AF66" s="2116"/>
      <c r="AG66" s="2116"/>
      <c r="AH66" s="2116"/>
      <c r="AI66" s="2116"/>
      <c r="AJ66" s="2116"/>
      <c r="AK66" s="2116"/>
      <c r="AL66" s="2116"/>
      <c r="AM66" s="2116"/>
      <c r="AN66" s="2116"/>
      <c r="AO66" s="2116"/>
      <c r="AP66" s="2116"/>
      <c r="AQ66" s="2116"/>
      <c r="AR66" s="2116"/>
      <c r="AS66" s="2128"/>
    </row>
    <row r="67" spans="1:45" ht="42.75" customHeight="1" x14ac:dyDescent="0.2">
      <c r="A67" s="244"/>
      <c r="C67" s="245"/>
      <c r="D67" s="246"/>
      <c r="F67" s="246"/>
      <c r="G67" s="2118"/>
      <c r="H67" s="2119"/>
      <c r="I67" s="2054"/>
      <c r="J67" s="2119"/>
      <c r="K67" s="2054"/>
      <c r="L67" s="2119"/>
      <c r="M67" s="2054"/>
      <c r="N67" s="2119"/>
      <c r="O67" s="2054"/>
      <c r="P67" s="2054"/>
      <c r="Q67" s="2119"/>
      <c r="R67" s="2126"/>
      <c r="S67" s="2120"/>
      <c r="T67" s="2119"/>
      <c r="U67" s="2121"/>
      <c r="V67" s="74" t="s">
        <v>255</v>
      </c>
      <c r="W67" s="257">
        <v>500000</v>
      </c>
      <c r="X67" s="241" t="s">
        <v>251</v>
      </c>
      <c r="Y67" s="112">
        <v>20</v>
      </c>
      <c r="Z67" s="218" t="s">
        <v>132</v>
      </c>
      <c r="AA67" s="2116"/>
      <c r="AB67" s="2116"/>
      <c r="AC67" s="2116"/>
      <c r="AD67" s="2116"/>
      <c r="AE67" s="2116"/>
      <c r="AF67" s="2116"/>
      <c r="AG67" s="2116"/>
      <c r="AH67" s="2116"/>
      <c r="AI67" s="2116"/>
      <c r="AJ67" s="2116"/>
      <c r="AK67" s="2116"/>
      <c r="AL67" s="2116"/>
      <c r="AM67" s="2116"/>
      <c r="AN67" s="2116"/>
      <c r="AO67" s="2116"/>
      <c r="AP67" s="2116"/>
      <c r="AQ67" s="2116"/>
      <c r="AR67" s="2116"/>
      <c r="AS67" s="2128"/>
    </row>
    <row r="68" spans="1:45" ht="42.75" customHeight="1" x14ac:dyDescent="0.2">
      <c r="A68" s="244"/>
      <c r="C68" s="245"/>
      <c r="D68" s="246"/>
      <c r="F68" s="246"/>
      <c r="G68" s="2118"/>
      <c r="H68" s="2119"/>
      <c r="I68" s="2054"/>
      <c r="J68" s="2119"/>
      <c r="K68" s="2054"/>
      <c r="L68" s="2119"/>
      <c r="M68" s="2054"/>
      <c r="N68" s="2119"/>
      <c r="O68" s="2054"/>
      <c r="P68" s="2054"/>
      <c r="Q68" s="2119"/>
      <c r="R68" s="2126"/>
      <c r="S68" s="2120"/>
      <c r="T68" s="2119"/>
      <c r="U68" s="2121"/>
      <c r="V68" s="74" t="s">
        <v>256</v>
      </c>
      <c r="W68" s="257">
        <v>500000</v>
      </c>
      <c r="X68" s="241" t="s">
        <v>251</v>
      </c>
      <c r="Y68" s="112">
        <v>20</v>
      </c>
      <c r="Z68" s="218" t="s">
        <v>132</v>
      </c>
      <c r="AA68" s="2116"/>
      <c r="AB68" s="2116"/>
      <c r="AC68" s="2116"/>
      <c r="AD68" s="2116"/>
      <c r="AE68" s="2116"/>
      <c r="AF68" s="2116"/>
      <c r="AG68" s="2116"/>
      <c r="AH68" s="2116"/>
      <c r="AI68" s="2116"/>
      <c r="AJ68" s="2116"/>
      <c r="AK68" s="2116"/>
      <c r="AL68" s="2116"/>
      <c r="AM68" s="2116"/>
      <c r="AN68" s="2116"/>
      <c r="AO68" s="2116"/>
      <c r="AP68" s="2116"/>
      <c r="AQ68" s="2116"/>
      <c r="AR68" s="2116"/>
      <c r="AS68" s="2128"/>
    </row>
    <row r="69" spans="1:45" ht="42.75" customHeight="1" x14ac:dyDescent="0.2">
      <c r="A69" s="244"/>
      <c r="C69" s="245"/>
      <c r="D69" s="246"/>
      <c r="F69" s="246"/>
      <c r="G69" s="2118"/>
      <c r="H69" s="2119"/>
      <c r="I69" s="2054"/>
      <c r="J69" s="2119"/>
      <c r="K69" s="2054"/>
      <c r="L69" s="2119"/>
      <c r="M69" s="2054"/>
      <c r="N69" s="2119"/>
      <c r="O69" s="2054"/>
      <c r="P69" s="2054"/>
      <c r="Q69" s="2119"/>
      <c r="R69" s="2126"/>
      <c r="S69" s="2120"/>
      <c r="T69" s="2119"/>
      <c r="U69" s="2121"/>
      <c r="V69" s="74" t="s">
        <v>257</v>
      </c>
      <c r="W69" s="257">
        <v>500000</v>
      </c>
      <c r="X69" s="241" t="s">
        <v>251</v>
      </c>
      <c r="Y69" s="112">
        <v>20</v>
      </c>
      <c r="Z69" s="218" t="s">
        <v>132</v>
      </c>
      <c r="AA69" s="2116"/>
      <c r="AB69" s="2116"/>
      <c r="AC69" s="2116"/>
      <c r="AD69" s="2116"/>
      <c r="AE69" s="2116"/>
      <c r="AF69" s="2116"/>
      <c r="AG69" s="2116"/>
      <c r="AH69" s="2116"/>
      <c r="AI69" s="2116"/>
      <c r="AJ69" s="2116"/>
      <c r="AK69" s="2116"/>
      <c r="AL69" s="2116"/>
      <c r="AM69" s="2116"/>
      <c r="AN69" s="2116"/>
      <c r="AO69" s="2116"/>
      <c r="AP69" s="2116"/>
      <c r="AQ69" s="2116"/>
      <c r="AR69" s="2116"/>
      <c r="AS69" s="2128"/>
    </row>
    <row r="70" spans="1:45" ht="42.75" customHeight="1" x14ac:dyDescent="0.2">
      <c r="A70" s="244"/>
      <c r="C70" s="245"/>
      <c r="D70" s="246"/>
      <c r="F70" s="246"/>
      <c r="G70" s="2118"/>
      <c r="H70" s="2119"/>
      <c r="I70" s="2054"/>
      <c r="J70" s="2119"/>
      <c r="K70" s="2054"/>
      <c r="L70" s="2119"/>
      <c r="M70" s="2054"/>
      <c r="N70" s="2119"/>
      <c r="O70" s="2054"/>
      <c r="P70" s="2054"/>
      <c r="Q70" s="2119"/>
      <c r="R70" s="2126"/>
      <c r="S70" s="2120"/>
      <c r="T70" s="2119"/>
      <c r="U70" s="2121"/>
      <c r="V70" s="74" t="s">
        <v>258</v>
      </c>
      <c r="W70" s="257">
        <v>5500000</v>
      </c>
      <c r="X70" s="241" t="s">
        <v>251</v>
      </c>
      <c r="Y70" s="112">
        <v>20</v>
      </c>
      <c r="Z70" s="218" t="s">
        <v>132</v>
      </c>
      <c r="AA70" s="2116"/>
      <c r="AB70" s="2116"/>
      <c r="AC70" s="2116"/>
      <c r="AD70" s="2116"/>
      <c r="AE70" s="2116"/>
      <c r="AF70" s="2116"/>
      <c r="AG70" s="2116"/>
      <c r="AH70" s="2116"/>
      <c r="AI70" s="2116"/>
      <c r="AJ70" s="2116"/>
      <c r="AK70" s="2116"/>
      <c r="AL70" s="2116"/>
      <c r="AM70" s="2116"/>
      <c r="AN70" s="2116"/>
      <c r="AO70" s="2116"/>
      <c r="AP70" s="2116"/>
      <c r="AQ70" s="2116"/>
      <c r="AR70" s="2116"/>
      <c r="AS70" s="2128"/>
    </row>
    <row r="71" spans="1:45" ht="42.75" customHeight="1" x14ac:dyDescent="0.2">
      <c r="A71" s="244"/>
      <c r="C71" s="245"/>
      <c r="D71" s="246"/>
      <c r="F71" s="246"/>
      <c r="G71" s="2118"/>
      <c r="H71" s="2119"/>
      <c r="I71" s="2054"/>
      <c r="J71" s="2119"/>
      <c r="K71" s="2054"/>
      <c r="L71" s="2119"/>
      <c r="M71" s="2054"/>
      <c r="N71" s="2119"/>
      <c r="O71" s="2054"/>
      <c r="P71" s="2054"/>
      <c r="Q71" s="2119"/>
      <c r="R71" s="2126"/>
      <c r="S71" s="2120"/>
      <c r="T71" s="2119"/>
      <c r="U71" s="2121"/>
      <c r="V71" s="74" t="s">
        <v>259</v>
      </c>
      <c r="W71" s="257">
        <v>2200000</v>
      </c>
      <c r="X71" s="241" t="s">
        <v>251</v>
      </c>
      <c r="Y71" s="112">
        <v>20</v>
      </c>
      <c r="Z71" s="218" t="s">
        <v>132</v>
      </c>
      <c r="AA71" s="2116"/>
      <c r="AB71" s="2116"/>
      <c r="AC71" s="2116"/>
      <c r="AD71" s="2116"/>
      <c r="AE71" s="2116"/>
      <c r="AF71" s="2116"/>
      <c r="AG71" s="2116"/>
      <c r="AH71" s="2116"/>
      <c r="AI71" s="2116"/>
      <c r="AJ71" s="2116"/>
      <c r="AK71" s="2116"/>
      <c r="AL71" s="2116"/>
      <c r="AM71" s="2116"/>
      <c r="AN71" s="2116"/>
      <c r="AO71" s="2116"/>
      <c r="AP71" s="2116"/>
      <c r="AQ71" s="2116"/>
      <c r="AR71" s="2116"/>
      <c r="AS71" s="2128"/>
    </row>
    <row r="72" spans="1:45" ht="42.75" customHeight="1" x14ac:dyDescent="0.2">
      <c r="A72" s="244"/>
      <c r="C72" s="245"/>
      <c r="D72" s="246"/>
      <c r="F72" s="246"/>
      <c r="G72" s="2118"/>
      <c r="H72" s="2119"/>
      <c r="I72" s="2054"/>
      <c r="J72" s="2119"/>
      <c r="K72" s="2054"/>
      <c r="L72" s="2119"/>
      <c r="M72" s="2054"/>
      <c r="N72" s="2119"/>
      <c r="O72" s="2054"/>
      <c r="P72" s="2054"/>
      <c r="Q72" s="2119"/>
      <c r="R72" s="2126"/>
      <c r="S72" s="2120"/>
      <c r="T72" s="2119"/>
      <c r="U72" s="2121"/>
      <c r="V72" s="74" t="s">
        <v>260</v>
      </c>
      <c r="W72" s="257">
        <v>2200000</v>
      </c>
      <c r="X72" s="241" t="s">
        <v>251</v>
      </c>
      <c r="Y72" s="112">
        <v>20</v>
      </c>
      <c r="Z72" s="218" t="s">
        <v>132</v>
      </c>
      <c r="AA72" s="2116"/>
      <c r="AB72" s="2116"/>
      <c r="AC72" s="2116"/>
      <c r="AD72" s="2116"/>
      <c r="AE72" s="2116"/>
      <c r="AF72" s="2116"/>
      <c r="AG72" s="2116"/>
      <c r="AH72" s="2116"/>
      <c r="AI72" s="2116"/>
      <c r="AJ72" s="2116"/>
      <c r="AK72" s="2116"/>
      <c r="AL72" s="2116"/>
      <c r="AM72" s="2116"/>
      <c r="AN72" s="2116"/>
      <c r="AO72" s="2116"/>
      <c r="AP72" s="2116"/>
      <c r="AQ72" s="2116"/>
      <c r="AR72" s="2116"/>
      <c r="AS72" s="2128"/>
    </row>
    <row r="73" spans="1:45" ht="42.75" customHeight="1" x14ac:dyDescent="0.2">
      <c r="A73" s="244"/>
      <c r="C73" s="245"/>
      <c r="D73" s="246"/>
      <c r="F73" s="246"/>
      <c r="G73" s="2118"/>
      <c r="H73" s="2119"/>
      <c r="I73" s="2054"/>
      <c r="J73" s="2119"/>
      <c r="K73" s="2054"/>
      <c r="L73" s="2119"/>
      <c r="M73" s="2054"/>
      <c r="N73" s="2119"/>
      <c r="O73" s="2054"/>
      <c r="P73" s="2054"/>
      <c r="Q73" s="2119"/>
      <c r="R73" s="2126"/>
      <c r="S73" s="2120"/>
      <c r="T73" s="2119"/>
      <c r="U73" s="2121"/>
      <c r="V73" s="74" t="s">
        <v>261</v>
      </c>
      <c r="W73" s="257">
        <v>2200000</v>
      </c>
      <c r="X73" s="241" t="s">
        <v>251</v>
      </c>
      <c r="Y73" s="112">
        <v>20</v>
      </c>
      <c r="Z73" s="218" t="s">
        <v>132</v>
      </c>
      <c r="AA73" s="2116"/>
      <c r="AB73" s="2116"/>
      <c r="AC73" s="2116"/>
      <c r="AD73" s="2116"/>
      <c r="AE73" s="2116"/>
      <c r="AF73" s="2116"/>
      <c r="AG73" s="2116"/>
      <c r="AH73" s="2116"/>
      <c r="AI73" s="2116"/>
      <c r="AJ73" s="2116"/>
      <c r="AK73" s="2116"/>
      <c r="AL73" s="2116"/>
      <c r="AM73" s="2116"/>
      <c r="AN73" s="2116"/>
      <c r="AO73" s="2116"/>
      <c r="AP73" s="2116"/>
      <c r="AQ73" s="2116"/>
      <c r="AR73" s="2116"/>
      <c r="AS73" s="2128"/>
    </row>
    <row r="74" spans="1:45" ht="42.75" customHeight="1" x14ac:dyDescent="0.2">
      <c r="A74" s="244"/>
      <c r="C74" s="245"/>
      <c r="D74" s="246"/>
      <c r="F74" s="246"/>
      <c r="G74" s="2118"/>
      <c r="H74" s="2119"/>
      <c r="I74" s="2054"/>
      <c r="J74" s="2119"/>
      <c r="K74" s="2054"/>
      <c r="L74" s="2119"/>
      <c r="M74" s="2054"/>
      <c r="N74" s="2119"/>
      <c r="O74" s="2054"/>
      <c r="P74" s="2054"/>
      <c r="Q74" s="2119"/>
      <c r="R74" s="2126"/>
      <c r="S74" s="2120"/>
      <c r="T74" s="2119"/>
      <c r="U74" s="2121"/>
      <c r="V74" s="74" t="s">
        <v>262</v>
      </c>
      <c r="W74" s="257">
        <v>4400000</v>
      </c>
      <c r="X74" s="241" t="s">
        <v>251</v>
      </c>
      <c r="Y74" s="112">
        <v>20</v>
      </c>
      <c r="Z74" s="218" t="s">
        <v>132</v>
      </c>
      <c r="AA74" s="2116"/>
      <c r="AB74" s="2116"/>
      <c r="AC74" s="2116"/>
      <c r="AD74" s="2116"/>
      <c r="AE74" s="2116"/>
      <c r="AF74" s="2116"/>
      <c r="AG74" s="2116"/>
      <c r="AH74" s="2116"/>
      <c r="AI74" s="2116"/>
      <c r="AJ74" s="2116"/>
      <c r="AK74" s="2116"/>
      <c r="AL74" s="2116"/>
      <c r="AM74" s="2116"/>
      <c r="AN74" s="2116"/>
      <c r="AO74" s="2116"/>
      <c r="AP74" s="2116"/>
      <c r="AQ74" s="2116"/>
      <c r="AR74" s="2116"/>
      <c r="AS74" s="2128"/>
    </row>
    <row r="75" spans="1:45" ht="42.75" customHeight="1" x14ac:dyDescent="0.2">
      <c r="A75" s="244"/>
      <c r="C75" s="245"/>
      <c r="D75" s="246"/>
      <c r="F75" s="246"/>
      <c r="G75" s="2118"/>
      <c r="H75" s="2119"/>
      <c r="I75" s="2054"/>
      <c r="J75" s="2119"/>
      <c r="K75" s="2054"/>
      <c r="L75" s="2119"/>
      <c r="M75" s="2054"/>
      <c r="N75" s="2119"/>
      <c r="O75" s="2054"/>
      <c r="P75" s="2054"/>
      <c r="Q75" s="2119"/>
      <c r="R75" s="2126"/>
      <c r="S75" s="2120"/>
      <c r="T75" s="2119"/>
      <c r="U75" s="2121"/>
      <c r="V75" s="74" t="s">
        <v>263</v>
      </c>
      <c r="W75" s="257">
        <v>2200000</v>
      </c>
      <c r="X75" s="241" t="s">
        <v>251</v>
      </c>
      <c r="Y75" s="112">
        <v>20</v>
      </c>
      <c r="Z75" s="218" t="s">
        <v>132</v>
      </c>
      <c r="AA75" s="2116"/>
      <c r="AB75" s="2116"/>
      <c r="AC75" s="2116"/>
      <c r="AD75" s="2116"/>
      <c r="AE75" s="2116"/>
      <c r="AF75" s="2116"/>
      <c r="AG75" s="2116"/>
      <c r="AH75" s="2116"/>
      <c r="AI75" s="2116"/>
      <c r="AJ75" s="2116"/>
      <c r="AK75" s="2116"/>
      <c r="AL75" s="2116"/>
      <c r="AM75" s="2116"/>
      <c r="AN75" s="2116"/>
      <c r="AO75" s="2116"/>
      <c r="AP75" s="2116"/>
      <c r="AQ75" s="2116"/>
      <c r="AR75" s="2116"/>
      <c r="AS75" s="2128"/>
    </row>
    <row r="76" spans="1:45" ht="42.75" customHeight="1" x14ac:dyDescent="0.2">
      <c r="A76" s="244"/>
      <c r="C76" s="245"/>
      <c r="D76" s="246"/>
      <c r="F76" s="246"/>
      <c r="G76" s="2118"/>
      <c r="H76" s="2119"/>
      <c r="I76" s="2054"/>
      <c r="J76" s="2119"/>
      <c r="K76" s="2054"/>
      <c r="L76" s="2119"/>
      <c r="M76" s="2054"/>
      <c r="N76" s="2119"/>
      <c r="O76" s="2054"/>
      <c r="P76" s="2054"/>
      <c r="Q76" s="2119"/>
      <c r="R76" s="2126"/>
      <c r="S76" s="2120"/>
      <c r="T76" s="2119"/>
      <c r="U76" s="2121"/>
      <c r="V76" s="74" t="s">
        <v>264</v>
      </c>
      <c r="W76" s="257">
        <v>2200000</v>
      </c>
      <c r="X76" s="241" t="s">
        <v>251</v>
      </c>
      <c r="Y76" s="112">
        <v>20</v>
      </c>
      <c r="Z76" s="218" t="s">
        <v>132</v>
      </c>
      <c r="AA76" s="2116"/>
      <c r="AB76" s="2116"/>
      <c r="AC76" s="2116"/>
      <c r="AD76" s="2116"/>
      <c r="AE76" s="2116"/>
      <c r="AF76" s="2116"/>
      <c r="AG76" s="2116"/>
      <c r="AH76" s="2116"/>
      <c r="AI76" s="2116"/>
      <c r="AJ76" s="2116"/>
      <c r="AK76" s="2116"/>
      <c r="AL76" s="2116"/>
      <c r="AM76" s="2116"/>
      <c r="AN76" s="2116"/>
      <c r="AO76" s="2116"/>
      <c r="AP76" s="2116"/>
      <c r="AQ76" s="2116"/>
      <c r="AR76" s="2116"/>
      <c r="AS76" s="2128"/>
    </row>
    <row r="77" spans="1:45" ht="42.75" customHeight="1" x14ac:dyDescent="0.2">
      <c r="A77" s="244"/>
      <c r="C77" s="245"/>
      <c r="D77" s="246"/>
      <c r="F77" s="246"/>
      <c r="G77" s="2118"/>
      <c r="H77" s="2119"/>
      <c r="I77" s="2054"/>
      <c r="J77" s="2119"/>
      <c r="K77" s="2054"/>
      <c r="L77" s="2119"/>
      <c r="M77" s="2054"/>
      <c r="N77" s="2119"/>
      <c r="O77" s="2054"/>
      <c r="P77" s="2054"/>
      <c r="Q77" s="2119"/>
      <c r="R77" s="2126"/>
      <c r="S77" s="2120"/>
      <c r="T77" s="2119"/>
      <c r="U77" s="2121"/>
      <c r="V77" s="74" t="s">
        <v>265</v>
      </c>
      <c r="W77" s="257">
        <v>2200000</v>
      </c>
      <c r="X77" s="241" t="s">
        <v>251</v>
      </c>
      <c r="Y77" s="112">
        <v>20</v>
      </c>
      <c r="Z77" s="218" t="s">
        <v>132</v>
      </c>
      <c r="AA77" s="2116"/>
      <c r="AB77" s="2116"/>
      <c r="AC77" s="2116"/>
      <c r="AD77" s="2116"/>
      <c r="AE77" s="2116"/>
      <c r="AF77" s="2116"/>
      <c r="AG77" s="2116"/>
      <c r="AH77" s="2116"/>
      <c r="AI77" s="2116"/>
      <c r="AJ77" s="2116"/>
      <c r="AK77" s="2116"/>
      <c r="AL77" s="2116"/>
      <c r="AM77" s="2116"/>
      <c r="AN77" s="2116"/>
      <c r="AO77" s="2116"/>
      <c r="AP77" s="2116"/>
      <c r="AQ77" s="2116"/>
      <c r="AR77" s="2116"/>
      <c r="AS77" s="2128"/>
    </row>
    <row r="78" spans="1:45" ht="42.75" customHeight="1" x14ac:dyDescent="0.2">
      <c r="A78" s="244"/>
      <c r="C78" s="245"/>
      <c r="D78" s="246"/>
      <c r="F78" s="246"/>
      <c r="G78" s="2118"/>
      <c r="H78" s="2119"/>
      <c r="I78" s="2054"/>
      <c r="J78" s="2119"/>
      <c r="K78" s="2054"/>
      <c r="L78" s="2119"/>
      <c r="M78" s="2054"/>
      <c r="N78" s="2119"/>
      <c r="O78" s="2054"/>
      <c r="P78" s="2054"/>
      <c r="Q78" s="2119"/>
      <c r="R78" s="2126"/>
      <c r="S78" s="2120"/>
      <c r="T78" s="2119"/>
      <c r="U78" s="2121"/>
      <c r="V78" s="74" t="s">
        <v>266</v>
      </c>
      <c r="W78" s="257">
        <v>5500000</v>
      </c>
      <c r="X78" s="241" t="s">
        <v>251</v>
      </c>
      <c r="Y78" s="112">
        <v>20</v>
      </c>
      <c r="Z78" s="218" t="s">
        <v>132</v>
      </c>
      <c r="AA78" s="2116"/>
      <c r="AB78" s="2116"/>
      <c r="AC78" s="2116"/>
      <c r="AD78" s="2116"/>
      <c r="AE78" s="2116"/>
      <c r="AF78" s="2116"/>
      <c r="AG78" s="2116"/>
      <c r="AH78" s="2116"/>
      <c r="AI78" s="2116"/>
      <c r="AJ78" s="2116"/>
      <c r="AK78" s="2116"/>
      <c r="AL78" s="2116"/>
      <c r="AM78" s="2116"/>
      <c r="AN78" s="2116"/>
      <c r="AO78" s="2116"/>
      <c r="AP78" s="2116"/>
      <c r="AQ78" s="2116"/>
      <c r="AR78" s="2116"/>
      <c r="AS78" s="2128"/>
    </row>
    <row r="79" spans="1:45" ht="42.75" customHeight="1" x14ac:dyDescent="0.2">
      <c r="A79" s="244"/>
      <c r="C79" s="245"/>
      <c r="D79" s="246"/>
      <c r="F79" s="246"/>
      <c r="G79" s="2118"/>
      <c r="H79" s="2119"/>
      <c r="I79" s="2054"/>
      <c r="J79" s="2119"/>
      <c r="K79" s="2054"/>
      <c r="L79" s="2119"/>
      <c r="M79" s="2054"/>
      <c r="N79" s="2119"/>
      <c r="O79" s="2054"/>
      <c r="P79" s="2054"/>
      <c r="Q79" s="2119"/>
      <c r="R79" s="2126"/>
      <c r="S79" s="2120"/>
      <c r="T79" s="2119"/>
      <c r="U79" s="2121"/>
      <c r="V79" s="74" t="s">
        <v>267</v>
      </c>
      <c r="W79" s="257">
        <v>4400000</v>
      </c>
      <c r="X79" s="241" t="s">
        <v>251</v>
      </c>
      <c r="Y79" s="112">
        <v>20</v>
      </c>
      <c r="Z79" s="218" t="s">
        <v>132</v>
      </c>
      <c r="AA79" s="2116"/>
      <c r="AB79" s="2116"/>
      <c r="AC79" s="2116"/>
      <c r="AD79" s="2116"/>
      <c r="AE79" s="2116"/>
      <c r="AF79" s="2116"/>
      <c r="AG79" s="2116"/>
      <c r="AH79" s="2116"/>
      <c r="AI79" s="2116"/>
      <c r="AJ79" s="2116"/>
      <c r="AK79" s="2116"/>
      <c r="AL79" s="2116"/>
      <c r="AM79" s="2116"/>
      <c r="AN79" s="2116"/>
      <c r="AO79" s="2116"/>
      <c r="AP79" s="2116"/>
      <c r="AQ79" s="2116"/>
      <c r="AR79" s="2116"/>
      <c r="AS79" s="2128"/>
    </row>
    <row r="80" spans="1:45" ht="42.75" customHeight="1" x14ac:dyDescent="0.2">
      <c r="A80" s="244"/>
      <c r="C80" s="245"/>
      <c r="D80" s="246"/>
      <c r="F80" s="246"/>
      <c r="G80" s="2118"/>
      <c r="H80" s="2119"/>
      <c r="I80" s="2054"/>
      <c r="J80" s="2119"/>
      <c r="K80" s="2054"/>
      <c r="L80" s="2119"/>
      <c r="M80" s="2054"/>
      <c r="N80" s="2119"/>
      <c r="O80" s="2054"/>
      <c r="P80" s="2054"/>
      <c r="Q80" s="2119"/>
      <c r="R80" s="2126"/>
      <c r="S80" s="2120"/>
      <c r="T80" s="2119"/>
      <c r="U80" s="2121"/>
      <c r="V80" s="74" t="s">
        <v>268</v>
      </c>
      <c r="W80" s="257">
        <v>4400000</v>
      </c>
      <c r="X80" s="241" t="s">
        <v>251</v>
      </c>
      <c r="Y80" s="112">
        <v>20</v>
      </c>
      <c r="Z80" s="218" t="s">
        <v>132</v>
      </c>
      <c r="AA80" s="2116"/>
      <c r="AB80" s="2116"/>
      <c r="AC80" s="2116"/>
      <c r="AD80" s="2116"/>
      <c r="AE80" s="2116"/>
      <c r="AF80" s="2116"/>
      <c r="AG80" s="2116"/>
      <c r="AH80" s="2116"/>
      <c r="AI80" s="2116"/>
      <c r="AJ80" s="2116"/>
      <c r="AK80" s="2116"/>
      <c r="AL80" s="2116"/>
      <c r="AM80" s="2116"/>
      <c r="AN80" s="2116"/>
      <c r="AO80" s="2116"/>
      <c r="AP80" s="2116"/>
      <c r="AQ80" s="2116"/>
      <c r="AR80" s="2116"/>
      <c r="AS80" s="2128"/>
    </row>
    <row r="81" spans="1:45" ht="42.75" customHeight="1" x14ac:dyDescent="0.2">
      <c r="A81" s="244"/>
      <c r="C81" s="245"/>
      <c r="D81" s="246"/>
      <c r="F81" s="246"/>
      <c r="G81" s="2118"/>
      <c r="H81" s="2119"/>
      <c r="I81" s="2054"/>
      <c r="J81" s="2119"/>
      <c r="K81" s="2054"/>
      <c r="L81" s="2119"/>
      <c r="M81" s="2054"/>
      <c r="N81" s="2119"/>
      <c r="O81" s="2054"/>
      <c r="P81" s="2054"/>
      <c r="Q81" s="2119"/>
      <c r="R81" s="2126"/>
      <c r="S81" s="2120"/>
      <c r="T81" s="2119"/>
      <c r="U81" s="2121"/>
      <c r="V81" s="74" t="s">
        <v>269</v>
      </c>
      <c r="W81" s="257">
        <v>4400000</v>
      </c>
      <c r="X81" s="241" t="s">
        <v>251</v>
      </c>
      <c r="Y81" s="112">
        <v>20</v>
      </c>
      <c r="Z81" s="218" t="s">
        <v>132</v>
      </c>
      <c r="AA81" s="2116"/>
      <c r="AB81" s="2116"/>
      <c r="AC81" s="2116"/>
      <c r="AD81" s="2116"/>
      <c r="AE81" s="2116"/>
      <c r="AF81" s="2116"/>
      <c r="AG81" s="2116"/>
      <c r="AH81" s="2116"/>
      <c r="AI81" s="2116"/>
      <c r="AJ81" s="2116"/>
      <c r="AK81" s="2116"/>
      <c r="AL81" s="2116"/>
      <c r="AM81" s="2116"/>
      <c r="AN81" s="2116"/>
      <c r="AO81" s="2116"/>
      <c r="AP81" s="2116"/>
      <c r="AQ81" s="2116"/>
      <c r="AR81" s="2116"/>
      <c r="AS81" s="2128"/>
    </row>
    <row r="82" spans="1:45" ht="42.75" customHeight="1" x14ac:dyDescent="0.2">
      <c r="A82" s="244"/>
      <c r="C82" s="245"/>
      <c r="D82" s="246"/>
      <c r="F82" s="246"/>
      <c r="G82" s="2118"/>
      <c r="H82" s="2119"/>
      <c r="I82" s="2054"/>
      <c r="J82" s="2119"/>
      <c r="K82" s="2054"/>
      <c r="L82" s="2119"/>
      <c r="M82" s="2054"/>
      <c r="N82" s="2119"/>
      <c r="O82" s="2054"/>
      <c r="P82" s="2054"/>
      <c r="Q82" s="2119"/>
      <c r="R82" s="2126"/>
      <c r="S82" s="2120"/>
      <c r="T82" s="2119"/>
      <c r="U82" s="2121"/>
      <c r="V82" s="74" t="s">
        <v>270</v>
      </c>
      <c r="W82" s="257">
        <v>4400000</v>
      </c>
      <c r="X82" s="241" t="s">
        <v>251</v>
      </c>
      <c r="Y82" s="112">
        <v>20</v>
      </c>
      <c r="Z82" s="218" t="s">
        <v>132</v>
      </c>
      <c r="AA82" s="2116"/>
      <c r="AB82" s="2116"/>
      <c r="AC82" s="2116"/>
      <c r="AD82" s="2116"/>
      <c r="AE82" s="2116"/>
      <c r="AF82" s="2116"/>
      <c r="AG82" s="2116"/>
      <c r="AH82" s="2116"/>
      <c r="AI82" s="2116"/>
      <c r="AJ82" s="2116"/>
      <c r="AK82" s="2116"/>
      <c r="AL82" s="2116"/>
      <c r="AM82" s="2116"/>
      <c r="AN82" s="2116"/>
      <c r="AO82" s="2116"/>
      <c r="AP82" s="2116"/>
      <c r="AQ82" s="2116"/>
      <c r="AR82" s="2116"/>
      <c r="AS82" s="2128"/>
    </row>
    <row r="83" spans="1:45" ht="42.75" customHeight="1" x14ac:dyDescent="0.2">
      <c r="A83" s="244"/>
      <c r="C83" s="245"/>
      <c r="D83" s="246"/>
      <c r="F83" s="246"/>
      <c r="G83" s="2118"/>
      <c r="H83" s="2119"/>
      <c r="I83" s="2054"/>
      <c r="J83" s="2119"/>
      <c r="K83" s="2054"/>
      <c r="L83" s="2119"/>
      <c r="M83" s="2054"/>
      <c r="N83" s="2119"/>
      <c r="O83" s="2054"/>
      <c r="P83" s="2054"/>
      <c r="Q83" s="2119"/>
      <c r="R83" s="2126"/>
      <c r="S83" s="2120"/>
      <c r="T83" s="2119"/>
      <c r="U83" s="2121"/>
      <c r="V83" s="74" t="s">
        <v>271</v>
      </c>
      <c r="W83" s="257">
        <v>2200000</v>
      </c>
      <c r="X83" s="241" t="s">
        <v>251</v>
      </c>
      <c r="Y83" s="112">
        <v>20</v>
      </c>
      <c r="Z83" s="218" t="s">
        <v>132</v>
      </c>
      <c r="AA83" s="2116"/>
      <c r="AB83" s="2116"/>
      <c r="AC83" s="2116"/>
      <c r="AD83" s="2116"/>
      <c r="AE83" s="2116"/>
      <c r="AF83" s="2116"/>
      <c r="AG83" s="2116"/>
      <c r="AH83" s="2116"/>
      <c r="AI83" s="2116"/>
      <c r="AJ83" s="2116"/>
      <c r="AK83" s="2116"/>
      <c r="AL83" s="2116"/>
      <c r="AM83" s="2116"/>
      <c r="AN83" s="2116"/>
      <c r="AO83" s="2116"/>
      <c r="AP83" s="2116"/>
      <c r="AQ83" s="2116"/>
      <c r="AR83" s="2116"/>
      <c r="AS83" s="2128"/>
    </row>
    <row r="84" spans="1:45" ht="42.75" customHeight="1" x14ac:dyDescent="0.2">
      <c r="A84" s="244"/>
      <c r="C84" s="245"/>
      <c r="D84" s="246"/>
      <c r="F84" s="246"/>
      <c r="G84" s="2118"/>
      <c r="H84" s="2119"/>
      <c r="I84" s="2054"/>
      <c r="J84" s="2119"/>
      <c r="K84" s="2054"/>
      <c r="L84" s="2119"/>
      <c r="M84" s="2054"/>
      <c r="N84" s="2119"/>
      <c r="O84" s="2054"/>
      <c r="P84" s="2054"/>
      <c r="Q84" s="2119"/>
      <c r="R84" s="2126"/>
      <c r="S84" s="2120"/>
      <c r="T84" s="2119"/>
      <c r="U84" s="2121"/>
      <c r="V84" s="74" t="s">
        <v>272</v>
      </c>
      <c r="W84" s="257">
        <v>3300000</v>
      </c>
      <c r="X84" s="241" t="s">
        <v>251</v>
      </c>
      <c r="Y84" s="112">
        <v>20</v>
      </c>
      <c r="Z84" s="218" t="s">
        <v>132</v>
      </c>
      <c r="AA84" s="2116"/>
      <c r="AB84" s="2116"/>
      <c r="AC84" s="2116"/>
      <c r="AD84" s="2116"/>
      <c r="AE84" s="2116"/>
      <c r="AF84" s="2116"/>
      <c r="AG84" s="2116"/>
      <c r="AH84" s="2116"/>
      <c r="AI84" s="2116"/>
      <c r="AJ84" s="2116"/>
      <c r="AK84" s="2116"/>
      <c r="AL84" s="2116"/>
      <c r="AM84" s="2116"/>
      <c r="AN84" s="2116"/>
      <c r="AO84" s="2116"/>
      <c r="AP84" s="2116"/>
      <c r="AQ84" s="2116"/>
      <c r="AR84" s="2116"/>
      <c r="AS84" s="2128"/>
    </row>
    <row r="85" spans="1:45" ht="42.75" customHeight="1" x14ac:dyDescent="0.2">
      <c r="A85" s="244"/>
      <c r="C85" s="245"/>
      <c r="D85" s="246"/>
      <c r="F85" s="246"/>
      <c r="G85" s="2118"/>
      <c r="H85" s="2119"/>
      <c r="I85" s="2054"/>
      <c r="J85" s="2119"/>
      <c r="K85" s="2054"/>
      <c r="L85" s="2119"/>
      <c r="M85" s="2054"/>
      <c r="N85" s="2119"/>
      <c r="O85" s="2054"/>
      <c r="P85" s="2054"/>
      <c r="Q85" s="2119"/>
      <c r="R85" s="2126"/>
      <c r="S85" s="2120"/>
      <c r="T85" s="2119"/>
      <c r="U85" s="2121"/>
      <c r="V85" s="74" t="s">
        <v>273</v>
      </c>
      <c r="W85" s="257">
        <v>2200000</v>
      </c>
      <c r="X85" s="241" t="s">
        <v>251</v>
      </c>
      <c r="Y85" s="112">
        <v>20</v>
      </c>
      <c r="Z85" s="218" t="s">
        <v>132</v>
      </c>
      <c r="AA85" s="2116"/>
      <c r="AB85" s="2116"/>
      <c r="AC85" s="2116"/>
      <c r="AD85" s="2116"/>
      <c r="AE85" s="2116"/>
      <c r="AF85" s="2116"/>
      <c r="AG85" s="2116"/>
      <c r="AH85" s="2116"/>
      <c r="AI85" s="2116"/>
      <c r="AJ85" s="2116"/>
      <c r="AK85" s="2116"/>
      <c r="AL85" s="2116"/>
      <c r="AM85" s="2116"/>
      <c r="AN85" s="2116"/>
      <c r="AO85" s="2116"/>
      <c r="AP85" s="2116"/>
      <c r="AQ85" s="2116"/>
      <c r="AR85" s="2116"/>
      <c r="AS85" s="2128"/>
    </row>
    <row r="86" spans="1:45" ht="42.75" customHeight="1" x14ac:dyDescent="0.2">
      <c r="A86" s="244"/>
      <c r="C86" s="245"/>
      <c r="D86" s="246"/>
      <c r="F86" s="246"/>
      <c r="G86" s="2118"/>
      <c r="H86" s="2119"/>
      <c r="I86" s="2054"/>
      <c r="J86" s="2119"/>
      <c r="K86" s="2054"/>
      <c r="L86" s="2119"/>
      <c r="M86" s="2054"/>
      <c r="N86" s="2119"/>
      <c r="O86" s="2054"/>
      <c r="P86" s="2054"/>
      <c r="Q86" s="2119"/>
      <c r="R86" s="2126"/>
      <c r="S86" s="2120"/>
      <c r="T86" s="2119"/>
      <c r="U86" s="2121"/>
      <c r="V86" s="74" t="s">
        <v>274</v>
      </c>
      <c r="W86" s="257">
        <v>5500000</v>
      </c>
      <c r="X86" s="241" t="s">
        <v>251</v>
      </c>
      <c r="Y86" s="112">
        <v>20</v>
      </c>
      <c r="Z86" s="218" t="s">
        <v>132</v>
      </c>
      <c r="AA86" s="2116"/>
      <c r="AB86" s="2116"/>
      <c r="AC86" s="2116"/>
      <c r="AD86" s="2116"/>
      <c r="AE86" s="2116"/>
      <c r="AF86" s="2116"/>
      <c r="AG86" s="2116"/>
      <c r="AH86" s="2116"/>
      <c r="AI86" s="2116"/>
      <c r="AJ86" s="2116"/>
      <c r="AK86" s="2116"/>
      <c r="AL86" s="2116"/>
      <c r="AM86" s="2116"/>
      <c r="AN86" s="2116"/>
      <c r="AO86" s="2116"/>
      <c r="AP86" s="2116"/>
      <c r="AQ86" s="2116"/>
      <c r="AR86" s="2116"/>
      <c r="AS86" s="2128"/>
    </row>
    <row r="87" spans="1:45" ht="42.75" customHeight="1" x14ac:dyDescent="0.2">
      <c r="A87" s="244"/>
      <c r="C87" s="245"/>
      <c r="D87" s="246"/>
      <c r="F87" s="246"/>
      <c r="G87" s="2118"/>
      <c r="H87" s="2119"/>
      <c r="I87" s="2054"/>
      <c r="J87" s="2119"/>
      <c r="K87" s="2054"/>
      <c r="L87" s="2119"/>
      <c r="M87" s="2054"/>
      <c r="N87" s="2119"/>
      <c r="O87" s="2054"/>
      <c r="P87" s="2054"/>
      <c r="Q87" s="2119"/>
      <c r="R87" s="2126"/>
      <c r="S87" s="2120"/>
      <c r="T87" s="2119"/>
      <c r="U87" s="2121"/>
      <c r="V87" s="74" t="s">
        <v>275</v>
      </c>
      <c r="W87" s="257">
        <v>4600000</v>
      </c>
      <c r="X87" s="241" t="s">
        <v>251</v>
      </c>
      <c r="Y87" s="112">
        <v>20</v>
      </c>
      <c r="Z87" s="218" t="s">
        <v>132</v>
      </c>
      <c r="AA87" s="2116"/>
      <c r="AB87" s="2116"/>
      <c r="AC87" s="2116"/>
      <c r="AD87" s="2116"/>
      <c r="AE87" s="2116"/>
      <c r="AF87" s="2116"/>
      <c r="AG87" s="2116"/>
      <c r="AH87" s="2116"/>
      <c r="AI87" s="2116"/>
      <c r="AJ87" s="2116"/>
      <c r="AK87" s="2116"/>
      <c r="AL87" s="2116"/>
      <c r="AM87" s="2116"/>
      <c r="AN87" s="2116"/>
      <c r="AO87" s="2116"/>
      <c r="AP87" s="2116"/>
      <c r="AQ87" s="2116"/>
      <c r="AR87" s="2116"/>
      <c r="AS87" s="2128"/>
    </row>
    <row r="88" spans="1:45" ht="42.75" customHeight="1" x14ac:dyDescent="0.2">
      <c r="A88" s="244"/>
      <c r="C88" s="245"/>
      <c r="D88" s="246"/>
      <c r="F88" s="246"/>
      <c r="G88" s="2118"/>
      <c r="H88" s="2119"/>
      <c r="I88" s="2054"/>
      <c r="J88" s="2119"/>
      <c r="K88" s="2054"/>
      <c r="L88" s="2119"/>
      <c r="M88" s="2054"/>
      <c r="N88" s="2119"/>
      <c r="O88" s="2054"/>
      <c r="P88" s="2054"/>
      <c r="Q88" s="2119"/>
      <c r="R88" s="2126"/>
      <c r="S88" s="2120"/>
      <c r="T88" s="2119"/>
      <c r="U88" s="2121"/>
      <c r="V88" s="264" t="s">
        <v>276</v>
      </c>
      <c r="W88" s="257">
        <v>2400000</v>
      </c>
      <c r="X88" s="241" t="s">
        <v>251</v>
      </c>
      <c r="Y88" s="112">
        <v>20</v>
      </c>
      <c r="Z88" s="218" t="s">
        <v>132</v>
      </c>
      <c r="AA88" s="2116"/>
      <c r="AB88" s="2116"/>
      <c r="AC88" s="2116"/>
      <c r="AD88" s="2116"/>
      <c r="AE88" s="2116"/>
      <c r="AF88" s="2116"/>
      <c r="AG88" s="2116"/>
      <c r="AH88" s="2116"/>
      <c r="AI88" s="2116"/>
      <c r="AJ88" s="2116"/>
      <c r="AK88" s="2116"/>
      <c r="AL88" s="2116"/>
      <c r="AM88" s="2116"/>
      <c r="AN88" s="2116"/>
      <c r="AO88" s="2116"/>
      <c r="AP88" s="2116"/>
      <c r="AQ88" s="2116"/>
      <c r="AR88" s="2116"/>
      <c r="AS88" s="2128"/>
    </row>
    <row r="89" spans="1:45" ht="42.75" customHeight="1" x14ac:dyDescent="0.2">
      <c r="A89" s="244"/>
      <c r="C89" s="245"/>
      <c r="D89" s="246"/>
      <c r="F89" s="246"/>
      <c r="G89" s="2118"/>
      <c r="H89" s="2119"/>
      <c r="I89" s="2054"/>
      <c r="J89" s="2119"/>
      <c r="K89" s="2054"/>
      <c r="L89" s="2119"/>
      <c r="M89" s="2054"/>
      <c r="N89" s="2119"/>
      <c r="O89" s="2054"/>
      <c r="P89" s="2054"/>
      <c r="Q89" s="2119"/>
      <c r="R89" s="2126"/>
      <c r="S89" s="2120"/>
      <c r="T89" s="2119"/>
      <c r="U89" s="2121"/>
      <c r="V89" s="264" t="s">
        <v>277</v>
      </c>
      <c r="W89" s="257">
        <v>2100000</v>
      </c>
      <c r="X89" s="241" t="s">
        <v>251</v>
      </c>
      <c r="Y89" s="112">
        <v>20</v>
      </c>
      <c r="Z89" s="218" t="s">
        <v>132</v>
      </c>
      <c r="AA89" s="2117"/>
      <c r="AB89" s="2117"/>
      <c r="AC89" s="2117"/>
      <c r="AD89" s="2117"/>
      <c r="AE89" s="2117"/>
      <c r="AF89" s="2117"/>
      <c r="AG89" s="2117"/>
      <c r="AH89" s="2117"/>
      <c r="AI89" s="2117"/>
      <c r="AJ89" s="2117"/>
      <c r="AK89" s="2117"/>
      <c r="AL89" s="2117"/>
      <c r="AM89" s="2117"/>
      <c r="AN89" s="2117"/>
      <c r="AO89" s="2117"/>
      <c r="AP89" s="2117"/>
      <c r="AQ89" s="2117"/>
      <c r="AR89" s="2117"/>
      <c r="AS89" s="2129"/>
    </row>
    <row r="90" spans="1:45" s="280" customFormat="1" ht="33" customHeight="1" x14ac:dyDescent="0.25">
      <c r="A90" s="265"/>
      <c r="B90" s="266"/>
      <c r="C90" s="267"/>
      <c r="D90" s="268"/>
      <c r="E90" s="266"/>
      <c r="F90" s="268"/>
      <c r="G90" s="269"/>
      <c r="H90" s="270"/>
      <c r="I90" s="270"/>
      <c r="J90" s="270"/>
      <c r="K90" s="270"/>
      <c r="L90" s="270"/>
      <c r="M90" s="270"/>
      <c r="N90" s="270"/>
      <c r="O90" s="270"/>
      <c r="P90" s="270"/>
      <c r="Q90" s="271"/>
      <c r="R90" s="222"/>
      <c r="S90" s="272">
        <f>SUM(S9:S89)</f>
        <v>986333529</v>
      </c>
      <c r="T90" s="273"/>
      <c r="U90" s="271"/>
      <c r="V90" s="274" t="s">
        <v>113</v>
      </c>
      <c r="W90" s="275">
        <f>SUM(W9:W89)</f>
        <v>986333529</v>
      </c>
      <c r="X90" s="276"/>
      <c r="Y90" s="277"/>
      <c r="Z90" s="278"/>
      <c r="AA90" s="270"/>
      <c r="AB90" s="270"/>
      <c r="AC90" s="270"/>
      <c r="AD90" s="270"/>
      <c r="AE90" s="270"/>
      <c r="AF90" s="270"/>
      <c r="AG90" s="270"/>
      <c r="AH90" s="270"/>
      <c r="AI90" s="270"/>
      <c r="AJ90" s="270"/>
      <c r="AK90" s="270"/>
      <c r="AL90" s="270"/>
      <c r="AM90" s="270"/>
      <c r="AN90" s="270"/>
      <c r="AO90" s="270"/>
      <c r="AP90" s="270"/>
      <c r="AQ90" s="270"/>
      <c r="AR90" s="279"/>
      <c r="AS90" s="279"/>
    </row>
    <row r="91" spans="1:45" x14ac:dyDescent="0.2">
      <c r="Q91" s="132"/>
      <c r="V91" s="285"/>
      <c r="W91" s="286"/>
    </row>
    <row r="92" spans="1:45" x14ac:dyDescent="0.2">
      <c r="V92" s="285"/>
      <c r="W92" s="290"/>
    </row>
    <row r="100" spans="1:64" ht="15.75" x14ac:dyDescent="0.25">
      <c r="X100" s="292" t="s">
        <v>278</v>
      </c>
    </row>
    <row r="101" spans="1:64" s="159" customFormat="1" x14ac:dyDescent="0.2">
      <c r="A101" s="281"/>
      <c r="B101" s="160"/>
      <c r="C101" s="160"/>
      <c r="D101" s="160"/>
      <c r="E101" s="160"/>
      <c r="F101" s="160"/>
      <c r="G101" s="160"/>
      <c r="H101" s="160"/>
      <c r="I101" s="160"/>
      <c r="J101" s="160"/>
      <c r="K101" s="160"/>
      <c r="L101" s="132"/>
      <c r="M101" s="160"/>
      <c r="N101" s="132"/>
      <c r="Q101" s="175"/>
      <c r="R101" s="282"/>
      <c r="S101" s="283"/>
      <c r="T101" s="284"/>
      <c r="U101" s="3"/>
      <c r="V101" s="132"/>
      <c r="W101" s="291"/>
      <c r="X101" s="293" t="s">
        <v>279</v>
      </c>
      <c r="Y101" s="143"/>
      <c r="Z101" s="137"/>
      <c r="AA101" s="3"/>
      <c r="AB101" s="160"/>
      <c r="AC101" s="160"/>
      <c r="AD101" s="160"/>
      <c r="AE101" s="160"/>
      <c r="AF101" s="160"/>
      <c r="AG101" s="160"/>
      <c r="AH101" s="160"/>
      <c r="AI101" s="160"/>
      <c r="AJ101" s="160"/>
      <c r="AK101" s="160"/>
      <c r="AL101" s="160"/>
      <c r="AM101" s="160"/>
      <c r="AN101" s="160"/>
      <c r="AO101" s="160"/>
      <c r="AP101" s="160"/>
      <c r="AQ101" s="160"/>
      <c r="AR101" s="288"/>
      <c r="AS101" s="289"/>
      <c r="AT101" s="160"/>
      <c r="AU101" s="160"/>
      <c r="AV101" s="160"/>
      <c r="AW101" s="160"/>
      <c r="AX101" s="160"/>
      <c r="AY101" s="160"/>
      <c r="AZ101" s="160"/>
      <c r="BA101" s="160"/>
      <c r="BB101" s="160"/>
      <c r="BC101" s="160"/>
      <c r="BD101" s="160"/>
      <c r="BE101" s="160"/>
      <c r="BF101" s="160"/>
      <c r="BG101" s="160"/>
      <c r="BH101" s="160"/>
      <c r="BI101" s="160"/>
      <c r="BJ101" s="160"/>
      <c r="BK101" s="160"/>
      <c r="BL101" s="160"/>
    </row>
  </sheetData>
  <sheetProtection algorithmName="SHA-512" hashValue="PCDdlWL+MY3ROCBnUeF8pnXp4TAiMm5CCCsI4DMsvBdy5thT1mAnY+e5XDJ7h+qBZfWP0AqrvakFGBWVOPHXTw==" saltValue="jRA55Aq0lG02Sw/lbxT8BA==" spinCount="100000" sheet="1" formatCells="0" selectLockedCells="1" selectUnlockedCells="1"/>
  <mergeCells count="253">
    <mergeCell ref="A1:AQ4"/>
    <mergeCell ref="A5:O6"/>
    <mergeCell ref="P5:AS5"/>
    <mergeCell ref="AA6:AO6"/>
    <mergeCell ref="A7:B7"/>
    <mergeCell ref="C7:D7"/>
    <mergeCell ref="E7:F7"/>
    <mergeCell ref="G7:J7"/>
    <mergeCell ref="K7:N7"/>
    <mergeCell ref="O7:O8"/>
    <mergeCell ref="AP7:AP8"/>
    <mergeCell ref="AQ7:AQ8"/>
    <mergeCell ref="AR7:AR8"/>
    <mergeCell ref="AS7:AS8"/>
    <mergeCell ref="AC7:AF7"/>
    <mergeCell ref="AG7:AL7"/>
    <mergeCell ref="AM7:AO7"/>
    <mergeCell ref="G12:G29"/>
    <mergeCell ref="H12:H29"/>
    <mergeCell ref="I12:I29"/>
    <mergeCell ref="J12:J29"/>
    <mergeCell ref="K12:K29"/>
    <mergeCell ref="L12:L29"/>
    <mergeCell ref="P7:V7"/>
    <mergeCell ref="X7:Z7"/>
    <mergeCell ref="AA7:AB7"/>
    <mergeCell ref="AR12:AR29"/>
    <mergeCell ref="AS12:AS29"/>
    <mergeCell ref="V14:V16"/>
    <mergeCell ref="V17:V18"/>
    <mergeCell ref="V19:V20"/>
    <mergeCell ref="V28:V29"/>
    <mergeCell ref="AI12:AI29"/>
    <mergeCell ref="AJ12:AJ29"/>
    <mergeCell ref="AK12:AK29"/>
    <mergeCell ref="AL12:AL29"/>
    <mergeCell ref="AM12:AM29"/>
    <mergeCell ref="AN12:AN29"/>
    <mergeCell ref="AC12:AC29"/>
    <mergeCell ref="AD12:AD29"/>
    <mergeCell ref="AE12:AE29"/>
    <mergeCell ref="AF12:AF29"/>
    <mergeCell ref="AG12:AG29"/>
    <mergeCell ref="AH12:AH29"/>
    <mergeCell ref="V12:V13"/>
    <mergeCell ref="AA12:AA29"/>
    <mergeCell ref="AB12:AB29"/>
    <mergeCell ref="K30:K34"/>
    <mergeCell ref="L30:L34"/>
    <mergeCell ref="AO12:AO29"/>
    <mergeCell ref="AP12:AP29"/>
    <mergeCell ref="AQ12:AQ29"/>
    <mergeCell ref="S12:S29"/>
    <mergeCell ref="T12:T29"/>
    <mergeCell ref="U12:U29"/>
    <mergeCell ref="M12:M29"/>
    <mergeCell ref="N12:N29"/>
    <mergeCell ref="O12:O29"/>
    <mergeCell ref="P12:P29"/>
    <mergeCell ref="Q12:Q29"/>
    <mergeCell ref="R12:R29"/>
    <mergeCell ref="U30:U34"/>
    <mergeCell ref="AA30:AA34"/>
    <mergeCell ref="AB30:AB34"/>
    <mergeCell ref="AC30:AC34"/>
    <mergeCell ref="M30:M34"/>
    <mergeCell ref="N30:N34"/>
    <mergeCell ref="AP30:AP34"/>
    <mergeCell ref="AQ30:AQ34"/>
    <mergeCell ref="S30:S34"/>
    <mergeCell ref="T30:T34"/>
    <mergeCell ref="AR30:AR34"/>
    <mergeCell ref="AS30:AS34"/>
    <mergeCell ref="G36:G41"/>
    <mergeCell ref="H36:H41"/>
    <mergeCell ref="I36:I41"/>
    <mergeCell ref="J36:J41"/>
    <mergeCell ref="K36:K41"/>
    <mergeCell ref="L36:L41"/>
    <mergeCell ref="AJ30:AJ34"/>
    <mergeCell ref="AK30:AK34"/>
    <mergeCell ref="AL30:AL34"/>
    <mergeCell ref="AM30:AM34"/>
    <mergeCell ref="AN30:AN34"/>
    <mergeCell ref="AO30:AO34"/>
    <mergeCell ref="AD30:AD34"/>
    <mergeCell ref="AE30:AE34"/>
    <mergeCell ref="AF30:AF34"/>
    <mergeCell ref="AG30:AG34"/>
    <mergeCell ref="G30:G34"/>
    <mergeCell ref="H30:H34"/>
    <mergeCell ref="I30:I34"/>
    <mergeCell ref="J30:J34"/>
    <mergeCell ref="AH30:AH34"/>
    <mergeCell ref="AI30:AI34"/>
    <mergeCell ref="O30:O34"/>
    <mergeCell ref="P30:P34"/>
    <mergeCell ref="Q30:Q34"/>
    <mergeCell ref="R30:R34"/>
    <mergeCell ref="AP36:AP41"/>
    <mergeCell ref="AQ36:AQ41"/>
    <mergeCell ref="AR36:AR41"/>
    <mergeCell ref="AS36:AS41"/>
    <mergeCell ref="G42:G44"/>
    <mergeCell ref="H42:H44"/>
    <mergeCell ref="I42:I44"/>
    <mergeCell ref="J42:J44"/>
    <mergeCell ref="K42:K44"/>
    <mergeCell ref="L42:L44"/>
    <mergeCell ref="AJ36:AJ41"/>
    <mergeCell ref="AK36:AK41"/>
    <mergeCell ref="AL36:AL41"/>
    <mergeCell ref="AM36:AM41"/>
    <mergeCell ref="AN36:AN41"/>
    <mergeCell ref="AO36:AO41"/>
    <mergeCell ref="AD36:AD41"/>
    <mergeCell ref="AE36:AE41"/>
    <mergeCell ref="AF36:AF41"/>
    <mergeCell ref="AG36:AG41"/>
    <mergeCell ref="AS42:AS44"/>
    <mergeCell ref="G45:G56"/>
    <mergeCell ref="H45:H56"/>
    <mergeCell ref="I45:I56"/>
    <mergeCell ref="J45:J56"/>
    <mergeCell ref="K45:K56"/>
    <mergeCell ref="L45:L56"/>
    <mergeCell ref="AJ42:AJ44"/>
    <mergeCell ref="AK42:AK44"/>
    <mergeCell ref="AL42:AL44"/>
    <mergeCell ref="AM42:AM44"/>
    <mergeCell ref="AN42:AN44"/>
    <mergeCell ref="AO42:AO44"/>
    <mergeCell ref="AD42:AD44"/>
    <mergeCell ref="AE42:AE44"/>
    <mergeCell ref="AF42:AF44"/>
    <mergeCell ref="AG42:AG44"/>
    <mergeCell ref="AH42:AH44"/>
    <mergeCell ref="AI42:AI44"/>
    <mergeCell ref="S42:S44"/>
    <mergeCell ref="M45:M56"/>
    <mergeCell ref="N45:N56"/>
    <mergeCell ref="O45:O56"/>
    <mergeCell ref="P45:P56"/>
    <mergeCell ref="Q45:Q56"/>
    <mergeCell ref="R45:R56"/>
    <mergeCell ref="AH36:AH41"/>
    <mergeCell ref="AI36:AI41"/>
    <mergeCell ref="S36:S41"/>
    <mergeCell ref="T36:T41"/>
    <mergeCell ref="U36:U41"/>
    <mergeCell ref="AA36:AA41"/>
    <mergeCell ref="AB36:AB41"/>
    <mergeCell ref="AC36:AC41"/>
    <mergeCell ref="M36:M41"/>
    <mergeCell ref="N36:N41"/>
    <mergeCell ref="O36:O41"/>
    <mergeCell ref="P36:P41"/>
    <mergeCell ref="Q36:Q41"/>
    <mergeCell ref="R36:R41"/>
    <mergeCell ref="AP42:AP44"/>
    <mergeCell ref="AQ42:AQ44"/>
    <mergeCell ref="AR42:AR44"/>
    <mergeCell ref="AC42:AC44"/>
    <mergeCell ref="M42:M44"/>
    <mergeCell ref="N42:N44"/>
    <mergeCell ref="O42:O44"/>
    <mergeCell ref="P42:P44"/>
    <mergeCell ref="Q42:Q44"/>
    <mergeCell ref="R42:R44"/>
    <mergeCell ref="T42:T44"/>
    <mergeCell ref="U42:U44"/>
    <mergeCell ref="AA42:AA44"/>
    <mergeCell ref="AB42:AB44"/>
    <mergeCell ref="AS45:AS56"/>
    <mergeCell ref="P57:P62"/>
    <mergeCell ref="Q57:Q62"/>
    <mergeCell ref="S57:S62"/>
    <mergeCell ref="T57:T62"/>
    <mergeCell ref="U57:U62"/>
    <mergeCell ref="AA57:AA62"/>
    <mergeCell ref="AJ45:AJ56"/>
    <mergeCell ref="AK45:AK56"/>
    <mergeCell ref="AL45:AL56"/>
    <mergeCell ref="AM45:AM56"/>
    <mergeCell ref="AN45:AN56"/>
    <mergeCell ref="AO45:AO56"/>
    <mergeCell ref="AD45:AD56"/>
    <mergeCell ref="AE45:AE56"/>
    <mergeCell ref="AF45:AF56"/>
    <mergeCell ref="AG45:AG56"/>
    <mergeCell ref="AH45:AH56"/>
    <mergeCell ref="AI45:AI56"/>
    <mergeCell ref="S45:S56"/>
    <mergeCell ref="T45:T56"/>
    <mergeCell ref="U45:U56"/>
    <mergeCell ref="AA45:AA56"/>
    <mergeCell ref="AB45:AB56"/>
    <mergeCell ref="AB57:AB62"/>
    <mergeCell ref="AC57:AC62"/>
    <mergeCell ref="AD57:AD62"/>
    <mergeCell ref="AE57:AE62"/>
    <mergeCell ref="AF57:AF62"/>
    <mergeCell ref="AG57:AG62"/>
    <mergeCell ref="AP45:AP56"/>
    <mergeCell ref="AQ45:AQ56"/>
    <mergeCell ref="AR45:AR56"/>
    <mergeCell ref="AC45:AC56"/>
    <mergeCell ref="AN57:AN62"/>
    <mergeCell ref="AO57:AO62"/>
    <mergeCell ref="AP57:AP62"/>
    <mergeCell ref="AQ57:AQ62"/>
    <mergeCell ref="AR57:AR62"/>
    <mergeCell ref="AS57:AS62"/>
    <mergeCell ref="AH57:AH62"/>
    <mergeCell ref="AI57:AI62"/>
    <mergeCell ref="AJ57:AJ62"/>
    <mergeCell ref="AK57:AK62"/>
    <mergeCell ref="AL57:AL62"/>
    <mergeCell ref="AM57:AM62"/>
    <mergeCell ref="M63:M89"/>
    <mergeCell ref="N63:N89"/>
    <mergeCell ref="O63:O89"/>
    <mergeCell ref="P63:P89"/>
    <mergeCell ref="Q63:Q89"/>
    <mergeCell ref="R63:R89"/>
    <mergeCell ref="AG63:AG89"/>
    <mergeCell ref="AH63:AH89"/>
    <mergeCell ref="AI63:AI89"/>
    <mergeCell ref="AP63:AP89"/>
    <mergeCell ref="AQ63:AQ89"/>
    <mergeCell ref="AR63:AR89"/>
    <mergeCell ref="AS63:AS89"/>
    <mergeCell ref="AJ63:AJ89"/>
    <mergeCell ref="AK63:AK89"/>
    <mergeCell ref="AL63:AL89"/>
    <mergeCell ref="AM63:AM89"/>
    <mergeCell ref="AN63:AN89"/>
    <mergeCell ref="AO63:AO89"/>
    <mergeCell ref="G63:G89"/>
    <mergeCell ref="H63:H89"/>
    <mergeCell ref="I63:I89"/>
    <mergeCell ref="J63:J89"/>
    <mergeCell ref="K63:K89"/>
    <mergeCell ref="L63:L89"/>
    <mergeCell ref="AD63:AD89"/>
    <mergeCell ref="AE63:AE89"/>
    <mergeCell ref="AF63:AF89"/>
    <mergeCell ref="S63:S89"/>
    <mergeCell ref="T63:T89"/>
    <mergeCell ref="U63:U89"/>
    <mergeCell ref="AA63:AA89"/>
    <mergeCell ref="AB63:AB89"/>
    <mergeCell ref="AC63:AC8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M42"/>
  <sheetViews>
    <sheetView showGridLines="0" zoomScale="70" zoomScaleNormal="70" workbookViewId="0">
      <selection sqref="A1:AR4"/>
    </sheetView>
  </sheetViews>
  <sheetFormatPr baseColWidth="10" defaultColWidth="11.42578125" defaultRowHeight="25.5" customHeight="1" x14ac:dyDescent="0.25"/>
  <cols>
    <col min="1" max="1" width="12.5703125" style="130" customWidth="1"/>
    <col min="2" max="2" width="15.5703125" style="4" customWidth="1"/>
    <col min="3" max="3" width="13.28515625" style="4" customWidth="1"/>
    <col min="4" max="4" width="13.7109375" style="4" customWidth="1"/>
    <col min="5" max="5" width="13.85546875" style="4" customWidth="1"/>
    <col min="6" max="6" width="13.5703125" style="4" customWidth="1"/>
    <col min="7" max="7" width="15.5703125" style="4" customWidth="1"/>
    <col min="8" max="8" width="28.140625" style="131" customWidth="1"/>
    <col min="9" max="9" width="25.42578125" style="4" customWidth="1"/>
    <col min="10" max="10" width="28.140625" style="131" customWidth="1"/>
    <col min="11" max="11" width="16.42578125" style="4" customWidth="1"/>
    <col min="12" max="12" width="26.85546875" style="132" customWidth="1"/>
    <col min="13" max="13" width="25.42578125" style="3" customWidth="1"/>
    <col min="14" max="14" width="26.85546875" style="132" customWidth="1"/>
    <col min="15" max="15" width="13.5703125" style="3" customWidth="1"/>
    <col min="16" max="16" width="31.85546875" style="3" customWidth="1"/>
    <col min="17" max="17" width="23" style="132" customWidth="1"/>
    <col min="18" max="18" width="11.85546875" style="133" customWidth="1"/>
    <col min="19" max="19" width="31.85546875" style="134" customWidth="1"/>
    <col min="20" max="20" width="36.42578125" style="135" customWidth="1"/>
    <col min="21" max="21" width="39.140625" style="132" customWidth="1"/>
    <col min="22" max="22" width="33.28515625" style="132" customWidth="1"/>
    <col min="23" max="23" width="32" style="3" customWidth="1"/>
    <col min="24" max="24" width="53.7109375" style="132" customWidth="1"/>
    <col min="25" max="25" width="11.28515625" style="143" customWidth="1"/>
    <col min="26" max="26" width="24.7109375" style="359" customWidth="1"/>
    <col min="27" max="27" width="16.42578125" style="3" customWidth="1"/>
    <col min="28" max="29" width="10.85546875" style="4" bestFit="1" customWidth="1"/>
    <col min="30" max="30" width="9.42578125" style="4" bestFit="1" customWidth="1"/>
    <col min="31" max="31" width="10.42578125" style="4" bestFit="1" customWidth="1"/>
    <col min="32" max="32" width="9.42578125" style="4" bestFit="1" customWidth="1"/>
    <col min="33" max="33" width="7.5703125" style="4" bestFit="1" customWidth="1"/>
    <col min="34" max="35" width="8.42578125" style="4" bestFit="1" customWidth="1"/>
    <col min="36" max="39" width="7.42578125" style="4" customWidth="1"/>
    <col min="40" max="40" width="9.42578125" style="4" bestFit="1" customWidth="1"/>
    <col min="41" max="41" width="9" style="4" bestFit="1" customWidth="1"/>
    <col min="42" max="42" width="9.42578125" style="4" bestFit="1" customWidth="1"/>
    <col min="43" max="43" width="13.28515625" style="4" customWidth="1"/>
    <col min="44" max="44" width="16.7109375" style="4" customWidth="1"/>
    <col min="45" max="45" width="21.140625" style="138" customWidth="1"/>
    <col min="46" max="46" width="24.42578125" style="139" customWidth="1"/>
    <col min="47" max="47" width="9.140625" style="4" customWidth="1"/>
    <col min="48" max="16384" width="11.42578125" style="4"/>
  </cols>
  <sheetData>
    <row r="1" spans="1:65" ht="15.75" customHeight="1" x14ac:dyDescent="0.25">
      <c r="A1" s="2015" t="s">
        <v>280</v>
      </c>
      <c r="B1" s="2015"/>
      <c r="C1" s="2015"/>
      <c r="D1" s="2015"/>
      <c r="E1" s="2015"/>
      <c r="F1" s="2015"/>
      <c r="G1" s="2015"/>
      <c r="H1" s="2015"/>
      <c r="I1" s="2015"/>
      <c r="J1" s="2015"/>
      <c r="K1" s="2015"/>
      <c r="L1" s="2015"/>
      <c r="M1" s="2015"/>
      <c r="N1" s="2015"/>
      <c r="O1" s="2015"/>
      <c r="P1" s="2015"/>
      <c r="Q1" s="2015"/>
      <c r="R1" s="2015"/>
      <c r="S1" s="2015"/>
      <c r="T1" s="2015"/>
      <c r="U1" s="2015"/>
      <c r="V1" s="2015"/>
      <c r="W1" s="2015"/>
      <c r="X1" s="2015"/>
      <c r="Y1" s="2015"/>
      <c r="Z1" s="2015"/>
      <c r="AA1" s="2015"/>
      <c r="AB1" s="2015"/>
      <c r="AC1" s="2015"/>
      <c r="AD1" s="2015"/>
      <c r="AE1" s="2015"/>
      <c r="AF1" s="2015"/>
      <c r="AG1" s="2015"/>
      <c r="AH1" s="2015"/>
      <c r="AI1" s="2015"/>
      <c r="AJ1" s="2015"/>
      <c r="AK1" s="2015"/>
      <c r="AL1" s="2015"/>
      <c r="AM1" s="2015"/>
      <c r="AN1" s="2015"/>
      <c r="AO1" s="2015"/>
      <c r="AP1" s="2015"/>
      <c r="AQ1" s="2015"/>
      <c r="AR1" s="2015"/>
      <c r="AS1" s="294" t="s">
        <v>1</v>
      </c>
      <c r="AT1" s="1" t="s">
        <v>2</v>
      </c>
      <c r="AU1" s="3"/>
      <c r="AV1" s="3"/>
      <c r="AW1" s="3"/>
      <c r="AX1" s="3"/>
      <c r="AY1" s="3"/>
      <c r="AZ1" s="3"/>
      <c r="BA1" s="3"/>
      <c r="BB1" s="3"/>
      <c r="BC1" s="3"/>
      <c r="BD1" s="3"/>
      <c r="BE1" s="3"/>
      <c r="BF1" s="3"/>
      <c r="BG1" s="3"/>
      <c r="BH1" s="3"/>
      <c r="BI1" s="3"/>
      <c r="BJ1" s="3"/>
      <c r="BK1" s="3"/>
      <c r="BL1" s="3"/>
      <c r="BM1" s="3"/>
    </row>
    <row r="2" spans="1:65" ht="15.75" x14ac:dyDescent="0.25">
      <c r="A2" s="2015"/>
      <c r="B2" s="2015"/>
      <c r="C2" s="2015"/>
      <c r="D2" s="2015"/>
      <c r="E2" s="2015"/>
      <c r="F2" s="2015"/>
      <c r="G2" s="2015"/>
      <c r="H2" s="2015"/>
      <c r="I2" s="2015"/>
      <c r="J2" s="2015"/>
      <c r="K2" s="2015"/>
      <c r="L2" s="2015"/>
      <c r="M2" s="2015"/>
      <c r="N2" s="2015"/>
      <c r="O2" s="2015"/>
      <c r="P2" s="2015"/>
      <c r="Q2" s="2015"/>
      <c r="R2" s="2015"/>
      <c r="S2" s="2015"/>
      <c r="T2" s="2015"/>
      <c r="U2" s="2015"/>
      <c r="V2" s="2015"/>
      <c r="W2" s="2015"/>
      <c r="X2" s="2015"/>
      <c r="Y2" s="2015"/>
      <c r="Z2" s="2015"/>
      <c r="AA2" s="2015"/>
      <c r="AB2" s="2015"/>
      <c r="AC2" s="2015"/>
      <c r="AD2" s="2015"/>
      <c r="AE2" s="2015"/>
      <c r="AF2" s="2015"/>
      <c r="AG2" s="2015"/>
      <c r="AH2" s="2015"/>
      <c r="AI2" s="2015"/>
      <c r="AJ2" s="2015"/>
      <c r="AK2" s="2015"/>
      <c r="AL2" s="2015"/>
      <c r="AM2" s="2015"/>
      <c r="AN2" s="2015"/>
      <c r="AO2" s="2015"/>
      <c r="AP2" s="2015"/>
      <c r="AQ2" s="2015"/>
      <c r="AR2" s="2015"/>
      <c r="AS2" s="294" t="s">
        <v>3</v>
      </c>
      <c r="AT2" s="2009">
        <v>9</v>
      </c>
      <c r="AU2" s="3"/>
      <c r="AV2" s="3"/>
      <c r="AW2" s="3"/>
      <c r="AX2" s="3"/>
      <c r="AY2" s="3"/>
      <c r="AZ2" s="3"/>
      <c r="BA2" s="3"/>
      <c r="BB2" s="3"/>
      <c r="BC2" s="3"/>
      <c r="BD2" s="3"/>
      <c r="BE2" s="3"/>
      <c r="BF2" s="3"/>
      <c r="BG2" s="3"/>
      <c r="BH2" s="3"/>
      <c r="BI2" s="3"/>
      <c r="BJ2" s="3"/>
      <c r="BK2" s="3"/>
      <c r="BL2" s="3"/>
      <c r="BM2" s="3"/>
    </row>
    <row r="3" spans="1:65" ht="15.75" x14ac:dyDescent="0.25">
      <c r="A3" s="2015"/>
      <c r="B3" s="2015"/>
      <c r="C3" s="2015"/>
      <c r="D3" s="2015"/>
      <c r="E3" s="2015"/>
      <c r="F3" s="2015"/>
      <c r="G3" s="2015"/>
      <c r="H3" s="2015"/>
      <c r="I3" s="2015"/>
      <c r="J3" s="2015"/>
      <c r="K3" s="2015"/>
      <c r="L3" s="2015"/>
      <c r="M3" s="2015"/>
      <c r="N3" s="2015"/>
      <c r="O3" s="2015"/>
      <c r="P3" s="2015"/>
      <c r="Q3" s="2015"/>
      <c r="R3" s="2015"/>
      <c r="S3" s="2015"/>
      <c r="T3" s="2015"/>
      <c r="U3" s="2015"/>
      <c r="V3" s="2015"/>
      <c r="W3" s="2015"/>
      <c r="X3" s="2015"/>
      <c r="Y3" s="2015"/>
      <c r="Z3" s="2015"/>
      <c r="AA3" s="2015"/>
      <c r="AB3" s="2015"/>
      <c r="AC3" s="2015"/>
      <c r="AD3" s="2015"/>
      <c r="AE3" s="2015"/>
      <c r="AF3" s="2015"/>
      <c r="AG3" s="2015"/>
      <c r="AH3" s="2015"/>
      <c r="AI3" s="2015"/>
      <c r="AJ3" s="2015"/>
      <c r="AK3" s="2015"/>
      <c r="AL3" s="2015"/>
      <c r="AM3" s="2015"/>
      <c r="AN3" s="2015"/>
      <c r="AO3" s="2015"/>
      <c r="AP3" s="2015"/>
      <c r="AQ3" s="2015"/>
      <c r="AR3" s="2015"/>
      <c r="AS3" s="294" t="s">
        <v>4</v>
      </c>
      <c r="AT3" s="2010">
        <v>44266</v>
      </c>
      <c r="AU3" s="3"/>
      <c r="AV3" s="3"/>
      <c r="AW3" s="3"/>
      <c r="AX3" s="3"/>
      <c r="AY3" s="3"/>
      <c r="AZ3" s="3"/>
      <c r="BA3" s="3"/>
      <c r="BB3" s="3"/>
      <c r="BC3" s="3"/>
      <c r="BD3" s="3"/>
      <c r="BE3" s="3"/>
      <c r="BF3" s="3"/>
      <c r="BG3" s="3"/>
      <c r="BH3" s="3"/>
      <c r="BI3" s="3"/>
      <c r="BJ3" s="3"/>
      <c r="BK3" s="3"/>
      <c r="BL3" s="3"/>
      <c r="BM3" s="3"/>
    </row>
    <row r="4" spans="1:65" ht="15.75" x14ac:dyDescent="0.25">
      <c r="A4" s="2208"/>
      <c r="B4" s="2208"/>
      <c r="C4" s="2208"/>
      <c r="D4" s="2208"/>
      <c r="E4" s="2208"/>
      <c r="F4" s="2208"/>
      <c r="G4" s="2208"/>
      <c r="H4" s="2208"/>
      <c r="I4" s="2208"/>
      <c r="J4" s="2208"/>
      <c r="K4" s="2208"/>
      <c r="L4" s="2208"/>
      <c r="M4" s="2208"/>
      <c r="N4" s="2208"/>
      <c r="O4" s="2208"/>
      <c r="P4" s="2208"/>
      <c r="Q4" s="2208"/>
      <c r="R4" s="2208"/>
      <c r="S4" s="2208"/>
      <c r="T4" s="2208"/>
      <c r="U4" s="2208"/>
      <c r="V4" s="2208"/>
      <c r="W4" s="2208"/>
      <c r="X4" s="2208"/>
      <c r="Y4" s="2208"/>
      <c r="Z4" s="2208"/>
      <c r="AA4" s="2208"/>
      <c r="AB4" s="2208"/>
      <c r="AC4" s="2208"/>
      <c r="AD4" s="2208"/>
      <c r="AE4" s="2208"/>
      <c r="AF4" s="2208"/>
      <c r="AG4" s="2208"/>
      <c r="AH4" s="2208"/>
      <c r="AI4" s="2208"/>
      <c r="AJ4" s="2208"/>
      <c r="AK4" s="2208"/>
      <c r="AL4" s="2208"/>
      <c r="AM4" s="2208"/>
      <c r="AN4" s="2208"/>
      <c r="AO4" s="2208"/>
      <c r="AP4" s="2208"/>
      <c r="AQ4" s="2208"/>
      <c r="AR4" s="2208"/>
      <c r="AS4" s="294" t="s">
        <v>5</v>
      </c>
      <c r="AT4" s="295" t="s">
        <v>114</v>
      </c>
      <c r="AU4" s="3"/>
      <c r="AV4" s="3"/>
      <c r="AW4" s="3"/>
      <c r="AX4" s="3"/>
      <c r="AY4" s="3"/>
      <c r="AZ4" s="3"/>
      <c r="BA4" s="3"/>
      <c r="BB4" s="3"/>
      <c r="BC4" s="3"/>
      <c r="BD4" s="3"/>
      <c r="BE4" s="3"/>
      <c r="BF4" s="3"/>
      <c r="BG4" s="3"/>
      <c r="BH4" s="3"/>
      <c r="BI4" s="3"/>
      <c r="BJ4" s="3"/>
      <c r="BK4" s="3"/>
      <c r="BL4" s="3"/>
      <c r="BM4" s="3"/>
    </row>
    <row r="5" spans="1:65" ht="15.75" x14ac:dyDescent="0.25">
      <c r="A5" s="2020" t="s">
        <v>281</v>
      </c>
      <c r="B5" s="2020"/>
      <c r="C5" s="2020"/>
      <c r="D5" s="2020"/>
      <c r="E5" s="2020"/>
      <c r="F5" s="2020"/>
      <c r="G5" s="2020"/>
      <c r="H5" s="2020"/>
      <c r="I5" s="2020"/>
      <c r="J5" s="2020"/>
      <c r="K5" s="2020"/>
      <c r="L5" s="2020"/>
      <c r="M5" s="2020"/>
      <c r="N5" s="2020"/>
      <c r="O5" s="2020"/>
      <c r="P5" s="2021"/>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2021"/>
      <c r="AU5" s="3"/>
      <c r="AV5" s="3"/>
      <c r="AW5" s="3"/>
      <c r="AX5" s="3"/>
      <c r="AY5" s="3"/>
      <c r="AZ5" s="3"/>
      <c r="BA5" s="3"/>
      <c r="BB5" s="3"/>
      <c r="BC5" s="3"/>
      <c r="BD5" s="3"/>
      <c r="BE5" s="3"/>
      <c r="BF5" s="3"/>
      <c r="BG5" s="3"/>
      <c r="BH5" s="3"/>
      <c r="BI5" s="3"/>
      <c r="BJ5" s="3"/>
      <c r="BK5" s="3"/>
      <c r="BL5" s="3"/>
      <c r="BM5" s="3"/>
    </row>
    <row r="6" spans="1:65" ht="15.75" x14ac:dyDescent="0.25">
      <c r="A6" s="2018"/>
      <c r="B6" s="2018"/>
      <c r="C6" s="2018"/>
      <c r="D6" s="2018"/>
      <c r="E6" s="2018"/>
      <c r="F6" s="2018"/>
      <c r="G6" s="2018"/>
      <c r="H6" s="2018"/>
      <c r="I6" s="2018"/>
      <c r="J6" s="2018"/>
      <c r="K6" s="2018"/>
      <c r="L6" s="2018"/>
      <c r="M6" s="2018"/>
      <c r="N6" s="2018"/>
      <c r="O6" s="2016"/>
      <c r="P6" s="11"/>
      <c r="Q6" s="12"/>
      <c r="R6" s="11"/>
      <c r="S6" s="11"/>
      <c r="T6" s="12"/>
      <c r="U6" s="12"/>
      <c r="V6" s="12"/>
      <c r="W6" s="11"/>
      <c r="X6" s="12"/>
      <c r="Y6" s="11"/>
      <c r="Z6" s="12"/>
      <c r="AA6" s="2022" t="s">
        <v>8</v>
      </c>
      <c r="AB6" s="2016"/>
      <c r="AC6" s="2016"/>
      <c r="AD6" s="2016"/>
      <c r="AE6" s="2016"/>
      <c r="AF6" s="2016"/>
      <c r="AG6" s="2016"/>
      <c r="AH6" s="2016"/>
      <c r="AI6" s="2016"/>
      <c r="AJ6" s="2016"/>
      <c r="AK6" s="2016"/>
      <c r="AL6" s="2016"/>
      <c r="AM6" s="2016"/>
      <c r="AN6" s="2016"/>
      <c r="AO6" s="2016"/>
      <c r="AP6" s="2017"/>
      <c r="AQ6" s="11"/>
      <c r="AR6" s="11"/>
      <c r="AS6" s="11"/>
      <c r="AT6" s="13"/>
      <c r="AU6" s="3"/>
      <c r="AV6" s="3"/>
      <c r="AW6" s="3"/>
      <c r="AX6" s="3"/>
      <c r="AY6" s="3"/>
      <c r="AZ6" s="3"/>
      <c r="BA6" s="3"/>
      <c r="BB6" s="3"/>
      <c r="BC6" s="3"/>
      <c r="BD6" s="3"/>
      <c r="BE6" s="3"/>
      <c r="BF6" s="3"/>
      <c r="BG6" s="3"/>
      <c r="BH6" s="3"/>
      <c r="BI6" s="3"/>
      <c r="BJ6" s="3"/>
      <c r="BK6" s="3"/>
      <c r="BL6" s="3"/>
      <c r="BM6" s="3"/>
    </row>
    <row r="7" spans="1:65" ht="15.75" customHeight="1" x14ac:dyDescent="0.25">
      <c r="A7" s="2023" t="s">
        <v>9</v>
      </c>
      <c r="B7" s="2023"/>
      <c r="C7" s="2023" t="s">
        <v>10</v>
      </c>
      <c r="D7" s="2023"/>
      <c r="E7" s="2023" t="s">
        <v>11</v>
      </c>
      <c r="F7" s="2023"/>
      <c r="G7" s="2023" t="s">
        <v>12</v>
      </c>
      <c r="H7" s="2023"/>
      <c r="I7" s="2023"/>
      <c r="J7" s="2023"/>
      <c r="K7" s="2023" t="s">
        <v>13</v>
      </c>
      <c r="L7" s="2023"/>
      <c r="M7" s="2023"/>
      <c r="N7" s="2024"/>
      <c r="O7" s="2279" t="s">
        <v>14</v>
      </c>
      <c r="P7" s="2279"/>
      <c r="Q7" s="2279"/>
      <c r="R7" s="2279"/>
      <c r="S7" s="2279"/>
      <c r="T7" s="2279"/>
      <c r="U7" s="2279"/>
      <c r="V7" s="2279"/>
      <c r="W7" s="2279"/>
      <c r="X7" s="2023" t="s">
        <v>15</v>
      </c>
      <c r="Y7" s="2023"/>
      <c r="Z7" s="2023"/>
      <c r="AA7" s="2277" t="s">
        <v>16</v>
      </c>
      <c r="AB7" s="2277"/>
      <c r="AC7" s="2050" t="s">
        <v>17</v>
      </c>
      <c r="AD7" s="2050"/>
      <c r="AE7" s="2050"/>
      <c r="AF7" s="2050"/>
      <c r="AG7" s="2049" t="s">
        <v>18</v>
      </c>
      <c r="AH7" s="2049"/>
      <c r="AI7" s="2049"/>
      <c r="AJ7" s="2049"/>
      <c r="AK7" s="2049"/>
      <c r="AL7" s="2049"/>
      <c r="AM7" s="2049"/>
      <c r="AN7" s="2050" t="s">
        <v>19</v>
      </c>
      <c r="AO7" s="2050"/>
      <c r="AP7" s="2050"/>
      <c r="AQ7" s="2051" t="s">
        <v>20</v>
      </c>
      <c r="AR7" s="2280" t="s">
        <v>21</v>
      </c>
      <c r="AS7" s="2281" t="s">
        <v>22</v>
      </c>
      <c r="AT7" s="2282" t="s">
        <v>23</v>
      </c>
      <c r="AU7" s="3"/>
      <c r="AV7" s="3"/>
      <c r="AW7" s="3"/>
      <c r="AX7" s="3"/>
      <c r="AY7" s="3"/>
      <c r="AZ7" s="3"/>
      <c r="BA7" s="3"/>
      <c r="BB7" s="3"/>
      <c r="BC7" s="3"/>
      <c r="BD7" s="3"/>
      <c r="BE7" s="3"/>
      <c r="BF7" s="3"/>
      <c r="BG7" s="3"/>
      <c r="BH7" s="3"/>
      <c r="BI7" s="3"/>
      <c r="BJ7" s="3"/>
      <c r="BK7" s="3"/>
      <c r="BL7" s="3"/>
      <c r="BM7" s="3"/>
    </row>
    <row r="8" spans="1:65" ht="132.75" customHeight="1" x14ac:dyDescent="0.25">
      <c r="A8" s="16" t="s">
        <v>24</v>
      </c>
      <c r="B8" s="16" t="s">
        <v>25</v>
      </c>
      <c r="C8" s="16" t="s">
        <v>24</v>
      </c>
      <c r="D8" s="16" t="s">
        <v>25</v>
      </c>
      <c r="E8" s="16" t="s">
        <v>24</v>
      </c>
      <c r="F8" s="16" t="s">
        <v>25</v>
      </c>
      <c r="G8" s="16" t="s">
        <v>26</v>
      </c>
      <c r="H8" s="297" t="s">
        <v>27</v>
      </c>
      <c r="I8" s="16" t="s">
        <v>28</v>
      </c>
      <c r="J8" s="297" t="s">
        <v>117</v>
      </c>
      <c r="K8" s="16" t="s">
        <v>26</v>
      </c>
      <c r="L8" s="16" t="s">
        <v>30</v>
      </c>
      <c r="M8" s="16" t="s">
        <v>31</v>
      </c>
      <c r="N8" s="298" t="s">
        <v>32</v>
      </c>
      <c r="O8" s="299" t="s">
        <v>33</v>
      </c>
      <c r="P8" s="16" t="s">
        <v>34</v>
      </c>
      <c r="Q8" s="297" t="s">
        <v>35</v>
      </c>
      <c r="R8" s="16" t="s">
        <v>36</v>
      </c>
      <c r="S8" s="16" t="s">
        <v>37</v>
      </c>
      <c r="T8" s="297" t="s">
        <v>38</v>
      </c>
      <c r="U8" s="297" t="s">
        <v>39</v>
      </c>
      <c r="V8" s="297" t="s">
        <v>40</v>
      </c>
      <c r="W8" s="18" t="s">
        <v>282</v>
      </c>
      <c r="X8" s="297" t="s">
        <v>42</v>
      </c>
      <c r="Y8" s="16" t="s">
        <v>43</v>
      </c>
      <c r="Z8" s="297" t="s">
        <v>25</v>
      </c>
      <c r="AA8" s="300" t="s">
        <v>44</v>
      </c>
      <c r="AB8" s="24" t="s">
        <v>45</v>
      </c>
      <c r="AC8" s="24" t="s">
        <v>46</v>
      </c>
      <c r="AD8" s="24" t="s">
        <v>47</v>
      </c>
      <c r="AE8" s="22" t="s">
        <v>283</v>
      </c>
      <c r="AF8" s="24" t="s">
        <v>49</v>
      </c>
      <c r="AG8" s="24" t="s">
        <v>50</v>
      </c>
      <c r="AH8" s="2040" t="s">
        <v>51</v>
      </c>
      <c r="AI8" s="2040"/>
      <c r="AJ8" s="24" t="s">
        <v>52</v>
      </c>
      <c r="AK8" s="24" t="s">
        <v>53</v>
      </c>
      <c r="AL8" s="24" t="s">
        <v>54</v>
      </c>
      <c r="AM8" s="24" t="s">
        <v>55</v>
      </c>
      <c r="AN8" s="24" t="s">
        <v>56</v>
      </c>
      <c r="AO8" s="24" t="s">
        <v>57</v>
      </c>
      <c r="AP8" s="24" t="s">
        <v>58</v>
      </c>
      <c r="AQ8" s="2051"/>
      <c r="AR8" s="2280"/>
      <c r="AS8" s="2281"/>
      <c r="AT8" s="2282"/>
      <c r="AU8" s="3"/>
      <c r="AV8" s="3"/>
      <c r="AW8" s="3"/>
      <c r="AX8" s="3"/>
      <c r="AY8" s="3"/>
      <c r="AZ8" s="3"/>
      <c r="BA8" s="3"/>
      <c r="BB8" s="3"/>
      <c r="BC8" s="3"/>
      <c r="BD8" s="3"/>
      <c r="BE8" s="3"/>
      <c r="BF8" s="3"/>
      <c r="BG8" s="3"/>
      <c r="BH8" s="3"/>
      <c r="BI8" s="3"/>
      <c r="BJ8" s="3"/>
      <c r="BK8" s="3"/>
      <c r="BL8" s="3"/>
      <c r="BM8" s="3"/>
    </row>
    <row r="9" spans="1:65" s="35" customFormat="1" ht="15.75" x14ac:dyDescent="0.25">
      <c r="A9" s="301">
        <v>4</v>
      </c>
      <c r="B9" s="2278" t="s">
        <v>59</v>
      </c>
      <c r="C9" s="2278"/>
      <c r="D9" s="2278"/>
      <c r="E9" s="2278"/>
      <c r="F9" s="2278"/>
      <c r="G9" s="2278"/>
      <c r="H9" s="2278"/>
      <c r="I9" s="2278"/>
      <c r="J9" s="302"/>
      <c r="K9" s="303"/>
      <c r="L9" s="302"/>
      <c r="M9" s="303"/>
      <c r="N9" s="304"/>
      <c r="O9" s="303"/>
      <c r="P9" s="303"/>
      <c r="Q9" s="302"/>
      <c r="R9" s="305"/>
      <c r="S9" s="306"/>
      <c r="T9" s="307"/>
      <c r="U9" s="302"/>
      <c r="V9" s="302"/>
      <c r="W9" s="303"/>
      <c r="X9" s="302"/>
      <c r="Y9" s="308"/>
      <c r="Z9" s="309"/>
      <c r="AA9" s="303"/>
      <c r="AB9" s="303"/>
      <c r="AC9" s="303"/>
      <c r="AD9" s="303"/>
      <c r="AE9" s="303"/>
      <c r="AF9" s="303"/>
      <c r="AG9" s="303"/>
      <c r="AH9" s="303"/>
      <c r="AI9" s="303"/>
      <c r="AJ9" s="303"/>
      <c r="AK9" s="303"/>
      <c r="AL9" s="303"/>
      <c r="AM9" s="303"/>
      <c r="AN9" s="303"/>
      <c r="AO9" s="303"/>
      <c r="AP9" s="303"/>
      <c r="AQ9" s="303"/>
      <c r="AR9" s="303"/>
      <c r="AS9" s="310"/>
      <c r="AT9" s="310"/>
      <c r="AU9" s="3"/>
      <c r="AV9" s="3"/>
      <c r="AW9" s="3"/>
      <c r="AX9" s="3"/>
      <c r="AY9" s="3"/>
      <c r="AZ9" s="3"/>
      <c r="BA9" s="3"/>
      <c r="BB9" s="3"/>
      <c r="BC9" s="3"/>
      <c r="BD9" s="3"/>
      <c r="BE9" s="3"/>
      <c r="BF9" s="3"/>
      <c r="BG9" s="3"/>
      <c r="BH9" s="3"/>
      <c r="BI9" s="3"/>
      <c r="BJ9" s="3"/>
      <c r="BK9" s="3"/>
    </row>
    <row r="10" spans="1:65" s="79" customFormat="1" ht="15.75" x14ac:dyDescent="0.25">
      <c r="A10" s="311"/>
      <c r="B10" s="312"/>
      <c r="C10" s="313">
        <v>45</v>
      </c>
      <c r="D10" s="2275" t="s">
        <v>60</v>
      </c>
      <c r="E10" s="2276"/>
      <c r="F10" s="2276"/>
      <c r="G10" s="2276"/>
      <c r="H10" s="2276"/>
      <c r="I10" s="2276"/>
      <c r="J10" s="2276"/>
      <c r="K10" s="314"/>
      <c r="L10" s="315"/>
      <c r="M10" s="314"/>
      <c r="N10" s="315"/>
      <c r="O10" s="316"/>
      <c r="P10" s="316"/>
      <c r="Q10" s="317"/>
      <c r="R10" s="318"/>
      <c r="S10" s="319"/>
      <c r="T10" s="320"/>
      <c r="U10" s="317"/>
      <c r="V10" s="317"/>
      <c r="W10" s="316"/>
      <c r="X10" s="317"/>
      <c r="Y10" s="321"/>
      <c r="Z10" s="322"/>
      <c r="AA10" s="316"/>
      <c r="AB10" s="316"/>
      <c r="AC10" s="316"/>
      <c r="AD10" s="316"/>
      <c r="AE10" s="316"/>
      <c r="AF10" s="316"/>
      <c r="AG10" s="316"/>
      <c r="AH10" s="316"/>
      <c r="AI10" s="316"/>
      <c r="AJ10" s="316"/>
      <c r="AK10" s="316"/>
      <c r="AL10" s="316"/>
      <c r="AM10" s="316"/>
      <c r="AN10" s="316"/>
      <c r="AO10" s="316"/>
      <c r="AP10" s="316"/>
      <c r="AQ10" s="316"/>
      <c r="AR10" s="316"/>
      <c r="AS10" s="323"/>
      <c r="AT10" s="323"/>
      <c r="AU10" s="80"/>
      <c r="AV10" s="80"/>
      <c r="AW10" s="80"/>
      <c r="AX10" s="80"/>
      <c r="AY10" s="80"/>
      <c r="AZ10" s="80"/>
      <c r="BA10" s="80"/>
      <c r="BB10" s="80"/>
      <c r="BC10" s="80"/>
      <c r="BD10" s="80"/>
      <c r="BE10" s="80"/>
      <c r="BF10" s="80"/>
      <c r="BG10" s="80"/>
      <c r="BH10" s="80"/>
      <c r="BI10" s="80"/>
      <c r="BJ10" s="80"/>
      <c r="BK10" s="80"/>
    </row>
    <row r="11" spans="1:65" ht="15.75" x14ac:dyDescent="0.25">
      <c r="A11" s="50"/>
      <c r="B11" s="51"/>
      <c r="C11" s="324"/>
      <c r="D11" s="53"/>
      <c r="E11" s="228">
        <v>4599</v>
      </c>
      <c r="F11" s="2262" t="s">
        <v>171</v>
      </c>
      <c r="G11" s="2263"/>
      <c r="H11" s="2263"/>
      <c r="I11" s="2263"/>
      <c r="J11" s="2263"/>
      <c r="K11" s="2263"/>
      <c r="L11" s="2263"/>
      <c r="M11" s="2263"/>
      <c r="N11" s="2263"/>
      <c r="O11" s="325"/>
      <c r="P11" s="206"/>
      <c r="Q11" s="203"/>
      <c r="R11" s="204"/>
      <c r="S11" s="326"/>
      <c r="T11" s="327"/>
      <c r="U11" s="327"/>
      <c r="V11" s="327"/>
      <c r="W11" s="326"/>
      <c r="X11" s="327"/>
      <c r="Y11" s="209"/>
      <c r="Z11" s="327"/>
      <c r="AA11" s="206"/>
      <c r="AB11" s="206"/>
      <c r="AC11" s="206"/>
      <c r="AD11" s="206"/>
      <c r="AE11" s="206"/>
      <c r="AF11" s="206"/>
      <c r="AG11" s="206"/>
      <c r="AH11" s="206"/>
      <c r="AI11" s="206"/>
      <c r="AJ11" s="206"/>
      <c r="AK11" s="206"/>
      <c r="AL11" s="206"/>
      <c r="AM11" s="206"/>
      <c r="AN11" s="206"/>
      <c r="AO11" s="206"/>
      <c r="AP11" s="206"/>
      <c r="AQ11" s="206"/>
      <c r="AR11" s="328"/>
      <c r="AS11" s="328"/>
      <c r="AT11" s="206"/>
      <c r="AU11" s="35"/>
      <c r="AV11" s="144"/>
      <c r="AW11" s="3"/>
      <c r="AX11" s="3"/>
      <c r="AY11" s="3"/>
      <c r="AZ11" s="3"/>
      <c r="BA11" s="3"/>
      <c r="BB11" s="3"/>
      <c r="BC11" s="3"/>
      <c r="BD11" s="3"/>
      <c r="BE11" s="3"/>
      <c r="BF11" s="3"/>
      <c r="BG11" s="3"/>
      <c r="BH11" s="3"/>
      <c r="BI11" s="3"/>
      <c r="BJ11" s="3"/>
      <c r="BK11" s="3"/>
    </row>
    <row r="12" spans="1:65" s="80" customFormat="1" ht="31.5" customHeight="1" x14ac:dyDescent="0.25">
      <c r="A12" s="329"/>
      <c r="B12" s="330"/>
      <c r="C12" s="331"/>
      <c r="D12" s="330"/>
      <c r="E12" s="332"/>
      <c r="F12" s="333"/>
      <c r="G12" s="2034" t="s">
        <v>62</v>
      </c>
      <c r="H12" s="2225" t="s">
        <v>284</v>
      </c>
      <c r="I12" s="2264">
        <v>4599002</v>
      </c>
      <c r="J12" s="2267" t="s">
        <v>80</v>
      </c>
      <c r="K12" s="2270">
        <v>459900201</v>
      </c>
      <c r="L12" s="2273" t="s">
        <v>285</v>
      </c>
      <c r="M12" s="2034">
        <v>459900201</v>
      </c>
      <c r="N12" s="2119" t="s">
        <v>286</v>
      </c>
      <c r="O12" s="2052">
        <v>1</v>
      </c>
      <c r="P12" s="2054" t="s">
        <v>287</v>
      </c>
      <c r="Q12" s="2119" t="s">
        <v>288</v>
      </c>
      <c r="R12" s="2256">
        <v>1</v>
      </c>
      <c r="S12" s="2259">
        <f>SUM(W12:W31)</f>
        <v>2569625342.8400002</v>
      </c>
      <c r="T12" s="2236" t="s">
        <v>289</v>
      </c>
      <c r="U12" s="2236" t="s">
        <v>290</v>
      </c>
      <c r="V12" s="2236" t="s">
        <v>291</v>
      </c>
      <c r="W12" s="334">
        <v>250000000</v>
      </c>
      <c r="X12" s="335" t="s">
        <v>292</v>
      </c>
      <c r="Y12" s="86">
        <v>20</v>
      </c>
      <c r="Z12" s="74" t="s">
        <v>293</v>
      </c>
      <c r="AA12" s="2253">
        <v>295972</v>
      </c>
      <c r="AB12" s="2253">
        <v>295974</v>
      </c>
      <c r="AC12" s="2253">
        <v>295976</v>
      </c>
      <c r="AD12" s="2227">
        <v>44254</v>
      </c>
      <c r="AE12" s="2227">
        <v>309146</v>
      </c>
      <c r="AF12" s="2227">
        <v>92607</v>
      </c>
      <c r="AG12" s="2227">
        <v>2145</v>
      </c>
      <c r="AH12" s="2227">
        <v>12718</v>
      </c>
      <c r="AI12" s="2227">
        <v>12718</v>
      </c>
      <c r="AJ12" s="2227">
        <v>26</v>
      </c>
      <c r="AK12" s="2227">
        <v>37</v>
      </c>
      <c r="AL12" s="2227" t="s">
        <v>294</v>
      </c>
      <c r="AM12" s="2227" t="s">
        <v>294</v>
      </c>
      <c r="AN12" s="2227">
        <v>44350</v>
      </c>
      <c r="AO12" s="2227">
        <v>21944</v>
      </c>
      <c r="AP12" s="2227">
        <v>75687</v>
      </c>
      <c r="AQ12" s="2227">
        <v>581552</v>
      </c>
      <c r="AR12" s="2230">
        <v>44201</v>
      </c>
      <c r="AS12" s="2230">
        <v>44560</v>
      </c>
      <c r="AT12" s="2233" t="s">
        <v>295</v>
      </c>
      <c r="AU12" s="79"/>
      <c r="AV12" s="79"/>
    </row>
    <row r="13" spans="1:65" s="80" customFormat="1" ht="30" x14ac:dyDescent="0.25">
      <c r="A13" s="329"/>
      <c r="B13" s="330"/>
      <c r="C13" s="331"/>
      <c r="D13" s="330"/>
      <c r="E13" s="336"/>
      <c r="F13" s="337"/>
      <c r="G13" s="2034"/>
      <c r="H13" s="2225"/>
      <c r="I13" s="2265"/>
      <c r="J13" s="2268"/>
      <c r="K13" s="2271"/>
      <c r="L13" s="2274"/>
      <c r="M13" s="2034"/>
      <c r="N13" s="2119"/>
      <c r="O13" s="2052"/>
      <c r="P13" s="2054"/>
      <c r="Q13" s="2119"/>
      <c r="R13" s="2257"/>
      <c r="S13" s="2260"/>
      <c r="T13" s="2237"/>
      <c r="U13" s="2237"/>
      <c r="V13" s="2237"/>
      <c r="W13" s="338">
        <v>5000000</v>
      </c>
      <c r="X13" s="335" t="s">
        <v>296</v>
      </c>
      <c r="Y13" s="86">
        <v>56</v>
      </c>
      <c r="Z13" s="74" t="s">
        <v>297</v>
      </c>
      <c r="AA13" s="2254"/>
      <c r="AB13" s="2254"/>
      <c r="AC13" s="2254"/>
      <c r="AD13" s="2228"/>
      <c r="AE13" s="2228"/>
      <c r="AF13" s="2228"/>
      <c r="AG13" s="2228"/>
      <c r="AH13" s="2228"/>
      <c r="AI13" s="2228"/>
      <c r="AJ13" s="2228"/>
      <c r="AK13" s="2228"/>
      <c r="AL13" s="2228"/>
      <c r="AM13" s="2228"/>
      <c r="AN13" s="2228"/>
      <c r="AO13" s="2228"/>
      <c r="AP13" s="2228"/>
      <c r="AQ13" s="2228"/>
      <c r="AR13" s="2231"/>
      <c r="AS13" s="2231"/>
      <c r="AT13" s="2234"/>
      <c r="AU13" s="79"/>
      <c r="AV13" s="79"/>
    </row>
    <row r="14" spans="1:65" s="80" customFormat="1" ht="30" x14ac:dyDescent="0.25">
      <c r="A14" s="329"/>
      <c r="B14" s="330"/>
      <c r="C14" s="331"/>
      <c r="D14" s="330"/>
      <c r="E14" s="336"/>
      <c r="F14" s="337"/>
      <c r="G14" s="2034"/>
      <c r="H14" s="2225"/>
      <c r="I14" s="2265"/>
      <c r="J14" s="2268"/>
      <c r="K14" s="2271"/>
      <c r="L14" s="2274"/>
      <c r="M14" s="2034"/>
      <c r="N14" s="2119"/>
      <c r="O14" s="2052"/>
      <c r="P14" s="2054"/>
      <c r="Q14" s="2119"/>
      <c r="R14" s="2257"/>
      <c r="S14" s="2260"/>
      <c r="T14" s="2237"/>
      <c r="U14" s="2237"/>
      <c r="V14" s="2237"/>
      <c r="W14" s="338">
        <v>0</v>
      </c>
      <c r="X14" s="335" t="s">
        <v>298</v>
      </c>
      <c r="Y14" s="86">
        <v>56</v>
      </c>
      <c r="Z14" s="74" t="s">
        <v>297</v>
      </c>
      <c r="AA14" s="2254"/>
      <c r="AB14" s="2254"/>
      <c r="AC14" s="2254"/>
      <c r="AD14" s="2228"/>
      <c r="AE14" s="2228"/>
      <c r="AF14" s="2228"/>
      <c r="AG14" s="2228"/>
      <c r="AH14" s="2228"/>
      <c r="AI14" s="2228"/>
      <c r="AJ14" s="2228"/>
      <c r="AK14" s="2228"/>
      <c r="AL14" s="2228"/>
      <c r="AM14" s="2228"/>
      <c r="AN14" s="2228"/>
      <c r="AO14" s="2228"/>
      <c r="AP14" s="2228"/>
      <c r="AQ14" s="2228"/>
      <c r="AR14" s="2231"/>
      <c r="AS14" s="2231"/>
      <c r="AT14" s="2234"/>
      <c r="AU14" s="79"/>
      <c r="AV14" s="79"/>
    </row>
    <row r="15" spans="1:65" s="80" customFormat="1" ht="37.5" customHeight="1" x14ac:dyDescent="0.25">
      <c r="A15" s="329"/>
      <c r="B15" s="330"/>
      <c r="C15" s="331"/>
      <c r="D15" s="330"/>
      <c r="E15" s="336"/>
      <c r="F15" s="337"/>
      <c r="G15" s="2034"/>
      <c r="H15" s="2225"/>
      <c r="I15" s="2265"/>
      <c r="J15" s="2268"/>
      <c r="K15" s="2271"/>
      <c r="L15" s="2274"/>
      <c r="M15" s="2034"/>
      <c r="N15" s="2119"/>
      <c r="O15" s="2052"/>
      <c r="P15" s="2054"/>
      <c r="Q15" s="2119"/>
      <c r="R15" s="2257"/>
      <c r="S15" s="2260"/>
      <c r="T15" s="2237"/>
      <c r="U15" s="2237"/>
      <c r="V15" s="2237"/>
      <c r="W15" s="338">
        <f>20000000-18000000</f>
        <v>2000000</v>
      </c>
      <c r="X15" s="335" t="s">
        <v>299</v>
      </c>
      <c r="Y15" s="86">
        <v>20</v>
      </c>
      <c r="Z15" s="74" t="s">
        <v>293</v>
      </c>
      <c r="AA15" s="2254"/>
      <c r="AB15" s="2254"/>
      <c r="AC15" s="2254"/>
      <c r="AD15" s="2228"/>
      <c r="AE15" s="2228"/>
      <c r="AF15" s="2228"/>
      <c r="AG15" s="2228"/>
      <c r="AH15" s="2228"/>
      <c r="AI15" s="2228"/>
      <c r="AJ15" s="2228"/>
      <c r="AK15" s="2228"/>
      <c r="AL15" s="2228"/>
      <c r="AM15" s="2228"/>
      <c r="AN15" s="2228"/>
      <c r="AO15" s="2228"/>
      <c r="AP15" s="2228"/>
      <c r="AQ15" s="2228"/>
      <c r="AR15" s="2231"/>
      <c r="AS15" s="2231"/>
      <c r="AT15" s="2234"/>
      <c r="AU15" s="79"/>
      <c r="AV15" s="79"/>
    </row>
    <row r="16" spans="1:65" s="80" customFormat="1" ht="30" x14ac:dyDescent="0.25">
      <c r="A16" s="329"/>
      <c r="B16" s="330"/>
      <c r="C16" s="331"/>
      <c r="D16" s="330"/>
      <c r="E16" s="336"/>
      <c r="F16" s="337"/>
      <c r="G16" s="2034"/>
      <c r="H16" s="2225"/>
      <c r="I16" s="2265"/>
      <c r="J16" s="2268"/>
      <c r="K16" s="2271"/>
      <c r="L16" s="2274"/>
      <c r="M16" s="2034"/>
      <c r="N16" s="2119"/>
      <c r="O16" s="2052"/>
      <c r="P16" s="2054"/>
      <c r="Q16" s="2119"/>
      <c r="R16" s="2257"/>
      <c r="S16" s="2260"/>
      <c r="T16" s="2237"/>
      <c r="U16" s="2237"/>
      <c r="V16" s="2237"/>
      <c r="W16" s="338">
        <v>250000</v>
      </c>
      <c r="X16" s="335" t="s">
        <v>300</v>
      </c>
      <c r="Y16" s="86">
        <v>56</v>
      </c>
      <c r="Z16" s="74" t="s">
        <v>297</v>
      </c>
      <c r="AA16" s="2254"/>
      <c r="AB16" s="2254"/>
      <c r="AC16" s="2254"/>
      <c r="AD16" s="2228"/>
      <c r="AE16" s="2228"/>
      <c r="AF16" s="2228"/>
      <c r="AG16" s="2228"/>
      <c r="AH16" s="2228"/>
      <c r="AI16" s="2228"/>
      <c r="AJ16" s="2228"/>
      <c r="AK16" s="2228"/>
      <c r="AL16" s="2228"/>
      <c r="AM16" s="2228"/>
      <c r="AN16" s="2228"/>
      <c r="AO16" s="2228"/>
      <c r="AP16" s="2228"/>
      <c r="AQ16" s="2228"/>
      <c r="AR16" s="2231"/>
      <c r="AS16" s="2231"/>
      <c r="AT16" s="2234"/>
      <c r="AU16" s="79"/>
      <c r="AV16" s="79"/>
    </row>
    <row r="17" spans="1:48" s="80" customFormat="1" ht="30" x14ac:dyDescent="0.25">
      <c r="A17" s="329"/>
      <c r="B17" s="330"/>
      <c r="C17" s="331"/>
      <c r="D17" s="330"/>
      <c r="E17" s="336"/>
      <c r="F17" s="337"/>
      <c r="G17" s="2034"/>
      <c r="H17" s="2225"/>
      <c r="I17" s="2265"/>
      <c r="J17" s="2268"/>
      <c r="K17" s="2271"/>
      <c r="L17" s="2274"/>
      <c r="M17" s="2034"/>
      <c r="N17" s="2119"/>
      <c r="O17" s="2052"/>
      <c r="P17" s="2054"/>
      <c r="Q17" s="2119"/>
      <c r="R17" s="2257"/>
      <c r="S17" s="2260"/>
      <c r="T17" s="2237"/>
      <c r="U17" s="2237"/>
      <c r="V17" s="2237"/>
      <c r="W17" s="338">
        <v>4750000</v>
      </c>
      <c r="X17" s="335" t="s">
        <v>301</v>
      </c>
      <c r="Y17" s="86">
        <v>56</v>
      </c>
      <c r="Z17" s="74" t="s">
        <v>297</v>
      </c>
      <c r="AA17" s="2254"/>
      <c r="AB17" s="2254"/>
      <c r="AC17" s="2254"/>
      <c r="AD17" s="2228"/>
      <c r="AE17" s="2228"/>
      <c r="AF17" s="2228"/>
      <c r="AG17" s="2228"/>
      <c r="AH17" s="2228"/>
      <c r="AI17" s="2228"/>
      <c r="AJ17" s="2228"/>
      <c r="AK17" s="2228"/>
      <c r="AL17" s="2228"/>
      <c r="AM17" s="2228"/>
      <c r="AN17" s="2228"/>
      <c r="AO17" s="2228"/>
      <c r="AP17" s="2228"/>
      <c r="AQ17" s="2228"/>
      <c r="AR17" s="2231"/>
      <c r="AS17" s="2231"/>
      <c r="AT17" s="2234"/>
      <c r="AU17" s="79"/>
      <c r="AV17" s="79"/>
    </row>
    <row r="18" spans="1:48" s="80" customFormat="1" ht="30" x14ac:dyDescent="0.25">
      <c r="A18" s="329"/>
      <c r="B18" s="330"/>
      <c r="C18" s="331"/>
      <c r="D18" s="330"/>
      <c r="E18" s="336"/>
      <c r="F18" s="337"/>
      <c r="G18" s="2034"/>
      <c r="H18" s="2225"/>
      <c r="I18" s="2265"/>
      <c r="J18" s="2268"/>
      <c r="K18" s="2271"/>
      <c r="L18" s="2274"/>
      <c r="M18" s="2034"/>
      <c r="N18" s="2119"/>
      <c r="O18" s="2052"/>
      <c r="P18" s="2054"/>
      <c r="Q18" s="2119"/>
      <c r="R18" s="2257"/>
      <c r="S18" s="2260"/>
      <c r="T18" s="2237"/>
      <c r="U18" s="2237"/>
      <c r="V18" s="2237"/>
      <c r="W18" s="338">
        <v>0</v>
      </c>
      <c r="X18" s="335" t="s">
        <v>302</v>
      </c>
      <c r="Y18" s="86">
        <v>56</v>
      </c>
      <c r="Z18" s="74" t="s">
        <v>297</v>
      </c>
      <c r="AA18" s="2254"/>
      <c r="AB18" s="2254"/>
      <c r="AC18" s="2254"/>
      <c r="AD18" s="2228"/>
      <c r="AE18" s="2228"/>
      <c r="AF18" s="2228"/>
      <c r="AG18" s="2228"/>
      <c r="AH18" s="2228"/>
      <c r="AI18" s="2228"/>
      <c r="AJ18" s="2228"/>
      <c r="AK18" s="2228"/>
      <c r="AL18" s="2228"/>
      <c r="AM18" s="2228"/>
      <c r="AN18" s="2228"/>
      <c r="AO18" s="2228"/>
      <c r="AP18" s="2228"/>
      <c r="AQ18" s="2228"/>
      <c r="AR18" s="2231"/>
      <c r="AS18" s="2231"/>
      <c r="AT18" s="2234"/>
      <c r="AU18" s="79"/>
      <c r="AV18" s="79"/>
    </row>
    <row r="19" spans="1:48" s="80" customFormat="1" ht="58.5" customHeight="1" x14ac:dyDescent="0.25">
      <c r="A19" s="329"/>
      <c r="B19" s="330"/>
      <c r="C19" s="331"/>
      <c r="D19" s="330"/>
      <c r="E19" s="336"/>
      <c r="F19" s="337"/>
      <c r="G19" s="2034"/>
      <c r="H19" s="2225"/>
      <c r="I19" s="2265"/>
      <c r="J19" s="2268"/>
      <c r="K19" s="2271"/>
      <c r="L19" s="2274"/>
      <c r="M19" s="2034"/>
      <c r="N19" s="2119"/>
      <c r="O19" s="2052"/>
      <c r="P19" s="2054"/>
      <c r="Q19" s="2119"/>
      <c r="R19" s="2257"/>
      <c r="S19" s="2260"/>
      <c r="T19" s="2237"/>
      <c r="U19" s="2237"/>
      <c r="V19" s="2237"/>
      <c r="W19" s="338">
        <v>20000000</v>
      </c>
      <c r="X19" s="335" t="s">
        <v>303</v>
      </c>
      <c r="Y19" s="86">
        <v>20</v>
      </c>
      <c r="Z19" s="74" t="s">
        <v>293</v>
      </c>
      <c r="AA19" s="2254"/>
      <c r="AB19" s="2254"/>
      <c r="AC19" s="2254"/>
      <c r="AD19" s="2228"/>
      <c r="AE19" s="2228"/>
      <c r="AF19" s="2228"/>
      <c r="AG19" s="2228"/>
      <c r="AH19" s="2228"/>
      <c r="AI19" s="2228"/>
      <c r="AJ19" s="2228"/>
      <c r="AK19" s="2228"/>
      <c r="AL19" s="2228"/>
      <c r="AM19" s="2228"/>
      <c r="AN19" s="2228"/>
      <c r="AO19" s="2228"/>
      <c r="AP19" s="2228"/>
      <c r="AQ19" s="2228"/>
      <c r="AR19" s="2231"/>
      <c r="AS19" s="2231"/>
      <c r="AT19" s="2234"/>
      <c r="AU19" s="79"/>
      <c r="AV19" s="79"/>
    </row>
    <row r="20" spans="1:48" s="80" customFormat="1" ht="42" customHeight="1" x14ac:dyDescent="0.25">
      <c r="A20" s="329"/>
      <c r="B20" s="330"/>
      <c r="C20" s="331"/>
      <c r="D20" s="330"/>
      <c r="E20" s="336"/>
      <c r="F20" s="337"/>
      <c r="G20" s="2034"/>
      <c r="H20" s="2225"/>
      <c r="I20" s="2265"/>
      <c r="J20" s="2268"/>
      <c r="K20" s="2271"/>
      <c r="L20" s="2274"/>
      <c r="M20" s="2034"/>
      <c r="N20" s="2119"/>
      <c r="O20" s="2052"/>
      <c r="P20" s="2054"/>
      <c r="Q20" s="2119"/>
      <c r="R20" s="2257"/>
      <c r="S20" s="2260"/>
      <c r="T20" s="2237"/>
      <c r="U20" s="2237"/>
      <c r="V20" s="2237"/>
      <c r="W20" s="339">
        <v>305557602</v>
      </c>
      <c r="X20" s="340" t="s">
        <v>304</v>
      </c>
      <c r="Y20" s="86">
        <v>20</v>
      </c>
      <c r="Z20" s="74" t="s">
        <v>293</v>
      </c>
      <c r="AA20" s="2254"/>
      <c r="AB20" s="2254"/>
      <c r="AC20" s="2254"/>
      <c r="AD20" s="2228"/>
      <c r="AE20" s="2228"/>
      <c r="AF20" s="2228"/>
      <c r="AG20" s="2228"/>
      <c r="AH20" s="2228"/>
      <c r="AI20" s="2228"/>
      <c r="AJ20" s="2228"/>
      <c r="AK20" s="2228"/>
      <c r="AL20" s="2228"/>
      <c r="AM20" s="2228"/>
      <c r="AN20" s="2228"/>
      <c r="AO20" s="2228"/>
      <c r="AP20" s="2228"/>
      <c r="AQ20" s="2228"/>
      <c r="AR20" s="2231"/>
      <c r="AS20" s="2231"/>
      <c r="AT20" s="2234"/>
      <c r="AU20" s="79"/>
      <c r="AV20" s="79"/>
    </row>
    <row r="21" spans="1:48" s="80" customFormat="1" ht="45.75" customHeight="1" x14ac:dyDescent="0.25">
      <c r="A21" s="329"/>
      <c r="B21" s="330"/>
      <c r="C21" s="331"/>
      <c r="D21" s="330"/>
      <c r="E21" s="336"/>
      <c r="F21" s="337"/>
      <c r="G21" s="2034"/>
      <c r="H21" s="2225"/>
      <c r="I21" s="2265"/>
      <c r="J21" s="2268"/>
      <c r="K21" s="2271"/>
      <c r="L21" s="2274"/>
      <c r="M21" s="2034"/>
      <c r="N21" s="2119"/>
      <c r="O21" s="2052"/>
      <c r="P21" s="2054"/>
      <c r="Q21" s="2119"/>
      <c r="R21" s="2257"/>
      <c r="S21" s="2260"/>
      <c r="T21" s="2237"/>
      <c r="U21" s="2237"/>
      <c r="V21" s="2237"/>
      <c r="W21" s="339">
        <v>964442398</v>
      </c>
      <c r="X21" s="340" t="s">
        <v>305</v>
      </c>
      <c r="Y21" s="86">
        <v>20</v>
      </c>
      <c r="Z21" s="74" t="s">
        <v>293</v>
      </c>
      <c r="AA21" s="2254"/>
      <c r="AB21" s="2254"/>
      <c r="AC21" s="2254"/>
      <c r="AD21" s="2228"/>
      <c r="AE21" s="2228"/>
      <c r="AF21" s="2228"/>
      <c r="AG21" s="2228"/>
      <c r="AH21" s="2228"/>
      <c r="AI21" s="2228"/>
      <c r="AJ21" s="2228"/>
      <c r="AK21" s="2228"/>
      <c r="AL21" s="2228"/>
      <c r="AM21" s="2228"/>
      <c r="AN21" s="2228"/>
      <c r="AO21" s="2228"/>
      <c r="AP21" s="2228"/>
      <c r="AQ21" s="2228"/>
      <c r="AR21" s="2231"/>
      <c r="AS21" s="2231"/>
      <c r="AT21" s="2234"/>
      <c r="AU21" s="79"/>
      <c r="AV21" s="79"/>
    </row>
    <row r="22" spans="1:48" s="80" customFormat="1" ht="52.5" customHeight="1" x14ac:dyDescent="0.25">
      <c r="A22" s="329"/>
      <c r="B22" s="330"/>
      <c r="C22" s="331"/>
      <c r="D22" s="330"/>
      <c r="E22" s="336"/>
      <c r="F22" s="337"/>
      <c r="G22" s="2034"/>
      <c r="H22" s="2225"/>
      <c r="I22" s="2265"/>
      <c r="J22" s="2268"/>
      <c r="K22" s="2271"/>
      <c r="L22" s="2274"/>
      <c r="M22" s="2034"/>
      <c r="N22" s="2119"/>
      <c r="O22" s="2052"/>
      <c r="P22" s="2054"/>
      <c r="Q22" s="2119"/>
      <c r="R22" s="2257"/>
      <c r="S22" s="2260"/>
      <c r="T22" s="2237"/>
      <c r="U22" s="2237"/>
      <c r="V22" s="2237"/>
      <c r="W22" s="341">
        <v>412940187.83999997</v>
      </c>
      <c r="X22" s="335" t="s">
        <v>306</v>
      </c>
      <c r="Y22" s="86">
        <v>56</v>
      </c>
      <c r="Z22" s="74" t="s">
        <v>297</v>
      </c>
      <c r="AA22" s="2254"/>
      <c r="AB22" s="2254"/>
      <c r="AC22" s="2254"/>
      <c r="AD22" s="2228"/>
      <c r="AE22" s="2228"/>
      <c r="AF22" s="2228"/>
      <c r="AG22" s="2228"/>
      <c r="AH22" s="2228"/>
      <c r="AI22" s="2228"/>
      <c r="AJ22" s="2228"/>
      <c r="AK22" s="2228"/>
      <c r="AL22" s="2228"/>
      <c r="AM22" s="2228"/>
      <c r="AN22" s="2228"/>
      <c r="AO22" s="2228"/>
      <c r="AP22" s="2228"/>
      <c r="AQ22" s="2228"/>
      <c r="AR22" s="2231"/>
      <c r="AS22" s="2231"/>
      <c r="AT22" s="2234"/>
      <c r="AU22" s="79"/>
      <c r="AV22" s="79"/>
    </row>
    <row r="23" spans="1:48" s="80" customFormat="1" ht="63.75" customHeight="1" x14ac:dyDescent="0.25">
      <c r="A23" s="329"/>
      <c r="B23" s="330"/>
      <c r="C23" s="331"/>
      <c r="D23" s="330"/>
      <c r="E23" s="336"/>
      <c r="F23" s="337"/>
      <c r="G23" s="2034"/>
      <c r="H23" s="2225"/>
      <c r="I23" s="2265"/>
      <c r="J23" s="2268"/>
      <c r="K23" s="2271"/>
      <c r="L23" s="2274"/>
      <c r="M23" s="2034"/>
      <c r="N23" s="2119"/>
      <c r="O23" s="2052"/>
      <c r="P23" s="2054"/>
      <c r="Q23" s="2119"/>
      <c r="R23" s="2257"/>
      <c r="S23" s="2260"/>
      <c r="T23" s="2237"/>
      <c r="U23" s="2237"/>
      <c r="V23" s="2237"/>
      <c r="W23" s="341">
        <v>74789276</v>
      </c>
      <c r="X23" s="342" t="s">
        <v>307</v>
      </c>
      <c r="Y23" s="343">
        <v>95</v>
      </c>
      <c r="Z23" s="74" t="s">
        <v>308</v>
      </c>
      <c r="AA23" s="2254"/>
      <c r="AB23" s="2254"/>
      <c r="AC23" s="2254"/>
      <c r="AD23" s="2228"/>
      <c r="AE23" s="2228"/>
      <c r="AF23" s="2228"/>
      <c r="AG23" s="2228"/>
      <c r="AH23" s="2228"/>
      <c r="AI23" s="2228"/>
      <c r="AJ23" s="2228"/>
      <c r="AK23" s="2228"/>
      <c r="AL23" s="2228"/>
      <c r="AM23" s="2228"/>
      <c r="AN23" s="2228"/>
      <c r="AO23" s="2228"/>
      <c r="AP23" s="2228"/>
      <c r="AQ23" s="2228"/>
      <c r="AR23" s="2231"/>
      <c r="AS23" s="2231"/>
      <c r="AT23" s="2234"/>
      <c r="AU23" s="79"/>
      <c r="AV23" s="79"/>
    </row>
    <row r="24" spans="1:48" s="80" customFormat="1" ht="58.5" customHeight="1" x14ac:dyDescent="0.25">
      <c r="A24" s="329"/>
      <c r="B24" s="330"/>
      <c r="C24" s="331"/>
      <c r="D24" s="330"/>
      <c r="E24" s="336"/>
      <c r="F24" s="337"/>
      <c r="G24" s="2034"/>
      <c r="H24" s="2225"/>
      <c r="I24" s="2265"/>
      <c r="J24" s="2268"/>
      <c r="K24" s="2271"/>
      <c r="L24" s="2274"/>
      <c r="M24" s="2034"/>
      <c r="N24" s="2119"/>
      <c r="O24" s="2052"/>
      <c r="P24" s="2054"/>
      <c r="Q24" s="2119"/>
      <c r="R24" s="2257"/>
      <c r="S24" s="2260"/>
      <c r="T24" s="2237"/>
      <c r="U24" s="2237"/>
      <c r="V24" s="2237"/>
      <c r="W24" s="344">
        <v>500000000</v>
      </c>
      <c r="X24" s="335" t="s">
        <v>309</v>
      </c>
      <c r="Y24" s="343">
        <v>88</v>
      </c>
      <c r="Z24" s="74" t="s">
        <v>310</v>
      </c>
      <c r="AA24" s="2254"/>
      <c r="AB24" s="2254"/>
      <c r="AC24" s="2254"/>
      <c r="AD24" s="2228"/>
      <c r="AE24" s="2228"/>
      <c r="AF24" s="2228"/>
      <c r="AG24" s="2228"/>
      <c r="AH24" s="2228"/>
      <c r="AI24" s="2228"/>
      <c r="AJ24" s="2228"/>
      <c r="AK24" s="2228"/>
      <c r="AL24" s="2228"/>
      <c r="AM24" s="2228"/>
      <c r="AN24" s="2228"/>
      <c r="AO24" s="2228"/>
      <c r="AP24" s="2228"/>
      <c r="AQ24" s="2228"/>
      <c r="AR24" s="2231"/>
      <c r="AS24" s="2231"/>
      <c r="AT24" s="2234"/>
      <c r="AU24" s="79"/>
      <c r="AV24" s="79"/>
    </row>
    <row r="25" spans="1:48" s="80" customFormat="1" ht="57.75" customHeight="1" x14ac:dyDescent="0.25">
      <c r="A25" s="329"/>
      <c r="B25" s="330"/>
      <c r="C25" s="331"/>
      <c r="D25" s="330"/>
      <c r="E25" s="336"/>
      <c r="F25" s="337"/>
      <c r="G25" s="2034"/>
      <c r="H25" s="2225"/>
      <c r="I25" s="2265"/>
      <c r="J25" s="2268"/>
      <c r="K25" s="2271"/>
      <c r="L25" s="2274"/>
      <c r="M25" s="2034"/>
      <c r="N25" s="2119"/>
      <c r="O25" s="2052"/>
      <c r="P25" s="2054"/>
      <c r="Q25" s="2119"/>
      <c r="R25" s="2257"/>
      <c r="S25" s="2260"/>
      <c r="T25" s="2237"/>
      <c r="U25" s="2237"/>
      <c r="V25" s="2237"/>
      <c r="W25" s="344">
        <v>1416148</v>
      </c>
      <c r="X25" s="345" t="s">
        <v>311</v>
      </c>
      <c r="Y25" s="343">
        <v>88</v>
      </c>
      <c r="Z25" s="74" t="s">
        <v>310</v>
      </c>
      <c r="AA25" s="2254"/>
      <c r="AB25" s="2254"/>
      <c r="AC25" s="2254"/>
      <c r="AD25" s="2228"/>
      <c r="AE25" s="2228"/>
      <c r="AF25" s="2228"/>
      <c r="AG25" s="2228"/>
      <c r="AH25" s="2228"/>
      <c r="AI25" s="2228"/>
      <c r="AJ25" s="2228"/>
      <c r="AK25" s="2228"/>
      <c r="AL25" s="2228"/>
      <c r="AM25" s="2228"/>
      <c r="AN25" s="2228"/>
      <c r="AO25" s="2228"/>
      <c r="AP25" s="2228"/>
      <c r="AQ25" s="2228"/>
      <c r="AR25" s="2231"/>
      <c r="AS25" s="2231"/>
      <c r="AT25" s="2234"/>
      <c r="AU25" s="79"/>
      <c r="AV25" s="79"/>
    </row>
    <row r="26" spans="1:48" s="80" customFormat="1" ht="48.75" customHeight="1" x14ac:dyDescent="0.25">
      <c r="A26" s="329"/>
      <c r="B26" s="330"/>
      <c r="C26" s="331"/>
      <c r="D26" s="330"/>
      <c r="E26" s="336"/>
      <c r="F26" s="337"/>
      <c r="G26" s="2034"/>
      <c r="H26" s="2225"/>
      <c r="I26" s="2265"/>
      <c r="J26" s="2268"/>
      <c r="K26" s="2271"/>
      <c r="L26" s="2274"/>
      <c r="M26" s="2034"/>
      <c r="N26" s="2119"/>
      <c r="O26" s="2052"/>
      <c r="P26" s="2054"/>
      <c r="Q26" s="2119"/>
      <c r="R26" s="2257"/>
      <c r="S26" s="2260"/>
      <c r="T26" s="2237"/>
      <c r="U26" s="2237"/>
      <c r="V26" s="2237"/>
      <c r="W26" s="346">
        <v>1979731</v>
      </c>
      <c r="X26" s="335" t="s">
        <v>312</v>
      </c>
      <c r="Y26" s="86">
        <v>88</v>
      </c>
      <c r="Z26" s="74" t="s">
        <v>310</v>
      </c>
      <c r="AA26" s="2254"/>
      <c r="AB26" s="2254"/>
      <c r="AC26" s="2254"/>
      <c r="AD26" s="2228"/>
      <c r="AE26" s="2228"/>
      <c r="AF26" s="2228"/>
      <c r="AG26" s="2228"/>
      <c r="AH26" s="2228"/>
      <c r="AI26" s="2228"/>
      <c r="AJ26" s="2228"/>
      <c r="AK26" s="2228"/>
      <c r="AL26" s="2228"/>
      <c r="AM26" s="2228"/>
      <c r="AN26" s="2228"/>
      <c r="AO26" s="2228"/>
      <c r="AP26" s="2228"/>
      <c r="AQ26" s="2228"/>
      <c r="AR26" s="2231"/>
      <c r="AS26" s="2231"/>
      <c r="AT26" s="2234"/>
      <c r="AU26" s="79"/>
      <c r="AV26" s="79"/>
    </row>
    <row r="27" spans="1:48" s="80" customFormat="1" ht="44.25" customHeight="1" x14ac:dyDescent="0.25">
      <c r="A27" s="329"/>
      <c r="B27" s="330"/>
      <c r="C27" s="331"/>
      <c r="D27" s="330"/>
      <c r="E27" s="336"/>
      <c r="F27" s="337"/>
      <c r="G27" s="2034"/>
      <c r="H27" s="2225"/>
      <c r="I27" s="2265"/>
      <c r="J27" s="2268"/>
      <c r="K27" s="2271"/>
      <c r="L27" s="2274"/>
      <c r="M27" s="2034"/>
      <c r="N27" s="2119"/>
      <c r="O27" s="2052"/>
      <c r="P27" s="2054"/>
      <c r="Q27" s="2119"/>
      <c r="R27" s="2257"/>
      <c r="S27" s="2260"/>
      <c r="T27" s="2237"/>
      <c r="U27" s="2237"/>
      <c r="V27" s="2237"/>
      <c r="W27" s="344">
        <v>5000000</v>
      </c>
      <c r="X27" s="335" t="s">
        <v>313</v>
      </c>
      <c r="Y27" s="86">
        <v>20</v>
      </c>
      <c r="Z27" s="74" t="s">
        <v>293</v>
      </c>
      <c r="AA27" s="2254"/>
      <c r="AB27" s="2254"/>
      <c r="AC27" s="2254"/>
      <c r="AD27" s="2228"/>
      <c r="AE27" s="2228"/>
      <c r="AF27" s="2228"/>
      <c r="AG27" s="2228"/>
      <c r="AH27" s="2228"/>
      <c r="AI27" s="2228"/>
      <c r="AJ27" s="2228"/>
      <c r="AK27" s="2228"/>
      <c r="AL27" s="2228"/>
      <c r="AM27" s="2228"/>
      <c r="AN27" s="2228"/>
      <c r="AO27" s="2228"/>
      <c r="AP27" s="2228"/>
      <c r="AQ27" s="2228"/>
      <c r="AR27" s="2231"/>
      <c r="AS27" s="2231"/>
      <c r="AT27" s="2234"/>
      <c r="AU27" s="79"/>
      <c r="AV27" s="79"/>
    </row>
    <row r="28" spans="1:48" s="80" customFormat="1" ht="47.25" customHeight="1" x14ac:dyDescent="0.25">
      <c r="A28" s="329"/>
      <c r="B28" s="330"/>
      <c r="C28" s="331"/>
      <c r="D28" s="330"/>
      <c r="E28" s="336"/>
      <c r="F28" s="337"/>
      <c r="G28" s="2034"/>
      <c r="H28" s="2225"/>
      <c r="I28" s="2265"/>
      <c r="J28" s="2268"/>
      <c r="K28" s="2271"/>
      <c r="L28" s="2274"/>
      <c r="M28" s="2034"/>
      <c r="N28" s="2119"/>
      <c r="O28" s="2052"/>
      <c r="P28" s="2054"/>
      <c r="Q28" s="2119"/>
      <c r="R28" s="2257"/>
      <c r="S28" s="2260"/>
      <c r="T28" s="2237"/>
      <c r="U28" s="2237"/>
      <c r="V28" s="2237"/>
      <c r="W28" s="344">
        <v>6500000</v>
      </c>
      <c r="X28" s="342" t="s">
        <v>314</v>
      </c>
      <c r="Y28" s="76">
        <v>56</v>
      </c>
      <c r="Z28" s="74" t="s">
        <v>297</v>
      </c>
      <c r="AA28" s="2254"/>
      <c r="AB28" s="2254"/>
      <c r="AC28" s="2254"/>
      <c r="AD28" s="2228"/>
      <c r="AE28" s="2228"/>
      <c r="AF28" s="2228"/>
      <c r="AG28" s="2228"/>
      <c r="AH28" s="2228"/>
      <c r="AI28" s="2228"/>
      <c r="AJ28" s="2228"/>
      <c r="AK28" s="2228"/>
      <c r="AL28" s="2228"/>
      <c r="AM28" s="2228"/>
      <c r="AN28" s="2228"/>
      <c r="AO28" s="2228"/>
      <c r="AP28" s="2228"/>
      <c r="AQ28" s="2228"/>
      <c r="AR28" s="2231"/>
      <c r="AS28" s="2231"/>
      <c r="AT28" s="2234"/>
      <c r="AU28" s="79"/>
      <c r="AV28" s="79"/>
    </row>
    <row r="29" spans="1:48" s="80" customFormat="1" ht="50.25" customHeight="1" x14ac:dyDescent="0.25">
      <c r="A29" s="329"/>
      <c r="B29" s="330"/>
      <c r="C29" s="331"/>
      <c r="D29" s="330"/>
      <c r="E29" s="336"/>
      <c r="F29" s="337"/>
      <c r="G29" s="2034"/>
      <c r="H29" s="2225"/>
      <c r="I29" s="2265"/>
      <c r="J29" s="2268"/>
      <c r="K29" s="2271"/>
      <c r="L29" s="2274"/>
      <c r="M29" s="2034"/>
      <c r="N29" s="2119"/>
      <c r="O29" s="2052"/>
      <c r="P29" s="2054"/>
      <c r="Q29" s="2119"/>
      <c r="R29" s="2257"/>
      <c r="S29" s="2260"/>
      <c r="T29" s="2237"/>
      <c r="U29" s="2237"/>
      <c r="V29" s="2237"/>
      <c r="W29" s="344">
        <v>5000000</v>
      </c>
      <c r="X29" s="342" t="s">
        <v>315</v>
      </c>
      <c r="Y29" s="76">
        <v>20</v>
      </c>
      <c r="Z29" s="74" t="s">
        <v>293</v>
      </c>
      <c r="AA29" s="2254"/>
      <c r="AB29" s="2254"/>
      <c r="AC29" s="2254"/>
      <c r="AD29" s="2228"/>
      <c r="AE29" s="2228"/>
      <c r="AF29" s="2228"/>
      <c r="AG29" s="2228"/>
      <c r="AH29" s="2228"/>
      <c r="AI29" s="2228"/>
      <c r="AJ29" s="2228"/>
      <c r="AK29" s="2228"/>
      <c r="AL29" s="2228"/>
      <c r="AM29" s="2228"/>
      <c r="AN29" s="2228"/>
      <c r="AO29" s="2228"/>
      <c r="AP29" s="2228"/>
      <c r="AQ29" s="2228"/>
      <c r="AR29" s="2231"/>
      <c r="AS29" s="2231"/>
      <c r="AT29" s="2234"/>
      <c r="AU29" s="79"/>
      <c r="AV29" s="79"/>
    </row>
    <row r="30" spans="1:48" s="80" customFormat="1" ht="47.25" customHeight="1" x14ac:dyDescent="0.25">
      <c r="A30" s="329"/>
      <c r="B30" s="330"/>
      <c r="C30" s="331"/>
      <c r="D30" s="330"/>
      <c r="E30" s="336"/>
      <c r="F30" s="337"/>
      <c r="G30" s="2034"/>
      <c r="H30" s="2225"/>
      <c r="I30" s="2265"/>
      <c r="J30" s="2268"/>
      <c r="K30" s="2271"/>
      <c r="L30" s="2274"/>
      <c r="M30" s="2034"/>
      <c r="N30" s="2119"/>
      <c r="O30" s="2052"/>
      <c r="P30" s="2054"/>
      <c r="Q30" s="2119"/>
      <c r="R30" s="2257"/>
      <c r="S30" s="2260"/>
      <c r="T30" s="2237"/>
      <c r="U30" s="2237"/>
      <c r="V30" s="2237"/>
      <c r="W30" s="346">
        <v>0</v>
      </c>
      <c r="X30" s="347" t="s">
        <v>316</v>
      </c>
      <c r="Y30" s="76">
        <v>56</v>
      </c>
      <c r="Z30" s="74" t="s">
        <v>297</v>
      </c>
      <c r="AA30" s="2254"/>
      <c r="AB30" s="2254"/>
      <c r="AC30" s="2254"/>
      <c r="AD30" s="2228"/>
      <c r="AE30" s="2228"/>
      <c r="AF30" s="2228"/>
      <c r="AG30" s="2228"/>
      <c r="AH30" s="2228"/>
      <c r="AI30" s="2228"/>
      <c r="AJ30" s="2228"/>
      <c r="AK30" s="2228"/>
      <c r="AL30" s="2228"/>
      <c r="AM30" s="2228"/>
      <c r="AN30" s="2228"/>
      <c r="AO30" s="2228"/>
      <c r="AP30" s="2228"/>
      <c r="AQ30" s="2228"/>
      <c r="AR30" s="2231"/>
      <c r="AS30" s="2231"/>
      <c r="AT30" s="2234"/>
      <c r="AU30" s="79"/>
      <c r="AV30" s="79"/>
    </row>
    <row r="31" spans="1:48" s="80" customFormat="1" ht="36.75" customHeight="1" x14ac:dyDescent="0.25">
      <c r="A31" s="329"/>
      <c r="B31" s="330"/>
      <c r="C31" s="331"/>
      <c r="D31" s="330"/>
      <c r="E31" s="336"/>
      <c r="F31" s="337"/>
      <c r="G31" s="2034"/>
      <c r="H31" s="2225"/>
      <c r="I31" s="2266"/>
      <c r="J31" s="2269"/>
      <c r="K31" s="2272"/>
      <c r="L31" s="2250"/>
      <c r="M31" s="2034"/>
      <c r="N31" s="2119"/>
      <c r="O31" s="2052"/>
      <c r="P31" s="2054"/>
      <c r="Q31" s="2119"/>
      <c r="R31" s="2258"/>
      <c r="S31" s="2261"/>
      <c r="T31" s="2238"/>
      <c r="U31" s="2238"/>
      <c r="V31" s="2238"/>
      <c r="W31" s="339">
        <v>10000000</v>
      </c>
      <c r="X31" s="348" t="s">
        <v>317</v>
      </c>
      <c r="Y31" s="76">
        <v>20</v>
      </c>
      <c r="Z31" s="74" t="s">
        <v>293</v>
      </c>
      <c r="AA31" s="2255"/>
      <c r="AB31" s="2255"/>
      <c r="AC31" s="2255"/>
      <c r="AD31" s="2229"/>
      <c r="AE31" s="2229"/>
      <c r="AF31" s="2229"/>
      <c r="AG31" s="2229"/>
      <c r="AH31" s="2229"/>
      <c r="AI31" s="2229"/>
      <c r="AJ31" s="2229"/>
      <c r="AK31" s="2229"/>
      <c r="AL31" s="2229"/>
      <c r="AM31" s="2229"/>
      <c r="AN31" s="2229"/>
      <c r="AO31" s="2229"/>
      <c r="AP31" s="2229"/>
      <c r="AQ31" s="2229"/>
      <c r="AR31" s="2232"/>
      <c r="AS31" s="2232"/>
      <c r="AT31" s="2235"/>
      <c r="AU31" s="79"/>
      <c r="AV31" s="79"/>
    </row>
    <row r="32" spans="1:48" s="80" customFormat="1" ht="62.25" customHeight="1" x14ac:dyDescent="0.25">
      <c r="A32" s="329"/>
      <c r="B32" s="330"/>
      <c r="C32" s="331"/>
      <c r="D32" s="330"/>
      <c r="E32" s="336"/>
      <c r="F32" s="349"/>
      <c r="G32" s="2242">
        <v>4599002</v>
      </c>
      <c r="H32" s="2245" t="s">
        <v>318</v>
      </c>
      <c r="I32" s="2242">
        <v>4599002</v>
      </c>
      <c r="J32" s="2248" t="s">
        <v>319</v>
      </c>
      <c r="K32" s="2220" t="s">
        <v>62</v>
      </c>
      <c r="L32" s="2250" t="s">
        <v>320</v>
      </c>
      <c r="M32" s="2220">
        <v>459900200</v>
      </c>
      <c r="N32" s="2223" t="s">
        <v>82</v>
      </c>
      <c r="O32" s="2052">
        <v>1</v>
      </c>
      <c r="P32" s="2034" t="s">
        <v>321</v>
      </c>
      <c r="Q32" s="2225" t="s">
        <v>322</v>
      </c>
      <c r="R32" s="2226">
        <f>SUM(W32:W34)/S32</f>
        <v>1</v>
      </c>
      <c r="S32" s="2239">
        <f>SUM(W32:W34)</f>
        <v>278000000</v>
      </c>
      <c r="T32" s="2241" t="s">
        <v>323</v>
      </c>
      <c r="U32" s="2035" t="s">
        <v>324</v>
      </c>
      <c r="V32" s="2241" t="s">
        <v>325</v>
      </c>
      <c r="W32" s="339">
        <v>270000000</v>
      </c>
      <c r="X32" s="350" t="s">
        <v>326</v>
      </c>
      <c r="Y32" s="86">
        <v>20</v>
      </c>
      <c r="Z32" s="74" t="s">
        <v>77</v>
      </c>
      <c r="AA32" s="2053">
        <v>295972</v>
      </c>
      <c r="AB32" s="2053">
        <v>285580</v>
      </c>
      <c r="AC32" s="2053">
        <v>135545</v>
      </c>
      <c r="AD32" s="2053">
        <v>44254</v>
      </c>
      <c r="AE32" s="2061">
        <v>309146</v>
      </c>
      <c r="AF32" s="2053">
        <v>92607</v>
      </c>
      <c r="AG32" s="2053">
        <v>2145</v>
      </c>
      <c r="AH32" s="2053">
        <v>12718</v>
      </c>
      <c r="AI32" s="2053">
        <v>12718</v>
      </c>
      <c r="AJ32" s="2053">
        <v>26</v>
      </c>
      <c r="AK32" s="2053">
        <v>37</v>
      </c>
      <c r="AL32" s="2053" t="s">
        <v>294</v>
      </c>
      <c r="AM32" s="2053" t="s">
        <v>294</v>
      </c>
      <c r="AN32" s="2053">
        <v>44350</v>
      </c>
      <c r="AO32" s="2053">
        <v>21944</v>
      </c>
      <c r="AP32" s="2053">
        <v>75687</v>
      </c>
      <c r="AQ32" s="2053">
        <v>581552</v>
      </c>
      <c r="AR32" s="2075">
        <v>44201</v>
      </c>
      <c r="AS32" s="2075">
        <v>44560</v>
      </c>
      <c r="AT32" s="2052" t="s">
        <v>327</v>
      </c>
      <c r="AU32" s="79"/>
      <c r="AV32" s="79"/>
    </row>
    <row r="33" spans="1:48" s="80" customFormat="1" ht="49.5" customHeight="1" x14ac:dyDescent="0.25">
      <c r="A33" s="329"/>
      <c r="B33" s="330"/>
      <c r="C33" s="331"/>
      <c r="D33" s="330"/>
      <c r="E33" s="336"/>
      <c r="F33" s="349"/>
      <c r="G33" s="2243"/>
      <c r="H33" s="2246"/>
      <c r="I33" s="2243"/>
      <c r="J33" s="2248"/>
      <c r="K33" s="2221"/>
      <c r="L33" s="2251"/>
      <c r="M33" s="2221"/>
      <c r="N33" s="2224"/>
      <c r="O33" s="2052"/>
      <c r="P33" s="2034"/>
      <c r="Q33" s="2225"/>
      <c r="R33" s="2226"/>
      <c r="S33" s="2240"/>
      <c r="T33" s="2035"/>
      <c r="U33" s="2035"/>
      <c r="V33" s="2035"/>
      <c r="W33" s="339">
        <v>5000000</v>
      </c>
      <c r="X33" s="350" t="s">
        <v>328</v>
      </c>
      <c r="Y33" s="86">
        <v>20</v>
      </c>
      <c r="Z33" s="74" t="s">
        <v>293</v>
      </c>
      <c r="AA33" s="2053"/>
      <c r="AB33" s="2053"/>
      <c r="AC33" s="2053"/>
      <c r="AD33" s="2053"/>
      <c r="AE33" s="2062"/>
      <c r="AF33" s="2053"/>
      <c r="AG33" s="2053"/>
      <c r="AH33" s="2053"/>
      <c r="AI33" s="2053"/>
      <c r="AJ33" s="2053"/>
      <c r="AK33" s="2053"/>
      <c r="AL33" s="2053"/>
      <c r="AM33" s="2053"/>
      <c r="AN33" s="2053"/>
      <c r="AO33" s="2053"/>
      <c r="AP33" s="2053"/>
      <c r="AQ33" s="2053"/>
      <c r="AR33" s="2075"/>
      <c r="AS33" s="2075"/>
      <c r="AT33" s="2052"/>
      <c r="AU33" s="79"/>
      <c r="AV33" s="79"/>
    </row>
    <row r="34" spans="1:48" s="80" customFormat="1" ht="43.5" customHeight="1" x14ac:dyDescent="0.25">
      <c r="A34" s="329"/>
      <c r="B34" s="330"/>
      <c r="C34" s="331"/>
      <c r="D34" s="330"/>
      <c r="E34" s="336"/>
      <c r="F34" s="349"/>
      <c r="G34" s="2244"/>
      <c r="H34" s="2247"/>
      <c r="I34" s="2244"/>
      <c r="J34" s="2249"/>
      <c r="K34" s="2222"/>
      <c r="L34" s="2252"/>
      <c r="M34" s="2222"/>
      <c r="N34" s="2224"/>
      <c r="O34" s="2052"/>
      <c r="P34" s="2034"/>
      <c r="Q34" s="2225"/>
      <c r="R34" s="2226"/>
      <c r="S34" s="2240"/>
      <c r="T34" s="2035"/>
      <c r="U34" s="2035"/>
      <c r="V34" s="2035"/>
      <c r="W34" s="339">
        <v>3000000</v>
      </c>
      <c r="X34" s="350" t="s">
        <v>329</v>
      </c>
      <c r="Y34" s="86">
        <v>20</v>
      </c>
      <c r="Z34" s="74" t="s">
        <v>293</v>
      </c>
      <c r="AA34" s="2053"/>
      <c r="AB34" s="2053"/>
      <c r="AC34" s="2053"/>
      <c r="AD34" s="2053"/>
      <c r="AE34" s="2063"/>
      <c r="AF34" s="2053"/>
      <c r="AG34" s="2053"/>
      <c r="AH34" s="2053"/>
      <c r="AI34" s="2053"/>
      <c r="AJ34" s="2053"/>
      <c r="AK34" s="2053"/>
      <c r="AL34" s="2053"/>
      <c r="AM34" s="2053"/>
      <c r="AN34" s="2053"/>
      <c r="AO34" s="2053"/>
      <c r="AP34" s="2053"/>
      <c r="AQ34" s="2053"/>
      <c r="AR34" s="2075"/>
      <c r="AS34" s="2075"/>
      <c r="AT34" s="2052"/>
      <c r="AU34" s="79"/>
      <c r="AV34" s="79"/>
    </row>
    <row r="35" spans="1:48" s="80" customFormat="1" ht="15.75" x14ac:dyDescent="0.25">
      <c r="A35" s="14"/>
      <c r="B35" s="15"/>
      <c r="C35" s="15"/>
      <c r="D35" s="15"/>
      <c r="E35" s="351"/>
      <c r="F35" s="352"/>
      <c r="G35" s="353"/>
      <c r="H35" s="354"/>
      <c r="I35" s="353"/>
      <c r="J35" s="354"/>
      <c r="K35" s="353"/>
      <c r="L35" s="354"/>
      <c r="M35" s="353"/>
      <c r="N35" s="354"/>
      <c r="O35" s="122"/>
      <c r="P35" s="122"/>
      <c r="Q35" s="355"/>
      <c r="R35" s="124"/>
      <c r="S35" s="356">
        <f>SUM(S12:S34)</f>
        <v>2847625342.8400002</v>
      </c>
      <c r="T35" s="126"/>
      <c r="U35" s="126"/>
      <c r="V35" s="121" t="s">
        <v>113</v>
      </c>
      <c r="W35" s="357">
        <f>SUM(W12:W34)</f>
        <v>2847625342.8400002</v>
      </c>
      <c r="X35" s="358"/>
      <c r="Y35" s="128"/>
      <c r="Z35" s="126"/>
      <c r="AA35" s="122"/>
      <c r="AB35" s="122"/>
      <c r="AC35" s="122"/>
      <c r="AD35" s="122"/>
      <c r="AE35" s="122"/>
      <c r="AF35" s="122"/>
      <c r="AG35" s="122"/>
      <c r="AH35" s="122"/>
      <c r="AI35" s="122"/>
      <c r="AJ35" s="122"/>
      <c r="AK35" s="122"/>
      <c r="AL35" s="122"/>
      <c r="AM35" s="122"/>
      <c r="AN35" s="122"/>
      <c r="AO35" s="122"/>
      <c r="AP35" s="122"/>
      <c r="AQ35" s="122"/>
      <c r="AR35" s="129"/>
      <c r="AS35" s="129"/>
      <c r="AT35" s="122"/>
      <c r="AU35" s="79"/>
      <c r="AV35" s="79"/>
    </row>
    <row r="36" spans="1:48" ht="15" x14ac:dyDescent="0.25">
      <c r="W36" s="4"/>
      <c r="X36" s="131"/>
      <c r="Y36" s="4"/>
    </row>
    <row r="37" spans="1:48" ht="15.75" x14ac:dyDescent="0.25">
      <c r="S37" s="360">
        <v>2847625342.8400002</v>
      </c>
      <c r="W37" s="360">
        <v>2847625342.8400002</v>
      </c>
      <c r="X37" s="131"/>
      <c r="Y37" s="4"/>
    </row>
    <row r="38" spans="1:48" ht="15" x14ac:dyDescent="0.25">
      <c r="W38" s="142"/>
    </row>
    <row r="39" spans="1:48" ht="15.75" x14ac:dyDescent="0.25">
      <c r="E39" s="361"/>
      <c r="F39" s="361"/>
      <c r="G39" s="361"/>
      <c r="H39" s="362"/>
      <c r="I39" s="361"/>
      <c r="J39" s="362"/>
      <c r="K39" s="361"/>
      <c r="P39" s="2105"/>
      <c r="Q39" s="2105"/>
      <c r="R39" s="2105"/>
      <c r="S39" s="2105"/>
      <c r="T39" s="2105"/>
    </row>
    <row r="40" spans="1:48" ht="15.75" x14ac:dyDescent="0.25">
      <c r="E40" s="2105" t="s">
        <v>330</v>
      </c>
      <c r="F40" s="2105"/>
      <c r="G40" s="2105"/>
      <c r="H40" s="2105"/>
      <c r="I40" s="2105"/>
      <c r="J40" s="2105"/>
      <c r="K40" s="2105"/>
      <c r="P40" s="2105"/>
      <c r="Q40" s="2105"/>
      <c r="R40" s="2105"/>
      <c r="S40" s="2105"/>
      <c r="T40" s="2105"/>
    </row>
    <row r="41" spans="1:48" ht="15.75" x14ac:dyDescent="0.25">
      <c r="E41" s="2105" t="s">
        <v>331</v>
      </c>
      <c r="F41" s="2105"/>
      <c r="G41" s="2105"/>
      <c r="H41" s="2105"/>
      <c r="I41" s="2105"/>
      <c r="J41" s="2105"/>
      <c r="K41" s="2105"/>
    </row>
    <row r="42" spans="1:48" ht="15" x14ac:dyDescent="0.25">
      <c r="E42" s="3"/>
      <c r="F42" s="3"/>
      <c r="G42" s="3"/>
      <c r="H42" s="363"/>
      <c r="I42" s="134"/>
      <c r="J42" s="363"/>
      <c r="K42" s="143"/>
    </row>
  </sheetData>
  <sheetProtection algorithmName="SHA-512" hashValue="xWP95hOxxkOPHfv9NODTL1LPSxWg7jG7vtgKy7e2i+KXw271Vhz6TAbnkc5C68m/4Fr6cqDuXzcJBl7GqTEfdw==" saltValue="nXiq46Ekplxhu/bLrnKTZg==" spinCount="100000" sheet="1" objects="1" scenarios="1"/>
  <mergeCells count="99">
    <mergeCell ref="A1:AR4"/>
    <mergeCell ref="A5:O6"/>
    <mergeCell ref="P5:AT5"/>
    <mergeCell ref="AA6:AP6"/>
    <mergeCell ref="A7:B7"/>
    <mergeCell ref="C7:D7"/>
    <mergeCell ref="E7:F7"/>
    <mergeCell ref="G7:J7"/>
    <mergeCell ref="K7:N7"/>
    <mergeCell ref="O7:W7"/>
    <mergeCell ref="AR7:AR8"/>
    <mergeCell ref="AS7:AS8"/>
    <mergeCell ref="AT7:AT8"/>
    <mergeCell ref="AN7:AP7"/>
    <mergeCell ref="AQ7:AQ8"/>
    <mergeCell ref="D10:J10"/>
    <mergeCell ref="X7:Z7"/>
    <mergeCell ref="AA7:AB7"/>
    <mergeCell ref="AC7:AF7"/>
    <mergeCell ref="AG7:AM7"/>
    <mergeCell ref="AH8:AI8"/>
    <mergeCell ref="B9:I9"/>
    <mergeCell ref="F11:N11"/>
    <mergeCell ref="G12:G31"/>
    <mergeCell ref="H12:H31"/>
    <mergeCell ref="I12:I31"/>
    <mergeCell ref="J12:J31"/>
    <mergeCell ref="K12:K31"/>
    <mergeCell ref="L12:L31"/>
    <mergeCell ref="M12:M31"/>
    <mergeCell ref="N12:N31"/>
    <mergeCell ref="O12:O31"/>
    <mergeCell ref="P12:P31"/>
    <mergeCell ref="Q12:Q31"/>
    <mergeCell ref="R12:R31"/>
    <mergeCell ref="S12:S31"/>
    <mergeCell ref="L32:L34"/>
    <mergeCell ref="AK12:AK31"/>
    <mergeCell ref="AL12:AL31"/>
    <mergeCell ref="AM12:AM31"/>
    <mergeCell ref="AN12:AN31"/>
    <mergeCell ref="AE12:AE31"/>
    <mergeCell ref="AF12:AF31"/>
    <mergeCell ref="AG12:AG31"/>
    <mergeCell ref="AH12:AH31"/>
    <mergeCell ref="AI12:AI31"/>
    <mergeCell ref="AJ12:AJ31"/>
    <mergeCell ref="U12:U31"/>
    <mergeCell ref="V12:V31"/>
    <mergeCell ref="AA12:AA31"/>
    <mergeCell ref="AB12:AB31"/>
    <mergeCell ref="AC12:AC31"/>
    <mergeCell ref="G32:G34"/>
    <mergeCell ref="H32:H34"/>
    <mergeCell ref="I32:I34"/>
    <mergeCell ref="J32:J34"/>
    <mergeCell ref="K32:K34"/>
    <mergeCell ref="R32:R34"/>
    <mergeCell ref="AQ12:AQ31"/>
    <mergeCell ref="AR12:AR31"/>
    <mergeCell ref="AS12:AS31"/>
    <mergeCell ref="AT12:AT31"/>
    <mergeCell ref="AO12:AO31"/>
    <mergeCell ref="AP12:AP31"/>
    <mergeCell ref="AD12:AD31"/>
    <mergeCell ref="T12:T31"/>
    <mergeCell ref="AH32:AH34"/>
    <mergeCell ref="S32:S34"/>
    <mergeCell ref="T32:T34"/>
    <mergeCell ref="U32:U34"/>
    <mergeCell ref="V32:V34"/>
    <mergeCell ref="AA32:AA34"/>
    <mergeCell ref="AB32:AB34"/>
    <mergeCell ref="M32:M34"/>
    <mergeCell ref="N32:N34"/>
    <mergeCell ref="O32:O34"/>
    <mergeCell ref="P32:P34"/>
    <mergeCell ref="Q32:Q34"/>
    <mergeCell ref="AP32:AP34"/>
    <mergeCell ref="AQ32:AQ34"/>
    <mergeCell ref="AR32:AR34"/>
    <mergeCell ref="AS32:AS34"/>
    <mergeCell ref="AT32:AT34"/>
    <mergeCell ref="P39:T39"/>
    <mergeCell ref="E40:K40"/>
    <mergeCell ref="P40:T40"/>
    <mergeCell ref="E41:K41"/>
    <mergeCell ref="AO32:AO34"/>
    <mergeCell ref="AI32:AI34"/>
    <mergeCell ref="AJ32:AJ34"/>
    <mergeCell ref="AK32:AK34"/>
    <mergeCell ref="AL32:AL34"/>
    <mergeCell ref="AM32:AM34"/>
    <mergeCell ref="AN32:AN34"/>
    <mergeCell ref="AC32:AC34"/>
    <mergeCell ref="AD32:AD34"/>
    <mergeCell ref="AE32:AE34"/>
    <mergeCell ref="AF32:AF34"/>
    <mergeCell ref="AG32:AG34"/>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177"/>
  <sheetViews>
    <sheetView showGridLines="0" zoomScale="70" zoomScaleNormal="70" workbookViewId="0">
      <selection sqref="A1:AT4"/>
    </sheetView>
  </sheetViews>
  <sheetFormatPr baseColWidth="10" defaultColWidth="9.140625" defaultRowHeight="27" customHeight="1" x14ac:dyDescent="0.25"/>
  <cols>
    <col min="1" max="1" width="15.7109375" style="130" customWidth="1"/>
    <col min="2" max="2" width="14.7109375" style="4" customWidth="1"/>
    <col min="3" max="3" width="15.140625" style="4" customWidth="1"/>
    <col min="4" max="4" width="14.5703125" style="4" customWidth="1"/>
    <col min="5" max="5" width="20.85546875" style="4" customWidth="1"/>
    <col min="6" max="6" width="16.5703125" style="4" customWidth="1"/>
    <col min="7" max="7" width="20.85546875" style="4" customWidth="1"/>
    <col min="8" max="8" width="22" style="132" customWidth="1"/>
    <col min="9" max="9" width="25.85546875" style="3" customWidth="1"/>
    <col min="10" max="10" width="22" style="132" customWidth="1"/>
    <col min="11" max="11" width="14.28515625" style="3" customWidth="1"/>
    <col min="12" max="12" width="21.42578125" style="132" customWidth="1"/>
    <col min="13" max="13" width="18.85546875" style="3" customWidth="1"/>
    <col min="14" max="14" width="17" style="132" customWidth="1"/>
    <col min="15" max="15" width="17" style="3" customWidth="1"/>
    <col min="16" max="16" width="19.28515625" style="3" customWidth="1"/>
    <col min="17" max="17" width="18.85546875" style="132" customWidth="1"/>
    <col min="18" max="18" width="9.7109375" style="134" customWidth="1"/>
    <col min="19" max="19" width="31.28515625" style="143" customWidth="1"/>
    <col min="20" max="20" width="23.140625" style="132" customWidth="1"/>
    <col min="21" max="21" width="22.85546875" style="132" customWidth="1"/>
    <col min="22" max="22" width="32.42578125" style="132" customWidth="1"/>
    <col min="23" max="23" width="35.42578125" style="143" customWidth="1"/>
    <col min="24" max="24" width="28.5703125" style="143" customWidth="1"/>
    <col min="25" max="25" width="30.5703125" style="143" customWidth="1"/>
    <col min="26" max="26" width="54.7109375" style="143" bestFit="1" customWidth="1"/>
    <col min="27" max="27" width="13.28515625" style="137" bestFit="1" customWidth="1"/>
    <col min="28" max="28" width="29" style="132" bestFit="1" customWidth="1"/>
    <col min="29" max="45" width="10.28515625" style="4" customWidth="1"/>
    <col min="46" max="46" width="17.42578125" style="138" customWidth="1"/>
    <col min="47" max="47" width="18.5703125" style="139" customWidth="1"/>
    <col min="48" max="48" width="25.85546875" style="131" customWidth="1"/>
    <col min="49" max="16384" width="9.140625" style="4"/>
  </cols>
  <sheetData>
    <row r="1" spans="1:68" ht="19.5" customHeight="1" x14ac:dyDescent="0.25">
      <c r="A1" s="2015" t="s">
        <v>372</v>
      </c>
      <c r="B1" s="2016"/>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016"/>
      <c r="AC1" s="2016"/>
      <c r="AD1" s="2016"/>
      <c r="AE1" s="2016"/>
      <c r="AF1" s="2016"/>
      <c r="AG1" s="2016"/>
      <c r="AH1" s="2016"/>
      <c r="AI1" s="2016"/>
      <c r="AJ1" s="2016"/>
      <c r="AK1" s="2016"/>
      <c r="AL1" s="2016"/>
      <c r="AM1" s="2016"/>
      <c r="AN1" s="2016"/>
      <c r="AO1" s="2016"/>
      <c r="AP1" s="2016"/>
      <c r="AQ1" s="2016"/>
      <c r="AR1" s="2016"/>
      <c r="AS1" s="2016"/>
      <c r="AT1" s="2016"/>
      <c r="AU1" s="435" t="s">
        <v>1</v>
      </c>
      <c r="AV1" s="1" t="s">
        <v>2</v>
      </c>
      <c r="AW1" s="3"/>
      <c r="AX1" s="3"/>
      <c r="AY1" s="3"/>
      <c r="AZ1" s="3"/>
      <c r="BA1" s="3"/>
      <c r="BB1" s="3"/>
      <c r="BC1" s="3"/>
      <c r="BD1" s="3"/>
      <c r="BE1" s="3"/>
      <c r="BF1" s="3"/>
      <c r="BG1" s="3"/>
      <c r="BH1" s="3"/>
      <c r="BI1" s="3"/>
      <c r="BJ1" s="3"/>
      <c r="BK1" s="3"/>
      <c r="BL1" s="3"/>
      <c r="BM1" s="3"/>
      <c r="BN1" s="3"/>
      <c r="BO1" s="3"/>
      <c r="BP1" s="3"/>
    </row>
    <row r="2" spans="1:68" ht="19.5" customHeight="1" x14ac:dyDescent="0.25">
      <c r="A2" s="2016"/>
      <c r="B2" s="2016"/>
      <c r="C2" s="2016"/>
      <c r="D2" s="2016"/>
      <c r="E2" s="2016"/>
      <c r="F2" s="2016"/>
      <c r="G2" s="2016"/>
      <c r="H2" s="2016"/>
      <c r="I2" s="2016"/>
      <c r="J2" s="2016"/>
      <c r="K2" s="2016"/>
      <c r="L2" s="2016"/>
      <c r="M2" s="2016"/>
      <c r="N2" s="2016"/>
      <c r="O2" s="2016"/>
      <c r="P2" s="2016"/>
      <c r="Q2" s="2016"/>
      <c r="R2" s="2016"/>
      <c r="S2" s="2016"/>
      <c r="T2" s="2016"/>
      <c r="U2" s="2016"/>
      <c r="V2" s="2016"/>
      <c r="W2" s="2016"/>
      <c r="X2" s="2016"/>
      <c r="Y2" s="2016"/>
      <c r="Z2" s="2016"/>
      <c r="AA2" s="2016"/>
      <c r="AB2" s="2016"/>
      <c r="AC2" s="2016"/>
      <c r="AD2" s="2016"/>
      <c r="AE2" s="2016"/>
      <c r="AF2" s="2016"/>
      <c r="AG2" s="2016"/>
      <c r="AH2" s="2016"/>
      <c r="AI2" s="2016"/>
      <c r="AJ2" s="2016"/>
      <c r="AK2" s="2016"/>
      <c r="AL2" s="2016"/>
      <c r="AM2" s="2016"/>
      <c r="AN2" s="2016"/>
      <c r="AO2" s="2016"/>
      <c r="AP2" s="2016"/>
      <c r="AQ2" s="2016"/>
      <c r="AR2" s="2016"/>
      <c r="AS2" s="2016"/>
      <c r="AT2" s="2016"/>
      <c r="AU2" s="435" t="s">
        <v>3</v>
      </c>
      <c r="AV2" s="2011" t="s">
        <v>333</v>
      </c>
      <c r="AW2" s="3"/>
      <c r="AX2" s="3"/>
      <c r="AY2" s="3"/>
      <c r="AZ2" s="3"/>
      <c r="BA2" s="3"/>
      <c r="BB2" s="3"/>
      <c r="BC2" s="3"/>
      <c r="BD2" s="3"/>
      <c r="BE2" s="3"/>
      <c r="BF2" s="3"/>
      <c r="BG2" s="3"/>
      <c r="BH2" s="3"/>
      <c r="BI2" s="3"/>
      <c r="BJ2" s="3"/>
      <c r="BK2" s="3"/>
      <c r="BL2" s="3"/>
      <c r="BM2" s="3"/>
      <c r="BN2" s="3"/>
      <c r="BO2" s="3"/>
      <c r="BP2" s="3"/>
    </row>
    <row r="3" spans="1:68" ht="19.5" customHeight="1" x14ac:dyDescent="0.25">
      <c r="A3" s="2016"/>
      <c r="B3" s="2016"/>
      <c r="C3" s="2016"/>
      <c r="D3" s="2016"/>
      <c r="E3" s="2016"/>
      <c r="F3" s="2016"/>
      <c r="G3" s="2016"/>
      <c r="H3" s="2016"/>
      <c r="I3" s="2016"/>
      <c r="J3" s="2016"/>
      <c r="K3" s="2016"/>
      <c r="L3" s="2016"/>
      <c r="M3" s="2016"/>
      <c r="N3" s="2016"/>
      <c r="O3" s="2016"/>
      <c r="P3" s="2016"/>
      <c r="Q3" s="2016"/>
      <c r="R3" s="2016"/>
      <c r="S3" s="2016"/>
      <c r="T3" s="2016"/>
      <c r="U3" s="2016"/>
      <c r="V3" s="2016"/>
      <c r="W3" s="2016"/>
      <c r="X3" s="2016"/>
      <c r="Y3" s="2016"/>
      <c r="Z3" s="2016"/>
      <c r="AA3" s="2016"/>
      <c r="AB3" s="2016"/>
      <c r="AC3" s="2016"/>
      <c r="AD3" s="2016"/>
      <c r="AE3" s="2016"/>
      <c r="AF3" s="2016"/>
      <c r="AG3" s="2016"/>
      <c r="AH3" s="2016"/>
      <c r="AI3" s="2016"/>
      <c r="AJ3" s="2016"/>
      <c r="AK3" s="2016"/>
      <c r="AL3" s="2016"/>
      <c r="AM3" s="2016"/>
      <c r="AN3" s="2016"/>
      <c r="AO3" s="2016"/>
      <c r="AP3" s="2016"/>
      <c r="AQ3" s="2016"/>
      <c r="AR3" s="2016"/>
      <c r="AS3" s="2016"/>
      <c r="AT3" s="2016"/>
      <c r="AU3" s="435" t="s">
        <v>4</v>
      </c>
      <c r="AV3" s="2010">
        <v>44266</v>
      </c>
      <c r="AW3" s="3"/>
      <c r="AX3" s="3"/>
      <c r="AY3" s="3"/>
      <c r="AZ3" s="3"/>
      <c r="BA3" s="3"/>
      <c r="BB3" s="3"/>
      <c r="BC3" s="3"/>
      <c r="BD3" s="3"/>
      <c r="BE3" s="3"/>
      <c r="BF3" s="3"/>
      <c r="BG3" s="3"/>
      <c r="BH3" s="3"/>
      <c r="BI3" s="3"/>
      <c r="BJ3" s="3"/>
      <c r="BK3" s="3"/>
      <c r="BL3" s="3"/>
      <c r="BM3" s="3"/>
      <c r="BN3" s="3"/>
      <c r="BO3" s="3"/>
      <c r="BP3" s="3"/>
    </row>
    <row r="4" spans="1:68" ht="19.5" customHeight="1" x14ac:dyDescent="0.25">
      <c r="A4" s="2016"/>
      <c r="B4" s="2016"/>
      <c r="C4" s="2016"/>
      <c r="D4" s="2016"/>
      <c r="E4" s="2016"/>
      <c r="F4" s="2016"/>
      <c r="G4" s="2016"/>
      <c r="H4" s="2016"/>
      <c r="I4" s="2016"/>
      <c r="J4" s="2016"/>
      <c r="K4" s="2016"/>
      <c r="L4" s="2016"/>
      <c r="M4" s="2016"/>
      <c r="N4" s="2016"/>
      <c r="O4" s="2016"/>
      <c r="P4" s="2016"/>
      <c r="Q4" s="2016"/>
      <c r="R4" s="2016"/>
      <c r="S4" s="2016"/>
      <c r="T4" s="2016"/>
      <c r="U4" s="2016"/>
      <c r="V4" s="2016"/>
      <c r="W4" s="2016"/>
      <c r="X4" s="2016"/>
      <c r="Y4" s="2016"/>
      <c r="Z4" s="2016"/>
      <c r="AA4" s="2016"/>
      <c r="AB4" s="2016"/>
      <c r="AC4" s="2016"/>
      <c r="AD4" s="2016"/>
      <c r="AE4" s="2016"/>
      <c r="AF4" s="2016"/>
      <c r="AG4" s="2016"/>
      <c r="AH4" s="2016"/>
      <c r="AI4" s="2016"/>
      <c r="AJ4" s="2016"/>
      <c r="AK4" s="2016"/>
      <c r="AL4" s="2016"/>
      <c r="AM4" s="2016"/>
      <c r="AN4" s="2016"/>
      <c r="AO4" s="2016"/>
      <c r="AP4" s="2016"/>
      <c r="AQ4" s="2016"/>
      <c r="AR4" s="2016"/>
      <c r="AS4" s="2016"/>
      <c r="AT4" s="2016"/>
      <c r="AU4" s="435" t="s">
        <v>5</v>
      </c>
      <c r="AV4" s="295" t="s">
        <v>114</v>
      </c>
      <c r="AW4" s="3"/>
      <c r="AX4" s="3"/>
      <c r="AY4" s="3"/>
      <c r="AZ4" s="3"/>
      <c r="BA4" s="3"/>
      <c r="BB4" s="3"/>
      <c r="BC4" s="3"/>
      <c r="BD4" s="3"/>
      <c r="BE4" s="3"/>
      <c r="BF4" s="3"/>
      <c r="BG4" s="3"/>
      <c r="BH4" s="3"/>
      <c r="BI4" s="3"/>
      <c r="BJ4" s="3"/>
      <c r="BK4" s="3"/>
      <c r="BL4" s="3"/>
      <c r="BM4" s="3"/>
      <c r="BN4" s="3"/>
      <c r="BO4" s="3"/>
      <c r="BP4" s="3"/>
    </row>
    <row r="5" spans="1:68" ht="18.75" customHeight="1" x14ac:dyDescent="0.25">
      <c r="A5" s="2444" t="s">
        <v>373</v>
      </c>
      <c r="B5" s="2020"/>
      <c r="C5" s="2020"/>
      <c r="D5" s="2020"/>
      <c r="E5" s="2020"/>
      <c r="F5" s="2020"/>
      <c r="G5" s="2020"/>
      <c r="H5" s="2020"/>
      <c r="I5" s="2020"/>
      <c r="J5" s="2020"/>
      <c r="K5" s="2020"/>
      <c r="L5" s="2020"/>
      <c r="M5" s="2020"/>
      <c r="N5" s="2020"/>
      <c r="O5" s="2445"/>
      <c r="P5" s="2448"/>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2021"/>
      <c r="AU5" s="2021"/>
      <c r="AV5" s="2021"/>
      <c r="AW5" s="3"/>
      <c r="AX5" s="3"/>
      <c r="AY5" s="3"/>
      <c r="AZ5" s="3"/>
      <c r="BA5" s="3"/>
      <c r="BB5" s="3"/>
      <c r="BC5" s="3"/>
      <c r="BD5" s="3"/>
      <c r="BE5" s="3"/>
      <c r="BF5" s="3"/>
      <c r="BG5" s="3"/>
      <c r="BH5" s="3"/>
      <c r="BI5" s="3"/>
      <c r="BJ5" s="3"/>
      <c r="BK5" s="3"/>
      <c r="BL5" s="3"/>
      <c r="BM5" s="3"/>
      <c r="BN5" s="3"/>
      <c r="BO5" s="3"/>
      <c r="BP5" s="3"/>
    </row>
    <row r="6" spans="1:68" ht="18.75" customHeight="1" x14ac:dyDescent="0.25">
      <c r="A6" s="2446"/>
      <c r="B6" s="2447"/>
      <c r="C6" s="2447"/>
      <c r="D6" s="2447"/>
      <c r="E6" s="2447"/>
      <c r="F6" s="2447"/>
      <c r="G6" s="2447"/>
      <c r="H6" s="2447"/>
      <c r="I6" s="2447"/>
      <c r="J6" s="2447"/>
      <c r="K6" s="2447"/>
      <c r="L6" s="2447"/>
      <c r="M6" s="2447"/>
      <c r="N6" s="2447"/>
      <c r="O6" s="2448"/>
      <c r="P6" s="11"/>
      <c r="Q6" s="12"/>
      <c r="R6" s="11"/>
      <c r="S6" s="11"/>
      <c r="T6" s="12"/>
      <c r="U6" s="12"/>
      <c r="V6" s="12"/>
      <c r="W6" s="11"/>
      <c r="X6" s="11"/>
      <c r="Y6" s="11"/>
      <c r="Z6" s="11"/>
      <c r="AA6" s="11"/>
      <c r="AB6" s="12"/>
      <c r="AC6" s="2209" t="s">
        <v>8</v>
      </c>
      <c r="AD6" s="2209"/>
      <c r="AE6" s="2209"/>
      <c r="AF6" s="2209"/>
      <c r="AG6" s="2209"/>
      <c r="AH6" s="2209"/>
      <c r="AI6" s="2209"/>
      <c r="AJ6" s="2209"/>
      <c r="AK6" s="2209"/>
      <c r="AL6" s="2209"/>
      <c r="AM6" s="2209"/>
      <c r="AN6" s="2209"/>
      <c r="AO6" s="2209"/>
      <c r="AP6" s="2209"/>
      <c r="AQ6" s="2209"/>
      <c r="AR6" s="2209"/>
      <c r="AS6" s="7"/>
      <c r="AT6" s="7"/>
      <c r="AU6" s="7"/>
      <c r="AV6" s="436"/>
      <c r="AW6" s="3"/>
      <c r="AX6" s="3"/>
      <c r="AY6" s="3"/>
      <c r="AZ6" s="3"/>
      <c r="BA6" s="3"/>
      <c r="BB6" s="3"/>
      <c r="BC6" s="3"/>
      <c r="BD6" s="3"/>
      <c r="BE6" s="3"/>
      <c r="BF6" s="3"/>
      <c r="BG6" s="3"/>
      <c r="BH6" s="3"/>
      <c r="BI6" s="3"/>
      <c r="BJ6" s="3"/>
      <c r="BK6" s="3"/>
      <c r="BL6" s="3"/>
      <c r="BM6" s="3"/>
      <c r="BN6" s="3"/>
      <c r="BO6" s="3"/>
      <c r="BP6" s="3"/>
    </row>
    <row r="7" spans="1:68" ht="36.75" customHeight="1" x14ac:dyDescent="0.25">
      <c r="A7" s="2023" t="s">
        <v>9</v>
      </c>
      <c r="B7" s="2023"/>
      <c r="C7" s="2023" t="s">
        <v>10</v>
      </c>
      <c r="D7" s="2023"/>
      <c r="E7" s="2023" t="s">
        <v>11</v>
      </c>
      <c r="F7" s="2023"/>
      <c r="G7" s="2023" t="s">
        <v>12</v>
      </c>
      <c r="H7" s="2023"/>
      <c r="I7" s="2023"/>
      <c r="J7" s="2023"/>
      <c r="K7" s="2023" t="s">
        <v>13</v>
      </c>
      <c r="L7" s="2023"/>
      <c r="M7" s="2023"/>
      <c r="N7" s="2023"/>
      <c r="O7" s="2279" t="s">
        <v>14</v>
      </c>
      <c r="P7" s="2279"/>
      <c r="Q7" s="2279"/>
      <c r="R7" s="2279"/>
      <c r="S7" s="2279"/>
      <c r="T7" s="2279"/>
      <c r="U7" s="2279"/>
      <c r="V7" s="2279"/>
      <c r="W7" s="2279"/>
      <c r="X7" s="437"/>
      <c r="Y7" s="437"/>
      <c r="Z7" s="2210" t="s">
        <v>15</v>
      </c>
      <c r="AA7" s="2023"/>
      <c r="AB7" s="2023"/>
      <c r="AC7" s="2045" t="s">
        <v>16</v>
      </c>
      <c r="AD7" s="2046"/>
      <c r="AE7" s="2047" t="s">
        <v>17</v>
      </c>
      <c r="AF7" s="2048"/>
      <c r="AG7" s="2048"/>
      <c r="AH7" s="2048"/>
      <c r="AI7" s="2216" t="s">
        <v>18</v>
      </c>
      <c r="AJ7" s="2217"/>
      <c r="AK7" s="2217"/>
      <c r="AL7" s="2217"/>
      <c r="AM7" s="2217"/>
      <c r="AN7" s="2217"/>
      <c r="AO7" s="2047" t="s">
        <v>19</v>
      </c>
      <c r="AP7" s="2048"/>
      <c r="AQ7" s="2048"/>
      <c r="AR7" s="2048"/>
      <c r="AS7" s="2416" t="s">
        <v>20</v>
      </c>
      <c r="AT7" s="2416" t="s">
        <v>21</v>
      </c>
      <c r="AU7" s="2416" t="s">
        <v>22</v>
      </c>
      <c r="AV7" s="2038" t="s">
        <v>23</v>
      </c>
      <c r="AW7" s="3"/>
      <c r="AX7" s="3"/>
      <c r="AY7" s="3"/>
      <c r="AZ7" s="3"/>
      <c r="BA7" s="3"/>
      <c r="BB7" s="3"/>
      <c r="BC7" s="3"/>
      <c r="BD7" s="3"/>
      <c r="BE7" s="3"/>
      <c r="BF7" s="3"/>
      <c r="BG7" s="3"/>
      <c r="BH7" s="3"/>
      <c r="BI7" s="3"/>
      <c r="BJ7" s="3"/>
      <c r="BK7" s="3"/>
      <c r="BL7" s="3"/>
      <c r="BM7" s="3"/>
      <c r="BN7" s="3"/>
      <c r="BO7" s="3"/>
      <c r="BP7" s="3"/>
    </row>
    <row r="8" spans="1:68" ht="108" customHeight="1" x14ac:dyDescent="0.25">
      <c r="A8" s="16" t="s">
        <v>24</v>
      </c>
      <c r="B8" s="16" t="s">
        <v>25</v>
      </c>
      <c r="C8" s="16" t="s">
        <v>24</v>
      </c>
      <c r="D8" s="16" t="s">
        <v>25</v>
      </c>
      <c r="E8" s="16" t="s">
        <v>24</v>
      </c>
      <c r="F8" s="16" t="s">
        <v>25</v>
      </c>
      <c r="G8" s="16" t="s">
        <v>26</v>
      </c>
      <c r="H8" s="16" t="s">
        <v>27</v>
      </c>
      <c r="I8" s="16" t="s">
        <v>28</v>
      </c>
      <c r="J8" s="16" t="s">
        <v>117</v>
      </c>
      <c r="K8" s="16" t="s">
        <v>26</v>
      </c>
      <c r="L8" s="16" t="s">
        <v>30</v>
      </c>
      <c r="M8" s="16" t="s">
        <v>31</v>
      </c>
      <c r="N8" s="16" t="s">
        <v>32</v>
      </c>
      <c r="O8" s="17" t="s">
        <v>33</v>
      </c>
      <c r="P8" s="16" t="s">
        <v>34</v>
      </c>
      <c r="Q8" s="297" t="s">
        <v>35</v>
      </c>
      <c r="R8" s="16" t="s">
        <v>36</v>
      </c>
      <c r="S8" s="16" t="s">
        <v>37</v>
      </c>
      <c r="T8" s="297" t="s">
        <v>38</v>
      </c>
      <c r="U8" s="297" t="s">
        <v>39</v>
      </c>
      <c r="V8" s="297" t="s">
        <v>40</v>
      </c>
      <c r="W8" s="2449" t="s">
        <v>282</v>
      </c>
      <c r="X8" s="2449"/>
      <c r="Y8" s="2449"/>
      <c r="Z8" s="439" t="s">
        <v>42</v>
      </c>
      <c r="AA8" s="16" t="s">
        <v>43</v>
      </c>
      <c r="AB8" s="297" t="s">
        <v>25</v>
      </c>
      <c r="AC8" s="21" t="s">
        <v>44</v>
      </c>
      <c r="AD8" s="22" t="s">
        <v>45</v>
      </c>
      <c r="AE8" s="22" t="s">
        <v>46</v>
      </c>
      <c r="AF8" s="22" t="s">
        <v>47</v>
      </c>
      <c r="AG8" s="22" t="s">
        <v>48</v>
      </c>
      <c r="AH8" s="22" t="s">
        <v>49</v>
      </c>
      <c r="AI8" s="24" t="s">
        <v>50</v>
      </c>
      <c r="AJ8" s="24" t="s">
        <v>51</v>
      </c>
      <c r="AK8" s="24" t="s">
        <v>52</v>
      </c>
      <c r="AL8" s="24" t="s">
        <v>53</v>
      </c>
      <c r="AM8" s="24" t="s">
        <v>54</v>
      </c>
      <c r="AN8" s="24" t="s">
        <v>55</v>
      </c>
      <c r="AO8" s="24" t="s">
        <v>56</v>
      </c>
      <c r="AP8" s="2040" t="s">
        <v>57</v>
      </c>
      <c r="AQ8" s="2040"/>
      <c r="AR8" s="24" t="s">
        <v>58</v>
      </c>
      <c r="AS8" s="2417"/>
      <c r="AT8" s="2417"/>
      <c r="AU8" s="2417"/>
      <c r="AV8" s="2039"/>
      <c r="AW8" s="3"/>
      <c r="AX8" s="3"/>
      <c r="AY8" s="3"/>
      <c r="AZ8" s="3"/>
      <c r="BA8" s="3"/>
      <c r="BB8" s="3"/>
      <c r="BC8" s="3"/>
      <c r="BD8" s="3"/>
      <c r="BE8" s="3"/>
      <c r="BF8" s="3"/>
      <c r="BG8" s="3"/>
      <c r="BH8" s="3"/>
      <c r="BI8" s="3"/>
      <c r="BJ8" s="3"/>
      <c r="BK8" s="3"/>
      <c r="BL8" s="3"/>
      <c r="BM8" s="3"/>
      <c r="BN8" s="3"/>
      <c r="BO8" s="3"/>
      <c r="BP8" s="3"/>
    </row>
    <row r="9" spans="1:68" s="35" customFormat="1" ht="27" customHeight="1" x14ac:dyDescent="0.25">
      <c r="A9" s="440">
        <v>1</v>
      </c>
      <c r="B9" s="2302" t="s">
        <v>374</v>
      </c>
      <c r="C9" s="2302"/>
      <c r="D9" s="2302"/>
      <c r="E9" s="2302"/>
      <c r="F9" s="2302"/>
      <c r="G9" s="2302"/>
      <c r="H9" s="2302"/>
      <c r="I9" s="2302"/>
      <c r="J9" s="302"/>
      <c r="K9" s="303"/>
      <c r="L9" s="302"/>
      <c r="M9" s="303"/>
      <c r="N9" s="302"/>
      <c r="O9" s="303"/>
      <c r="P9" s="303"/>
      <c r="Q9" s="302"/>
      <c r="R9" s="306"/>
      <c r="S9" s="308"/>
      <c r="T9" s="302"/>
      <c r="U9" s="302"/>
      <c r="V9" s="302"/>
      <c r="W9" s="308"/>
      <c r="X9" s="308"/>
      <c r="Y9" s="308"/>
      <c r="Z9" s="441"/>
      <c r="AA9" s="442"/>
      <c r="AB9" s="302"/>
      <c r="AC9" s="303"/>
      <c r="AD9" s="303"/>
      <c r="AE9" s="303"/>
      <c r="AF9" s="303"/>
      <c r="AG9" s="303"/>
      <c r="AH9" s="303"/>
      <c r="AI9" s="303"/>
      <c r="AJ9" s="303"/>
      <c r="AK9" s="303"/>
      <c r="AL9" s="303"/>
      <c r="AM9" s="303"/>
      <c r="AN9" s="303"/>
      <c r="AO9" s="303"/>
      <c r="AP9" s="303"/>
      <c r="AQ9" s="303"/>
      <c r="AR9" s="303"/>
      <c r="AS9" s="303"/>
      <c r="AT9" s="310"/>
      <c r="AU9" s="310"/>
      <c r="AV9" s="302"/>
      <c r="AW9" s="3"/>
      <c r="AX9" s="3"/>
      <c r="AY9" s="3"/>
      <c r="AZ9" s="3"/>
      <c r="BA9" s="3"/>
      <c r="BB9" s="3"/>
      <c r="BC9" s="3"/>
      <c r="BD9" s="3"/>
      <c r="BE9" s="3"/>
      <c r="BF9" s="3"/>
      <c r="BG9" s="3"/>
      <c r="BH9" s="3"/>
      <c r="BI9" s="3"/>
      <c r="BJ9" s="3"/>
      <c r="BK9" s="3"/>
      <c r="BL9" s="3"/>
      <c r="BM9" s="3"/>
      <c r="BN9" s="3"/>
      <c r="BO9" s="3"/>
      <c r="BP9" s="3"/>
    </row>
    <row r="10" spans="1:68" s="79" customFormat="1" ht="27" customHeight="1" x14ac:dyDescent="0.25">
      <c r="A10" s="2422"/>
      <c r="B10" s="2423"/>
      <c r="C10" s="313">
        <v>12</v>
      </c>
      <c r="D10" s="2418" t="s">
        <v>375</v>
      </c>
      <c r="E10" s="2419"/>
      <c r="F10" s="2419"/>
      <c r="G10" s="2419"/>
      <c r="H10" s="2419"/>
      <c r="I10" s="2419"/>
      <c r="J10" s="2419"/>
      <c r="K10" s="2419"/>
      <c r="L10" s="2419"/>
      <c r="M10" s="314"/>
      <c r="N10" s="315"/>
      <c r="O10" s="314"/>
      <c r="P10" s="314"/>
      <c r="Q10" s="315"/>
      <c r="R10" s="443"/>
      <c r="S10" s="444"/>
      <c r="T10" s="315"/>
      <c r="U10" s="315"/>
      <c r="V10" s="315"/>
      <c r="W10" s="444"/>
      <c r="X10" s="444"/>
      <c r="Y10" s="445"/>
      <c r="Z10" s="314"/>
      <c r="AA10" s="446"/>
      <c r="AB10" s="315"/>
      <c r="AC10" s="314"/>
      <c r="AD10" s="314"/>
      <c r="AE10" s="314"/>
      <c r="AF10" s="314"/>
      <c r="AG10" s="314"/>
      <c r="AH10" s="314"/>
      <c r="AI10" s="314"/>
      <c r="AJ10" s="314"/>
      <c r="AK10" s="314"/>
      <c r="AL10" s="314"/>
      <c r="AM10" s="314"/>
      <c r="AN10" s="314"/>
      <c r="AO10" s="314"/>
      <c r="AP10" s="314"/>
      <c r="AQ10" s="314"/>
      <c r="AR10" s="314"/>
      <c r="AS10" s="314"/>
      <c r="AT10" s="447"/>
      <c r="AU10" s="447"/>
      <c r="AV10" s="448"/>
      <c r="AW10" s="80"/>
      <c r="AX10" s="80"/>
      <c r="AY10" s="80"/>
      <c r="AZ10" s="80"/>
      <c r="BA10" s="80"/>
      <c r="BB10" s="80"/>
      <c r="BC10" s="80"/>
      <c r="BD10" s="80"/>
      <c r="BE10" s="80"/>
      <c r="BF10" s="80"/>
      <c r="BG10" s="80"/>
      <c r="BH10" s="80"/>
      <c r="BI10" s="80"/>
      <c r="BJ10" s="80"/>
      <c r="BK10" s="80"/>
      <c r="BL10" s="80"/>
      <c r="BM10" s="80"/>
      <c r="BN10" s="80"/>
      <c r="BO10" s="80"/>
      <c r="BP10" s="80"/>
    </row>
    <row r="11" spans="1:68" s="3" customFormat="1" ht="27" customHeight="1" x14ac:dyDescent="0.25">
      <c r="A11" s="2424"/>
      <c r="B11" s="2425"/>
      <c r="C11" s="2426"/>
      <c r="D11" s="2427"/>
      <c r="E11" s="67">
        <v>1202</v>
      </c>
      <c r="F11" s="2420" t="s">
        <v>376</v>
      </c>
      <c r="G11" s="2421"/>
      <c r="H11" s="2421"/>
      <c r="I11" s="2421"/>
      <c r="J11" s="2421"/>
      <c r="K11" s="2421"/>
      <c r="L11" s="2421"/>
      <c r="M11" s="2421"/>
      <c r="N11" s="59"/>
      <c r="O11" s="64"/>
      <c r="P11" s="64"/>
      <c r="Q11" s="59"/>
      <c r="R11" s="62"/>
      <c r="S11" s="63"/>
      <c r="T11" s="59"/>
      <c r="U11" s="59"/>
      <c r="V11" s="59"/>
      <c r="W11" s="63"/>
      <c r="X11" s="63"/>
      <c r="Y11" s="449"/>
      <c r="Z11" s="64"/>
      <c r="AA11" s="65"/>
      <c r="AB11" s="59"/>
      <c r="AC11" s="64"/>
      <c r="AD11" s="64"/>
      <c r="AE11" s="64"/>
      <c r="AF11" s="64"/>
      <c r="AG11" s="64"/>
      <c r="AH11" s="64"/>
      <c r="AI11" s="64"/>
      <c r="AJ11" s="64"/>
      <c r="AK11" s="64"/>
      <c r="AL11" s="64"/>
      <c r="AM11" s="64"/>
      <c r="AN11" s="64"/>
      <c r="AO11" s="64"/>
      <c r="AP11" s="64"/>
      <c r="AQ11" s="64"/>
      <c r="AR11" s="64"/>
      <c r="AS11" s="64"/>
      <c r="AT11" s="66"/>
      <c r="AU11" s="66"/>
      <c r="AV11" s="450"/>
    </row>
    <row r="12" spans="1:68" s="3" customFormat="1" ht="100.5" customHeight="1" x14ac:dyDescent="0.25">
      <c r="A12" s="2424"/>
      <c r="B12" s="2425"/>
      <c r="C12" s="2428"/>
      <c r="D12" s="2429"/>
      <c r="E12" s="2432"/>
      <c r="F12" s="2433"/>
      <c r="G12" s="2409" t="s">
        <v>62</v>
      </c>
      <c r="H12" s="2308" t="s">
        <v>377</v>
      </c>
      <c r="I12" s="2409">
        <v>1202019</v>
      </c>
      <c r="J12" s="2308" t="s">
        <v>378</v>
      </c>
      <c r="K12" s="2307" t="s">
        <v>62</v>
      </c>
      <c r="L12" s="2308" t="s">
        <v>379</v>
      </c>
      <c r="M12" s="2307">
        <v>120201900</v>
      </c>
      <c r="N12" s="2308" t="s">
        <v>380</v>
      </c>
      <c r="O12" s="2109">
        <v>3</v>
      </c>
      <c r="P12" s="2109" t="s">
        <v>381</v>
      </c>
      <c r="Q12" s="2305" t="s">
        <v>382</v>
      </c>
      <c r="R12" s="2114">
        <f>SUM(W12:W14)/S12</f>
        <v>1</v>
      </c>
      <c r="S12" s="2414">
        <f>SUM(W12:W14)</f>
        <v>24750000</v>
      </c>
      <c r="T12" s="2305" t="s">
        <v>383</v>
      </c>
      <c r="U12" s="2402" t="s">
        <v>384</v>
      </c>
      <c r="V12" s="225" t="s">
        <v>385</v>
      </c>
      <c r="W12" s="454">
        <v>20750000</v>
      </c>
      <c r="X12" s="454">
        <v>0</v>
      </c>
      <c r="Y12" s="454">
        <v>0</v>
      </c>
      <c r="Z12" s="455" t="s">
        <v>386</v>
      </c>
      <c r="AA12" s="2350">
        <v>20</v>
      </c>
      <c r="AB12" s="2320" t="s">
        <v>387</v>
      </c>
      <c r="AC12" s="2415">
        <f>'[1]formato población'!C9</f>
        <v>295972</v>
      </c>
      <c r="AD12" s="2411">
        <f>'[1]formato población'!D9</f>
        <v>285580</v>
      </c>
      <c r="AE12" s="2411">
        <f>'[1]formato población'!E9</f>
        <v>135545</v>
      </c>
      <c r="AF12" s="2411">
        <f>'[1]formato población'!F9</f>
        <v>44254</v>
      </c>
      <c r="AG12" s="2411">
        <f>'[1]formato población'!G9</f>
        <v>309146</v>
      </c>
      <c r="AH12" s="2411">
        <f>'[1]formato población'!H9</f>
        <v>92607</v>
      </c>
      <c r="AI12" s="2411">
        <f>'[1]formato población'!I9</f>
        <v>2145</v>
      </c>
      <c r="AJ12" s="2411">
        <f>'[1]formato población'!J9</f>
        <v>12718</v>
      </c>
      <c r="AK12" s="2411">
        <f>'[1]formato población'!K9</f>
        <v>26</v>
      </c>
      <c r="AL12" s="2411">
        <f>'[1]formato población'!L9</f>
        <v>37</v>
      </c>
      <c r="AM12" s="2411">
        <f>'[1]formato población'!M9</f>
        <v>0</v>
      </c>
      <c r="AN12" s="2411">
        <f>'[1]formato población'!N9</f>
        <v>0</v>
      </c>
      <c r="AO12" s="2411">
        <f>'[1]formato población'!O9</f>
        <v>44350</v>
      </c>
      <c r="AP12" s="2411">
        <f>'[1]formato población'!P9</f>
        <v>21944</v>
      </c>
      <c r="AQ12" s="2411"/>
      <c r="AR12" s="2411">
        <f>'[1]formato población'!Q9</f>
        <v>75687</v>
      </c>
      <c r="AS12" s="2411">
        <f>'[1]formato población'!R9</f>
        <v>581552</v>
      </c>
      <c r="AT12" s="2293">
        <v>44197</v>
      </c>
      <c r="AU12" s="2293">
        <v>44561</v>
      </c>
      <c r="AV12" s="2402" t="s">
        <v>388</v>
      </c>
    </row>
    <row r="13" spans="1:68" s="3" customFormat="1" ht="95.25" customHeight="1" x14ac:dyDescent="0.25">
      <c r="A13" s="2424"/>
      <c r="B13" s="2425"/>
      <c r="C13" s="2428"/>
      <c r="D13" s="2429"/>
      <c r="E13" s="2434"/>
      <c r="F13" s="2435"/>
      <c r="G13" s="2409"/>
      <c r="H13" s="2308"/>
      <c r="I13" s="2409"/>
      <c r="J13" s="2308"/>
      <c r="K13" s="2307"/>
      <c r="L13" s="2308"/>
      <c r="M13" s="2307"/>
      <c r="N13" s="2308"/>
      <c r="O13" s="2109"/>
      <c r="P13" s="2109"/>
      <c r="Q13" s="2305"/>
      <c r="R13" s="2114"/>
      <c r="S13" s="2414"/>
      <c r="T13" s="2305"/>
      <c r="U13" s="2402"/>
      <c r="V13" s="456" t="s">
        <v>389</v>
      </c>
      <c r="W13" s="457">
        <v>3000000</v>
      </c>
      <c r="X13" s="457">
        <v>2932000</v>
      </c>
      <c r="Y13" s="457">
        <v>2632000</v>
      </c>
      <c r="Z13" s="455" t="s">
        <v>386</v>
      </c>
      <c r="AA13" s="2350"/>
      <c r="AB13" s="2322"/>
      <c r="AC13" s="2415"/>
      <c r="AD13" s="2412"/>
      <c r="AE13" s="2412"/>
      <c r="AF13" s="2412"/>
      <c r="AG13" s="2412"/>
      <c r="AH13" s="2412"/>
      <c r="AI13" s="2412"/>
      <c r="AJ13" s="2412"/>
      <c r="AK13" s="2412"/>
      <c r="AL13" s="2412"/>
      <c r="AM13" s="2412"/>
      <c r="AN13" s="2412"/>
      <c r="AO13" s="2412"/>
      <c r="AP13" s="2412"/>
      <c r="AQ13" s="2412"/>
      <c r="AR13" s="2412"/>
      <c r="AS13" s="2412"/>
      <c r="AT13" s="2293"/>
      <c r="AU13" s="2293"/>
      <c r="AV13" s="2402"/>
    </row>
    <row r="14" spans="1:68" s="3" customFormat="1" ht="59.25" customHeight="1" x14ac:dyDescent="0.25">
      <c r="A14" s="2424"/>
      <c r="B14" s="2425"/>
      <c r="C14" s="2430"/>
      <c r="D14" s="2431"/>
      <c r="E14" s="2436"/>
      <c r="F14" s="2437"/>
      <c r="G14" s="2409"/>
      <c r="H14" s="2308"/>
      <c r="I14" s="2409"/>
      <c r="J14" s="2308"/>
      <c r="K14" s="2307"/>
      <c r="L14" s="2308"/>
      <c r="M14" s="2307"/>
      <c r="N14" s="2308"/>
      <c r="O14" s="2109"/>
      <c r="P14" s="2109"/>
      <c r="Q14" s="2305"/>
      <c r="R14" s="2114"/>
      <c r="S14" s="2414"/>
      <c r="T14" s="2305"/>
      <c r="U14" s="2402"/>
      <c r="V14" s="456" t="s">
        <v>390</v>
      </c>
      <c r="W14" s="457">
        <v>1000000</v>
      </c>
      <c r="X14" s="457">
        <v>1000000</v>
      </c>
      <c r="Y14" s="457">
        <v>0</v>
      </c>
      <c r="Z14" s="455" t="s">
        <v>391</v>
      </c>
      <c r="AA14" s="458">
        <v>88</v>
      </c>
      <c r="AB14" s="225" t="s">
        <v>155</v>
      </c>
      <c r="AC14" s="2415"/>
      <c r="AD14" s="2413"/>
      <c r="AE14" s="2413"/>
      <c r="AF14" s="2413"/>
      <c r="AG14" s="2413"/>
      <c r="AH14" s="2413"/>
      <c r="AI14" s="2413"/>
      <c r="AJ14" s="2413"/>
      <c r="AK14" s="2413"/>
      <c r="AL14" s="2413"/>
      <c r="AM14" s="2413"/>
      <c r="AN14" s="2413"/>
      <c r="AO14" s="2413"/>
      <c r="AP14" s="2413"/>
      <c r="AQ14" s="2413"/>
      <c r="AR14" s="2413"/>
      <c r="AS14" s="2413"/>
      <c r="AT14" s="2293"/>
      <c r="AU14" s="2293"/>
      <c r="AV14" s="2402"/>
    </row>
    <row r="15" spans="1:68" s="3" customFormat="1" ht="27.75" customHeight="1" x14ac:dyDescent="0.25">
      <c r="A15" s="2424"/>
      <c r="B15" s="2425"/>
      <c r="C15" s="459">
        <v>19</v>
      </c>
      <c r="D15" s="2303" t="s">
        <v>392</v>
      </c>
      <c r="E15" s="2303"/>
      <c r="F15" s="2303"/>
      <c r="G15" s="2303"/>
      <c r="H15" s="2303"/>
      <c r="I15" s="2303"/>
      <c r="J15" s="2303"/>
      <c r="K15" s="2303"/>
      <c r="L15" s="2303"/>
      <c r="M15" s="460"/>
      <c r="N15" s="461"/>
      <c r="O15" s="462"/>
      <c r="P15" s="462"/>
      <c r="Q15" s="463"/>
      <c r="R15" s="464"/>
      <c r="S15" s="465"/>
      <c r="T15" s="463"/>
      <c r="U15" s="466"/>
      <c r="V15" s="467"/>
      <c r="W15" s="468"/>
      <c r="X15" s="468"/>
      <c r="Y15" s="468"/>
      <c r="Z15" s="469"/>
      <c r="AA15" s="470"/>
      <c r="AB15" s="463"/>
      <c r="AC15" s="471"/>
      <c r="AD15" s="471"/>
      <c r="AE15" s="471"/>
      <c r="AF15" s="471"/>
      <c r="AG15" s="471"/>
      <c r="AH15" s="471"/>
      <c r="AI15" s="471"/>
      <c r="AJ15" s="471"/>
      <c r="AK15" s="471"/>
      <c r="AL15" s="471"/>
      <c r="AM15" s="471"/>
      <c r="AN15" s="471"/>
      <c r="AO15" s="471"/>
      <c r="AP15" s="471"/>
      <c r="AQ15" s="471"/>
      <c r="AR15" s="471"/>
      <c r="AS15" s="471"/>
      <c r="AT15" s="472"/>
      <c r="AU15" s="472"/>
      <c r="AV15" s="466"/>
    </row>
    <row r="16" spans="1:68" s="3" customFormat="1" ht="15.75" x14ac:dyDescent="0.25">
      <c r="A16" s="2424"/>
      <c r="B16" s="2425"/>
      <c r="C16" s="2426"/>
      <c r="D16" s="2427"/>
      <c r="E16" s="206">
        <v>1906</v>
      </c>
      <c r="F16" s="2304" t="s">
        <v>393</v>
      </c>
      <c r="G16" s="2304"/>
      <c r="H16" s="2304"/>
      <c r="I16" s="2304"/>
      <c r="J16" s="2304"/>
      <c r="K16" s="2304"/>
      <c r="L16" s="2304"/>
      <c r="M16" s="2304"/>
      <c r="N16" s="327"/>
      <c r="O16" s="206"/>
      <c r="P16" s="206"/>
      <c r="Q16" s="327"/>
      <c r="R16" s="204"/>
      <c r="S16" s="326"/>
      <c r="T16" s="327"/>
      <c r="U16" s="327"/>
      <c r="V16" s="327"/>
      <c r="W16" s="473"/>
      <c r="X16" s="473"/>
      <c r="Y16" s="473"/>
      <c r="Z16" s="64"/>
      <c r="AA16" s="209"/>
      <c r="AB16" s="327"/>
      <c r="AC16" s="206"/>
      <c r="AD16" s="206"/>
      <c r="AE16" s="206"/>
      <c r="AF16" s="206"/>
      <c r="AG16" s="206"/>
      <c r="AH16" s="206"/>
      <c r="AI16" s="206"/>
      <c r="AJ16" s="206"/>
      <c r="AK16" s="206"/>
      <c r="AL16" s="206"/>
      <c r="AM16" s="206"/>
      <c r="AN16" s="206"/>
      <c r="AO16" s="206"/>
      <c r="AP16" s="206"/>
      <c r="AQ16" s="206"/>
      <c r="AR16" s="206"/>
      <c r="AS16" s="206"/>
      <c r="AT16" s="206"/>
      <c r="AU16" s="206"/>
      <c r="AV16" s="327"/>
    </row>
    <row r="17" spans="1:48" ht="120" x14ac:dyDescent="0.25">
      <c r="A17" s="2424"/>
      <c r="B17" s="2425"/>
      <c r="C17" s="2428"/>
      <c r="D17" s="2429"/>
      <c r="E17" s="2438"/>
      <c r="F17" s="2439"/>
      <c r="G17" s="2409" t="s">
        <v>62</v>
      </c>
      <c r="H17" s="2308" t="s">
        <v>394</v>
      </c>
      <c r="I17" s="2409">
        <v>1906015</v>
      </c>
      <c r="J17" s="2410" t="s">
        <v>395</v>
      </c>
      <c r="K17" s="2409" t="s">
        <v>62</v>
      </c>
      <c r="L17" s="2407" t="s">
        <v>396</v>
      </c>
      <c r="M17" s="2408">
        <v>190601500</v>
      </c>
      <c r="N17" s="2407" t="s">
        <v>395</v>
      </c>
      <c r="O17" s="2109">
        <v>1</v>
      </c>
      <c r="P17" s="2109" t="s">
        <v>397</v>
      </c>
      <c r="Q17" s="2305" t="s">
        <v>398</v>
      </c>
      <c r="R17" s="2406">
        <f>SUM(W17:W20)/S17</f>
        <v>1</v>
      </c>
      <c r="S17" s="2344">
        <f>SUM(W17:W20)</f>
        <v>96746979</v>
      </c>
      <c r="T17" s="2305" t="s">
        <v>399</v>
      </c>
      <c r="U17" s="2305" t="s">
        <v>400</v>
      </c>
      <c r="V17" s="456" t="s">
        <v>401</v>
      </c>
      <c r="W17" s="97">
        <v>2000000</v>
      </c>
      <c r="X17" s="97">
        <v>400000</v>
      </c>
      <c r="Y17" s="97">
        <v>400000</v>
      </c>
      <c r="Z17" s="455" t="s">
        <v>402</v>
      </c>
      <c r="AA17" s="2108" t="s">
        <v>403</v>
      </c>
      <c r="AB17" s="2305" t="s">
        <v>404</v>
      </c>
      <c r="AC17" s="2057">
        <v>295972</v>
      </c>
      <c r="AD17" s="2057">
        <v>285580</v>
      </c>
      <c r="AE17" s="2057">
        <v>135545</v>
      </c>
      <c r="AF17" s="2057">
        <v>44254</v>
      </c>
      <c r="AG17" s="2057">
        <v>309146</v>
      </c>
      <c r="AH17" s="2057">
        <v>92607</v>
      </c>
      <c r="AI17" s="2057">
        <v>2145</v>
      </c>
      <c r="AJ17" s="2057">
        <v>12718</v>
      </c>
      <c r="AK17" s="2057">
        <v>26</v>
      </c>
      <c r="AL17" s="2057">
        <v>37</v>
      </c>
      <c r="AM17" s="2057">
        <v>0</v>
      </c>
      <c r="AN17" s="2057">
        <v>0</v>
      </c>
      <c r="AO17" s="2057">
        <v>44350</v>
      </c>
      <c r="AP17" s="2057">
        <v>21944</v>
      </c>
      <c r="AQ17" s="2057"/>
      <c r="AR17" s="2057">
        <v>75687</v>
      </c>
      <c r="AS17" s="2057">
        <v>581552</v>
      </c>
      <c r="AT17" s="2293">
        <v>44197</v>
      </c>
      <c r="AU17" s="2293">
        <v>44561</v>
      </c>
      <c r="AV17" s="2402" t="s">
        <v>388</v>
      </c>
    </row>
    <row r="18" spans="1:48" ht="27" customHeight="1" x14ac:dyDescent="0.25">
      <c r="A18" s="2424"/>
      <c r="B18" s="2425"/>
      <c r="C18" s="2428"/>
      <c r="D18" s="2429"/>
      <c r="E18" s="2440"/>
      <c r="F18" s="2441"/>
      <c r="G18" s="2409"/>
      <c r="H18" s="2308"/>
      <c r="I18" s="2409"/>
      <c r="J18" s="2410"/>
      <c r="K18" s="2409"/>
      <c r="L18" s="2407"/>
      <c r="M18" s="2408"/>
      <c r="N18" s="2407"/>
      <c r="O18" s="2109"/>
      <c r="P18" s="2109"/>
      <c r="Q18" s="2305"/>
      <c r="R18" s="2406"/>
      <c r="S18" s="2344"/>
      <c r="T18" s="2305"/>
      <c r="U18" s="2305"/>
      <c r="V18" s="2403" t="s">
        <v>405</v>
      </c>
      <c r="W18" s="97">
        <v>29000000</v>
      </c>
      <c r="X18" s="97">
        <v>0</v>
      </c>
      <c r="Y18" s="97">
        <v>0</v>
      </c>
      <c r="Z18" s="455" t="s">
        <v>402</v>
      </c>
      <c r="AA18" s="2108"/>
      <c r="AB18" s="2305"/>
      <c r="AC18" s="2057"/>
      <c r="AD18" s="2057"/>
      <c r="AE18" s="2057"/>
      <c r="AF18" s="2057"/>
      <c r="AG18" s="2057"/>
      <c r="AH18" s="2057"/>
      <c r="AI18" s="2057"/>
      <c r="AJ18" s="2057"/>
      <c r="AK18" s="2057"/>
      <c r="AL18" s="2057"/>
      <c r="AM18" s="2057"/>
      <c r="AN18" s="2057"/>
      <c r="AO18" s="2057"/>
      <c r="AP18" s="2057"/>
      <c r="AQ18" s="2057"/>
      <c r="AR18" s="2057"/>
      <c r="AS18" s="2057"/>
      <c r="AT18" s="2293"/>
      <c r="AU18" s="2293"/>
      <c r="AV18" s="2402"/>
    </row>
    <row r="19" spans="1:48" ht="39.75" customHeight="1" x14ac:dyDescent="0.25">
      <c r="A19" s="2424"/>
      <c r="B19" s="2425"/>
      <c r="C19" s="2428"/>
      <c r="D19" s="2429"/>
      <c r="E19" s="2440"/>
      <c r="F19" s="2441"/>
      <c r="G19" s="2409"/>
      <c r="H19" s="2308"/>
      <c r="I19" s="2409"/>
      <c r="J19" s="2410"/>
      <c r="K19" s="2409"/>
      <c r="L19" s="2407"/>
      <c r="M19" s="2408"/>
      <c r="N19" s="2407"/>
      <c r="O19" s="2109"/>
      <c r="P19" s="2109"/>
      <c r="Q19" s="2305"/>
      <c r="R19" s="2406"/>
      <c r="S19" s="2344"/>
      <c r="T19" s="2305"/>
      <c r="U19" s="2305"/>
      <c r="V19" s="2404"/>
      <c r="W19" s="97">
        <v>58746979</v>
      </c>
      <c r="X19" s="97">
        <v>0</v>
      </c>
      <c r="Y19" s="97">
        <v>0</v>
      </c>
      <c r="Z19" s="455" t="s">
        <v>406</v>
      </c>
      <c r="AA19" s="2108"/>
      <c r="AB19" s="2305"/>
      <c r="AC19" s="2057"/>
      <c r="AD19" s="2057"/>
      <c r="AE19" s="2057"/>
      <c r="AF19" s="2057"/>
      <c r="AG19" s="2057"/>
      <c r="AH19" s="2057"/>
      <c r="AI19" s="2057"/>
      <c r="AJ19" s="2057"/>
      <c r="AK19" s="2057"/>
      <c r="AL19" s="2057"/>
      <c r="AM19" s="2057"/>
      <c r="AN19" s="2057"/>
      <c r="AO19" s="2057"/>
      <c r="AP19" s="2057"/>
      <c r="AQ19" s="2057"/>
      <c r="AR19" s="2057"/>
      <c r="AS19" s="2057"/>
      <c r="AT19" s="2293"/>
      <c r="AU19" s="2293"/>
      <c r="AV19" s="2402"/>
    </row>
    <row r="20" spans="1:48" ht="75" x14ac:dyDescent="0.25">
      <c r="A20" s="2424"/>
      <c r="B20" s="2425"/>
      <c r="C20" s="2430"/>
      <c r="D20" s="2431"/>
      <c r="E20" s="2442"/>
      <c r="F20" s="2443"/>
      <c r="G20" s="2409"/>
      <c r="H20" s="2308"/>
      <c r="I20" s="2409"/>
      <c r="J20" s="2410"/>
      <c r="K20" s="2409"/>
      <c r="L20" s="2407"/>
      <c r="M20" s="2408"/>
      <c r="N20" s="2407"/>
      <c r="O20" s="2109"/>
      <c r="P20" s="2109"/>
      <c r="Q20" s="2305"/>
      <c r="R20" s="2406"/>
      <c r="S20" s="2344"/>
      <c r="T20" s="2305"/>
      <c r="U20" s="2305"/>
      <c r="V20" s="476" t="s">
        <v>389</v>
      </c>
      <c r="W20" s="97">
        <v>7000000</v>
      </c>
      <c r="X20" s="97">
        <v>1700000</v>
      </c>
      <c r="Y20" s="97">
        <v>1200000</v>
      </c>
      <c r="Z20" s="455" t="s">
        <v>402</v>
      </c>
      <c r="AA20" s="2108"/>
      <c r="AB20" s="2305"/>
      <c r="AC20" s="2057"/>
      <c r="AD20" s="2057"/>
      <c r="AE20" s="2057"/>
      <c r="AF20" s="2057"/>
      <c r="AG20" s="2057"/>
      <c r="AH20" s="2057"/>
      <c r="AI20" s="2057"/>
      <c r="AJ20" s="2057"/>
      <c r="AK20" s="2057"/>
      <c r="AL20" s="2057"/>
      <c r="AM20" s="2057"/>
      <c r="AN20" s="2057"/>
      <c r="AO20" s="2057"/>
      <c r="AP20" s="2057"/>
      <c r="AQ20" s="2057"/>
      <c r="AR20" s="2057"/>
      <c r="AS20" s="2057"/>
      <c r="AT20" s="2293"/>
      <c r="AU20" s="2293"/>
      <c r="AV20" s="2402"/>
    </row>
    <row r="21" spans="1:48" ht="15.75" x14ac:dyDescent="0.25">
      <c r="A21" s="2424"/>
      <c r="B21" s="2425"/>
      <c r="C21" s="459">
        <v>22</v>
      </c>
      <c r="D21" s="2303" t="s">
        <v>407</v>
      </c>
      <c r="E21" s="2303"/>
      <c r="F21" s="2303"/>
      <c r="G21" s="2303"/>
      <c r="H21" s="2303"/>
      <c r="I21" s="2303"/>
      <c r="J21" s="2303"/>
      <c r="K21" s="477"/>
      <c r="L21" s="478"/>
      <c r="M21" s="479"/>
      <c r="N21" s="478"/>
      <c r="O21" s="462"/>
      <c r="P21" s="462"/>
      <c r="Q21" s="463"/>
      <c r="R21" s="480"/>
      <c r="S21" s="481"/>
      <c r="T21" s="463"/>
      <c r="U21" s="463"/>
      <c r="V21" s="467"/>
      <c r="W21" s="468"/>
      <c r="X21" s="468"/>
      <c r="Y21" s="468"/>
      <c r="Z21" s="469"/>
      <c r="AA21" s="470"/>
      <c r="AB21" s="463"/>
      <c r="AC21" s="462"/>
      <c r="AD21" s="462"/>
      <c r="AE21" s="462"/>
      <c r="AF21" s="462"/>
      <c r="AG21" s="462"/>
      <c r="AH21" s="462"/>
      <c r="AI21" s="462"/>
      <c r="AJ21" s="462"/>
      <c r="AK21" s="462"/>
      <c r="AL21" s="462"/>
      <c r="AM21" s="462"/>
      <c r="AN21" s="462"/>
      <c r="AO21" s="462"/>
      <c r="AP21" s="462"/>
      <c r="AQ21" s="462"/>
      <c r="AR21" s="462"/>
      <c r="AS21" s="462"/>
      <c r="AT21" s="472"/>
      <c r="AU21" s="472"/>
      <c r="AV21" s="482"/>
    </row>
    <row r="22" spans="1:48" s="3" customFormat="1" ht="15.75" x14ac:dyDescent="0.25">
      <c r="A22" s="2424"/>
      <c r="B22" s="2425"/>
      <c r="C22" s="2332"/>
      <c r="D22" s="2333"/>
      <c r="E22" s="206">
        <v>2201</v>
      </c>
      <c r="F22" s="483" t="s">
        <v>408</v>
      </c>
      <c r="G22" s="483"/>
      <c r="H22" s="327"/>
      <c r="I22" s="483"/>
      <c r="J22" s="327"/>
      <c r="K22" s="483"/>
      <c r="L22" s="327"/>
      <c r="M22" s="483"/>
      <c r="N22" s="327"/>
      <c r="O22" s="483"/>
      <c r="P22" s="206"/>
      <c r="Q22" s="327"/>
      <c r="R22" s="204"/>
      <c r="S22" s="326"/>
      <c r="T22" s="327"/>
      <c r="U22" s="327"/>
      <c r="V22" s="327"/>
      <c r="W22" s="473"/>
      <c r="X22" s="473"/>
      <c r="Y22" s="473"/>
      <c r="Z22" s="64"/>
      <c r="AA22" s="209"/>
      <c r="AB22" s="327"/>
      <c r="AC22" s="206"/>
      <c r="AD22" s="206"/>
      <c r="AE22" s="206"/>
      <c r="AF22" s="206"/>
      <c r="AG22" s="206"/>
      <c r="AH22" s="206"/>
      <c r="AI22" s="206"/>
      <c r="AJ22" s="206"/>
      <c r="AK22" s="206"/>
      <c r="AL22" s="206"/>
      <c r="AM22" s="206"/>
      <c r="AN22" s="206"/>
      <c r="AO22" s="206"/>
      <c r="AP22" s="206"/>
      <c r="AQ22" s="206"/>
      <c r="AR22" s="206"/>
      <c r="AS22" s="206"/>
      <c r="AT22" s="206"/>
      <c r="AU22" s="206"/>
      <c r="AV22" s="327"/>
    </row>
    <row r="23" spans="1:48" ht="49.5" customHeight="1" x14ac:dyDescent="0.25">
      <c r="A23" s="2424"/>
      <c r="B23" s="2425"/>
      <c r="C23" s="2134"/>
      <c r="D23" s="2110"/>
      <c r="E23" s="2332"/>
      <c r="F23" s="2333"/>
      <c r="G23" s="2401" t="s">
        <v>62</v>
      </c>
      <c r="H23" s="2405" t="s">
        <v>409</v>
      </c>
      <c r="I23" s="2401">
        <v>2201062</v>
      </c>
      <c r="J23" s="2405" t="s">
        <v>410</v>
      </c>
      <c r="K23" s="2401" t="s">
        <v>62</v>
      </c>
      <c r="L23" s="2119" t="s">
        <v>411</v>
      </c>
      <c r="M23" s="2401">
        <v>220106200</v>
      </c>
      <c r="N23" s="2119" t="s">
        <v>412</v>
      </c>
      <c r="O23" s="2109">
        <v>15</v>
      </c>
      <c r="P23" s="2109" t="s">
        <v>413</v>
      </c>
      <c r="Q23" s="2305" t="s">
        <v>414</v>
      </c>
      <c r="R23" s="2406">
        <f>SUM(W23:W39)/S23</f>
        <v>1</v>
      </c>
      <c r="S23" s="2344">
        <f>SUM(W23:W39)</f>
        <v>2083257220</v>
      </c>
      <c r="T23" s="2305" t="s">
        <v>415</v>
      </c>
      <c r="U23" s="2305" t="s">
        <v>416</v>
      </c>
      <c r="V23" s="2399" t="s">
        <v>417</v>
      </c>
      <c r="W23" s="97">
        <v>23532000</v>
      </c>
      <c r="X23" s="97">
        <v>23532000</v>
      </c>
      <c r="Y23" s="97">
        <v>23532000</v>
      </c>
      <c r="Z23" s="455" t="s">
        <v>418</v>
      </c>
      <c r="AA23" s="2398" t="s">
        <v>419</v>
      </c>
      <c r="AB23" s="2055" t="s">
        <v>420</v>
      </c>
      <c r="AC23" s="2057">
        <v>295972</v>
      </c>
      <c r="AD23" s="2057">
        <v>285580</v>
      </c>
      <c r="AE23" s="2057">
        <v>135545</v>
      </c>
      <c r="AF23" s="2057">
        <v>44254</v>
      </c>
      <c r="AG23" s="2057">
        <v>309146</v>
      </c>
      <c r="AH23" s="2057">
        <v>92607</v>
      </c>
      <c r="AI23" s="2057">
        <v>2145</v>
      </c>
      <c r="AJ23" s="2057">
        <v>12718</v>
      </c>
      <c r="AK23" s="2057">
        <v>26</v>
      </c>
      <c r="AL23" s="2057">
        <v>37</v>
      </c>
      <c r="AM23" s="2057">
        <v>0</v>
      </c>
      <c r="AN23" s="2057">
        <v>0</v>
      </c>
      <c r="AO23" s="2057">
        <v>44350</v>
      </c>
      <c r="AP23" s="2057">
        <v>21944</v>
      </c>
      <c r="AQ23" s="2057"/>
      <c r="AR23" s="2057">
        <v>75687</v>
      </c>
      <c r="AS23" s="2057">
        <v>581552</v>
      </c>
      <c r="AT23" s="2293">
        <v>44197</v>
      </c>
      <c r="AU23" s="2293">
        <v>44561</v>
      </c>
      <c r="AV23" s="2394" t="s">
        <v>388</v>
      </c>
    </row>
    <row r="24" spans="1:48" ht="74.25" customHeight="1" x14ac:dyDescent="0.25">
      <c r="A24" s="2424"/>
      <c r="B24" s="2425"/>
      <c r="C24" s="2134"/>
      <c r="D24" s="2110"/>
      <c r="E24" s="2134"/>
      <c r="F24" s="2110"/>
      <c r="G24" s="2401"/>
      <c r="H24" s="2405"/>
      <c r="I24" s="2401"/>
      <c r="J24" s="2405"/>
      <c r="K24" s="2401"/>
      <c r="L24" s="2119"/>
      <c r="M24" s="2401"/>
      <c r="N24" s="2119"/>
      <c r="O24" s="2109"/>
      <c r="P24" s="2109"/>
      <c r="Q24" s="2305"/>
      <c r="R24" s="2406"/>
      <c r="S24" s="2344"/>
      <c r="T24" s="2305"/>
      <c r="U24" s="2305"/>
      <c r="V24" s="2400"/>
      <c r="W24" s="97">
        <v>36468000</v>
      </c>
      <c r="X24" s="97">
        <v>5400000</v>
      </c>
      <c r="Y24" s="97">
        <v>0</v>
      </c>
      <c r="Z24" s="455" t="s">
        <v>421</v>
      </c>
      <c r="AA24" s="2398"/>
      <c r="AB24" s="2055"/>
      <c r="AC24" s="2057"/>
      <c r="AD24" s="2057"/>
      <c r="AE24" s="2057"/>
      <c r="AF24" s="2057"/>
      <c r="AG24" s="2057"/>
      <c r="AH24" s="2057"/>
      <c r="AI24" s="2057"/>
      <c r="AJ24" s="2057"/>
      <c r="AK24" s="2057"/>
      <c r="AL24" s="2057"/>
      <c r="AM24" s="2057"/>
      <c r="AN24" s="2057"/>
      <c r="AO24" s="2057"/>
      <c r="AP24" s="2057"/>
      <c r="AQ24" s="2057"/>
      <c r="AR24" s="2057"/>
      <c r="AS24" s="2057"/>
      <c r="AT24" s="2293"/>
      <c r="AU24" s="2293"/>
      <c r="AV24" s="2395"/>
    </row>
    <row r="25" spans="1:48" ht="42.75" customHeight="1" x14ac:dyDescent="0.25">
      <c r="A25" s="2424"/>
      <c r="B25" s="2425"/>
      <c r="C25" s="2134"/>
      <c r="D25" s="2110"/>
      <c r="E25" s="2134"/>
      <c r="F25" s="2110"/>
      <c r="G25" s="2401"/>
      <c r="H25" s="2405"/>
      <c r="I25" s="2401"/>
      <c r="J25" s="2405"/>
      <c r="K25" s="2401"/>
      <c r="L25" s="2119"/>
      <c r="M25" s="2401"/>
      <c r="N25" s="2119"/>
      <c r="O25" s="2109"/>
      <c r="P25" s="2109"/>
      <c r="Q25" s="2305"/>
      <c r="R25" s="2406"/>
      <c r="S25" s="2344"/>
      <c r="T25" s="2305"/>
      <c r="U25" s="2305"/>
      <c r="V25" s="2059" t="s">
        <v>422</v>
      </c>
      <c r="W25" s="97">
        <v>11600000</v>
      </c>
      <c r="X25" s="97">
        <v>11600000</v>
      </c>
      <c r="Y25" s="97">
        <v>11600000</v>
      </c>
      <c r="Z25" s="455" t="s">
        <v>418</v>
      </c>
      <c r="AA25" s="2398"/>
      <c r="AB25" s="2055"/>
      <c r="AC25" s="2057"/>
      <c r="AD25" s="2057"/>
      <c r="AE25" s="2057"/>
      <c r="AF25" s="2057"/>
      <c r="AG25" s="2057"/>
      <c r="AH25" s="2057"/>
      <c r="AI25" s="2057"/>
      <c r="AJ25" s="2057"/>
      <c r="AK25" s="2057"/>
      <c r="AL25" s="2057"/>
      <c r="AM25" s="2057"/>
      <c r="AN25" s="2057"/>
      <c r="AO25" s="2057"/>
      <c r="AP25" s="2057"/>
      <c r="AQ25" s="2057"/>
      <c r="AR25" s="2057"/>
      <c r="AS25" s="2057"/>
      <c r="AT25" s="2293"/>
      <c r="AU25" s="2293"/>
      <c r="AV25" s="2395"/>
    </row>
    <row r="26" spans="1:48" ht="60" customHeight="1" x14ac:dyDescent="0.25">
      <c r="A26" s="2424"/>
      <c r="B26" s="2425"/>
      <c r="C26" s="2134"/>
      <c r="D26" s="2110"/>
      <c r="E26" s="2134"/>
      <c r="F26" s="2110"/>
      <c r="G26" s="2401"/>
      <c r="H26" s="2405"/>
      <c r="I26" s="2401"/>
      <c r="J26" s="2405"/>
      <c r="K26" s="2401"/>
      <c r="L26" s="2119"/>
      <c r="M26" s="2401"/>
      <c r="N26" s="2119"/>
      <c r="O26" s="2109"/>
      <c r="P26" s="2109"/>
      <c r="Q26" s="2305"/>
      <c r="R26" s="2406"/>
      <c r="S26" s="2344"/>
      <c r="T26" s="2305"/>
      <c r="U26" s="2305"/>
      <c r="V26" s="2203"/>
      <c r="W26" s="97">
        <v>48400000</v>
      </c>
      <c r="X26" s="97">
        <v>8800000</v>
      </c>
      <c r="Y26" s="97"/>
      <c r="Z26" s="455" t="s">
        <v>421</v>
      </c>
      <c r="AA26" s="2398"/>
      <c r="AB26" s="2055"/>
      <c r="AC26" s="2057"/>
      <c r="AD26" s="2057"/>
      <c r="AE26" s="2057"/>
      <c r="AF26" s="2057"/>
      <c r="AG26" s="2057"/>
      <c r="AH26" s="2057"/>
      <c r="AI26" s="2057"/>
      <c r="AJ26" s="2057"/>
      <c r="AK26" s="2057"/>
      <c r="AL26" s="2057"/>
      <c r="AM26" s="2057"/>
      <c r="AN26" s="2057"/>
      <c r="AO26" s="2057"/>
      <c r="AP26" s="2057"/>
      <c r="AQ26" s="2057"/>
      <c r="AR26" s="2057"/>
      <c r="AS26" s="2057"/>
      <c r="AT26" s="2293"/>
      <c r="AU26" s="2293"/>
      <c r="AV26" s="2395"/>
    </row>
    <row r="27" spans="1:48" ht="120" customHeight="1" x14ac:dyDescent="0.25">
      <c r="A27" s="2424"/>
      <c r="B27" s="2425"/>
      <c r="C27" s="2134"/>
      <c r="D27" s="2110"/>
      <c r="E27" s="2134"/>
      <c r="F27" s="2110"/>
      <c r="G27" s="2401"/>
      <c r="H27" s="2405"/>
      <c r="I27" s="2401"/>
      <c r="J27" s="2405"/>
      <c r="K27" s="2401"/>
      <c r="L27" s="2119"/>
      <c r="M27" s="2401"/>
      <c r="N27" s="2119"/>
      <c r="O27" s="2109"/>
      <c r="P27" s="2109"/>
      <c r="Q27" s="2305"/>
      <c r="R27" s="2406"/>
      <c r="S27" s="2344"/>
      <c r="T27" s="2305"/>
      <c r="U27" s="2305"/>
      <c r="V27" s="2059" t="s">
        <v>423</v>
      </c>
      <c r="W27" s="97">
        <v>26350000</v>
      </c>
      <c r="X27" s="97">
        <v>26350000</v>
      </c>
      <c r="Y27" s="97">
        <v>24050000</v>
      </c>
      <c r="Z27" s="455" t="s">
        <v>418</v>
      </c>
      <c r="AA27" s="2398"/>
      <c r="AB27" s="2055"/>
      <c r="AC27" s="2057"/>
      <c r="AD27" s="2057"/>
      <c r="AE27" s="2057"/>
      <c r="AF27" s="2057"/>
      <c r="AG27" s="2057"/>
      <c r="AH27" s="2057"/>
      <c r="AI27" s="2057"/>
      <c r="AJ27" s="2057"/>
      <c r="AK27" s="2057"/>
      <c r="AL27" s="2057"/>
      <c r="AM27" s="2057"/>
      <c r="AN27" s="2057"/>
      <c r="AO27" s="2057"/>
      <c r="AP27" s="2057"/>
      <c r="AQ27" s="2057"/>
      <c r="AR27" s="2057"/>
      <c r="AS27" s="2057"/>
      <c r="AT27" s="2293"/>
      <c r="AU27" s="2293"/>
      <c r="AV27" s="2395"/>
    </row>
    <row r="28" spans="1:48" ht="62.25" customHeight="1" x14ac:dyDescent="0.25">
      <c r="A28" s="2424"/>
      <c r="B28" s="2425"/>
      <c r="C28" s="2134"/>
      <c r="D28" s="2110"/>
      <c r="E28" s="2134"/>
      <c r="F28" s="2110"/>
      <c r="G28" s="2401"/>
      <c r="H28" s="2405"/>
      <c r="I28" s="2401"/>
      <c r="J28" s="2405"/>
      <c r="K28" s="2401"/>
      <c r="L28" s="2119"/>
      <c r="M28" s="2401"/>
      <c r="N28" s="2119"/>
      <c r="O28" s="2109"/>
      <c r="P28" s="2109"/>
      <c r="Q28" s="2305"/>
      <c r="R28" s="2406"/>
      <c r="S28" s="2344"/>
      <c r="T28" s="2305"/>
      <c r="U28" s="2305"/>
      <c r="V28" s="2203"/>
      <c r="W28" s="97">
        <v>33650000</v>
      </c>
      <c r="X28" s="97">
        <v>14550000</v>
      </c>
      <c r="Y28" s="97"/>
      <c r="Z28" s="455" t="s">
        <v>421</v>
      </c>
      <c r="AA28" s="2398"/>
      <c r="AB28" s="2055"/>
      <c r="AC28" s="2057"/>
      <c r="AD28" s="2057"/>
      <c r="AE28" s="2057"/>
      <c r="AF28" s="2057"/>
      <c r="AG28" s="2057"/>
      <c r="AH28" s="2057"/>
      <c r="AI28" s="2057"/>
      <c r="AJ28" s="2057"/>
      <c r="AK28" s="2057"/>
      <c r="AL28" s="2057"/>
      <c r="AM28" s="2057"/>
      <c r="AN28" s="2057"/>
      <c r="AO28" s="2057"/>
      <c r="AP28" s="2057"/>
      <c r="AQ28" s="2057"/>
      <c r="AR28" s="2057"/>
      <c r="AS28" s="2057"/>
      <c r="AT28" s="2293"/>
      <c r="AU28" s="2293"/>
      <c r="AV28" s="2395"/>
    </row>
    <row r="29" spans="1:48" ht="75" x14ac:dyDescent="0.25">
      <c r="A29" s="2424"/>
      <c r="B29" s="2425"/>
      <c r="C29" s="2134"/>
      <c r="D29" s="2110"/>
      <c r="E29" s="2134"/>
      <c r="F29" s="2110"/>
      <c r="G29" s="2401"/>
      <c r="H29" s="2405"/>
      <c r="I29" s="2401"/>
      <c r="J29" s="2405"/>
      <c r="K29" s="2401"/>
      <c r="L29" s="2119"/>
      <c r="M29" s="2401"/>
      <c r="N29" s="2119"/>
      <c r="O29" s="2109"/>
      <c r="P29" s="2109"/>
      <c r="Q29" s="2305"/>
      <c r="R29" s="2406"/>
      <c r="S29" s="2344"/>
      <c r="T29" s="2305"/>
      <c r="U29" s="2305"/>
      <c r="V29" s="73" t="s">
        <v>424</v>
      </c>
      <c r="W29" s="97">
        <v>150000000</v>
      </c>
      <c r="X29" s="97">
        <v>83982000</v>
      </c>
      <c r="Y29" s="97">
        <v>69582000</v>
      </c>
      <c r="Z29" s="455" t="s">
        <v>418</v>
      </c>
      <c r="AA29" s="2398"/>
      <c r="AB29" s="2055"/>
      <c r="AC29" s="2057"/>
      <c r="AD29" s="2057"/>
      <c r="AE29" s="2057"/>
      <c r="AF29" s="2057"/>
      <c r="AG29" s="2057"/>
      <c r="AH29" s="2057"/>
      <c r="AI29" s="2057"/>
      <c r="AJ29" s="2057"/>
      <c r="AK29" s="2057"/>
      <c r="AL29" s="2057"/>
      <c r="AM29" s="2057"/>
      <c r="AN29" s="2057"/>
      <c r="AO29" s="2057"/>
      <c r="AP29" s="2057"/>
      <c r="AQ29" s="2057"/>
      <c r="AR29" s="2057"/>
      <c r="AS29" s="2057"/>
      <c r="AT29" s="2293"/>
      <c r="AU29" s="2293"/>
      <c r="AV29" s="2395"/>
    </row>
    <row r="30" spans="1:48" ht="75" x14ac:dyDescent="0.25">
      <c r="A30" s="2424"/>
      <c r="B30" s="2425"/>
      <c r="C30" s="2134"/>
      <c r="D30" s="2110"/>
      <c r="E30" s="2134"/>
      <c r="F30" s="2110"/>
      <c r="G30" s="2401"/>
      <c r="H30" s="2405"/>
      <c r="I30" s="2401"/>
      <c r="J30" s="2405"/>
      <c r="K30" s="2401"/>
      <c r="L30" s="2119"/>
      <c r="M30" s="2401"/>
      <c r="N30" s="2119"/>
      <c r="O30" s="2109"/>
      <c r="P30" s="2109"/>
      <c r="Q30" s="2305"/>
      <c r="R30" s="2406"/>
      <c r="S30" s="2344"/>
      <c r="T30" s="2305"/>
      <c r="U30" s="2305"/>
      <c r="V30" s="73" t="s">
        <v>425</v>
      </c>
      <c r="W30" s="97">
        <v>95800000</v>
      </c>
      <c r="X30" s="97">
        <v>36787500</v>
      </c>
      <c r="Y30" s="97">
        <v>29700000</v>
      </c>
      <c r="Z30" s="455" t="s">
        <v>418</v>
      </c>
      <c r="AA30" s="2398"/>
      <c r="AB30" s="2055"/>
      <c r="AC30" s="2057"/>
      <c r="AD30" s="2057"/>
      <c r="AE30" s="2057"/>
      <c r="AF30" s="2057"/>
      <c r="AG30" s="2057"/>
      <c r="AH30" s="2057"/>
      <c r="AI30" s="2057"/>
      <c r="AJ30" s="2057"/>
      <c r="AK30" s="2057"/>
      <c r="AL30" s="2057"/>
      <c r="AM30" s="2057"/>
      <c r="AN30" s="2057"/>
      <c r="AO30" s="2057"/>
      <c r="AP30" s="2057"/>
      <c r="AQ30" s="2057"/>
      <c r="AR30" s="2057"/>
      <c r="AS30" s="2057"/>
      <c r="AT30" s="2293"/>
      <c r="AU30" s="2293"/>
      <c r="AV30" s="2395"/>
    </row>
    <row r="31" spans="1:48" ht="105" x14ac:dyDescent="0.25">
      <c r="A31" s="2424"/>
      <c r="B31" s="2425"/>
      <c r="C31" s="2134"/>
      <c r="D31" s="2110"/>
      <c r="E31" s="2134"/>
      <c r="F31" s="2110"/>
      <c r="G31" s="2401"/>
      <c r="H31" s="2405"/>
      <c r="I31" s="2401"/>
      <c r="J31" s="2405"/>
      <c r="K31" s="2401"/>
      <c r="L31" s="2119"/>
      <c r="M31" s="2401"/>
      <c r="N31" s="2119"/>
      <c r="O31" s="2109"/>
      <c r="P31" s="2109"/>
      <c r="Q31" s="2305"/>
      <c r="R31" s="2406"/>
      <c r="S31" s="2344"/>
      <c r="T31" s="2305"/>
      <c r="U31" s="2305"/>
      <c r="V31" s="73" t="s">
        <v>426</v>
      </c>
      <c r="W31" s="97">
        <v>4200000</v>
      </c>
      <c r="X31" s="97">
        <v>4200000</v>
      </c>
      <c r="Y31" s="97">
        <v>4200000</v>
      </c>
      <c r="Z31" s="455" t="s">
        <v>418</v>
      </c>
      <c r="AA31" s="2398"/>
      <c r="AB31" s="2055"/>
      <c r="AC31" s="2057"/>
      <c r="AD31" s="2057"/>
      <c r="AE31" s="2057"/>
      <c r="AF31" s="2057"/>
      <c r="AG31" s="2057"/>
      <c r="AH31" s="2057"/>
      <c r="AI31" s="2057"/>
      <c r="AJ31" s="2057"/>
      <c r="AK31" s="2057"/>
      <c r="AL31" s="2057"/>
      <c r="AM31" s="2057"/>
      <c r="AN31" s="2057"/>
      <c r="AO31" s="2057"/>
      <c r="AP31" s="2057"/>
      <c r="AQ31" s="2057"/>
      <c r="AR31" s="2057"/>
      <c r="AS31" s="2057"/>
      <c r="AT31" s="2293"/>
      <c r="AU31" s="2293"/>
      <c r="AV31" s="2395"/>
    </row>
    <row r="32" spans="1:48" ht="75" customHeight="1" x14ac:dyDescent="0.25">
      <c r="A32" s="2424"/>
      <c r="B32" s="2425"/>
      <c r="C32" s="2134"/>
      <c r="D32" s="2110"/>
      <c r="E32" s="2134"/>
      <c r="F32" s="2110"/>
      <c r="G32" s="2401"/>
      <c r="H32" s="2405"/>
      <c r="I32" s="2401"/>
      <c r="J32" s="2405"/>
      <c r="K32" s="2401"/>
      <c r="L32" s="2119"/>
      <c r="M32" s="2401"/>
      <c r="N32" s="2119"/>
      <c r="O32" s="2109"/>
      <c r="P32" s="2109"/>
      <c r="Q32" s="2305"/>
      <c r="R32" s="2406"/>
      <c r="S32" s="2344"/>
      <c r="T32" s="2305"/>
      <c r="U32" s="2305"/>
      <c r="V32" s="2059" t="s">
        <v>427</v>
      </c>
      <c r="W32" s="97">
        <v>10000000</v>
      </c>
      <c r="X32" s="97">
        <v>0</v>
      </c>
      <c r="Y32" s="97">
        <v>0</v>
      </c>
      <c r="Z32" s="455" t="s">
        <v>428</v>
      </c>
      <c r="AA32" s="2398"/>
      <c r="AB32" s="2055"/>
      <c r="AC32" s="2057"/>
      <c r="AD32" s="2057"/>
      <c r="AE32" s="2057"/>
      <c r="AF32" s="2057"/>
      <c r="AG32" s="2057"/>
      <c r="AH32" s="2057"/>
      <c r="AI32" s="2057"/>
      <c r="AJ32" s="2057"/>
      <c r="AK32" s="2057"/>
      <c r="AL32" s="2057"/>
      <c r="AM32" s="2057"/>
      <c r="AN32" s="2057"/>
      <c r="AO32" s="2057"/>
      <c r="AP32" s="2057"/>
      <c r="AQ32" s="2057"/>
      <c r="AR32" s="2057"/>
      <c r="AS32" s="2057"/>
      <c r="AT32" s="2293"/>
      <c r="AU32" s="2293"/>
      <c r="AV32" s="2395"/>
    </row>
    <row r="33" spans="1:48" ht="45.75" customHeight="1" x14ac:dyDescent="0.25">
      <c r="A33" s="2424"/>
      <c r="B33" s="2425"/>
      <c r="C33" s="2134"/>
      <c r="D33" s="2110"/>
      <c r="E33" s="2134"/>
      <c r="F33" s="2110"/>
      <c r="G33" s="2401"/>
      <c r="H33" s="2405"/>
      <c r="I33" s="2401"/>
      <c r="J33" s="2405"/>
      <c r="K33" s="2401"/>
      <c r="L33" s="2119"/>
      <c r="M33" s="2401"/>
      <c r="N33" s="2119"/>
      <c r="O33" s="2109"/>
      <c r="P33" s="2109"/>
      <c r="Q33" s="2305"/>
      <c r="R33" s="2406"/>
      <c r="S33" s="2344"/>
      <c r="T33" s="2305"/>
      <c r="U33" s="2305"/>
      <c r="V33" s="2397"/>
      <c r="W33" s="97">
        <v>50000000</v>
      </c>
      <c r="X33" s="97"/>
      <c r="Y33" s="97"/>
      <c r="Z33" s="455" t="s">
        <v>429</v>
      </c>
      <c r="AA33" s="2398"/>
      <c r="AB33" s="2055"/>
      <c r="AC33" s="2057"/>
      <c r="AD33" s="2057"/>
      <c r="AE33" s="2057"/>
      <c r="AF33" s="2057"/>
      <c r="AG33" s="2057"/>
      <c r="AH33" s="2057"/>
      <c r="AI33" s="2057"/>
      <c r="AJ33" s="2057"/>
      <c r="AK33" s="2057"/>
      <c r="AL33" s="2057"/>
      <c r="AM33" s="2057"/>
      <c r="AN33" s="2057"/>
      <c r="AO33" s="2057"/>
      <c r="AP33" s="2057"/>
      <c r="AQ33" s="2057"/>
      <c r="AR33" s="2057"/>
      <c r="AS33" s="2057"/>
      <c r="AT33" s="2293"/>
      <c r="AU33" s="2293"/>
      <c r="AV33" s="2395"/>
    </row>
    <row r="34" spans="1:48" ht="27.75" customHeight="1" x14ac:dyDescent="0.25">
      <c r="A34" s="2424"/>
      <c r="B34" s="2425"/>
      <c r="C34" s="2134"/>
      <c r="D34" s="2110"/>
      <c r="E34" s="2134"/>
      <c r="F34" s="2110"/>
      <c r="G34" s="2401"/>
      <c r="H34" s="2405"/>
      <c r="I34" s="2401"/>
      <c r="J34" s="2405"/>
      <c r="K34" s="2401"/>
      <c r="L34" s="2119"/>
      <c r="M34" s="2401"/>
      <c r="N34" s="2119"/>
      <c r="O34" s="2109"/>
      <c r="P34" s="2109"/>
      <c r="Q34" s="2305"/>
      <c r="R34" s="2406"/>
      <c r="S34" s="2344"/>
      <c r="T34" s="2305"/>
      <c r="U34" s="2305"/>
      <c r="V34" s="2397"/>
      <c r="W34" s="97">
        <v>40000000</v>
      </c>
      <c r="X34" s="97"/>
      <c r="Y34" s="97"/>
      <c r="Z34" s="455" t="s">
        <v>430</v>
      </c>
      <c r="AA34" s="2398"/>
      <c r="AB34" s="2055"/>
      <c r="AC34" s="2057"/>
      <c r="AD34" s="2057"/>
      <c r="AE34" s="2057"/>
      <c r="AF34" s="2057"/>
      <c r="AG34" s="2057"/>
      <c r="AH34" s="2057"/>
      <c r="AI34" s="2057"/>
      <c r="AJ34" s="2057"/>
      <c r="AK34" s="2057"/>
      <c r="AL34" s="2057"/>
      <c r="AM34" s="2057"/>
      <c r="AN34" s="2057"/>
      <c r="AO34" s="2057"/>
      <c r="AP34" s="2057"/>
      <c r="AQ34" s="2057"/>
      <c r="AR34" s="2057"/>
      <c r="AS34" s="2057"/>
      <c r="AT34" s="2293"/>
      <c r="AU34" s="2293"/>
      <c r="AV34" s="2395"/>
    </row>
    <row r="35" spans="1:48" ht="32.25" customHeight="1" x14ac:dyDescent="0.25">
      <c r="A35" s="2424"/>
      <c r="B35" s="2425"/>
      <c r="C35" s="2134"/>
      <c r="D35" s="2110"/>
      <c r="E35" s="2134"/>
      <c r="F35" s="2110"/>
      <c r="G35" s="2401"/>
      <c r="H35" s="2405"/>
      <c r="I35" s="2401"/>
      <c r="J35" s="2405"/>
      <c r="K35" s="2401"/>
      <c r="L35" s="2119"/>
      <c r="M35" s="2401"/>
      <c r="N35" s="2119"/>
      <c r="O35" s="2109"/>
      <c r="P35" s="2109"/>
      <c r="Q35" s="2305"/>
      <c r="R35" s="2406"/>
      <c r="S35" s="2344"/>
      <c r="T35" s="2305"/>
      <c r="U35" s="2305"/>
      <c r="V35" s="2203"/>
      <c r="W35" s="97">
        <v>50000000</v>
      </c>
      <c r="X35" s="97"/>
      <c r="Y35" s="97"/>
      <c r="Z35" s="455" t="s">
        <v>431</v>
      </c>
      <c r="AA35" s="2398"/>
      <c r="AB35" s="2055"/>
      <c r="AC35" s="2057"/>
      <c r="AD35" s="2057"/>
      <c r="AE35" s="2057"/>
      <c r="AF35" s="2057"/>
      <c r="AG35" s="2057"/>
      <c r="AH35" s="2057"/>
      <c r="AI35" s="2057"/>
      <c r="AJ35" s="2057"/>
      <c r="AK35" s="2057"/>
      <c r="AL35" s="2057"/>
      <c r="AM35" s="2057"/>
      <c r="AN35" s="2057"/>
      <c r="AO35" s="2057"/>
      <c r="AP35" s="2057"/>
      <c r="AQ35" s="2057"/>
      <c r="AR35" s="2057"/>
      <c r="AS35" s="2057"/>
      <c r="AT35" s="2293"/>
      <c r="AU35" s="2293"/>
      <c r="AV35" s="2395"/>
    </row>
    <row r="36" spans="1:48" ht="45" x14ac:dyDescent="0.25">
      <c r="A36" s="2424"/>
      <c r="B36" s="2425"/>
      <c r="C36" s="2134"/>
      <c r="D36" s="2110"/>
      <c r="E36" s="2134"/>
      <c r="F36" s="2110"/>
      <c r="G36" s="2401"/>
      <c r="H36" s="2405"/>
      <c r="I36" s="2401"/>
      <c r="J36" s="2405"/>
      <c r="K36" s="2401"/>
      <c r="L36" s="2119"/>
      <c r="M36" s="2401"/>
      <c r="N36" s="2119"/>
      <c r="O36" s="2109"/>
      <c r="P36" s="2109"/>
      <c r="Q36" s="2305"/>
      <c r="R36" s="2406"/>
      <c r="S36" s="2344"/>
      <c r="T36" s="2305"/>
      <c r="U36" s="2305"/>
      <c r="V36" s="335" t="s">
        <v>432</v>
      </c>
      <c r="W36" s="97">
        <v>43257220</v>
      </c>
      <c r="X36" s="97"/>
      <c r="Y36" s="97"/>
      <c r="Z36" s="455" t="s">
        <v>433</v>
      </c>
      <c r="AA36" s="2398"/>
      <c r="AB36" s="2055"/>
      <c r="AC36" s="2057"/>
      <c r="AD36" s="2057"/>
      <c r="AE36" s="2057"/>
      <c r="AF36" s="2057"/>
      <c r="AG36" s="2057"/>
      <c r="AH36" s="2057"/>
      <c r="AI36" s="2057"/>
      <c r="AJ36" s="2057"/>
      <c r="AK36" s="2057"/>
      <c r="AL36" s="2057"/>
      <c r="AM36" s="2057"/>
      <c r="AN36" s="2057"/>
      <c r="AO36" s="2057"/>
      <c r="AP36" s="2057"/>
      <c r="AQ36" s="2057"/>
      <c r="AR36" s="2057"/>
      <c r="AS36" s="2057"/>
      <c r="AT36" s="2293"/>
      <c r="AU36" s="2293"/>
      <c r="AV36" s="2395"/>
    </row>
    <row r="37" spans="1:48" ht="75" customHeight="1" x14ac:dyDescent="0.25">
      <c r="A37" s="2424"/>
      <c r="B37" s="2425"/>
      <c r="C37" s="2134"/>
      <c r="D37" s="2110"/>
      <c r="E37" s="2134"/>
      <c r="F37" s="2110"/>
      <c r="G37" s="2401"/>
      <c r="H37" s="2405"/>
      <c r="I37" s="2401"/>
      <c r="J37" s="2405"/>
      <c r="K37" s="2401"/>
      <c r="L37" s="2119"/>
      <c r="M37" s="2401"/>
      <c r="N37" s="2119"/>
      <c r="O37" s="2109"/>
      <c r="P37" s="2109"/>
      <c r="Q37" s="2305"/>
      <c r="R37" s="2406"/>
      <c r="S37" s="2344"/>
      <c r="T37" s="2305"/>
      <c r="U37" s="2305"/>
      <c r="V37" s="335" t="s">
        <v>434</v>
      </c>
      <c r="W37" s="97">
        <v>1260000000</v>
      </c>
      <c r="X37" s="97"/>
      <c r="Y37" s="97"/>
      <c r="Z37" s="455" t="s">
        <v>418</v>
      </c>
      <c r="AA37" s="2398"/>
      <c r="AB37" s="2055"/>
      <c r="AC37" s="2057"/>
      <c r="AD37" s="2057"/>
      <c r="AE37" s="2057"/>
      <c r="AF37" s="2057"/>
      <c r="AG37" s="2057"/>
      <c r="AH37" s="2057"/>
      <c r="AI37" s="2057"/>
      <c r="AJ37" s="2057"/>
      <c r="AK37" s="2057"/>
      <c r="AL37" s="2057"/>
      <c r="AM37" s="2057"/>
      <c r="AN37" s="2057"/>
      <c r="AO37" s="2057"/>
      <c r="AP37" s="2057"/>
      <c r="AQ37" s="2057"/>
      <c r="AR37" s="2057"/>
      <c r="AS37" s="2057"/>
      <c r="AT37" s="2293"/>
      <c r="AU37" s="2293"/>
      <c r="AV37" s="2395"/>
    </row>
    <row r="38" spans="1:48" ht="45" x14ac:dyDescent="0.25">
      <c r="A38" s="2424"/>
      <c r="B38" s="2425"/>
      <c r="C38" s="2134"/>
      <c r="D38" s="2110"/>
      <c r="E38" s="2134"/>
      <c r="F38" s="2110"/>
      <c r="G38" s="2401"/>
      <c r="H38" s="2405"/>
      <c r="I38" s="2401"/>
      <c r="J38" s="2405"/>
      <c r="K38" s="2401"/>
      <c r="L38" s="2119"/>
      <c r="M38" s="2401"/>
      <c r="N38" s="2119"/>
      <c r="O38" s="2109"/>
      <c r="P38" s="2109"/>
      <c r="Q38" s="2305"/>
      <c r="R38" s="2406"/>
      <c r="S38" s="2344"/>
      <c r="T38" s="2305"/>
      <c r="U38" s="2305"/>
      <c r="V38" s="115" t="s">
        <v>435</v>
      </c>
      <c r="W38" s="97">
        <v>140000000</v>
      </c>
      <c r="X38" s="97"/>
      <c r="Y38" s="97"/>
      <c r="Z38" s="455" t="s">
        <v>418</v>
      </c>
      <c r="AA38" s="2398"/>
      <c r="AB38" s="2055"/>
      <c r="AC38" s="2057"/>
      <c r="AD38" s="2057"/>
      <c r="AE38" s="2057"/>
      <c r="AF38" s="2057"/>
      <c r="AG38" s="2057"/>
      <c r="AH38" s="2057"/>
      <c r="AI38" s="2057"/>
      <c r="AJ38" s="2057"/>
      <c r="AK38" s="2057"/>
      <c r="AL38" s="2057"/>
      <c r="AM38" s="2057"/>
      <c r="AN38" s="2057"/>
      <c r="AO38" s="2057"/>
      <c r="AP38" s="2057"/>
      <c r="AQ38" s="2057"/>
      <c r="AR38" s="2057"/>
      <c r="AS38" s="2057"/>
      <c r="AT38" s="2293"/>
      <c r="AU38" s="2293"/>
      <c r="AV38" s="2395"/>
    </row>
    <row r="39" spans="1:48" ht="60" x14ac:dyDescent="0.25">
      <c r="A39" s="2424"/>
      <c r="B39" s="2425"/>
      <c r="C39" s="2135"/>
      <c r="D39" s="2334"/>
      <c r="E39" s="2135"/>
      <c r="F39" s="2334"/>
      <c r="G39" s="2401"/>
      <c r="H39" s="2405"/>
      <c r="I39" s="2401"/>
      <c r="J39" s="2405"/>
      <c r="K39" s="2401"/>
      <c r="L39" s="2119"/>
      <c r="M39" s="2401"/>
      <c r="N39" s="2119"/>
      <c r="O39" s="2109"/>
      <c r="P39" s="2109"/>
      <c r="Q39" s="2305"/>
      <c r="R39" s="2406"/>
      <c r="S39" s="2344"/>
      <c r="T39" s="2305"/>
      <c r="U39" s="2305"/>
      <c r="V39" s="73" t="s">
        <v>436</v>
      </c>
      <c r="W39" s="97">
        <v>60000000</v>
      </c>
      <c r="X39" s="97">
        <v>19500000</v>
      </c>
      <c r="Y39" s="97">
        <v>17500000</v>
      </c>
      <c r="Z39" s="455" t="s">
        <v>418</v>
      </c>
      <c r="AA39" s="2398"/>
      <c r="AB39" s="2055"/>
      <c r="AC39" s="2057"/>
      <c r="AD39" s="2057"/>
      <c r="AE39" s="2057"/>
      <c r="AF39" s="2057"/>
      <c r="AG39" s="2057"/>
      <c r="AH39" s="2057"/>
      <c r="AI39" s="2057"/>
      <c r="AJ39" s="2057"/>
      <c r="AK39" s="2057"/>
      <c r="AL39" s="2057"/>
      <c r="AM39" s="2057"/>
      <c r="AN39" s="2057"/>
      <c r="AO39" s="2057"/>
      <c r="AP39" s="2057"/>
      <c r="AQ39" s="2057"/>
      <c r="AR39" s="2057"/>
      <c r="AS39" s="2057"/>
      <c r="AT39" s="2293"/>
      <c r="AU39" s="2293"/>
      <c r="AV39" s="2396"/>
    </row>
    <row r="40" spans="1:48" ht="15.75" x14ac:dyDescent="0.25">
      <c r="A40" s="2424"/>
      <c r="B40" s="2425"/>
      <c r="C40" s="459">
        <v>33</v>
      </c>
      <c r="D40" s="2303" t="s">
        <v>437</v>
      </c>
      <c r="E40" s="2303"/>
      <c r="F40" s="2303"/>
      <c r="G40" s="2303"/>
      <c r="H40" s="2303"/>
      <c r="I40" s="2303"/>
      <c r="J40" s="2303"/>
      <c r="K40" s="2303"/>
      <c r="L40" s="2303"/>
      <c r="M40" s="2303"/>
      <c r="N40" s="2303"/>
      <c r="O40" s="462"/>
      <c r="P40" s="462"/>
      <c r="Q40" s="463"/>
      <c r="R40" s="480"/>
      <c r="S40" s="481"/>
      <c r="T40" s="463"/>
      <c r="U40" s="463"/>
      <c r="V40" s="484"/>
      <c r="W40" s="468"/>
      <c r="X40" s="468"/>
      <c r="Y40" s="468"/>
      <c r="Z40" s="469"/>
      <c r="AA40" s="470"/>
      <c r="AB40" s="463"/>
      <c r="AC40" s="462"/>
      <c r="AD40" s="462"/>
      <c r="AE40" s="462"/>
      <c r="AF40" s="462"/>
      <c r="AG40" s="462"/>
      <c r="AH40" s="462"/>
      <c r="AI40" s="462"/>
      <c r="AJ40" s="462"/>
      <c r="AK40" s="462"/>
      <c r="AL40" s="462"/>
      <c r="AM40" s="462"/>
      <c r="AN40" s="462"/>
      <c r="AO40" s="462"/>
      <c r="AP40" s="462"/>
      <c r="AQ40" s="462"/>
      <c r="AR40" s="462"/>
      <c r="AS40" s="462"/>
      <c r="AT40" s="472"/>
      <c r="AU40" s="472"/>
      <c r="AV40" s="485"/>
    </row>
    <row r="41" spans="1:48" s="3" customFormat="1" ht="15.75" x14ac:dyDescent="0.25">
      <c r="A41" s="2424"/>
      <c r="B41" s="2425"/>
      <c r="C41" s="2332"/>
      <c r="D41" s="2333"/>
      <c r="E41" s="561">
        <v>3301</v>
      </c>
      <c r="F41" s="2304" t="s">
        <v>438</v>
      </c>
      <c r="G41" s="2304"/>
      <c r="H41" s="2304"/>
      <c r="I41" s="2304"/>
      <c r="J41" s="2304"/>
      <c r="K41" s="2304"/>
      <c r="L41" s="2304"/>
      <c r="M41" s="2304"/>
      <c r="N41" s="327"/>
      <c r="O41" s="206"/>
      <c r="P41" s="206"/>
      <c r="Q41" s="327"/>
      <c r="R41" s="204"/>
      <c r="S41" s="326"/>
      <c r="T41" s="327"/>
      <c r="U41" s="327"/>
      <c r="V41" s="327"/>
      <c r="W41" s="473"/>
      <c r="X41" s="473"/>
      <c r="Y41" s="473"/>
      <c r="Z41" s="64"/>
      <c r="AA41" s="209"/>
      <c r="AB41" s="327"/>
      <c r="AC41" s="206"/>
      <c r="AD41" s="206"/>
      <c r="AE41" s="206"/>
      <c r="AF41" s="206"/>
      <c r="AG41" s="206"/>
      <c r="AH41" s="206"/>
      <c r="AI41" s="206"/>
      <c r="AJ41" s="206"/>
      <c r="AK41" s="206"/>
      <c r="AL41" s="206"/>
      <c r="AM41" s="206"/>
      <c r="AN41" s="206"/>
      <c r="AO41" s="206"/>
      <c r="AP41" s="206"/>
      <c r="AQ41" s="206"/>
      <c r="AR41" s="206"/>
      <c r="AS41" s="206"/>
      <c r="AT41" s="206"/>
      <c r="AU41" s="206"/>
      <c r="AV41" s="327"/>
    </row>
    <row r="42" spans="1:48" ht="135" customHeight="1" x14ac:dyDescent="0.25">
      <c r="A42" s="2424"/>
      <c r="B42" s="2425"/>
      <c r="C42" s="2134"/>
      <c r="D42" s="2110"/>
      <c r="E42" s="2335"/>
      <c r="F42" s="2336"/>
      <c r="G42" s="2389" t="s">
        <v>439</v>
      </c>
      <c r="H42" s="2390" t="s">
        <v>440</v>
      </c>
      <c r="I42" s="2389" t="s">
        <v>439</v>
      </c>
      <c r="J42" s="2391" t="s">
        <v>440</v>
      </c>
      <c r="K42" s="2287" t="s">
        <v>441</v>
      </c>
      <c r="L42" s="2284" t="s">
        <v>442</v>
      </c>
      <c r="M42" s="2287" t="s">
        <v>441</v>
      </c>
      <c r="N42" s="2284" t="s">
        <v>442</v>
      </c>
      <c r="O42" s="2154">
        <v>2</v>
      </c>
      <c r="P42" s="2154" t="s">
        <v>443</v>
      </c>
      <c r="Q42" s="2144" t="s">
        <v>444</v>
      </c>
      <c r="R42" s="2386">
        <f>SUM(W42:W48)/S42</f>
        <v>1</v>
      </c>
      <c r="S42" s="2364">
        <f>SUM(W42:W48)</f>
        <v>90000000</v>
      </c>
      <c r="T42" s="2144" t="s">
        <v>445</v>
      </c>
      <c r="U42" s="2367" t="s">
        <v>446</v>
      </c>
      <c r="V42" s="82" t="s">
        <v>447</v>
      </c>
      <c r="W42" s="97">
        <v>10000000</v>
      </c>
      <c r="X42" s="97">
        <v>7200000</v>
      </c>
      <c r="Y42" s="97">
        <v>2550000</v>
      </c>
      <c r="Z42" s="455" t="s">
        <v>448</v>
      </c>
      <c r="AA42" s="2312" t="s">
        <v>403</v>
      </c>
      <c r="AB42" s="2154" t="s">
        <v>404</v>
      </c>
      <c r="AC42" s="2058">
        <v>295972</v>
      </c>
      <c r="AD42" s="2058">
        <v>285580</v>
      </c>
      <c r="AE42" s="2058">
        <v>135545</v>
      </c>
      <c r="AF42" s="2058">
        <v>44254</v>
      </c>
      <c r="AG42" s="2058">
        <v>309146</v>
      </c>
      <c r="AH42" s="2058">
        <v>92607</v>
      </c>
      <c r="AI42" s="2058">
        <v>2145</v>
      </c>
      <c r="AJ42" s="2058">
        <v>12718</v>
      </c>
      <c r="AK42" s="2058">
        <v>26</v>
      </c>
      <c r="AL42" s="2058">
        <v>37</v>
      </c>
      <c r="AM42" s="2058">
        <v>0</v>
      </c>
      <c r="AN42" s="2058">
        <v>0</v>
      </c>
      <c r="AO42" s="2058">
        <v>44350</v>
      </c>
      <c r="AP42" s="2058">
        <v>21944</v>
      </c>
      <c r="AQ42" s="2058"/>
      <c r="AR42" s="2058">
        <v>75687</v>
      </c>
      <c r="AS42" s="2058">
        <v>581552</v>
      </c>
      <c r="AT42" s="2309">
        <v>44197</v>
      </c>
      <c r="AU42" s="2309">
        <v>44561</v>
      </c>
      <c r="AV42" s="2383" t="s">
        <v>388</v>
      </c>
    </row>
    <row r="43" spans="1:48" ht="60" x14ac:dyDescent="0.25">
      <c r="A43" s="2424"/>
      <c r="B43" s="2425"/>
      <c r="C43" s="2134"/>
      <c r="D43" s="2110"/>
      <c r="E43" s="2337"/>
      <c r="F43" s="2338"/>
      <c r="G43" s="2389"/>
      <c r="H43" s="2390"/>
      <c r="I43" s="2389"/>
      <c r="J43" s="2392"/>
      <c r="K43" s="2288"/>
      <c r="L43" s="2285"/>
      <c r="M43" s="2288"/>
      <c r="N43" s="2285"/>
      <c r="O43" s="2128"/>
      <c r="P43" s="2128"/>
      <c r="Q43" s="2145"/>
      <c r="R43" s="2387"/>
      <c r="S43" s="2365"/>
      <c r="T43" s="2145"/>
      <c r="U43" s="2368"/>
      <c r="V43" s="488" t="s">
        <v>449</v>
      </c>
      <c r="W43" s="97">
        <v>10000000</v>
      </c>
      <c r="X43" s="97">
        <v>2500000</v>
      </c>
      <c r="Y43" s="97">
        <v>0</v>
      </c>
      <c r="Z43" s="455" t="s">
        <v>448</v>
      </c>
      <c r="AA43" s="2313"/>
      <c r="AB43" s="2128"/>
      <c r="AC43" s="2169"/>
      <c r="AD43" s="2169"/>
      <c r="AE43" s="2169"/>
      <c r="AF43" s="2169"/>
      <c r="AG43" s="2169"/>
      <c r="AH43" s="2169"/>
      <c r="AI43" s="2169"/>
      <c r="AJ43" s="2169"/>
      <c r="AK43" s="2169"/>
      <c r="AL43" s="2169"/>
      <c r="AM43" s="2169"/>
      <c r="AN43" s="2169"/>
      <c r="AO43" s="2169"/>
      <c r="AP43" s="2169"/>
      <c r="AQ43" s="2169"/>
      <c r="AR43" s="2169"/>
      <c r="AS43" s="2169"/>
      <c r="AT43" s="2310"/>
      <c r="AU43" s="2310"/>
      <c r="AV43" s="2384"/>
    </row>
    <row r="44" spans="1:48" ht="60" customHeight="1" x14ac:dyDescent="0.25">
      <c r="A44" s="2424"/>
      <c r="B44" s="2425"/>
      <c r="C44" s="2134"/>
      <c r="D44" s="2110"/>
      <c r="E44" s="2337"/>
      <c r="F44" s="2338"/>
      <c r="G44" s="2389"/>
      <c r="H44" s="2390"/>
      <c r="I44" s="2389"/>
      <c r="J44" s="2392"/>
      <c r="K44" s="2288"/>
      <c r="L44" s="2285"/>
      <c r="M44" s="2288"/>
      <c r="N44" s="2285"/>
      <c r="O44" s="2128"/>
      <c r="P44" s="2128"/>
      <c r="Q44" s="2145"/>
      <c r="R44" s="2387"/>
      <c r="S44" s="2365"/>
      <c r="T44" s="2145"/>
      <c r="U44" s="2368"/>
      <c r="V44" s="2193" t="s">
        <v>450</v>
      </c>
      <c r="W44" s="97">
        <v>3000000</v>
      </c>
      <c r="X44" s="97">
        <v>0</v>
      </c>
      <c r="Y44" s="97">
        <v>0</v>
      </c>
      <c r="Z44" s="455" t="s">
        <v>451</v>
      </c>
      <c r="AA44" s="2313"/>
      <c r="AB44" s="2128"/>
      <c r="AC44" s="2169"/>
      <c r="AD44" s="2169"/>
      <c r="AE44" s="2169"/>
      <c r="AF44" s="2169"/>
      <c r="AG44" s="2169"/>
      <c r="AH44" s="2169"/>
      <c r="AI44" s="2169"/>
      <c r="AJ44" s="2169"/>
      <c r="AK44" s="2169"/>
      <c r="AL44" s="2169"/>
      <c r="AM44" s="2169"/>
      <c r="AN44" s="2169"/>
      <c r="AO44" s="2169"/>
      <c r="AP44" s="2169"/>
      <c r="AQ44" s="2169"/>
      <c r="AR44" s="2169"/>
      <c r="AS44" s="2169"/>
      <c r="AT44" s="2310"/>
      <c r="AU44" s="2310"/>
      <c r="AV44" s="2384"/>
    </row>
    <row r="45" spans="1:48" ht="30.75" customHeight="1" x14ac:dyDescent="0.25">
      <c r="A45" s="2424"/>
      <c r="B45" s="2425"/>
      <c r="C45" s="2134"/>
      <c r="D45" s="2110"/>
      <c r="E45" s="2337"/>
      <c r="F45" s="2338"/>
      <c r="G45" s="2389"/>
      <c r="H45" s="2390"/>
      <c r="I45" s="2389"/>
      <c r="J45" s="2392"/>
      <c r="K45" s="2288"/>
      <c r="L45" s="2285"/>
      <c r="M45" s="2288"/>
      <c r="N45" s="2285"/>
      <c r="O45" s="2128"/>
      <c r="P45" s="2128"/>
      <c r="Q45" s="2145"/>
      <c r="R45" s="2387"/>
      <c r="S45" s="2365"/>
      <c r="T45" s="2145"/>
      <c r="U45" s="2368"/>
      <c r="V45" s="2142"/>
      <c r="W45" s="97">
        <v>5000000</v>
      </c>
      <c r="X45" s="97"/>
      <c r="Y45" s="97"/>
      <c r="Z45" s="455" t="s">
        <v>452</v>
      </c>
      <c r="AA45" s="2313"/>
      <c r="AB45" s="2128"/>
      <c r="AC45" s="2169"/>
      <c r="AD45" s="2169"/>
      <c r="AE45" s="2169"/>
      <c r="AF45" s="2169"/>
      <c r="AG45" s="2169"/>
      <c r="AH45" s="2169"/>
      <c r="AI45" s="2169"/>
      <c r="AJ45" s="2169"/>
      <c r="AK45" s="2169"/>
      <c r="AL45" s="2169"/>
      <c r="AM45" s="2169"/>
      <c r="AN45" s="2169"/>
      <c r="AO45" s="2169"/>
      <c r="AP45" s="2169"/>
      <c r="AQ45" s="2169"/>
      <c r="AR45" s="2169"/>
      <c r="AS45" s="2169"/>
      <c r="AT45" s="2310"/>
      <c r="AU45" s="2310"/>
      <c r="AV45" s="2384"/>
    </row>
    <row r="46" spans="1:48" ht="29.25" customHeight="1" x14ac:dyDescent="0.25">
      <c r="A46" s="2424"/>
      <c r="B46" s="2425"/>
      <c r="C46" s="2134"/>
      <c r="D46" s="2110"/>
      <c r="E46" s="2337"/>
      <c r="F46" s="2338"/>
      <c r="G46" s="2389"/>
      <c r="H46" s="2390"/>
      <c r="I46" s="2389"/>
      <c r="J46" s="2392"/>
      <c r="K46" s="2288"/>
      <c r="L46" s="2285"/>
      <c r="M46" s="2288"/>
      <c r="N46" s="2285"/>
      <c r="O46" s="2128"/>
      <c r="P46" s="2128"/>
      <c r="Q46" s="2145"/>
      <c r="R46" s="2387"/>
      <c r="S46" s="2365"/>
      <c r="T46" s="2145"/>
      <c r="U46" s="2368"/>
      <c r="V46" s="2142"/>
      <c r="W46" s="97">
        <v>1500000</v>
      </c>
      <c r="X46" s="97"/>
      <c r="Y46" s="97"/>
      <c r="Z46" s="455" t="s">
        <v>453</v>
      </c>
      <c r="AA46" s="2313"/>
      <c r="AB46" s="2128"/>
      <c r="AC46" s="2169"/>
      <c r="AD46" s="2169"/>
      <c r="AE46" s="2169"/>
      <c r="AF46" s="2169"/>
      <c r="AG46" s="2169"/>
      <c r="AH46" s="2169"/>
      <c r="AI46" s="2169"/>
      <c r="AJ46" s="2169"/>
      <c r="AK46" s="2169"/>
      <c r="AL46" s="2169"/>
      <c r="AM46" s="2169"/>
      <c r="AN46" s="2169"/>
      <c r="AO46" s="2169"/>
      <c r="AP46" s="2169"/>
      <c r="AQ46" s="2169"/>
      <c r="AR46" s="2169"/>
      <c r="AS46" s="2169"/>
      <c r="AT46" s="2310"/>
      <c r="AU46" s="2310"/>
      <c r="AV46" s="2384"/>
    </row>
    <row r="47" spans="1:48" ht="30" customHeight="1" x14ac:dyDescent="0.25">
      <c r="A47" s="2424"/>
      <c r="B47" s="2425"/>
      <c r="C47" s="2134"/>
      <c r="D47" s="2110"/>
      <c r="E47" s="2337"/>
      <c r="F47" s="2338"/>
      <c r="G47" s="2389"/>
      <c r="H47" s="2390"/>
      <c r="I47" s="2389"/>
      <c r="J47" s="2392"/>
      <c r="K47" s="2288"/>
      <c r="L47" s="2285"/>
      <c r="M47" s="2288"/>
      <c r="N47" s="2285"/>
      <c r="O47" s="2128"/>
      <c r="P47" s="2128"/>
      <c r="Q47" s="2145"/>
      <c r="R47" s="2387"/>
      <c r="S47" s="2365"/>
      <c r="T47" s="2145"/>
      <c r="U47" s="2368"/>
      <c r="V47" s="2143"/>
      <c r="W47" s="97">
        <v>500000</v>
      </c>
      <c r="X47" s="97"/>
      <c r="Y47" s="97"/>
      <c r="Z47" s="455" t="s">
        <v>454</v>
      </c>
      <c r="AA47" s="2313"/>
      <c r="AB47" s="2128"/>
      <c r="AC47" s="2169"/>
      <c r="AD47" s="2169"/>
      <c r="AE47" s="2169"/>
      <c r="AF47" s="2169"/>
      <c r="AG47" s="2169"/>
      <c r="AH47" s="2169"/>
      <c r="AI47" s="2169"/>
      <c r="AJ47" s="2169"/>
      <c r="AK47" s="2169"/>
      <c r="AL47" s="2169"/>
      <c r="AM47" s="2169"/>
      <c r="AN47" s="2169"/>
      <c r="AO47" s="2169"/>
      <c r="AP47" s="2169"/>
      <c r="AQ47" s="2169"/>
      <c r="AR47" s="2169"/>
      <c r="AS47" s="2169"/>
      <c r="AT47" s="2310"/>
      <c r="AU47" s="2310"/>
      <c r="AV47" s="2384"/>
    </row>
    <row r="48" spans="1:48" ht="75" x14ac:dyDescent="0.25">
      <c r="A48" s="2424"/>
      <c r="B48" s="2425"/>
      <c r="C48" s="2135"/>
      <c r="D48" s="2334"/>
      <c r="E48" s="2339"/>
      <c r="F48" s="2340"/>
      <c r="G48" s="2389"/>
      <c r="H48" s="2390"/>
      <c r="I48" s="2389"/>
      <c r="J48" s="2393"/>
      <c r="K48" s="2289"/>
      <c r="L48" s="2286"/>
      <c r="M48" s="2289"/>
      <c r="N48" s="2286"/>
      <c r="O48" s="2129"/>
      <c r="P48" s="2129"/>
      <c r="Q48" s="2146"/>
      <c r="R48" s="2388"/>
      <c r="S48" s="2366"/>
      <c r="T48" s="2146"/>
      <c r="U48" s="2369"/>
      <c r="V48" s="340" t="s">
        <v>455</v>
      </c>
      <c r="W48" s="97">
        <v>60000000</v>
      </c>
      <c r="X48" s="97"/>
      <c r="Y48" s="97"/>
      <c r="Z48" s="455" t="s">
        <v>456</v>
      </c>
      <c r="AA48" s="2314"/>
      <c r="AB48" s="2129"/>
      <c r="AC48" s="2170"/>
      <c r="AD48" s="2170"/>
      <c r="AE48" s="2170"/>
      <c r="AF48" s="2170"/>
      <c r="AG48" s="2170"/>
      <c r="AH48" s="2170"/>
      <c r="AI48" s="2170"/>
      <c r="AJ48" s="2170"/>
      <c r="AK48" s="2170"/>
      <c r="AL48" s="2170"/>
      <c r="AM48" s="2170"/>
      <c r="AN48" s="2170"/>
      <c r="AO48" s="2170"/>
      <c r="AP48" s="2170"/>
      <c r="AQ48" s="2170"/>
      <c r="AR48" s="2170"/>
      <c r="AS48" s="2170"/>
      <c r="AT48" s="2311"/>
      <c r="AU48" s="2311"/>
      <c r="AV48" s="2385"/>
    </row>
    <row r="49" spans="1:48" ht="15.75" x14ac:dyDescent="0.25">
      <c r="A49" s="2424"/>
      <c r="B49" s="2425"/>
      <c r="C49" s="459">
        <v>43</v>
      </c>
      <c r="D49" s="2377" t="s">
        <v>457</v>
      </c>
      <c r="E49" s="2378"/>
      <c r="F49" s="2378"/>
      <c r="G49" s="2378"/>
      <c r="H49" s="2378"/>
      <c r="I49" s="2378"/>
      <c r="J49" s="2378"/>
      <c r="K49" s="2379"/>
      <c r="L49" s="461"/>
      <c r="M49" s="460"/>
      <c r="N49" s="461"/>
      <c r="O49" s="462"/>
      <c r="P49" s="462"/>
      <c r="Q49" s="463"/>
      <c r="R49" s="480"/>
      <c r="S49" s="481"/>
      <c r="T49" s="463"/>
      <c r="U49" s="463"/>
      <c r="V49" s="484"/>
      <c r="W49" s="468"/>
      <c r="X49" s="468"/>
      <c r="Y49" s="468"/>
      <c r="Z49" s="469"/>
      <c r="AA49" s="470"/>
      <c r="AB49" s="463"/>
      <c r="AC49" s="462"/>
      <c r="AD49" s="462"/>
      <c r="AE49" s="462"/>
      <c r="AF49" s="462"/>
      <c r="AG49" s="462"/>
      <c r="AH49" s="462"/>
      <c r="AI49" s="462"/>
      <c r="AJ49" s="462"/>
      <c r="AK49" s="462"/>
      <c r="AL49" s="462"/>
      <c r="AM49" s="462"/>
      <c r="AN49" s="462"/>
      <c r="AO49" s="462"/>
      <c r="AP49" s="462"/>
      <c r="AQ49" s="462"/>
      <c r="AR49" s="462"/>
      <c r="AS49" s="462"/>
      <c r="AT49" s="472"/>
      <c r="AU49" s="472"/>
      <c r="AV49" s="466"/>
    </row>
    <row r="50" spans="1:48" s="3" customFormat="1" ht="15.75" x14ac:dyDescent="0.25">
      <c r="A50" s="2424"/>
      <c r="B50" s="2425"/>
      <c r="C50" s="2332"/>
      <c r="D50" s="2333"/>
      <c r="E50" s="206">
        <v>4301</v>
      </c>
      <c r="F50" s="199" t="s">
        <v>458</v>
      </c>
      <c r="G50" s="199"/>
      <c r="H50" s="327"/>
      <c r="I50" s="199"/>
      <c r="J50" s="327"/>
      <c r="K50" s="199"/>
      <c r="L50" s="327"/>
      <c r="M50" s="206"/>
      <c r="N50" s="327"/>
      <c r="O50" s="206"/>
      <c r="P50" s="206"/>
      <c r="Q50" s="327"/>
      <c r="R50" s="204"/>
      <c r="S50" s="326"/>
      <c r="T50" s="327"/>
      <c r="U50" s="327"/>
      <c r="V50" s="327"/>
      <c r="W50" s="473"/>
      <c r="X50" s="473"/>
      <c r="Y50" s="473"/>
      <c r="Z50" s="64"/>
      <c r="AA50" s="209"/>
      <c r="AB50" s="327"/>
      <c r="AC50" s="206"/>
      <c r="AD50" s="206"/>
      <c r="AE50" s="206"/>
      <c r="AF50" s="206"/>
      <c r="AG50" s="206"/>
      <c r="AH50" s="206"/>
      <c r="AI50" s="206"/>
      <c r="AJ50" s="206"/>
      <c r="AK50" s="206"/>
      <c r="AL50" s="206"/>
      <c r="AM50" s="206"/>
      <c r="AN50" s="206"/>
      <c r="AO50" s="206"/>
      <c r="AP50" s="206"/>
      <c r="AQ50" s="206"/>
      <c r="AR50" s="206"/>
      <c r="AS50" s="206"/>
      <c r="AT50" s="206"/>
      <c r="AU50" s="206"/>
      <c r="AV50" s="327"/>
    </row>
    <row r="51" spans="1:48" ht="36.75" customHeight="1" x14ac:dyDescent="0.25">
      <c r="A51" s="2424"/>
      <c r="B51" s="2425"/>
      <c r="C51" s="2134"/>
      <c r="D51" s="2110"/>
      <c r="E51" s="2332"/>
      <c r="F51" s="2333"/>
      <c r="G51" s="2374" t="s">
        <v>62</v>
      </c>
      <c r="H51" s="2297" t="s">
        <v>459</v>
      </c>
      <c r="I51" s="2374">
        <v>4301004</v>
      </c>
      <c r="J51" s="2297" t="s">
        <v>460</v>
      </c>
      <c r="K51" s="2380"/>
      <c r="L51" s="2297" t="s">
        <v>461</v>
      </c>
      <c r="M51" s="2374">
        <v>430100401</v>
      </c>
      <c r="N51" s="2297" t="s">
        <v>462</v>
      </c>
      <c r="O51" s="2154">
        <v>3</v>
      </c>
      <c r="P51" s="2154" t="s">
        <v>463</v>
      </c>
      <c r="Q51" s="2144" t="s">
        <v>464</v>
      </c>
      <c r="R51" s="2184">
        <f>SUM(W51:W72)/S51</f>
        <v>1</v>
      </c>
      <c r="S51" s="2364">
        <f>SUM(W51:W72)</f>
        <v>2885783074.3600001</v>
      </c>
      <c r="T51" s="2144" t="s">
        <v>465</v>
      </c>
      <c r="U51" s="2367" t="s">
        <v>466</v>
      </c>
      <c r="V51" s="2370" t="s">
        <v>432</v>
      </c>
      <c r="W51" s="85">
        <f>1096073375-1096073375</f>
        <v>0</v>
      </c>
      <c r="X51" s="454">
        <v>0</v>
      </c>
      <c r="Y51" s="454">
        <v>0</v>
      </c>
      <c r="Z51" s="455" t="s">
        <v>467</v>
      </c>
      <c r="AA51" s="2371" t="s">
        <v>468</v>
      </c>
      <c r="AB51" s="2058" t="s">
        <v>469</v>
      </c>
      <c r="AC51" s="2058">
        <v>295972</v>
      </c>
      <c r="AD51" s="2058">
        <v>285580</v>
      </c>
      <c r="AE51" s="2058">
        <v>135545</v>
      </c>
      <c r="AF51" s="2058">
        <v>44254</v>
      </c>
      <c r="AG51" s="2058">
        <v>309146</v>
      </c>
      <c r="AH51" s="2058">
        <v>92607</v>
      </c>
      <c r="AI51" s="2058">
        <v>2145</v>
      </c>
      <c r="AJ51" s="2058">
        <v>12718</v>
      </c>
      <c r="AK51" s="2058">
        <v>26</v>
      </c>
      <c r="AL51" s="2058">
        <v>37</v>
      </c>
      <c r="AM51" s="2058">
        <v>0</v>
      </c>
      <c r="AN51" s="2058">
        <v>0</v>
      </c>
      <c r="AO51" s="2058">
        <v>44350</v>
      </c>
      <c r="AP51" s="2058">
        <v>21944</v>
      </c>
      <c r="AQ51" s="2058"/>
      <c r="AR51" s="2058">
        <v>75687</v>
      </c>
      <c r="AS51" s="2058">
        <v>581552</v>
      </c>
      <c r="AT51" s="2309">
        <v>44197</v>
      </c>
      <c r="AU51" s="2309">
        <v>44561</v>
      </c>
      <c r="AV51" s="2294" t="s">
        <v>388</v>
      </c>
    </row>
    <row r="52" spans="1:48" ht="34.5" customHeight="1" x14ac:dyDescent="0.25">
      <c r="A52" s="2424"/>
      <c r="B52" s="2425"/>
      <c r="C52" s="2134"/>
      <c r="D52" s="2110"/>
      <c r="E52" s="2134"/>
      <c r="F52" s="2110"/>
      <c r="G52" s="2375"/>
      <c r="H52" s="2298"/>
      <c r="I52" s="2375"/>
      <c r="J52" s="2298"/>
      <c r="K52" s="2381"/>
      <c r="L52" s="2298"/>
      <c r="M52" s="2375"/>
      <c r="N52" s="2298"/>
      <c r="O52" s="2128"/>
      <c r="P52" s="2128"/>
      <c r="Q52" s="2145"/>
      <c r="R52" s="2315"/>
      <c r="S52" s="2365"/>
      <c r="T52" s="2145"/>
      <c r="U52" s="2368"/>
      <c r="V52" s="2370"/>
      <c r="W52" s="85">
        <v>60000000</v>
      </c>
      <c r="X52" s="454">
        <v>58666664</v>
      </c>
      <c r="Y52" s="454">
        <v>0</v>
      </c>
      <c r="Z52" s="455" t="s">
        <v>470</v>
      </c>
      <c r="AA52" s="2372"/>
      <c r="AB52" s="2169"/>
      <c r="AC52" s="2169"/>
      <c r="AD52" s="2169"/>
      <c r="AE52" s="2169"/>
      <c r="AF52" s="2169"/>
      <c r="AG52" s="2169"/>
      <c r="AH52" s="2169"/>
      <c r="AI52" s="2169"/>
      <c r="AJ52" s="2169"/>
      <c r="AK52" s="2169"/>
      <c r="AL52" s="2169"/>
      <c r="AM52" s="2169"/>
      <c r="AN52" s="2169"/>
      <c r="AO52" s="2169"/>
      <c r="AP52" s="2169"/>
      <c r="AQ52" s="2169"/>
      <c r="AR52" s="2169"/>
      <c r="AS52" s="2169"/>
      <c r="AT52" s="2310"/>
      <c r="AU52" s="2310"/>
      <c r="AV52" s="2295"/>
    </row>
    <row r="53" spans="1:48" ht="34.5" customHeight="1" x14ac:dyDescent="0.25">
      <c r="A53" s="2424"/>
      <c r="B53" s="2425"/>
      <c r="C53" s="2134"/>
      <c r="D53" s="2110"/>
      <c r="E53" s="2134"/>
      <c r="F53" s="2110"/>
      <c r="G53" s="2375"/>
      <c r="H53" s="2298"/>
      <c r="I53" s="2375"/>
      <c r="J53" s="2298"/>
      <c r="K53" s="2381"/>
      <c r="L53" s="2298"/>
      <c r="M53" s="2375"/>
      <c r="N53" s="2298"/>
      <c r="O53" s="2128"/>
      <c r="P53" s="2128"/>
      <c r="Q53" s="2145"/>
      <c r="R53" s="2315"/>
      <c r="S53" s="2365"/>
      <c r="T53" s="2145"/>
      <c r="U53" s="2368"/>
      <c r="V53" s="2141" t="s">
        <v>471</v>
      </c>
      <c r="W53" s="97">
        <f>300000000-300000000</f>
        <v>0</v>
      </c>
      <c r="X53" s="454">
        <v>0</v>
      </c>
      <c r="Y53" s="454">
        <v>0</v>
      </c>
      <c r="Z53" s="455" t="s">
        <v>467</v>
      </c>
      <c r="AA53" s="2372"/>
      <c r="AB53" s="2169"/>
      <c r="AC53" s="2169"/>
      <c r="AD53" s="2169"/>
      <c r="AE53" s="2169"/>
      <c r="AF53" s="2169"/>
      <c r="AG53" s="2169"/>
      <c r="AH53" s="2169"/>
      <c r="AI53" s="2169"/>
      <c r="AJ53" s="2169"/>
      <c r="AK53" s="2169"/>
      <c r="AL53" s="2169"/>
      <c r="AM53" s="2169"/>
      <c r="AN53" s="2169"/>
      <c r="AO53" s="2169"/>
      <c r="AP53" s="2169"/>
      <c r="AQ53" s="2169"/>
      <c r="AR53" s="2169"/>
      <c r="AS53" s="2169"/>
      <c r="AT53" s="2310"/>
      <c r="AU53" s="2310"/>
      <c r="AV53" s="2295"/>
    </row>
    <row r="54" spans="1:48" ht="38.25" customHeight="1" x14ac:dyDescent="0.25">
      <c r="A54" s="2424"/>
      <c r="B54" s="2425"/>
      <c r="C54" s="2134"/>
      <c r="D54" s="2110"/>
      <c r="E54" s="2134"/>
      <c r="F54" s="2110"/>
      <c r="G54" s="2375"/>
      <c r="H54" s="2298"/>
      <c r="I54" s="2375"/>
      <c r="J54" s="2298"/>
      <c r="K54" s="2381"/>
      <c r="L54" s="2298"/>
      <c r="M54" s="2375"/>
      <c r="N54" s="2298"/>
      <c r="O54" s="2128"/>
      <c r="P54" s="2128"/>
      <c r="Q54" s="2145"/>
      <c r="R54" s="2315"/>
      <c r="S54" s="2365"/>
      <c r="T54" s="2145"/>
      <c r="U54" s="2368"/>
      <c r="V54" s="2142"/>
      <c r="W54" s="97">
        <f>130000000-80000000</f>
        <v>50000000</v>
      </c>
      <c r="X54" s="454">
        <v>0</v>
      </c>
      <c r="Y54" s="454">
        <v>0</v>
      </c>
      <c r="Z54" s="455" t="s">
        <v>472</v>
      </c>
      <c r="AA54" s="2372"/>
      <c r="AB54" s="2169"/>
      <c r="AC54" s="2169"/>
      <c r="AD54" s="2169"/>
      <c r="AE54" s="2169"/>
      <c r="AF54" s="2169"/>
      <c r="AG54" s="2169"/>
      <c r="AH54" s="2169"/>
      <c r="AI54" s="2169"/>
      <c r="AJ54" s="2169"/>
      <c r="AK54" s="2169"/>
      <c r="AL54" s="2169"/>
      <c r="AM54" s="2169"/>
      <c r="AN54" s="2169"/>
      <c r="AO54" s="2169"/>
      <c r="AP54" s="2169"/>
      <c r="AQ54" s="2169"/>
      <c r="AR54" s="2169"/>
      <c r="AS54" s="2169"/>
      <c r="AT54" s="2310"/>
      <c r="AU54" s="2310"/>
      <c r="AV54" s="2295"/>
    </row>
    <row r="55" spans="1:48" ht="38.25" customHeight="1" x14ac:dyDescent="0.25">
      <c r="A55" s="2424"/>
      <c r="B55" s="2425"/>
      <c r="C55" s="2134"/>
      <c r="D55" s="2110"/>
      <c r="E55" s="2134"/>
      <c r="F55" s="2110"/>
      <c r="G55" s="2375"/>
      <c r="H55" s="2298"/>
      <c r="I55" s="2375"/>
      <c r="J55" s="2298"/>
      <c r="K55" s="2381"/>
      <c r="L55" s="2298"/>
      <c r="M55" s="2375"/>
      <c r="N55" s="2298"/>
      <c r="O55" s="2128"/>
      <c r="P55" s="2128"/>
      <c r="Q55" s="2145"/>
      <c r="R55" s="2315"/>
      <c r="S55" s="2365"/>
      <c r="T55" s="2145"/>
      <c r="U55" s="2368"/>
      <c r="V55" s="2142"/>
      <c r="W55" s="97">
        <v>20000000</v>
      </c>
      <c r="X55" s="454"/>
      <c r="Y55" s="454"/>
      <c r="Z55" s="455" t="s">
        <v>473</v>
      </c>
      <c r="AA55" s="2372"/>
      <c r="AB55" s="2169"/>
      <c r="AC55" s="2169"/>
      <c r="AD55" s="2169"/>
      <c r="AE55" s="2169"/>
      <c r="AF55" s="2169"/>
      <c r="AG55" s="2169"/>
      <c r="AH55" s="2169"/>
      <c r="AI55" s="2169"/>
      <c r="AJ55" s="2169"/>
      <c r="AK55" s="2169"/>
      <c r="AL55" s="2169"/>
      <c r="AM55" s="2169"/>
      <c r="AN55" s="2169"/>
      <c r="AO55" s="2169"/>
      <c r="AP55" s="2169"/>
      <c r="AQ55" s="2169"/>
      <c r="AR55" s="2169"/>
      <c r="AS55" s="2169"/>
      <c r="AT55" s="2310"/>
      <c r="AU55" s="2310"/>
      <c r="AV55" s="2295"/>
    </row>
    <row r="56" spans="1:48" ht="38.25" customHeight="1" x14ac:dyDescent="0.25">
      <c r="A56" s="2424"/>
      <c r="B56" s="2425"/>
      <c r="C56" s="2134"/>
      <c r="D56" s="2110"/>
      <c r="E56" s="2134"/>
      <c r="F56" s="2110"/>
      <c r="G56" s="2375"/>
      <c r="H56" s="2298"/>
      <c r="I56" s="2375"/>
      <c r="J56" s="2298"/>
      <c r="K56" s="2381"/>
      <c r="L56" s="2298"/>
      <c r="M56" s="2375"/>
      <c r="N56" s="2298"/>
      <c r="O56" s="2128"/>
      <c r="P56" s="2128"/>
      <c r="Q56" s="2145"/>
      <c r="R56" s="2315"/>
      <c r="S56" s="2365"/>
      <c r="T56" s="2145"/>
      <c r="U56" s="2368"/>
      <c r="V56" s="2142"/>
      <c r="W56" s="97">
        <v>30000000</v>
      </c>
      <c r="X56" s="454"/>
      <c r="Y56" s="454"/>
      <c r="Z56" s="455" t="s">
        <v>474</v>
      </c>
      <c r="AA56" s="2372"/>
      <c r="AB56" s="2169"/>
      <c r="AC56" s="2169"/>
      <c r="AD56" s="2169"/>
      <c r="AE56" s="2169"/>
      <c r="AF56" s="2169"/>
      <c r="AG56" s="2169"/>
      <c r="AH56" s="2169"/>
      <c r="AI56" s="2169"/>
      <c r="AJ56" s="2169"/>
      <c r="AK56" s="2169"/>
      <c r="AL56" s="2169"/>
      <c r="AM56" s="2169"/>
      <c r="AN56" s="2169"/>
      <c r="AO56" s="2169"/>
      <c r="AP56" s="2169"/>
      <c r="AQ56" s="2169"/>
      <c r="AR56" s="2169"/>
      <c r="AS56" s="2169"/>
      <c r="AT56" s="2310"/>
      <c r="AU56" s="2310"/>
      <c r="AV56" s="2295"/>
    </row>
    <row r="57" spans="1:48" ht="38.25" customHeight="1" x14ac:dyDescent="0.25">
      <c r="A57" s="2424"/>
      <c r="B57" s="2425"/>
      <c r="C57" s="2134"/>
      <c r="D57" s="2110"/>
      <c r="E57" s="2134"/>
      <c r="F57" s="2110"/>
      <c r="G57" s="2375"/>
      <c r="H57" s="2298"/>
      <c r="I57" s="2375"/>
      <c r="J57" s="2298"/>
      <c r="K57" s="2381"/>
      <c r="L57" s="2298"/>
      <c r="M57" s="2375"/>
      <c r="N57" s="2298"/>
      <c r="O57" s="2128"/>
      <c r="P57" s="2128"/>
      <c r="Q57" s="2145"/>
      <c r="R57" s="2315"/>
      <c r="S57" s="2365"/>
      <c r="T57" s="2145"/>
      <c r="U57" s="2368"/>
      <c r="V57" s="2143"/>
      <c r="W57" s="97">
        <v>30000000</v>
      </c>
      <c r="X57" s="85"/>
      <c r="Y57" s="85"/>
      <c r="Z57" s="455" t="s">
        <v>475</v>
      </c>
      <c r="AA57" s="2372"/>
      <c r="AB57" s="2169"/>
      <c r="AC57" s="2169"/>
      <c r="AD57" s="2169"/>
      <c r="AE57" s="2169"/>
      <c r="AF57" s="2169"/>
      <c r="AG57" s="2169"/>
      <c r="AH57" s="2169"/>
      <c r="AI57" s="2169"/>
      <c r="AJ57" s="2169"/>
      <c r="AK57" s="2169"/>
      <c r="AL57" s="2169"/>
      <c r="AM57" s="2169"/>
      <c r="AN57" s="2169"/>
      <c r="AO57" s="2169"/>
      <c r="AP57" s="2169"/>
      <c r="AQ57" s="2169"/>
      <c r="AR57" s="2169"/>
      <c r="AS57" s="2169"/>
      <c r="AT57" s="2310"/>
      <c r="AU57" s="2310"/>
      <c r="AV57" s="2295"/>
    </row>
    <row r="58" spans="1:48" ht="52.5" customHeight="1" x14ac:dyDescent="0.25">
      <c r="A58" s="2424"/>
      <c r="B58" s="2425"/>
      <c r="C58" s="2134"/>
      <c r="D58" s="2110"/>
      <c r="E58" s="2134"/>
      <c r="F58" s="2110"/>
      <c r="G58" s="2375"/>
      <c r="H58" s="2298"/>
      <c r="I58" s="2375"/>
      <c r="J58" s="2298"/>
      <c r="K58" s="2381"/>
      <c r="L58" s="2298"/>
      <c r="M58" s="2375"/>
      <c r="N58" s="2298"/>
      <c r="O58" s="2128"/>
      <c r="P58" s="2128"/>
      <c r="Q58" s="2145"/>
      <c r="R58" s="2315"/>
      <c r="S58" s="2365"/>
      <c r="T58" s="2145"/>
      <c r="U58" s="2368"/>
      <c r="V58" s="2119" t="s">
        <v>476</v>
      </c>
      <c r="W58" s="85">
        <f>80000000-54400000</f>
        <v>25600000</v>
      </c>
      <c r="X58" s="85">
        <v>25600000</v>
      </c>
      <c r="Y58" s="85">
        <v>22300000</v>
      </c>
      <c r="Z58" s="455" t="s">
        <v>467</v>
      </c>
      <c r="AA58" s="2372"/>
      <c r="AB58" s="2169"/>
      <c r="AC58" s="2169"/>
      <c r="AD58" s="2169"/>
      <c r="AE58" s="2169"/>
      <c r="AF58" s="2169"/>
      <c r="AG58" s="2169"/>
      <c r="AH58" s="2169"/>
      <c r="AI58" s="2169"/>
      <c r="AJ58" s="2169"/>
      <c r="AK58" s="2169"/>
      <c r="AL58" s="2169"/>
      <c r="AM58" s="2169"/>
      <c r="AN58" s="2169"/>
      <c r="AO58" s="2169"/>
      <c r="AP58" s="2169"/>
      <c r="AQ58" s="2169"/>
      <c r="AR58" s="2169"/>
      <c r="AS58" s="2169"/>
      <c r="AT58" s="2310"/>
      <c r="AU58" s="2310"/>
      <c r="AV58" s="2295"/>
    </row>
    <row r="59" spans="1:48" ht="36" customHeight="1" x14ac:dyDescent="0.25">
      <c r="A59" s="2424"/>
      <c r="B59" s="2425"/>
      <c r="C59" s="2134"/>
      <c r="D59" s="2110"/>
      <c r="E59" s="2134"/>
      <c r="F59" s="2110"/>
      <c r="G59" s="2375"/>
      <c r="H59" s="2298"/>
      <c r="I59" s="2375"/>
      <c r="J59" s="2298"/>
      <c r="K59" s="2381"/>
      <c r="L59" s="2298"/>
      <c r="M59" s="2375"/>
      <c r="N59" s="2298"/>
      <c r="O59" s="2128"/>
      <c r="P59" s="2128"/>
      <c r="Q59" s="2145"/>
      <c r="R59" s="2315"/>
      <c r="S59" s="2365"/>
      <c r="T59" s="2145"/>
      <c r="U59" s="2368"/>
      <c r="V59" s="2119"/>
      <c r="W59" s="85">
        <f>54400000+500000</f>
        <v>54900000</v>
      </c>
      <c r="X59" s="85">
        <v>5400000</v>
      </c>
      <c r="Y59" s="85">
        <v>0</v>
      </c>
      <c r="Z59" s="455" t="s">
        <v>477</v>
      </c>
      <c r="AA59" s="2372"/>
      <c r="AB59" s="2169"/>
      <c r="AC59" s="2169"/>
      <c r="AD59" s="2169"/>
      <c r="AE59" s="2169"/>
      <c r="AF59" s="2169"/>
      <c r="AG59" s="2169"/>
      <c r="AH59" s="2169"/>
      <c r="AI59" s="2169"/>
      <c r="AJ59" s="2169"/>
      <c r="AK59" s="2169"/>
      <c r="AL59" s="2169"/>
      <c r="AM59" s="2169"/>
      <c r="AN59" s="2169"/>
      <c r="AO59" s="2169"/>
      <c r="AP59" s="2169"/>
      <c r="AQ59" s="2169"/>
      <c r="AR59" s="2169"/>
      <c r="AS59" s="2169"/>
      <c r="AT59" s="2310"/>
      <c r="AU59" s="2310"/>
      <c r="AV59" s="2295"/>
    </row>
    <row r="60" spans="1:48" ht="38.25" customHeight="1" x14ac:dyDescent="0.25">
      <c r="A60" s="2424"/>
      <c r="B60" s="2425"/>
      <c r="C60" s="2134"/>
      <c r="D60" s="2110"/>
      <c r="E60" s="2134"/>
      <c r="F60" s="2110"/>
      <c r="G60" s="2375"/>
      <c r="H60" s="2298"/>
      <c r="I60" s="2375"/>
      <c r="J60" s="2298"/>
      <c r="K60" s="2381"/>
      <c r="L60" s="2298"/>
      <c r="M60" s="2375"/>
      <c r="N60" s="2298"/>
      <c r="O60" s="2128"/>
      <c r="P60" s="2128"/>
      <c r="Q60" s="2145"/>
      <c r="R60" s="2315"/>
      <c r="S60" s="2365"/>
      <c r="T60" s="2145"/>
      <c r="U60" s="2368"/>
      <c r="V60" s="2119" t="s">
        <v>478</v>
      </c>
      <c r="W60" s="85">
        <f>100000000-61750000</f>
        <v>38250000</v>
      </c>
      <c r="X60" s="85">
        <v>38250000</v>
      </c>
      <c r="Y60" s="85">
        <v>35900000</v>
      </c>
      <c r="Z60" s="455" t="s">
        <v>467</v>
      </c>
      <c r="AA60" s="2372"/>
      <c r="AB60" s="2169"/>
      <c r="AC60" s="2169"/>
      <c r="AD60" s="2169"/>
      <c r="AE60" s="2169"/>
      <c r="AF60" s="2169"/>
      <c r="AG60" s="2169"/>
      <c r="AH60" s="2169"/>
      <c r="AI60" s="2169"/>
      <c r="AJ60" s="2169"/>
      <c r="AK60" s="2169"/>
      <c r="AL60" s="2169"/>
      <c r="AM60" s="2169"/>
      <c r="AN60" s="2169"/>
      <c r="AO60" s="2169"/>
      <c r="AP60" s="2169"/>
      <c r="AQ60" s="2169"/>
      <c r="AR60" s="2169"/>
      <c r="AS60" s="2169"/>
      <c r="AT60" s="2310"/>
      <c r="AU60" s="2310"/>
      <c r="AV60" s="2295"/>
    </row>
    <row r="61" spans="1:48" ht="47.25" customHeight="1" x14ac:dyDescent="0.25">
      <c r="A61" s="2424"/>
      <c r="B61" s="2425"/>
      <c r="C61" s="2134"/>
      <c r="D61" s="2110"/>
      <c r="E61" s="2134"/>
      <c r="F61" s="2110"/>
      <c r="G61" s="2375"/>
      <c r="H61" s="2298"/>
      <c r="I61" s="2375"/>
      <c r="J61" s="2298"/>
      <c r="K61" s="2381"/>
      <c r="L61" s="2298"/>
      <c r="M61" s="2375"/>
      <c r="N61" s="2298"/>
      <c r="O61" s="2128"/>
      <c r="P61" s="2128"/>
      <c r="Q61" s="2145"/>
      <c r="R61" s="2315"/>
      <c r="S61" s="2365"/>
      <c r="T61" s="2145"/>
      <c r="U61" s="2368"/>
      <c r="V61" s="2119"/>
      <c r="W61" s="85">
        <v>61750000</v>
      </c>
      <c r="X61" s="85">
        <v>14750000</v>
      </c>
      <c r="Y61" s="85">
        <v>0</v>
      </c>
      <c r="Z61" s="455" t="s">
        <v>477</v>
      </c>
      <c r="AA61" s="2372"/>
      <c r="AB61" s="2169"/>
      <c r="AC61" s="2169"/>
      <c r="AD61" s="2169"/>
      <c r="AE61" s="2169"/>
      <c r="AF61" s="2169"/>
      <c r="AG61" s="2169"/>
      <c r="AH61" s="2169"/>
      <c r="AI61" s="2169"/>
      <c r="AJ61" s="2169"/>
      <c r="AK61" s="2169"/>
      <c r="AL61" s="2169"/>
      <c r="AM61" s="2169"/>
      <c r="AN61" s="2169"/>
      <c r="AO61" s="2169"/>
      <c r="AP61" s="2169"/>
      <c r="AQ61" s="2169"/>
      <c r="AR61" s="2169"/>
      <c r="AS61" s="2169"/>
      <c r="AT61" s="2310"/>
      <c r="AU61" s="2310"/>
      <c r="AV61" s="2295"/>
    </row>
    <row r="62" spans="1:48" ht="40.5" customHeight="1" x14ac:dyDescent="0.25">
      <c r="A62" s="2424"/>
      <c r="B62" s="2425"/>
      <c r="C62" s="2134"/>
      <c r="D62" s="2110"/>
      <c r="E62" s="2134"/>
      <c r="F62" s="2110"/>
      <c r="G62" s="2375"/>
      <c r="H62" s="2298"/>
      <c r="I62" s="2375"/>
      <c r="J62" s="2298"/>
      <c r="K62" s="2381"/>
      <c r="L62" s="2298"/>
      <c r="M62" s="2375"/>
      <c r="N62" s="2298"/>
      <c r="O62" s="2128"/>
      <c r="P62" s="2128"/>
      <c r="Q62" s="2145"/>
      <c r="R62" s="2315"/>
      <c r="S62" s="2365"/>
      <c r="T62" s="2145"/>
      <c r="U62" s="2368"/>
      <c r="V62" s="2193" t="s">
        <v>479</v>
      </c>
      <c r="W62" s="85">
        <f>80000000-500000</f>
        <v>79500000</v>
      </c>
      <c r="X62" s="85">
        <v>31300000</v>
      </c>
      <c r="Y62" s="85">
        <v>28600000</v>
      </c>
      <c r="Z62" s="455" t="s">
        <v>467</v>
      </c>
      <c r="AA62" s="2372"/>
      <c r="AB62" s="2169"/>
      <c r="AC62" s="2169"/>
      <c r="AD62" s="2169"/>
      <c r="AE62" s="2169"/>
      <c r="AF62" s="2169"/>
      <c r="AG62" s="2169"/>
      <c r="AH62" s="2169"/>
      <c r="AI62" s="2169"/>
      <c r="AJ62" s="2169"/>
      <c r="AK62" s="2169"/>
      <c r="AL62" s="2169"/>
      <c r="AM62" s="2169"/>
      <c r="AN62" s="2169"/>
      <c r="AO62" s="2169"/>
      <c r="AP62" s="2169"/>
      <c r="AQ62" s="2169"/>
      <c r="AR62" s="2169"/>
      <c r="AS62" s="2169"/>
      <c r="AT62" s="2310"/>
      <c r="AU62" s="2310"/>
      <c r="AV62" s="2295"/>
    </row>
    <row r="63" spans="1:48" ht="45" customHeight="1" x14ac:dyDescent="0.25">
      <c r="A63" s="2424"/>
      <c r="B63" s="2425"/>
      <c r="C63" s="2134"/>
      <c r="D63" s="2110"/>
      <c r="E63" s="2134"/>
      <c r="F63" s="2110"/>
      <c r="G63" s="2375"/>
      <c r="H63" s="2298"/>
      <c r="I63" s="2375"/>
      <c r="J63" s="2298"/>
      <c r="K63" s="2381"/>
      <c r="L63" s="2298"/>
      <c r="M63" s="2375"/>
      <c r="N63" s="2298"/>
      <c r="O63" s="2128"/>
      <c r="P63" s="2128"/>
      <c r="Q63" s="2145"/>
      <c r="R63" s="2315"/>
      <c r="S63" s="2365"/>
      <c r="T63" s="2145"/>
      <c r="U63" s="2368"/>
      <c r="V63" s="2194"/>
      <c r="W63" s="85">
        <v>100000000</v>
      </c>
      <c r="X63" s="85">
        <v>7087500</v>
      </c>
      <c r="Y63" s="85"/>
      <c r="Z63" s="455" t="s">
        <v>480</v>
      </c>
      <c r="AA63" s="2372"/>
      <c r="AB63" s="2169"/>
      <c r="AC63" s="2169"/>
      <c r="AD63" s="2169"/>
      <c r="AE63" s="2169"/>
      <c r="AF63" s="2169"/>
      <c r="AG63" s="2169"/>
      <c r="AH63" s="2169"/>
      <c r="AI63" s="2169"/>
      <c r="AJ63" s="2169"/>
      <c r="AK63" s="2169"/>
      <c r="AL63" s="2169"/>
      <c r="AM63" s="2169"/>
      <c r="AN63" s="2169"/>
      <c r="AO63" s="2169"/>
      <c r="AP63" s="2169"/>
      <c r="AQ63" s="2169"/>
      <c r="AR63" s="2169"/>
      <c r="AS63" s="2169"/>
      <c r="AT63" s="2310"/>
      <c r="AU63" s="2310"/>
      <c r="AV63" s="2295"/>
    </row>
    <row r="64" spans="1:48" ht="55.5" customHeight="1" x14ac:dyDescent="0.25">
      <c r="A64" s="2424"/>
      <c r="B64" s="2425"/>
      <c r="C64" s="2134"/>
      <c r="D64" s="2110"/>
      <c r="E64" s="2134"/>
      <c r="F64" s="2110"/>
      <c r="G64" s="2375"/>
      <c r="H64" s="2298"/>
      <c r="I64" s="2375"/>
      <c r="J64" s="2298"/>
      <c r="K64" s="2381"/>
      <c r="L64" s="2298"/>
      <c r="M64" s="2375"/>
      <c r="N64" s="2298"/>
      <c r="O64" s="2128"/>
      <c r="P64" s="2128"/>
      <c r="Q64" s="2145"/>
      <c r="R64" s="2315"/>
      <c r="S64" s="2365"/>
      <c r="T64" s="2145"/>
      <c r="U64" s="2368"/>
      <c r="V64" s="2059" t="s">
        <v>481</v>
      </c>
      <c r="W64" s="85">
        <v>80000000</v>
      </c>
      <c r="X64" s="85">
        <v>30600000</v>
      </c>
      <c r="Y64" s="85">
        <v>7800000</v>
      </c>
      <c r="Z64" s="455" t="s">
        <v>467</v>
      </c>
      <c r="AA64" s="2372"/>
      <c r="AB64" s="2169"/>
      <c r="AC64" s="2169"/>
      <c r="AD64" s="2169"/>
      <c r="AE64" s="2169"/>
      <c r="AF64" s="2169"/>
      <c r="AG64" s="2169"/>
      <c r="AH64" s="2169"/>
      <c r="AI64" s="2169"/>
      <c r="AJ64" s="2169"/>
      <c r="AK64" s="2169"/>
      <c r="AL64" s="2169"/>
      <c r="AM64" s="2169"/>
      <c r="AN64" s="2169"/>
      <c r="AO64" s="2169"/>
      <c r="AP64" s="2169"/>
      <c r="AQ64" s="2169"/>
      <c r="AR64" s="2169"/>
      <c r="AS64" s="2169"/>
      <c r="AT64" s="2310"/>
      <c r="AU64" s="2310"/>
      <c r="AV64" s="2295"/>
    </row>
    <row r="65" spans="1:68" ht="74.25" customHeight="1" x14ac:dyDescent="0.25">
      <c r="A65" s="2424"/>
      <c r="B65" s="2425"/>
      <c r="C65" s="2134"/>
      <c r="D65" s="2110"/>
      <c r="E65" s="2134"/>
      <c r="F65" s="2110"/>
      <c r="G65" s="2375"/>
      <c r="H65" s="2298"/>
      <c r="I65" s="2375"/>
      <c r="J65" s="2298"/>
      <c r="K65" s="2381"/>
      <c r="L65" s="2298"/>
      <c r="M65" s="2375"/>
      <c r="N65" s="2298"/>
      <c r="O65" s="2128"/>
      <c r="P65" s="2128"/>
      <c r="Q65" s="2145"/>
      <c r="R65" s="2315"/>
      <c r="S65" s="2365"/>
      <c r="T65" s="2145"/>
      <c r="U65" s="2368"/>
      <c r="V65" s="2203"/>
      <c r="W65" s="85">
        <v>69709699.359999999</v>
      </c>
      <c r="X65" s="85"/>
      <c r="Y65" s="85"/>
      <c r="Z65" s="455" t="s">
        <v>480</v>
      </c>
      <c r="AA65" s="2372"/>
      <c r="AB65" s="2169"/>
      <c r="AC65" s="2169"/>
      <c r="AD65" s="2169"/>
      <c r="AE65" s="2169"/>
      <c r="AF65" s="2169"/>
      <c r="AG65" s="2169"/>
      <c r="AH65" s="2169"/>
      <c r="AI65" s="2169"/>
      <c r="AJ65" s="2169"/>
      <c r="AK65" s="2169"/>
      <c r="AL65" s="2169"/>
      <c r="AM65" s="2169"/>
      <c r="AN65" s="2169"/>
      <c r="AO65" s="2169"/>
      <c r="AP65" s="2169"/>
      <c r="AQ65" s="2169"/>
      <c r="AR65" s="2169"/>
      <c r="AS65" s="2169"/>
      <c r="AT65" s="2310"/>
      <c r="AU65" s="2310"/>
      <c r="AV65" s="2295"/>
    </row>
    <row r="66" spans="1:68" ht="75" customHeight="1" x14ac:dyDescent="0.25">
      <c r="A66" s="2424"/>
      <c r="B66" s="2425"/>
      <c r="C66" s="2134"/>
      <c r="D66" s="2110"/>
      <c r="E66" s="2134"/>
      <c r="F66" s="2110"/>
      <c r="G66" s="2375"/>
      <c r="H66" s="2298"/>
      <c r="I66" s="2375"/>
      <c r="J66" s="2298"/>
      <c r="K66" s="2381"/>
      <c r="L66" s="2298"/>
      <c r="M66" s="2375"/>
      <c r="N66" s="2298"/>
      <c r="O66" s="2128"/>
      <c r="P66" s="2128"/>
      <c r="Q66" s="2145"/>
      <c r="R66" s="2315"/>
      <c r="S66" s="2365"/>
      <c r="T66" s="2145"/>
      <c r="U66" s="2368"/>
      <c r="V66" s="2059" t="s">
        <v>389</v>
      </c>
      <c r="W66" s="85">
        <v>100000000</v>
      </c>
      <c r="X66" s="85">
        <v>67350000</v>
      </c>
      <c r="Y66" s="85">
        <v>46450000</v>
      </c>
      <c r="Z66" s="455" t="s">
        <v>467</v>
      </c>
      <c r="AA66" s="2372"/>
      <c r="AB66" s="2169"/>
      <c r="AC66" s="2169"/>
      <c r="AD66" s="2169"/>
      <c r="AE66" s="2169"/>
      <c r="AF66" s="2169"/>
      <c r="AG66" s="2169"/>
      <c r="AH66" s="2169"/>
      <c r="AI66" s="2169"/>
      <c r="AJ66" s="2169"/>
      <c r="AK66" s="2169"/>
      <c r="AL66" s="2169"/>
      <c r="AM66" s="2169"/>
      <c r="AN66" s="2169"/>
      <c r="AO66" s="2169"/>
      <c r="AP66" s="2169"/>
      <c r="AQ66" s="2169"/>
      <c r="AR66" s="2169"/>
      <c r="AS66" s="2169"/>
      <c r="AT66" s="2310"/>
      <c r="AU66" s="2310"/>
      <c r="AV66" s="2295"/>
    </row>
    <row r="67" spans="1:68" ht="65.25" customHeight="1" x14ac:dyDescent="0.25">
      <c r="A67" s="2424"/>
      <c r="B67" s="2425"/>
      <c r="C67" s="2134"/>
      <c r="D67" s="2110"/>
      <c r="E67" s="2134"/>
      <c r="F67" s="2110"/>
      <c r="G67" s="2375"/>
      <c r="H67" s="2298"/>
      <c r="I67" s="2375"/>
      <c r="J67" s="2298"/>
      <c r="K67" s="2381"/>
      <c r="L67" s="2298"/>
      <c r="M67" s="2375"/>
      <c r="N67" s="2298"/>
      <c r="O67" s="2128"/>
      <c r="P67" s="2128"/>
      <c r="Q67" s="2145"/>
      <c r="R67" s="2315"/>
      <c r="S67" s="2365"/>
      <c r="T67" s="2145"/>
      <c r="U67" s="2368"/>
      <c r="V67" s="2203"/>
      <c r="W67" s="85">
        <v>130000000</v>
      </c>
      <c r="X67" s="85"/>
      <c r="Y67" s="85"/>
      <c r="Z67" s="455" t="s">
        <v>480</v>
      </c>
      <c r="AA67" s="2372"/>
      <c r="AB67" s="2169"/>
      <c r="AC67" s="2169"/>
      <c r="AD67" s="2169"/>
      <c r="AE67" s="2169"/>
      <c r="AF67" s="2169"/>
      <c r="AG67" s="2169"/>
      <c r="AH67" s="2169"/>
      <c r="AI67" s="2169"/>
      <c r="AJ67" s="2169"/>
      <c r="AK67" s="2169"/>
      <c r="AL67" s="2169"/>
      <c r="AM67" s="2169"/>
      <c r="AN67" s="2169"/>
      <c r="AO67" s="2169"/>
      <c r="AP67" s="2169"/>
      <c r="AQ67" s="2169"/>
      <c r="AR67" s="2169"/>
      <c r="AS67" s="2169"/>
      <c r="AT67" s="2310"/>
      <c r="AU67" s="2310"/>
      <c r="AV67" s="2295"/>
    </row>
    <row r="68" spans="1:68" s="490" customFormat="1" ht="104.25" customHeight="1" x14ac:dyDescent="0.25">
      <c r="A68" s="2424"/>
      <c r="B68" s="2425"/>
      <c r="C68" s="2134"/>
      <c r="D68" s="2110"/>
      <c r="E68" s="2134"/>
      <c r="F68" s="2110"/>
      <c r="G68" s="2375"/>
      <c r="H68" s="2298"/>
      <c r="I68" s="2375"/>
      <c r="J68" s="2298"/>
      <c r="K68" s="2381"/>
      <c r="L68" s="2298"/>
      <c r="M68" s="2375"/>
      <c r="N68" s="2298"/>
      <c r="O68" s="2128"/>
      <c r="P68" s="2128"/>
      <c r="Q68" s="2145"/>
      <c r="R68" s="2315"/>
      <c r="S68" s="2365"/>
      <c r="T68" s="2145"/>
      <c r="U68" s="2368"/>
      <c r="V68" s="2193" t="s">
        <v>482</v>
      </c>
      <c r="W68" s="85">
        <v>1106073375</v>
      </c>
      <c r="X68" s="85">
        <v>0</v>
      </c>
      <c r="Y68" s="85">
        <v>0</v>
      </c>
      <c r="Z68" s="428" t="s">
        <v>483</v>
      </c>
      <c r="AA68" s="2372"/>
      <c r="AB68" s="2169"/>
      <c r="AC68" s="2169"/>
      <c r="AD68" s="2169"/>
      <c r="AE68" s="2169"/>
      <c r="AF68" s="2169"/>
      <c r="AG68" s="2169"/>
      <c r="AH68" s="2169"/>
      <c r="AI68" s="2169"/>
      <c r="AJ68" s="2169"/>
      <c r="AK68" s="2169"/>
      <c r="AL68" s="2169"/>
      <c r="AM68" s="2169"/>
      <c r="AN68" s="2169"/>
      <c r="AO68" s="2169"/>
      <c r="AP68" s="2169"/>
      <c r="AQ68" s="2169"/>
      <c r="AR68" s="2169"/>
      <c r="AS68" s="2169"/>
      <c r="AT68" s="2310"/>
      <c r="AU68" s="2310"/>
      <c r="AV68" s="2295"/>
    </row>
    <row r="69" spans="1:68" s="490" customFormat="1" ht="104.25" customHeight="1" x14ac:dyDescent="0.25">
      <c r="A69" s="2424"/>
      <c r="B69" s="2425"/>
      <c r="C69" s="2134"/>
      <c r="D69" s="2110"/>
      <c r="E69" s="2134"/>
      <c r="F69" s="2110"/>
      <c r="G69" s="2375"/>
      <c r="H69" s="2298"/>
      <c r="I69" s="2375"/>
      <c r="J69" s="2298"/>
      <c r="K69" s="2381"/>
      <c r="L69" s="2298"/>
      <c r="M69" s="2375"/>
      <c r="N69" s="2298"/>
      <c r="O69" s="2128"/>
      <c r="P69" s="2128"/>
      <c r="Q69" s="2145"/>
      <c r="R69" s="2315"/>
      <c r="S69" s="2365"/>
      <c r="T69" s="2145"/>
      <c r="U69" s="2368"/>
      <c r="V69" s="2194"/>
      <c r="W69" s="85">
        <v>480000000</v>
      </c>
      <c r="X69" s="85"/>
      <c r="Y69" s="454"/>
      <c r="Z69" s="491" t="s">
        <v>484</v>
      </c>
      <c r="AA69" s="2372"/>
      <c r="AB69" s="2169"/>
      <c r="AC69" s="2169"/>
      <c r="AD69" s="2169"/>
      <c r="AE69" s="2169"/>
      <c r="AF69" s="2169"/>
      <c r="AG69" s="2169"/>
      <c r="AH69" s="2169"/>
      <c r="AI69" s="2169"/>
      <c r="AJ69" s="2169"/>
      <c r="AK69" s="2169"/>
      <c r="AL69" s="2169"/>
      <c r="AM69" s="2169"/>
      <c r="AN69" s="2169"/>
      <c r="AO69" s="2169"/>
      <c r="AP69" s="2169"/>
      <c r="AQ69" s="2169"/>
      <c r="AR69" s="2169"/>
      <c r="AS69" s="2169"/>
      <c r="AT69" s="2310"/>
      <c r="AU69" s="2310"/>
      <c r="AV69" s="2295"/>
    </row>
    <row r="70" spans="1:68" s="490" customFormat="1" ht="59.25" customHeight="1" x14ac:dyDescent="0.25">
      <c r="A70" s="2424"/>
      <c r="B70" s="2425"/>
      <c r="C70" s="2134"/>
      <c r="D70" s="2110"/>
      <c r="E70" s="2134"/>
      <c r="F70" s="2110"/>
      <c r="G70" s="2375"/>
      <c r="H70" s="2298"/>
      <c r="I70" s="2375"/>
      <c r="J70" s="2298"/>
      <c r="K70" s="2381"/>
      <c r="L70" s="2298"/>
      <c r="M70" s="2375"/>
      <c r="N70" s="2298"/>
      <c r="O70" s="2128"/>
      <c r="P70" s="2128"/>
      <c r="Q70" s="2145"/>
      <c r="R70" s="2315"/>
      <c r="S70" s="2365"/>
      <c r="T70" s="2145"/>
      <c r="U70" s="2368"/>
      <c r="V70" s="2190" t="s">
        <v>485</v>
      </c>
      <c r="W70" s="85">
        <v>100000000</v>
      </c>
      <c r="X70" s="85">
        <v>0</v>
      </c>
      <c r="Y70" s="454">
        <v>0</v>
      </c>
      <c r="Z70" s="455" t="s">
        <v>486</v>
      </c>
      <c r="AA70" s="2372"/>
      <c r="AB70" s="2169"/>
      <c r="AC70" s="2169"/>
      <c r="AD70" s="2169"/>
      <c r="AE70" s="2169"/>
      <c r="AF70" s="2169"/>
      <c r="AG70" s="2169"/>
      <c r="AH70" s="2169"/>
      <c r="AI70" s="2169"/>
      <c r="AJ70" s="2169"/>
      <c r="AK70" s="2169"/>
      <c r="AL70" s="2169"/>
      <c r="AM70" s="2169"/>
      <c r="AN70" s="2169"/>
      <c r="AO70" s="2169"/>
      <c r="AP70" s="2169"/>
      <c r="AQ70" s="2169"/>
      <c r="AR70" s="2169"/>
      <c r="AS70" s="2169"/>
      <c r="AT70" s="2310"/>
      <c r="AU70" s="2310"/>
      <c r="AV70" s="2295"/>
    </row>
    <row r="71" spans="1:68" s="490" customFormat="1" ht="42" customHeight="1" x14ac:dyDescent="0.25">
      <c r="A71" s="2424"/>
      <c r="B71" s="2425"/>
      <c r="C71" s="2134"/>
      <c r="D71" s="2110"/>
      <c r="E71" s="2134"/>
      <c r="F71" s="2110"/>
      <c r="G71" s="2375"/>
      <c r="H71" s="2298"/>
      <c r="I71" s="2375"/>
      <c r="J71" s="2298"/>
      <c r="K71" s="2381"/>
      <c r="L71" s="2298"/>
      <c r="M71" s="2375"/>
      <c r="N71" s="2298"/>
      <c r="O71" s="2128"/>
      <c r="P71" s="2128"/>
      <c r="Q71" s="2145"/>
      <c r="R71" s="2315"/>
      <c r="S71" s="2365"/>
      <c r="T71" s="2145"/>
      <c r="U71" s="2368"/>
      <c r="V71" s="2190"/>
      <c r="W71" s="85">
        <v>150000000</v>
      </c>
      <c r="X71" s="85">
        <v>144462656</v>
      </c>
      <c r="Y71" s="454">
        <v>0</v>
      </c>
      <c r="Z71" s="455" t="s">
        <v>480</v>
      </c>
      <c r="AA71" s="2372"/>
      <c r="AB71" s="2169"/>
      <c r="AC71" s="2169"/>
      <c r="AD71" s="2169"/>
      <c r="AE71" s="2169"/>
      <c r="AF71" s="2169"/>
      <c r="AG71" s="2169"/>
      <c r="AH71" s="2169"/>
      <c r="AI71" s="2169"/>
      <c r="AJ71" s="2169"/>
      <c r="AK71" s="2169"/>
      <c r="AL71" s="2169"/>
      <c r="AM71" s="2169"/>
      <c r="AN71" s="2169"/>
      <c r="AO71" s="2169"/>
      <c r="AP71" s="2169"/>
      <c r="AQ71" s="2169"/>
      <c r="AR71" s="2169"/>
      <c r="AS71" s="2169"/>
      <c r="AT71" s="2310"/>
      <c r="AU71" s="2310"/>
      <c r="AV71" s="2295"/>
    </row>
    <row r="72" spans="1:68" s="490" customFormat="1" ht="42" customHeight="1" x14ac:dyDescent="0.25">
      <c r="A72" s="2424"/>
      <c r="B72" s="2425"/>
      <c r="C72" s="2135"/>
      <c r="D72" s="2334"/>
      <c r="E72" s="2135"/>
      <c r="F72" s="2334"/>
      <c r="G72" s="2376"/>
      <c r="H72" s="2299"/>
      <c r="I72" s="2376"/>
      <c r="J72" s="2299"/>
      <c r="K72" s="2382"/>
      <c r="L72" s="2299"/>
      <c r="M72" s="2376"/>
      <c r="N72" s="2299"/>
      <c r="O72" s="2129"/>
      <c r="P72" s="2129"/>
      <c r="Q72" s="2146"/>
      <c r="R72" s="2316"/>
      <c r="S72" s="2366"/>
      <c r="T72" s="2146"/>
      <c r="U72" s="2369"/>
      <c r="V72" s="492" t="s">
        <v>487</v>
      </c>
      <c r="W72" s="85">
        <v>120000000</v>
      </c>
      <c r="X72" s="454"/>
      <c r="Y72" s="454"/>
      <c r="Z72" s="491" t="s">
        <v>484</v>
      </c>
      <c r="AA72" s="2373"/>
      <c r="AB72" s="2170"/>
      <c r="AC72" s="2170"/>
      <c r="AD72" s="2170"/>
      <c r="AE72" s="2170"/>
      <c r="AF72" s="2170"/>
      <c r="AG72" s="2170"/>
      <c r="AH72" s="2170"/>
      <c r="AI72" s="2170"/>
      <c r="AJ72" s="2170"/>
      <c r="AK72" s="2170"/>
      <c r="AL72" s="2170"/>
      <c r="AM72" s="2170"/>
      <c r="AN72" s="2170"/>
      <c r="AO72" s="2170"/>
      <c r="AP72" s="2170"/>
      <c r="AQ72" s="2170"/>
      <c r="AR72" s="2170"/>
      <c r="AS72" s="2170"/>
      <c r="AT72" s="2311"/>
      <c r="AU72" s="2311"/>
      <c r="AV72" s="2296"/>
    </row>
    <row r="73" spans="1:68" s="35" customFormat="1" ht="22.5" customHeight="1" x14ac:dyDescent="0.25">
      <c r="A73" s="493">
        <v>3</v>
      </c>
      <c r="B73" s="2302" t="s">
        <v>488</v>
      </c>
      <c r="C73" s="2302"/>
      <c r="D73" s="2302"/>
      <c r="E73" s="2302"/>
      <c r="F73" s="2302"/>
      <c r="G73" s="2302"/>
      <c r="H73" s="2302"/>
      <c r="I73" s="303"/>
      <c r="J73" s="302"/>
      <c r="K73" s="303"/>
      <c r="L73" s="302"/>
      <c r="M73" s="303"/>
      <c r="N73" s="302"/>
      <c r="O73" s="303"/>
      <c r="P73" s="303"/>
      <c r="Q73" s="302"/>
      <c r="R73" s="306"/>
      <c r="S73" s="308"/>
      <c r="T73" s="302"/>
      <c r="U73" s="302"/>
      <c r="V73" s="302"/>
      <c r="W73" s="494"/>
      <c r="X73" s="494"/>
      <c r="Y73" s="494"/>
      <c r="Z73" s="26"/>
      <c r="AA73" s="442"/>
      <c r="AB73" s="302"/>
      <c r="AC73" s="303"/>
      <c r="AD73" s="303"/>
      <c r="AE73" s="303"/>
      <c r="AF73" s="303"/>
      <c r="AG73" s="303"/>
      <c r="AH73" s="303"/>
      <c r="AI73" s="303"/>
      <c r="AJ73" s="303"/>
      <c r="AK73" s="303"/>
      <c r="AL73" s="303"/>
      <c r="AM73" s="303"/>
      <c r="AN73" s="303"/>
      <c r="AO73" s="303"/>
      <c r="AP73" s="303"/>
      <c r="AQ73" s="303"/>
      <c r="AR73" s="303"/>
      <c r="AS73" s="303"/>
      <c r="AT73" s="303"/>
      <c r="AU73" s="303"/>
      <c r="AV73" s="302"/>
      <c r="AW73" s="3"/>
      <c r="AX73" s="3"/>
      <c r="AY73" s="3"/>
      <c r="AZ73" s="3"/>
      <c r="BA73" s="3"/>
      <c r="BB73" s="3"/>
      <c r="BC73" s="3"/>
      <c r="BD73" s="3"/>
      <c r="BE73" s="3"/>
      <c r="BF73" s="3"/>
      <c r="BG73" s="3"/>
      <c r="BH73" s="3"/>
      <c r="BI73" s="3"/>
      <c r="BJ73" s="3"/>
      <c r="BK73" s="3"/>
      <c r="BL73" s="3"/>
      <c r="BM73" s="3"/>
      <c r="BN73" s="3"/>
      <c r="BO73" s="3"/>
      <c r="BP73" s="3"/>
    </row>
    <row r="74" spans="1:68" s="79" customFormat="1" ht="22.5" customHeight="1" x14ac:dyDescent="0.25">
      <c r="A74" s="2424"/>
      <c r="B74" s="2425"/>
      <c r="C74" s="459">
        <v>24</v>
      </c>
      <c r="D74" s="2303" t="s">
        <v>489</v>
      </c>
      <c r="E74" s="2303"/>
      <c r="F74" s="2303"/>
      <c r="G74" s="2303"/>
      <c r="H74" s="2303"/>
      <c r="I74" s="2303"/>
      <c r="J74" s="2303"/>
      <c r="K74" s="2303"/>
      <c r="L74" s="2303"/>
      <c r="M74" s="2303"/>
      <c r="N74" s="317"/>
      <c r="O74" s="316"/>
      <c r="P74" s="316"/>
      <c r="Q74" s="317"/>
      <c r="R74" s="319"/>
      <c r="S74" s="321"/>
      <c r="T74" s="317"/>
      <c r="U74" s="317"/>
      <c r="V74" s="317"/>
      <c r="W74" s="468"/>
      <c r="X74" s="468"/>
      <c r="Y74" s="468"/>
      <c r="Z74" s="40"/>
      <c r="AA74" s="495"/>
      <c r="AB74" s="317"/>
      <c r="AC74" s="316"/>
      <c r="AD74" s="316"/>
      <c r="AE74" s="316"/>
      <c r="AF74" s="316"/>
      <c r="AG74" s="316"/>
      <c r="AH74" s="316"/>
      <c r="AI74" s="316"/>
      <c r="AJ74" s="316"/>
      <c r="AK74" s="316"/>
      <c r="AL74" s="316"/>
      <c r="AM74" s="316"/>
      <c r="AN74" s="316"/>
      <c r="AO74" s="316"/>
      <c r="AP74" s="316"/>
      <c r="AQ74" s="316"/>
      <c r="AR74" s="316"/>
      <c r="AS74" s="316"/>
      <c r="AT74" s="316"/>
      <c r="AU74" s="316"/>
      <c r="AV74" s="317"/>
      <c r="AW74" s="80"/>
      <c r="AX74" s="80"/>
      <c r="AY74" s="80"/>
      <c r="AZ74" s="80"/>
      <c r="BA74" s="80"/>
      <c r="BB74" s="80"/>
      <c r="BC74" s="80"/>
      <c r="BD74" s="80"/>
      <c r="BE74" s="80"/>
      <c r="BF74" s="80"/>
      <c r="BG74" s="80"/>
      <c r="BH74" s="80"/>
      <c r="BI74" s="80"/>
      <c r="BJ74" s="80"/>
      <c r="BK74" s="80"/>
      <c r="BL74" s="80"/>
      <c r="BM74" s="80"/>
      <c r="BN74" s="80"/>
      <c r="BO74" s="80"/>
      <c r="BP74" s="80"/>
    </row>
    <row r="75" spans="1:68" s="3" customFormat="1" ht="22.5" customHeight="1" x14ac:dyDescent="0.25">
      <c r="A75" s="2424"/>
      <c r="B75" s="2425"/>
      <c r="C75" s="2332"/>
      <c r="D75" s="2333"/>
      <c r="E75" s="496">
        <v>2402</v>
      </c>
      <c r="F75" s="2304" t="s">
        <v>490</v>
      </c>
      <c r="G75" s="2304"/>
      <c r="H75" s="2304"/>
      <c r="I75" s="2304"/>
      <c r="J75" s="2304"/>
      <c r="K75" s="2304"/>
      <c r="L75" s="2304"/>
      <c r="M75" s="206"/>
      <c r="N75" s="327"/>
      <c r="O75" s="206"/>
      <c r="P75" s="206"/>
      <c r="Q75" s="327"/>
      <c r="R75" s="204"/>
      <c r="S75" s="326"/>
      <c r="T75" s="327"/>
      <c r="U75" s="327"/>
      <c r="V75" s="327"/>
      <c r="W75" s="473"/>
      <c r="X75" s="473"/>
      <c r="Y75" s="473"/>
      <c r="Z75" s="64"/>
      <c r="AA75" s="209"/>
      <c r="AB75" s="327"/>
      <c r="AC75" s="206"/>
      <c r="AD75" s="206"/>
      <c r="AE75" s="206"/>
      <c r="AF75" s="206"/>
      <c r="AG75" s="206"/>
      <c r="AH75" s="206"/>
      <c r="AI75" s="206"/>
      <c r="AJ75" s="206"/>
      <c r="AK75" s="206"/>
      <c r="AL75" s="206"/>
      <c r="AM75" s="206"/>
      <c r="AN75" s="206"/>
      <c r="AO75" s="206"/>
      <c r="AP75" s="206"/>
      <c r="AQ75" s="206"/>
      <c r="AR75" s="206"/>
      <c r="AS75" s="206"/>
      <c r="AT75" s="206"/>
      <c r="AU75" s="206"/>
      <c r="AV75" s="327"/>
    </row>
    <row r="76" spans="1:68" ht="84.75" customHeight="1" x14ac:dyDescent="0.25">
      <c r="A76" s="2424"/>
      <c r="B76" s="2425"/>
      <c r="C76" s="2134"/>
      <c r="D76" s="2110"/>
      <c r="E76" s="2438"/>
      <c r="F76" s="2439"/>
      <c r="G76" s="2060" t="s">
        <v>62</v>
      </c>
      <c r="H76" s="2297" t="s">
        <v>491</v>
      </c>
      <c r="I76" s="2060">
        <v>2402022</v>
      </c>
      <c r="J76" s="2297" t="s">
        <v>492</v>
      </c>
      <c r="K76" s="2323" t="s">
        <v>62</v>
      </c>
      <c r="L76" s="2297" t="s">
        <v>493</v>
      </c>
      <c r="M76" s="2323">
        <v>240202200</v>
      </c>
      <c r="N76" s="2297" t="s">
        <v>494</v>
      </c>
      <c r="O76" s="2154">
        <v>1</v>
      </c>
      <c r="P76" s="2154" t="s">
        <v>495</v>
      </c>
      <c r="Q76" s="2144" t="s">
        <v>496</v>
      </c>
      <c r="R76" s="2184">
        <f>SUM(W76:W78)/S76</f>
        <v>2.1080639965157379E-2</v>
      </c>
      <c r="S76" s="2364">
        <f>SUM(W76:W106)</f>
        <v>4743689004</v>
      </c>
      <c r="T76" s="2144" t="s">
        <v>497</v>
      </c>
      <c r="U76" s="2144" t="s">
        <v>498</v>
      </c>
      <c r="V76" s="497" t="s">
        <v>499</v>
      </c>
      <c r="W76" s="498">
        <f>50000000-16500000</f>
        <v>33500000</v>
      </c>
      <c r="X76" s="498">
        <v>33500000</v>
      </c>
      <c r="Y76" s="498">
        <v>33500000</v>
      </c>
      <c r="Z76" s="455" t="s">
        <v>500</v>
      </c>
      <c r="AA76" s="2354" t="s">
        <v>501</v>
      </c>
      <c r="AB76" s="2354" t="s">
        <v>502</v>
      </c>
      <c r="AC76" s="2354">
        <v>295972</v>
      </c>
      <c r="AD76" s="2354">
        <v>285580</v>
      </c>
      <c r="AE76" s="2354">
        <v>135545</v>
      </c>
      <c r="AF76" s="2354">
        <v>44254</v>
      </c>
      <c r="AG76" s="2354">
        <v>309146</v>
      </c>
      <c r="AH76" s="2354">
        <v>92607</v>
      </c>
      <c r="AI76" s="2354">
        <v>2145</v>
      </c>
      <c r="AJ76" s="2108">
        <v>12718</v>
      </c>
      <c r="AK76" s="2354">
        <v>26</v>
      </c>
      <c r="AL76" s="2354">
        <v>37</v>
      </c>
      <c r="AM76" s="2354">
        <v>0</v>
      </c>
      <c r="AN76" s="2354">
        <v>0</v>
      </c>
      <c r="AO76" s="2354">
        <v>44350</v>
      </c>
      <c r="AP76" s="2354">
        <v>21944</v>
      </c>
      <c r="AQ76" s="2354"/>
      <c r="AR76" s="2354">
        <v>75687</v>
      </c>
      <c r="AS76" s="2354">
        <v>581552</v>
      </c>
      <c r="AT76" s="2309">
        <v>44197</v>
      </c>
      <c r="AU76" s="2309">
        <v>44561</v>
      </c>
      <c r="AV76" s="2294" t="s">
        <v>388</v>
      </c>
    </row>
    <row r="77" spans="1:68" ht="65.45" customHeight="1" x14ac:dyDescent="0.25">
      <c r="A77" s="2424"/>
      <c r="B77" s="2425"/>
      <c r="C77" s="2134"/>
      <c r="D77" s="2110"/>
      <c r="E77" s="2440"/>
      <c r="F77" s="2441"/>
      <c r="G77" s="2363"/>
      <c r="H77" s="2298"/>
      <c r="I77" s="2363"/>
      <c r="J77" s="2298"/>
      <c r="K77" s="2324"/>
      <c r="L77" s="2298"/>
      <c r="M77" s="2324"/>
      <c r="N77" s="2298"/>
      <c r="O77" s="2128"/>
      <c r="P77" s="2128"/>
      <c r="Q77" s="2145"/>
      <c r="R77" s="2315"/>
      <c r="S77" s="2365"/>
      <c r="T77" s="2145"/>
      <c r="U77" s="2145"/>
      <c r="V77" s="497" t="s">
        <v>503</v>
      </c>
      <c r="W77" s="498">
        <v>55300000</v>
      </c>
      <c r="X77" s="498">
        <f>67679701-(X76+X78)</f>
        <v>32779701</v>
      </c>
      <c r="Y77" s="498">
        <v>0</v>
      </c>
      <c r="Z77" s="455" t="s">
        <v>500</v>
      </c>
      <c r="AA77" s="2355"/>
      <c r="AB77" s="2355"/>
      <c r="AC77" s="2355"/>
      <c r="AD77" s="2355"/>
      <c r="AE77" s="2355"/>
      <c r="AF77" s="2355"/>
      <c r="AG77" s="2355"/>
      <c r="AH77" s="2355"/>
      <c r="AI77" s="2355"/>
      <c r="AJ77" s="2108"/>
      <c r="AK77" s="2355"/>
      <c r="AL77" s="2355"/>
      <c r="AM77" s="2355"/>
      <c r="AN77" s="2355"/>
      <c r="AO77" s="2355"/>
      <c r="AP77" s="2355"/>
      <c r="AQ77" s="2355"/>
      <c r="AR77" s="2355"/>
      <c r="AS77" s="2355"/>
      <c r="AT77" s="2310"/>
      <c r="AU77" s="2310"/>
      <c r="AV77" s="2295"/>
    </row>
    <row r="78" spans="1:68" ht="65.45" customHeight="1" x14ac:dyDescent="0.25">
      <c r="A78" s="2424"/>
      <c r="B78" s="2425"/>
      <c r="C78" s="2134"/>
      <c r="D78" s="2110"/>
      <c r="E78" s="2440"/>
      <c r="F78" s="2441"/>
      <c r="G78" s="2202"/>
      <c r="H78" s="2299"/>
      <c r="I78" s="2202"/>
      <c r="J78" s="2299"/>
      <c r="K78" s="2325"/>
      <c r="L78" s="2299"/>
      <c r="M78" s="2325"/>
      <c r="N78" s="2299"/>
      <c r="O78" s="2129"/>
      <c r="P78" s="2128"/>
      <c r="Q78" s="2145"/>
      <c r="R78" s="2316"/>
      <c r="S78" s="2365"/>
      <c r="T78" s="2145"/>
      <c r="U78" s="2145"/>
      <c r="V78" s="497" t="s">
        <v>504</v>
      </c>
      <c r="W78" s="498">
        <v>11200000</v>
      </c>
      <c r="X78" s="498">
        <v>1400000</v>
      </c>
      <c r="Y78" s="498">
        <v>0</v>
      </c>
      <c r="Z78" s="455" t="s">
        <v>500</v>
      </c>
      <c r="AA78" s="2355"/>
      <c r="AB78" s="2355"/>
      <c r="AC78" s="2355"/>
      <c r="AD78" s="2355"/>
      <c r="AE78" s="2355"/>
      <c r="AF78" s="2355"/>
      <c r="AG78" s="2355"/>
      <c r="AH78" s="2355"/>
      <c r="AI78" s="2355"/>
      <c r="AJ78" s="2108"/>
      <c r="AK78" s="2355"/>
      <c r="AL78" s="2355"/>
      <c r="AM78" s="2355"/>
      <c r="AN78" s="2355"/>
      <c r="AO78" s="2355"/>
      <c r="AP78" s="2355"/>
      <c r="AQ78" s="2355"/>
      <c r="AR78" s="2355"/>
      <c r="AS78" s="2355"/>
      <c r="AT78" s="2310"/>
      <c r="AU78" s="2310"/>
      <c r="AV78" s="2295"/>
    </row>
    <row r="79" spans="1:68" ht="42" customHeight="1" x14ac:dyDescent="0.25">
      <c r="A79" s="2424"/>
      <c r="B79" s="2425"/>
      <c r="C79" s="2134"/>
      <c r="D79" s="2110"/>
      <c r="E79" s="2440"/>
      <c r="F79" s="2441"/>
      <c r="G79" s="2323" t="s">
        <v>62</v>
      </c>
      <c r="H79" s="2297" t="s">
        <v>505</v>
      </c>
      <c r="I79" s="2357">
        <v>2402041</v>
      </c>
      <c r="J79" s="2297" t="s">
        <v>506</v>
      </c>
      <c r="K79" s="2323" t="s">
        <v>62</v>
      </c>
      <c r="L79" s="2284" t="s">
        <v>507</v>
      </c>
      <c r="M79" s="2323">
        <v>240204100</v>
      </c>
      <c r="N79" s="2284" t="s">
        <v>508</v>
      </c>
      <c r="O79" s="2154">
        <v>130</v>
      </c>
      <c r="P79" s="2128"/>
      <c r="Q79" s="2145"/>
      <c r="R79" s="2184">
        <f>SUM(W79:W106)/S76</f>
        <v>0.97891936003484259</v>
      </c>
      <c r="S79" s="2365"/>
      <c r="T79" s="2145"/>
      <c r="U79" s="2145"/>
      <c r="V79" s="2347" t="s">
        <v>509</v>
      </c>
      <c r="W79" s="498">
        <v>0</v>
      </c>
      <c r="X79" s="498">
        <v>0</v>
      </c>
      <c r="Y79" s="498">
        <v>0</v>
      </c>
      <c r="Z79" s="455" t="s">
        <v>510</v>
      </c>
      <c r="AA79" s="2355"/>
      <c r="AB79" s="2355"/>
      <c r="AC79" s="2355"/>
      <c r="AD79" s="2355"/>
      <c r="AE79" s="2355"/>
      <c r="AF79" s="2355"/>
      <c r="AG79" s="2355"/>
      <c r="AH79" s="2355"/>
      <c r="AI79" s="2355"/>
      <c r="AJ79" s="2108"/>
      <c r="AK79" s="2355"/>
      <c r="AL79" s="2355"/>
      <c r="AM79" s="2355"/>
      <c r="AN79" s="2355"/>
      <c r="AO79" s="2355"/>
      <c r="AP79" s="2355"/>
      <c r="AQ79" s="2355"/>
      <c r="AR79" s="2355"/>
      <c r="AS79" s="2355"/>
      <c r="AT79" s="2310"/>
      <c r="AU79" s="2310"/>
      <c r="AV79" s="2295"/>
    </row>
    <row r="80" spans="1:68" ht="42" customHeight="1" x14ac:dyDescent="0.25">
      <c r="A80" s="2424"/>
      <c r="B80" s="2425"/>
      <c r="C80" s="2134"/>
      <c r="D80" s="2110"/>
      <c r="E80" s="2440"/>
      <c r="F80" s="2441"/>
      <c r="G80" s="2324"/>
      <c r="H80" s="2298"/>
      <c r="I80" s="2358"/>
      <c r="J80" s="2298"/>
      <c r="K80" s="2324"/>
      <c r="L80" s="2285"/>
      <c r="M80" s="2324"/>
      <c r="N80" s="2285"/>
      <c r="O80" s="2128"/>
      <c r="P80" s="2128"/>
      <c r="Q80" s="2145"/>
      <c r="R80" s="2315"/>
      <c r="S80" s="2365"/>
      <c r="T80" s="2145"/>
      <c r="U80" s="2145"/>
      <c r="V80" s="2362"/>
      <c r="W80" s="499">
        <v>40000000</v>
      </c>
      <c r="X80" s="499"/>
      <c r="Y80" s="499"/>
      <c r="Z80" s="500" t="s">
        <v>511</v>
      </c>
      <c r="AA80" s="2355"/>
      <c r="AB80" s="2355"/>
      <c r="AC80" s="2355"/>
      <c r="AD80" s="2355"/>
      <c r="AE80" s="2355"/>
      <c r="AF80" s="2355"/>
      <c r="AG80" s="2355"/>
      <c r="AH80" s="2355"/>
      <c r="AI80" s="2355"/>
      <c r="AJ80" s="2108"/>
      <c r="AK80" s="2355"/>
      <c r="AL80" s="2355"/>
      <c r="AM80" s="2355"/>
      <c r="AN80" s="2355"/>
      <c r="AO80" s="2355"/>
      <c r="AP80" s="2355"/>
      <c r="AQ80" s="2355"/>
      <c r="AR80" s="2355"/>
      <c r="AS80" s="2355"/>
      <c r="AT80" s="2310"/>
      <c r="AU80" s="2310"/>
      <c r="AV80" s="2295"/>
    </row>
    <row r="81" spans="1:48" ht="42" customHeight="1" x14ac:dyDescent="0.25">
      <c r="A81" s="2424"/>
      <c r="B81" s="2425"/>
      <c r="C81" s="2134"/>
      <c r="D81" s="2110"/>
      <c r="E81" s="2440"/>
      <c r="F81" s="2441"/>
      <c r="G81" s="2324"/>
      <c r="H81" s="2298"/>
      <c r="I81" s="2358"/>
      <c r="J81" s="2298"/>
      <c r="K81" s="2324"/>
      <c r="L81" s="2285"/>
      <c r="M81" s="2324"/>
      <c r="N81" s="2285"/>
      <c r="O81" s="2128"/>
      <c r="P81" s="2128"/>
      <c r="Q81" s="2145"/>
      <c r="R81" s="2315"/>
      <c r="S81" s="2365"/>
      <c r="T81" s="2145"/>
      <c r="U81" s="2145"/>
      <c r="V81" s="2362"/>
      <c r="W81" s="499">
        <v>1682500000</v>
      </c>
      <c r="X81" s="499"/>
      <c r="Y81" s="499"/>
      <c r="Z81" s="500" t="s">
        <v>512</v>
      </c>
      <c r="AA81" s="2355"/>
      <c r="AB81" s="2355"/>
      <c r="AC81" s="2355"/>
      <c r="AD81" s="2355"/>
      <c r="AE81" s="2355"/>
      <c r="AF81" s="2355"/>
      <c r="AG81" s="2355"/>
      <c r="AH81" s="2355"/>
      <c r="AI81" s="2355"/>
      <c r="AJ81" s="2108"/>
      <c r="AK81" s="2355"/>
      <c r="AL81" s="2355"/>
      <c r="AM81" s="2355"/>
      <c r="AN81" s="2355"/>
      <c r="AO81" s="2355"/>
      <c r="AP81" s="2355"/>
      <c r="AQ81" s="2355"/>
      <c r="AR81" s="2355"/>
      <c r="AS81" s="2355"/>
      <c r="AT81" s="2310"/>
      <c r="AU81" s="2310"/>
      <c r="AV81" s="2295"/>
    </row>
    <row r="82" spans="1:48" ht="42" customHeight="1" x14ac:dyDescent="0.25">
      <c r="A82" s="2424"/>
      <c r="B82" s="2425"/>
      <c r="C82" s="2134"/>
      <c r="D82" s="2110"/>
      <c r="E82" s="2440"/>
      <c r="F82" s="2441"/>
      <c r="G82" s="2324"/>
      <c r="H82" s="2298"/>
      <c r="I82" s="2358"/>
      <c r="J82" s="2298"/>
      <c r="K82" s="2324"/>
      <c r="L82" s="2285"/>
      <c r="M82" s="2324"/>
      <c r="N82" s="2285"/>
      <c r="O82" s="2128"/>
      <c r="P82" s="2128"/>
      <c r="Q82" s="2145"/>
      <c r="R82" s="2315"/>
      <c r="S82" s="2365"/>
      <c r="T82" s="2145"/>
      <c r="U82" s="2145"/>
      <c r="V82" s="2362"/>
      <c r="W82" s="499">
        <v>15000000</v>
      </c>
      <c r="X82" s="499"/>
      <c r="Y82" s="499"/>
      <c r="Z82" s="455" t="s">
        <v>513</v>
      </c>
      <c r="AA82" s="2355"/>
      <c r="AB82" s="2355"/>
      <c r="AC82" s="2355"/>
      <c r="AD82" s="2355"/>
      <c r="AE82" s="2355"/>
      <c r="AF82" s="2355"/>
      <c r="AG82" s="2355"/>
      <c r="AH82" s="2355"/>
      <c r="AI82" s="2355"/>
      <c r="AJ82" s="2108"/>
      <c r="AK82" s="2355"/>
      <c r="AL82" s="2355"/>
      <c r="AM82" s="2355"/>
      <c r="AN82" s="2355"/>
      <c r="AO82" s="2355"/>
      <c r="AP82" s="2355"/>
      <c r="AQ82" s="2355"/>
      <c r="AR82" s="2355"/>
      <c r="AS82" s="2355"/>
      <c r="AT82" s="2310"/>
      <c r="AU82" s="2310"/>
      <c r="AV82" s="2295"/>
    </row>
    <row r="83" spans="1:48" ht="75" customHeight="1" x14ac:dyDescent="0.25">
      <c r="A83" s="2424"/>
      <c r="B83" s="2425"/>
      <c r="C83" s="2134"/>
      <c r="D83" s="2110"/>
      <c r="E83" s="2440"/>
      <c r="F83" s="2441"/>
      <c r="G83" s="2324"/>
      <c r="H83" s="2298"/>
      <c r="I83" s="2358"/>
      <c r="J83" s="2298"/>
      <c r="K83" s="2324"/>
      <c r="L83" s="2285"/>
      <c r="M83" s="2324"/>
      <c r="N83" s="2285"/>
      <c r="O83" s="2128"/>
      <c r="P83" s="2128"/>
      <c r="Q83" s="2145"/>
      <c r="R83" s="2315"/>
      <c r="S83" s="2365"/>
      <c r="T83" s="2145"/>
      <c r="U83" s="2145"/>
      <c r="V83" s="2362"/>
      <c r="W83" s="499">
        <v>2000000</v>
      </c>
      <c r="X83" s="499"/>
      <c r="Y83" s="499"/>
      <c r="Z83" s="455" t="s">
        <v>514</v>
      </c>
      <c r="AA83" s="2355"/>
      <c r="AB83" s="2355"/>
      <c r="AC83" s="2355"/>
      <c r="AD83" s="2355"/>
      <c r="AE83" s="2355"/>
      <c r="AF83" s="2355"/>
      <c r="AG83" s="2355"/>
      <c r="AH83" s="2355"/>
      <c r="AI83" s="2355"/>
      <c r="AJ83" s="2108"/>
      <c r="AK83" s="2355"/>
      <c r="AL83" s="2355"/>
      <c r="AM83" s="2355"/>
      <c r="AN83" s="2355"/>
      <c r="AO83" s="2355"/>
      <c r="AP83" s="2355"/>
      <c r="AQ83" s="2355"/>
      <c r="AR83" s="2355"/>
      <c r="AS83" s="2355"/>
      <c r="AT83" s="2310"/>
      <c r="AU83" s="2310"/>
      <c r="AV83" s="2295"/>
    </row>
    <row r="84" spans="1:48" ht="42" customHeight="1" x14ac:dyDescent="0.25">
      <c r="A84" s="2424"/>
      <c r="B84" s="2425"/>
      <c r="C84" s="2134"/>
      <c r="D84" s="2110"/>
      <c r="E84" s="2440"/>
      <c r="F84" s="2441"/>
      <c r="G84" s="2324"/>
      <c r="H84" s="2298"/>
      <c r="I84" s="2358"/>
      <c r="J84" s="2298"/>
      <c r="K84" s="2324"/>
      <c r="L84" s="2285"/>
      <c r="M84" s="2324"/>
      <c r="N84" s="2285"/>
      <c r="O84" s="2128"/>
      <c r="P84" s="2128"/>
      <c r="Q84" s="2145"/>
      <c r="R84" s="2315"/>
      <c r="S84" s="2365"/>
      <c r="T84" s="2145"/>
      <c r="U84" s="2145"/>
      <c r="V84" s="2362"/>
      <c r="W84" s="499">
        <v>2000000</v>
      </c>
      <c r="X84" s="499"/>
      <c r="Y84" s="499"/>
      <c r="Z84" s="455" t="s">
        <v>515</v>
      </c>
      <c r="AA84" s="2355"/>
      <c r="AB84" s="2355"/>
      <c r="AC84" s="2355"/>
      <c r="AD84" s="2355"/>
      <c r="AE84" s="2355"/>
      <c r="AF84" s="2355"/>
      <c r="AG84" s="2355"/>
      <c r="AH84" s="2355"/>
      <c r="AI84" s="2355"/>
      <c r="AJ84" s="2108"/>
      <c r="AK84" s="2355"/>
      <c r="AL84" s="2355"/>
      <c r="AM84" s="2355"/>
      <c r="AN84" s="2355"/>
      <c r="AO84" s="2355"/>
      <c r="AP84" s="2355"/>
      <c r="AQ84" s="2355"/>
      <c r="AR84" s="2355"/>
      <c r="AS84" s="2355"/>
      <c r="AT84" s="2310"/>
      <c r="AU84" s="2310"/>
      <c r="AV84" s="2295"/>
    </row>
    <row r="85" spans="1:48" ht="42" customHeight="1" x14ac:dyDescent="0.25">
      <c r="A85" s="2424"/>
      <c r="B85" s="2425"/>
      <c r="C85" s="2134"/>
      <c r="D85" s="2110"/>
      <c r="E85" s="2440"/>
      <c r="F85" s="2441"/>
      <c r="G85" s="2324"/>
      <c r="H85" s="2298"/>
      <c r="I85" s="2358"/>
      <c r="J85" s="2298"/>
      <c r="K85" s="2324"/>
      <c r="L85" s="2285"/>
      <c r="M85" s="2324"/>
      <c r="N85" s="2285"/>
      <c r="O85" s="2128"/>
      <c r="P85" s="2128"/>
      <c r="Q85" s="2145"/>
      <c r="R85" s="2315"/>
      <c r="S85" s="2365"/>
      <c r="T85" s="2145"/>
      <c r="U85" s="2145"/>
      <c r="V85" s="2348"/>
      <c r="W85" s="499">
        <v>1000000</v>
      </c>
      <c r="X85" s="499"/>
      <c r="Y85" s="499"/>
      <c r="Z85" s="455" t="s">
        <v>516</v>
      </c>
      <c r="AA85" s="2355"/>
      <c r="AB85" s="2355"/>
      <c r="AC85" s="2355"/>
      <c r="AD85" s="2355"/>
      <c r="AE85" s="2355"/>
      <c r="AF85" s="2355"/>
      <c r="AG85" s="2355"/>
      <c r="AH85" s="2355"/>
      <c r="AI85" s="2355"/>
      <c r="AJ85" s="2108"/>
      <c r="AK85" s="2355"/>
      <c r="AL85" s="2355"/>
      <c r="AM85" s="2355"/>
      <c r="AN85" s="2355"/>
      <c r="AO85" s="2355"/>
      <c r="AP85" s="2355"/>
      <c r="AQ85" s="2355"/>
      <c r="AR85" s="2355"/>
      <c r="AS85" s="2355"/>
      <c r="AT85" s="2310"/>
      <c r="AU85" s="2310"/>
      <c r="AV85" s="2295"/>
    </row>
    <row r="86" spans="1:48" ht="60" x14ac:dyDescent="0.25">
      <c r="A86" s="2424"/>
      <c r="B86" s="2425"/>
      <c r="C86" s="2134"/>
      <c r="D86" s="2110"/>
      <c r="E86" s="2440"/>
      <c r="F86" s="2441"/>
      <c r="G86" s="2324"/>
      <c r="H86" s="2298"/>
      <c r="I86" s="2358"/>
      <c r="J86" s="2298"/>
      <c r="K86" s="2324"/>
      <c r="L86" s="2285"/>
      <c r="M86" s="2324"/>
      <c r="N86" s="2285"/>
      <c r="O86" s="2128"/>
      <c r="P86" s="2128"/>
      <c r="Q86" s="2145"/>
      <c r="R86" s="2315"/>
      <c r="S86" s="2365"/>
      <c r="T86" s="2145"/>
      <c r="U86" s="2145"/>
      <c r="V86" s="497" t="s">
        <v>517</v>
      </c>
      <c r="W86" s="498">
        <f>40000000-25000000</f>
        <v>15000000</v>
      </c>
      <c r="X86" s="498">
        <v>14400000</v>
      </c>
      <c r="Y86" s="498">
        <v>10800000</v>
      </c>
      <c r="Z86" s="455" t="s">
        <v>510</v>
      </c>
      <c r="AA86" s="2355"/>
      <c r="AB86" s="2355"/>
      <c r="AC86" s="2355"/>
      <c r="AD86" s="2355"/>
      <c r="AE86" s="2355"/>
      <c r="AF86" s="2355"/>
      <c r="AG86" s="2355"/>
      <c r="AH86" s="2355"/>
      <c r="AI86" s="2355"/>
      <c r="AJ86" s="2108"/>
      <c r="AK86" s="2355"/>
      <c r="AL86" s="2355"/>
      <c r="AM86" s="2355"/>
      <c r="AN86" s="2355"/>
      <c r="AO86" s="2355"/>
      <c r="AP86" s="2355"/>
      <c r="AQ86" s="2355"/>
      <c r="AR86" s="2355"/>
      <c r="AS86" s="2355"/>
      <c r="AT86" s="2310"/>
      <c r="AU86" s="2310"/>
      <c r="AV86" s="2295"/>
    </row>
    <row r="87" spans="1:48" ht="105" customHeight="1" x14ac:dyDescent="0.25">
      <c r="A87" s="2424"/>
      <c r="B87" s="2425"/>
      <c r="C87" s="2134"/>
      <c r="D87" s="2110"/>
      <c r="E87" s="2440"/>
      <c r="F87" s="2441"/>
      <c r="G87" s="2324"/>
      <c r="H87" s="2298"/>
      <c r="I87" s="2358"/>
      <c r="J87" s="2298"/>
      <c r="K87" s="2324"/>
      <c r="L87" s="2285"/>
      <c r="M87" s="2324"/>
      <c r="N87" s="2285"/>
      <c r="O87" s="2128"/>
      <c r="P87" s="2128"/>
      <c r="Q87" s="2145"/>
      <c r="R87" s="2315"/>
      <c r="S87" s="2365"/>
      <c r="T87" s="2145"/>
      <c r="U87" s="2145"/>
      <c r="V87" s="2347" t="s">
        <v>518</v>
      </c>
      <c r="W87" s="498">
        <v>7200000</v>
      </c>
      <c r="X87" s="498">
        <v>7200000</v>
      </c>
      <c r="Y87" s="498">
        <v>7200000</v>
      </c>
      <c r="Z87" s="455" t="s">
        <v>510</v>
      </c>
      <c r="AA87" s="2355"/>
      <c r="AB87" s="2355"/>
      <c r="AC87" s="2355"/>
      <c r="AD87" s="2355"/>
      <c r="AE87" s="2355"/>
      <c r="AF87" s="2355"/>
      <c r="AG87" s="2355"/>
      <c r="AH87" s="2355"/>
      <c r="AI87" s="2355"/>
      <c r="AJ87" s="2108"/>
      <c r="AK87" s="2355"/>
      <c r="AL87" s="2355"/>
      <c r="AM87" s="2355"/>
      <c r="AN87" s="2355"/>
      <c r="AO87" s="2355"/>
      <c r="AP87" s="2355"/>
      <c r="AQ87" s="2355"/>
      <c r="AR87" s="2355"/>
      <c r="AS87" s="2355"/>
      <c r="AT87" s="2310"/>
      <c r="AU87" s="2310"/>
      <c r="AV87" s="2295"/>
    </row>
    <row r="88" spans="1:48" ht="39" customHeight="1" x14ac:dyDescent="0.25">
      <c r="A88" s="2424"/>
      <c r="B88" s="2425"/>
      <c r="C88" s="2134"/>
      <c r="D88" s="2110"/>
      <c r="E88" s="2440"/>
      <c r="F88" s="2441"/>
      <c r="G88" s="2324"/>
      <c r="H88" s="2298"/>
      <c r="I88" s="2358"/>
      <c r="J88" s="2298"/>
      <c r="K88" s="2324"/>
      <c r="L88" s="2285"/>
      <c r="M88" s="2324"/>
      <c r="N88" s="2285"/>
      <c r="O88" s="2128"/>
      <c r="P88" s="2128"/>
      <c r="Q88" s="2145"/>
      <c r="R88" s="2315"/>
      <c r="S88" s="2365"/>
      <c r="T88" s="2145"/>
      <c r="U88" s="2145"/>
      <c r="V88" s="2361"/>
      <c r="W88" s="498">
        <v>6000000</v>
      </c>
      <c r="X88" s="498">
        <v>0</v>
      </c>
      <c r="Y88" s="498"/>
      <c r="Z88" s="455" t="s">
        <v>519</v>
      </c>
      <c r="AA88" s="2355"/>
      <c r="AB88" s="2355"/>
      <c r="AC88" s="2355"/>
      <c r="AD88" s="2355"/>
      <c r="AE88" s="2355"/>
      <c r="AF88" s="2355"/>
      <c r="AG88" s="2355"/>
      <c r="AH88" s="2355"/>
      <c r="AI88" s="2355"/>
      <c r="AJ88" s="2108"/>
      <c r="AK88" s="2355"/>
      <c r="AL88" s="2355"/>
      <c r="AM88" s="2355"/>
      <c r="AN88" s="2355"/>
      <c r="AO88" s="2355"/>
      <c r="AP88" s="2355"/>
      <c r="AQ88" s="2355"/>
      <c r="AR88" s="2355"/>
      <c r="AS88" s="2355"/>
      <c r="AT88" s="2310"/>
      <c r="AU88" s="2310"/>
      <c r="AV88" s="2295"/>
    </row>
    <row r="89" spans="1:48" ht="50.25" customHeight="1" x14ac:dyDescent="0.25">
      <c r="A89" s="2424"/>
      <c r="B89" s="2425"/>
      <c r="C89" s="2134"/>
      <c r="D89" s="2110"/>
      <c r="E89" s="2440"/>
      <c r="F89" s="2441"/>
      <c r="G89" s="2324"/>
      <c r="H89" s="2298"/>
      <c r="I89" s="2358"/>
      <c r="J89" s="2298"/>
      <c r="K89" s="2324"/>
      <c r="L89" s="2285"/>
      <c r="M89" s="2324"/>
      <c r="N89" s="2285"/>
      <c r="O89" s="2128"/>
      <c r="P89" s="2128"/>
      <c r="Q89" s="2145"/>
      <c r="R89" s="2315"/>
      <c r="S89" s="2365"/>
      <c r="T89" s="2145"/>
      <c r="U89" s="2145"/>
      <c r="V89" s="2360" t="s">
        <v>520</v>
      </c>
      <c r="W89" s="498">
        <v>10800000</v>
      </c>
      <c r="X89" s="498">
        <v>10800000</v>
      </c>
      <c r="Y89" s="498">
        <v>10800000</v>
      </c>
      <c r="Z89" s="455" t="s">
        <v>510</v>
      </c>
      <c r="AA89" s="2355"/>
      <c r="AB89" s="2355"/>
      <c r="AC89" s="2355"/>
      <c r="AD89" s="2355"/>
      <c r="AE89" s="2355"/>
      <c r="AF89" s="2355"/>
      <c r="AG89" s="2355"/>
      <c r="AH89" s="2355"/>
      <c r="AI89" s="2355"/>
      <c r="AJ89" s="2108"/>
      <c r="AK89" s="2355"/>
      <c r="AL89" s="2355"/>
      <c r="AM89" s="2355"/>
      <c r="AN89" s="2355"/>
      <c r="AO89" s="2355"/>
      <c r="AP89" s="2355"/>
      <c r="AQ89" s="2355"/>
      <c r="AR89" s="2355"/>
      <c r="AS89" s="2355"/>
      <c r="AT89" s="2310"/>
      <c r="AU89" s="2310"/>
      <c r="AV89" s="2295"/>
    </row>
    <row r="90" spans="1:48" ht="48" customHeight="1" x14ac:dyDescent="0.25">
      <c r="A90" s="2424"/>
      <c r="B90" s="2425"/>
      <c r="C90" s="2134"/>
      <c r="D90" s="2110"/>
      <c r="E90" s="2440"/>
      <c r="F90" s="2441"/>
      <c r="G90" s="2324"/>
      <c r="H90" s="2298"/>
      <c r="I90" s="2358"/>
      <c r="J90" s="2298"/>
      <c r="K90" s="2324"/>
      <c r="L90" s="2285"/>
      <c r="M90" s="2324"/>
      <c r="N90" s="2285"/>
      <c r="O90" s="2128"/>
      <c r="P90" s="2128"/>
      <c r="Q90" s="2145"/>
      <c r="R90" s="2315"/>
      <c r="S90" s="2365"/>
      <c r="T90" s="2145"/>
      <c r="U90" s="2145"/>
      <c r="V90" s="2361"/>
      <c r="W90" s="498">
        <v>2200000</v>
      </c>
      <c r="X90" s="498">
        <v>200000</v>
      </c>
      <c r="Y90" s="498"/>
      <c r="Z90" s="455" t="s">
        <v>519</v>
      </c>
      <c r="AA90" s="2355"/>
      <c r="AB90" s="2355"/>
      <c r="AC90" s="2355"/>
      <c r="AD90" s="2355"/>
      <c r="AE90" s="2355"/>
      <c r="AF90" s="2355"/>
      <c r="AG90" s="2355"/>
      <c r="AH90" s="2355"/>
      <c r="AI90" s="2355"/>
      <c r="AJ90" s="2108"/>
      <c r="AK90" s="2355"/>
      <c r="AL90" s="2355"/>
      <c r="AM90" s="2355"/>
      <c r="AN90" s="2355"/>
      <c r="AO90" s="2355"/>
      <c r="AP90" s="2355"/>
      <c r="AQ90" s="2355"/>
      <c r="AR90" s="2355"/>
      <c r="AS90" s="2355"/>
      <c r="AT90" s="2310"/>
      <c r="AU90" s="2310"/>
      <c r="AV90" s="2295"/>
    </row>
    <row r="91" spans="1:48" ht="67.5" customHeight="1" x14ac:dyDescent="0.25">
      <c r="A91" s="2424"/>
      <c r="B91" s="2425"/>
      <c r="C91" s="2134"/>
      <c r="D91" s="2110"/>
      <c r="E91" s="2440"/>
      <c r="F91" s="2441"/>
      <c r="G91" s="2324"/>
      <c r="H91" s="2298"/>
      <c r="I91" s="2358"/>
      <c r="J91" s="2298"/>
      <c r="K91" s="2324"/>
      <c r="L91" s="2285"/>
      <c r="M91" s="2324"/>
      <c r="N91" s="2285"/>
      <c r="O91" s="2128"/>
      <c r="P91" s="2128"/>
      <c r="Q91" s="2145"/>
      <c r="R91" s="2315"/>
      <c r="S91" s="2365"/>
      <c r="T91" s="2145"/>
      <c r="U91" s="2145"/>
      <c r="V91" s="2360" t="s">
        <v>521</v>
      </c>
      <c r="W91" s="498">
        <f>40000000+1000000</f>
        <v>41000000</v>
      </c>
      <c r="X91" s="498">
        <v>32600000</v>
      </c>
      <c r="Y91" s="498">
        <v>25700000</v>
      </c>
      <c r="Z91" s="455" t="s">
        <v>510</v>
      </c>
      <c r="AA91" s="2355"/>
      <c r="AB91" s="2355"/>
      <c r="AC91" s="2355"/>
      <c r="AD91" s="2355"/>
      <c r="AE91" s="2355"/>
      <c r="AF91" s="2355"/>
      <c r="AG91" s="2355"/>
      <c r="AH91" s="2355"/>
      <c r="AI91" s="2355"/>
      <c r="AJ91" s="2108"/>
      <c r="AK91" s="2355"/>
      <c r="AL91" s="2355"/>
      <c r="AM91" s="2355"/>
      <c r="AN91" s="2355"/>
      <c r="AO91" s="2355"/>
      <c r="AP91" s="2355"/>
      <c r="AQ91" s="2355"/>
      <c r="AR91" s="2355"/>
      <c r="AS91" s="2355"/>
      <c r="AT91" s="2310"/>
      <c r="AU91" s="2310"/>
      <c r="AV91" s="2295"/>
    </row>
    <row r="92" spans="1:48" ht="66" customHeight="1" x14ac:dyDescent="0.25">
      <c r="A92" s="2424"/>
      <c r="B92" s="2425"/>
      <c r="C92" s="2134"/>
      <c r="D92" s="2110"/>
      <c r="E92" s="2440"/>
      <c r="F92" s="2441"/>
      <c r="G92" s="2324"/>
      <c r="H92" s="2298"/>
      <c r="I92" s="2358"/>
      <c r="J92" s="2298"/>
      <c r="K92" s="2324"/>
      <c r="L92" s="2285"/>
      <c r="M92" s="2324"/>
      <c r="N92" s="2285"/>
      <c r="O92" s="2128"/>
      <c r="P92" s="2128"/>
      <c r="Q92" s="2145"/>
      <c r="R92" s="2315"/>
      <c r="S92" s="2365"/>
      <c r="T92" s="2145"/>
      <c r="U92" s="2145"/>
      <c r="V92" s="2361"/>
      <c r="W92" s="498">
        <v>33000000</v>
      </c>
      <c r="X92" s="498"/>
      <c r="Y92" s="498"/>
      <c r="Z92" s="500" t="s">
        <v>522</v>
      </c>
      <c r="AA92" s="2355"/>
      <c r="AB92" s="2355"/>
      <c r="AC92" s="2355"/>
      <c r="AD92" s="2355"/>
      <c r="AE92" s="2355"/>
      <c r="AF92" s="2355"/>
      <c r="AG92" s="2355"/>
      <c r="AH92" s="2355"/>
      <c r="AI92" s="2355"/>
      <c r="AJ92" s="2108"/>
      <c r="AK92" s="2355"/>
      <c r="AL92" s="2355"/>
      <c r="AM92" s="2355"/>
      <c r="AN92" s="2355"/>
      <c r="AO92" s="2355"/>
      <c r="AP92" s="2355"/>
      <c r="AQ92" s="2355"/>
      <c r="AR92" s="2355"/>
      <c r="AS92" s="2355"/>
      <c r="AT92" s="2310"/>
      <c r="AU92" s="2310"/>
      <c r="AV92" s="2295"/>
    </row>
    <row r="93" spans="1:48" ht="80.25" customHeight="1" x14ac:dyDescent="0.25">
      <c r="A93" s="2424"/>
      <c r="B93" s="2425"/>
      <c r="C93" s="2134"/>
      <c r="D93" s="2110"/>
      <c r="E93" s="2440"/>
      <c r="F93" s="2441"/>
      <c r="G93" s="2324"/>
      <c r="H93" s="2298"/>
      <c r="I93" s="2358"/>
      <c r="J93" s="2298"/>
      <c r="K93" s="2324"/>
      <c r="L93" s="2285"/>
      <c r="M93" s="2324"/>
      <c r="N93" s="2285"/>
      <c r="O93" s="2128"/>
      <c r="P93" s="2128"/>
      <c r="Q93" s="2145"/>
      <c r="R93" s="2315"/>
      <c r="S93" s="2365"/>
      <c r="T93" s="2145"/>
      <c r="U93" s="2145"/>
      <c r="V93" s="2360" t="s">
        <v>523</v>
      </c>
      <c r="W93" s="498">
        <v>17200000</v>
      </c>
      <c r="X93" s="498">
        <v>17200000</v>
      </c>
      <c r="Y93" s="498">
        <v>17200000</v>
      </c>
      <c r="Z93" s="455" t="s">
        <v>510</v>
      </c>
      <c r="AA93" s="2355"/>
      <c r="AB93" s="2355"/>
      <c r="AC93" s="2355"/>
      <c r="AD93" s="2355"/>
      <c r="AE93" s="2355"/>
      <c r="AF93" s="2355"/>
      <c r="AG93" s="2355"/>
      <c r="AH93" s="2355"/>
      <c r="AI93" s="2355"/>
      <c r="AJ93" s="2108"/>
      <c r="AK93" s="2355"/>
      <c r="AL93" s="2355"/>
      <c r="AM93" s="2355"/>
      <c r="AN93" s="2355"/>
      <c r="AO93" s="2355"/>
      <c r="AP93" s="2355"/>
      <c r="AQ93" s="2355"/>
      <c r="AR93" s="2355"/>
      <c r="AS93" s="2355"/>
      <c r="AT93" s="2310"/>
      <c r="AU93" s="2310"/>
      <c r="AV93" s="2295"/>
    </row>
    <row r="94" spans="1:48" ht="50.25" customHeight="1" x14ac:dyDescent="0.25">
      <c r="A94" s="2424"/>
      <c r="B94" s="2425"/>
      <c r="C94" s="2134"/>
      <c r="D94" s="2110"/>
      <c r="E94" s="2440"/>
      <c r="F94" s="2441"/>
      <c r="G94" s="2324"/>
      <c r="H94" s="2298"/>
      <c r="I94" s="2358"/>
      <c r="J94" s="2298"/>
      <c r="K94" s="2324"/>
      <c r="L94" s="2285"/>
      <c r="M94" s="2324"/>
      <c r="N94" s="2285"/>
      <c r="O94" s="2128"/>
      <c r="P94" s="2128"/>
      <c r="Q94" s="2145"/>
      <c r="R94" s="2315"/>
      <c r="S94" s="2365"/>
      <c r="T94" s="2145"/>
      <c r="U94" s="2145"/>
      <c r="V94" s="2361"/>
      <c r="W94" s="498">
        <v>800000</v>
      </c>
      <c r="X94" s="498">
        <v>100000</v>
      </c>
      <c r="Y94" s="498"/>
      <c r="Z94" s="455" t="s">
        <v>519</v>
      </c>
      <c r="AA94" s="2355"/>
      <c r="AB94" s="2355"/>
      <c r="AC94" s="2355"/>
      <c r="AD94" s="2355"/>
      <c r="AE94" s="2355"/>
      <c r="AF94" s="2355"/>
      <c r="AG94" s="2355"/>
      <c r="AH94" s="2355"/>
      <c r="AI94" s="2355"/>
      <c r="AJ94" s="2108"/>
      <c r="AK94" s="2355"/>
      <c r="AL94" s="2355"/>
      <c r="AM94" s="2355"/>
      <c r="AN94" s="2355"/>
      <c r="AO94" s="2355"/>
      <c r="AP94" s="2355"/>
      <c r="AQ94" s="2355"/>
      <c r="AR94" s="2355"/>
      <c r="AS94" s="2355"/>
      <c r="AT94" s="2310"/>
      <c r="AU94" s="2310"/>
      <c r="AV94" s="2295"/>
    </row>
    <row r="95" spans="1:48" ht="90" customHeight="1" x14ac:dyDescent="0.25">
      <c r="A95" s="2424"/>
      <c r="B95" s="2425"/>
      <c r="C95" s="2134"/>
      <c r="D95" s="2110"/>
      <c r="E95" s="2440"/>
      <c r="F95" s="2441"/>
      <c r="G95" s="2324"/>
      <c r="H95" s="2298"/>
      <c r="I95" s="2358"/>
      <c r="J95" s="2298"/>
      <c r="K95" s="2324"/>
      <c r="L95" s="2285"/>
      <c r="M95" s="2324"/>
      <c r="N95" s="2285"/>
      <c r="O95" s="2128"/>
      <c r="P95" s="2128"/>
      <c r="Q95" s="2145"/>
      <c r="R95" s="2315"/>
      <c r="S95" s="2365"/>
      <c r="T95" s="2145"/>
      <c r="U95" s="2145"/>
      <c r="V95" s="2360" t="s">
        <v>524</v>
      </c>
      <c r="W95" s="498">
        <v>33000000</v>
      </c>
      <c r="X95" s="498">
        <v>14881500</v>
      </c>
      <c r="Y95" s="498">
        <v>14881500</v>
      </c>
      <c r="Z95" s="455" t="s">
        <v>510</v>
      </c>
      <c r="AA95" s="2355"/>
      <c r="AB95" s="2355"/>
      <c r="AC95" s="2355"/>
      <c r="AD95" s="2355"/>
      <c r="AE95" s="2355"/>
      <c r="AF95" s="2355"/>
      <c r="AG95" s="2355"/>
      <c r="AH95" s="2355"/>
      <c r="AI95" s="2355"/>
      <c r="AJ95" s="2108"/>
      <c r="AK95" s="2355"/>
      <c r="AL95" s="2355"/>
      <c r="AM95" s="2355"/>
      <c r="AN95" s="2355"/>
      <c r="AO95" s="2355"/>
      <c r="AP95" s="2355"/>
      <c r="AQ95" s="2355"/>
      <c r="AR95" s="2355"/>
      <c r="AS95" s="2355"/>
      <c r="AT95" s="2310"/>
      <c r="AU95" s="2310"/>
      <c r="AV95" s="2295"/>
    </row>
    <row r="96" spans="1:48" ht="58.5" customHeight="1" x14ac:dyDescent="0.25">
      <c r="A96" s="2424"/>
      <c r="B96" s="2425"/>
      <c r="C96" s="2134"/>
      <c r="D96" s="2110"/>
      <c r="E96" s="2440"/>
      <c r="F96" s="2441"/>
      <c r="G96" s="2324"/>
      <c r="H96" s="2298"/>
      <c r="I96" s="2358"/>
      <c r="J96" s="2298"/>
      <c r="K96" s="2324"/>
      <c r="L96" s="2285"/>
      <c r="M96" s="2324"/>
      <c r="N96" s="2285"/>
      <c r="O96" s="2128"/>
      <c r="P96" s="2128"/>
      <c r="Q96" s="2145"/>
      <c r="R96" s="2315"/>
      <c r="S96" s="2365"/>
      <c r="T96" s="2145"/>
      <c r="U96" s="2145"/>
      <c r="V96" s="2361"/>
      <c r="W96" s="498">
        <v>740200000</v>
      </c>
      <c r="X96" s="498"/>
      <c r="Y96" s="498"/>
      <c r="Z96" s="500" t="s">
        <v>522</v>
      </c>
      <c r="AA96" s="2355"/>
      <c r="AB96" s="2355"/>
      <c r="AC96" s="2355"/>
      <c r="AD96" s="2355"/>
      <c r="AE96" s="2355"/>
      <c r="AF96" s="2355"/>
      <c r="AG96" s="2355"/>
      <c r="AH96" s="2355"/>
      <c r="AI96" s="2355"/>
      <c r="AJ96" s="2108"/>
      <c r="AK96" s="2355"/>
      <c r="AL96" s="2355"/>
      <c r="AM96" s="2355"/>
      <c r="AN96" s="2355"/>
      <c r="AO96" s="2355"/>
      <c r="AP96" s="2355"/>
      <c r="AQ96" s="2355"/>
      <c r="AR96" s="2355"/>
      <c r="AS96" s="2355"/>
      <c r="AT96" s="2310"/>
      <c r="AU96" s="2310"/>
      <c r="AV96" s="2295"/>
    </row>
    <row r="97" spans="1:48" ht="39.75" customHeight="1" x14ac:dyDescent="0.25">
      <c r="A97" s="2424"/>
      <c r="B97" s="2425"/>
      <c r="C97" s="2134"/>
      <c r="D97" s="2110"/>
      <c r="E97" s="2440"/>
      <c r="F97" s="2441"/>
      <c r="G97" s="2324"/>
      <c r="H97" s="2298"/>
      <c r="I97" s="2358"/>
      <c r="J97" s="2298"/>
      <c r="K97" s="2324"/>
      <c r="L97" s="2285"/>
      <c r="M97" s="2324"/>
      <c r="N97" s="2285"/>
      <c r="O97" s="2128"/>
      <c r="P97" s="2128"/>
      <c r="Q97" s="2145"/>
      <c r="R97" s="2315"/>
      <c r="S97" s="2365"/>
      <c r="T97" s="2145"/>
      <c r="U97" s="2145"/>
      <c r="V97" s="2360" t="s">
        <v>525</v>
      </c>
      <c r="W97" s="498">
        <v>33000000</v>
      </c>
      <c r="X97" s="498">
        <v>25500000</v>
      </c>
      <c r="Y97" s="498">
        <v>19600000</v>
      </c>
      <c r="Z97" s="455" t="s">
        <v>510</v>
      </c>
      <c r="AA97" s="2355"/>
      <c r="AB97" s="2355"/>
      <c r="AC97" s="2355"/>
      <c r="AD97" s="2355"/>
      <c r="AE97" s="2355"/>
      <c r="AF97" s="2355"/>
      <c r="AG97" s="2355"/>
      <c r="AH97" s="2355"/>
      <c r="AI97" s="2355"/>
      <c r="AJ97" s="2108"/>
      <c r="AK97" s="2355"/>
      <c r="AL97" s="2355"/>
      <c r="AM97" s="2355"/>
      <c r="AN97" s="2355"/>
      <c r="AO97" s="2355"/>
      <c r="AP97" s="2355"/>
      <c r="AQ97" s="2355"/>
      <c r="AR97" s="2355"/>
      <c r="AS97" s="2355"/>
      <c r="AT97" s="2310"/>
      <c r="AU97" s="2310"/>
      <c r="AV97" s="2295"/>
    </row>
    <row r="98" spans="1:48" ht="36" customHeight="1" x14ac:dyDescent="0.25">
      <c r="A98" s="2424"/>
      <c r="B98" s="2425"/>
      <c r="C98" s="2134"/>
      <c r="D98" s="2110"/>
      <c r="E98" s="2440"/>
      <c r="F98" s="2441"/>
      <c r="G98" s="2324"/>
      <c r="H98" s="2298"/>
      <c r="I98" s="2358"/>
      <c r="J98" s="2298"/>
      <c r="K98" s="2324"/>
      <c r="L98" s="2285"/>
      <c r="M98" s="2324"/>
      <c r="N98" s="2285"/>
      <c r="O98" s="2128"/>
      <c r="P98" s="2128"/>
      <c r="Q98" s="2145"/>
      <c r="R98" s="2315"/>
      <c r="S98" s="2365"/>
      <c r="T98" s="2145"/>
      <c r="U98" s="2145"/>
      <c r="V98" s="2361"/>
      <c r="W98" s="498">
        <v>44000000</v>
      </c>
      <c r="X98" s="498"/>
      <c r="Y98" s="498"/>
      <c r="Z98" s="500" t="s">
        <v>522</v>
      </c>
      <c r="AA98" s="2355"/>
      <c r="AB98" s="2355"/>
      <c r="AC98" s="2355"/>
      <c r="AD98" s="2355"/>
      <c r="AE98" s="2355"/>
      <c r="AF98" s="2355"/>
      <c r="AG98" s="2355"/>
      <c r="AH98" s="2355"/>
      <c r="AI98" s="2355"/>
      <c r="AJ98" s="2108"/>
      <c r="AK98" s="2355"/>
      <c r="AL98" s="2355"/>
      <c r="AM98" s="2355"/>
      <c r="AN98" s="2355"/>
      <c r="AO98" s="2355"/>
      <c r="AP98" s="2355"/>
      <c r="AQ98" s="2355"/>
      <c r="AR98" s="2355"/>
      <c r="AS98" s="2355"/>
      <c r="AT98" s="2310"/>
      <c r="AU98" s="2310"/>
      <c r="AV98" s="2295"/>
    </row>
    <row r="99" spans="1:48" ht="75" x14ac:dyDescent="0.25">
      <c r="A99" s="2424"/>
      <c r="B99" s="2425"/>
      <c r="C99" s="2134"/>
      <c r="D99" s="2110"/>
      <c r="E99" s="2440"/>
      <c r="F99" s="2441"/>
      <c r="G99" s="2324"/>
      <c r="H99" s="2298"/>
      <c r="I99" s="2358"/>
      <c r="J99" s="2298"/>
      <c r="K99" s="2324"/>
      <c r="L99" s="2285"/>
      <c r="M99" s="2324"/>
      <c r="N99" s="2285"/>
      <c r="O99" s="2128"/>
      <c r="P99" s="2128"/>
      <c r="Q99" s="2145"/>
      <c r="R99" s="2315"/>
      <c r="S99" s="2365"/>
      <c r="T99" s="2145"/>
      <c r="U99" s="2145"/>
      <c r="V99" s="501" t="s">
        <v>526</v>
      </c>
      <c r="W99" s="498">
        <v>27800000</v>
      </c>
      <c r="X99" s="498">
        <v>22600000</v>
      </c>
      <c r="Y99" s="498">
        <v>18200000</v>
      </c>
      <c r="Z99" s="455" t="s">
        <v>510</v>
      </c>
      <c r="AA99" s="2355"/>
      <c r="AB99" s="2355"/>
      <c r="AC99" s="2355"/>
      <c r="AD99" s="2355"/>
      <c r="AE99" s="2355"/>
      <c r="AF99" s="2355"/>
      <c r="AG99" s="2355"/>
      <c r="AH99" s="2355"/>
      <c r="AI99" s="2355"/>
      <c r="AJ99" s="2108"/>
      <c r="AK99" s="2355"/>
      <c r="AL99" s="2355"/>
      <c r="AM99" s="2355"/>
      <c r="AN99" s="2355"/>
      <c r="AO99" s="2355"/>
      <c r="AP99" s="2355"/>
      <c r="AQ99" s="2355"/>
      <c r="AR99" s="2355"/>
      <c r="AS99" s="2355"/>
      <c r="AT99" s="2310"/>
      <c r="AU99" s="2310"/>
      <c r="AV99" s="2295"/>
    </row>
    <row r="100" spans="1:48" ht="45" customHeight="1" x14ac:dyDescent="0.25">
      <c r="A100" s="2424"/>
      <c r="B100" s="2425"/>
      <c r="C100" s="2134"/>
      <c r="D100" s="2110"/>
      <c r="E100" s="2440"/>
      <c r="F100" s="2441"/>
      <c r="G100" s="2324"/>
      <c r="H100" s="2298"/>
      <c r="I100" s="2358"/>
      <c r="J100" s="2298"/>
      <c r="K100" s="2324"/>
      <c r="L100" s="2285"/>
      <c r="M100" s="2324"/>
      <c r="N100" s="2285"/>
      <c r="O100" s="2128"/>
      <c r="P100" s="2128"/>
      <c r="Q100" s="2145"/>
      <c r="R100" s="2315"/>
      <c r="S100" s="2365"/>
      <c r="T100" s="2145"/>
      <c r="U100" s="2145"/>
      <c r="V100" s="2347" t="s">
        <v>527</v>
      </c>
      <c r="W100" s="499">
        <v>15000000</v>
      </c>
      <c r="X100" s="499">
        <v>15000000</v>
      </c>
      <c r="Y100" s="499">
        <v>0</v>
      </c>
      <c r="Z100" s="455" t="s">
        <v>528</v>
      </c>
      <c r="AA100" s="2355"/>
      <c r="AB100" s="2355"/>
      <c r="AC100" s="2355"/>
      <c r="AD100" s="2355"/>
      <c r="AE100" s="2355"/>
      <c r="AF100" s="2355"/>
      <c r="AG100" s="2355"/>
      <c r="AH100" s="2355"/>
      <c r="AI100" s="2355"/>
      <c r="AJ100" s="2108"/>
      <c r="AK100" s="2355"/>
      <c r="AL100" s="2355"/>
      <c r="AM100" s="2355"/>
      <c r="AN100" s="2355"/>
      <c r="AO100" s="2355"/>
      <c r="AP100" s="2355"/>
      <c r="AQ100" s="2355"/>
      <c r="AR100" s="2355"/>
      <c r="AS100" s="2355"/>
      <c r="AT100" s="2310"/>
      <c r="AU100" s="2310"/>
      <c r="AV100" s="2295"/>
    </row>
    <row r="101" spans="1:48" ht="38.25" customHeight="1" x14ac:dyDescent="0.25">
      <c r="A101" s="2424"/>
      <c r="B101" s="2425"/>
      <c r="C101" s="2134"/>
      <c r="D101" s="2110"/>
      <c r="E101" s="2440"/>
      <c r="F101" s="2441"/>
      <c r="G101" s="2324"/>
      <c r="H101" s="2298"/>
      <c r="I101" s="2358"/>
      <c r="J101" s="2298"/>
      <c r="K101" s="2324"/>
      <c r="L101" s="2285"/>
      <c r="M101" s="2324"/>
      <c r="N101" s="2285"/>
      <c r="O101" s="2128"/>
      <c r="P101" s="2128"/>
      <c r="Q101" s="2145"/>
      <c r="R101" s="2315"/>
      <c r="S101" s="2365"/>
      <c r="T101" s="2145"/>
      <c r="U101" s="2145"/>
      <c r="V101" s="2348"/>
      <c r="W101" s="499">
        <v>1255116000</v>
      </c>
      <c r="X101" s="499"/>
      <c r="Y101" s="499"/>
      <c r="Z101" s="500" t="s">
        <v>529</v>
      </c>
      <c r="AA101" s="2355"/>
      <c r="AB101" s="2355"/>
      <c r="AC101" s="2355"/>
      <c r="AD101" s="2355"/>
      <c r="AE101" s="2355"/>
      <c r="AF101" s="2355"/>
      <c r="AG101" s="2355"/>
      <c r="AH101" s="2355"/>
      <c r="AI101" s="2355"/>
      <c r="AJ101" s="2108"/>
      <c r="AK101" s="2355"/>
      <c r="AL101" s="2355"/>
      <c r="AM101" s="2355"/>
      <c r="AN101" s="2355"/>
      <c r="AO101" s="2355"/>
      <c r="AP101" s="2355"/>
      <c r="AQ101" s="2355"/>
      <c r="AR101" s="2355"/>
      <c r="AS101" s="2355"/>
      <c r="AT101" s="2310"/>
      <c r="AU101" s="2310"/>
      <c r="AV101" s="2295"/>
    </row>
    <row r="102" spans="1:48" ht="53.25" customHeight="1" x14ac:dyDescent="0.25">
      <c r="A102" s="2424"/>
      <c r="B102" s="2425"/>
      <c r="C102" s="2134"/>
      <c r="D102" s="2110"/>
      <c r="E102" s="2440"/>
      <c r="F102" s="2441"/>
      <c r="G102" s="2324"/>
      <c r="H102" s="2298"/>
      <c r="I102" s="2358"/>
      <c r="J102" s="2298"/>
      <c r="K102" s="2324"/>
      <c r="L102" s="2285"/>
      <c r="M102" s="2324"/>
      <c r="N102" s="2285"/>
      <c r="O102" s="2128"/>
      <c r="P102" s="2128"/>
      <c r="Q102" s="2145"/>
      <c r="R102" s="2315"/>
      <c r="S102" s="2365"/>
      <c r="T102" s="2145"/>
      <c r="U102" s="2145"/>
      <c r="V102" s="2347" t="s">
        <v>530</v>
      </c>
      <c r="W102" s="499">
        <v>20000000</v>
      </c>
      <c r="X102" s="499">
        <v>0</v>
      </c>
      <c r="Y102" s="499">
        <v>0</v>
      </c>
      <c r="Z102" s="455" t="s">
        <v>531</v>
      </c>
      <c r="AA102" s="2355"/>
      <c r="AB102" s="2355"/>
      <c r="AC102" s="2355"/>
      <c r="AD102" s="2355"/>
      <c r="AE102" s="2355"/>
      <c r="AF102" s="2355"/>
      <c r="AG102" s="2355"/>
      <c r="AH102" s="2355"/>
      <c r="AI102" s="2355"/>
      <c r="AJ102" s="2108"/>
      <c r="AK102" s="2355"/>
      <c r="AL102" s="2355"/>
      <c r="AM102" s="2355"/>
      <c r="AN102" s="2355"/>
      <c r="AO102" s="2355"/>
      <c r="AP102" s="2355"/>
      <c r="AQ102" s="2355"/>
      <c r="AR102" s="2355"/>
      <c r="AS102" s="2355"/>
      <c r="AT102" s="2310"/>
      <c r="AU102" s="2310"/>
      <c r="AV102" s="2295"/>
    </row>
    <row r="103" spans="1:48" ht="57.75" customHeight="1" x14ac:dyDescent="0.25">
      <c r="A103" s="2424"/>
      <c r="B103" s="2425"/>
      <c r="C103" s="2134"/>
      <c r="D103" s="2110"/>
      <c r="E103" s="2440"/>
      <c r="F103" s="2441"/>
      <c r="G103" s="2324"/>
      <c r="H103" s="2298"/>
      <c r="I103" s="2358"/>
      <c r="J103" s="2298"/>
      <c r="K103" s="2324"/>
      <c r="L103" s="2285"/>
      <c r="M103" s="2324"/>
      <c r="N103" s="2285"/>
      <c r="O103" s="2128"/>
      <c r="P103" s="2128"/>
      <c r="Q103" s="2145"/>
      <c r="R103" s="2315"/>
      <c r="S103" s="2365"/>
      <c r="T103" s="2145"/>
      <c r="U103" s="2145"/>
      <c r="V103" s="2348"/>
      <c r="W103" s="499">
        <v>44800000</v>
      </c>
      <c r="X103" s="499"/>
      <c r="Y103" s="499"/>
      <c r="Z103" s="500" t="s">
        <v>532</v>
      </c>
      <c r="AA103" s="2355"/>
      <c r="AB103" s="2355"/>
      <c r="AC103" s="2355"/>
      <c r="AD103" s="2355"/>
      <c r="AE103" s="2355"/>
      <c r="AF103" s="2355"/>
      <c r="AG103" s="2355"/>
      <c r="AH103" s="2355"/>
      <c r="AI103" s="2355"/>
      <c r="AJ103" s="2108"/>
      <c r="AK103" s="2355"/>
      <c r="AL103" s="2355"/>
      <c r="AM103" s="2355"/>
      <c r="AN103" s="2355"/>
      <c r="AO103" s="2355"/>
      <c r="AP103" s="2355"/>
      <c r="AQ103" s="2355"/>
      <c r="AR103" s="2355"/>
      <c r="AS103" s="2355"/>
      <c r="AT103" s="2310"/>
      <c r="AU103" s="2310"/>
      <c r="AV103" s="2295"/>
    </row>
    <row r="104" spans="1:48" ht="60" x14ac:dyDescent="0.25">
      <c r="A104" s="2424"/>
      <c r="B104" s="2425"/>
      <c r="C104" s="2134"/>
      <c r="D104" s="2110"/>
      <c r="E104" s="2440"/>
      <c r="F104" s="2441"/>
      <c r="G104" s="2324"/>
      <c r="H104" s="2298"/>
      <c r="I104" s="2358"/>
      <c r="J104" s="2298"/>
      <c r="K104" s="2324"/>
      <c r="L104" s="2285"/>
      <c r="M104" s="2324"/>
      <c r="N104" s="2285"/>
      <c r="O104" s="2128"/>
      <c r="P104" s="2128"/>
      <c r="Q104" s="2145"/>
      <c r="R104" s="2315"/>
      <c r="S104" s="2365"/>
      <c r="T104" s="2145"/>
      <c r="U104" s="2145"/>
      <c r="V104" s="497" t="s">
        <v>533</v>
      </c>
      <c r="W104" s="499">
        <v>1000000</v>
      </c>
      <c r="X104" s="499">
        <v>0</v>
      </c>
      <c r="Y104" s="499">
        <v>0</v>
      </c>
      <c r="Z104" s="455" t="s">
        <v>534</v>
      </c>
      <c r="AA104" s="2355"/>
      <c r="AB104" s="2355"/>
      <c r="AC104" s="2355"/>
      <c r="AD104" s="2355"/>
      <c r="AE104" s="2355"/>
      <c r="AF104" s="2355"/>
      <c r="AG104" s="2355"/>
      <c r="AH104" s="2355"/>
      <c r="AI104" s="2355"/>
      <c r="AJ104" s="2108"/>
      <c r="AK104" s="2355"/>
      <c r="AL104" s="2355"/>
      <c r="AM104" s="2355"/>
      <c r="AN104" s="2355"/>
      <c r="AO104" s="2355"/>
      <c r="AP104" s="2355"/>
      <c r="AQ104" s="2355"/>
      <c r="AR104" s="2355"/>
      <c r="AS104" s="2355"/>
      <c r="AT104" s="2310"/>
      <c r="AU104" s="2310"/>
      <c r="AV104" s="2295"/>
    </row>
    <row r="105" spans="1:48" ht="53.25" customHeight="1" x14ac:dyDescent="0.25">
      <c r="A105" s="2424"/>
      <c r="B105" s="2425"/>
      <c r="C105" s="2134"/>
      <c r="D105" s="2110"/>
      <c r="E105" s="2440"/>
      <c r="F105" s="2441"/>
      <c r="G105" s="2324"/>
      <c r="H105" s="2298"/>
      <c r="I105" s="2358"/>
      <c r="J105" s="2298"/>
      <c r="K105" s="2324"/>
      <c r="L105" s="2285"/>
      <c r="M105" s="2324"/>
      <c r="N105" s="2285"/>
      <c r="O105" s="2128"/>
      <c r="P105" s="2128"/>
      <c r="Q105" s="2145"/>
      <c r="R105" s="2315"/>
      <c r="S105" s="2365"/>
      <c r="T105" s="2145"/>
      <c r="U105" s="2145"/>
      <c r="V105" s="502" t="s">
        <v>535</v>
      </c>
      <c r="W105" s="499">
        <v>160384000</v>
      </c>
      <c r="X105" s="499"/>
      <c r="Y105" s="499"/>
      <c r="Z105" s="500" t="s">
        <v>536</v>
      </c>
      <c r="AA105" s="2355"/>
      <c r="AB105" s="2355"/>
      <c r="AC105" s="2355"/>
      <c r="AD105" s="2355"/>
      <c r="AE105" s="2355"/>
      <c r="AF105" s="2355"/>
      <c r="AG105" s="2355"/>
      <c r="AH105" s="2355"/>
      <c r="AI105" s="2355"/>
      <c r="AJ105" s="2108"/>
      <c r="AK105" s="2355"/>
      <c r="AL105" s="2355"/>
      <c r="AM105" s="2355"/>
      <c r="AN105" s="2355"/>
      <c r="AO105" s="2355"/>
      <c r="AP105" s="2355"/>
      <c r="AQ105" s="2355"/>
      <c r="AR105" s="2355"/>
      <c r="AS105" s="2355"/>
      <c r="AT105" s="2310"/>
      <c r="AU105" s="2310"/>
      <c r="AV105" s="2295"/>
    </row>
    <row r="106" spans="1:48" ht="30" x14ac:dyDescent="0.25">
      <c r="A106" s="2424"/>
      <c r="B106" s="2425"/>
      <c r="C106" s="2134"/>
      <c r="D106" s="2110"/>
      <c r="E106" s="2440"/>
      <c r="F106" s="2441"/>
      <c r="G106" s="2325"/>
      <c r="H106" s="2299"/>
      <c r="I106" s="2359"/>
      <c r="J106" s="2299"/>
      <c r="K106" s="2325"/>
      <c r="L106" s="2286"/>
      <c r="M106" s="2325"/>
      <c r="N106" s="2286"/>
      <c r="O106" s="2129"/>
      <c r="P106" s="2129"/>
      <c r="Q106" s="2146"/>
      <c r="R106" s="2316"/>
      <c r="S106" s="2366"/>
      <c r="T106" s="2146"/>
      <c r="U106" s="2146"/>
      <c r="V106" s="503" t="s">
        <v>537</v>
      </c>
      <c r="W106" s="499">
        <v>393689004</v>
      </c>
      <c r="X106" s="499"/>
      <c r="Y106" s="499"/>
      <c r="Z106" s="455" t="s">
        <v>538</v>
      </c>
      <c r="AA106" s="2356"/>
      <c r="AB106" s="2356"/>
      <c r="AC106" s="2356"/>
      <c r="AD106" s="2356"/>
      <c r="AE106" s="2356"/>
      <c r="AF106" s="2356"/>
      <c r="AG106" s="2356"/>
      <c r="AH106" s="2356"/>
      <c r="AI106" s="2356"/>
      <c r="AJ106" s="2108"/>
      <c r="AK106" s="2356"/>
      <c r="AL106" s="2356"/>
      <c r="AM106" s="2356"/>
      <c r="AN106" s="2356"/>
      <c r="AO106" s="2356"/>
      <c r="AP106" s="2356"/>
      <c r="AQ106" s="2356"/>
      <c r="AR106" s="2356"/>
      <c r="AS106" s="2356"/>
      <c r="AT106" s="2311"/>
      <c r="AU106" s="2311"/>
      <c r="AV106" s="2296"/>
    </row>
    <row r="107" spans="1:48" ht="210" x14ac:dyDescent="0.25">
      <c r="A107" s="2424"/>
      <c r="B107" s="2425"/>
      <c r="C107" s="2135"/>
      <c r="D107" s="2334"/>
      <c r="E107" s="2442"/>
      <c r="F107" s="2443"/>
      <c r="G107" s="72" t="s">
        <v>62</v>
      </c>
      <c r="H107" s="73" t="s">
        <v>539</v>
      </c>
      <c r="I107" s="72">
        <v>2402118</v>
      </c>
      <c r="J107" s="73" t="s">
        <v>540</v>
      </c>
      <c r="K107" s="504" t="s">
        <v>62</v>
      </c>
      <c r="L107" s="488" t="s">
        <v>541</v>
      </c>
      <c r="M107" s="72">
        <v>240211800</v>
      </c>
      <c r="N107" s="488" t="s">
        <v>542</v>
      </c>
      <c r="O107" s="505">
        <v>6</v>
      </c>
      <c r="P107" s="113" t="s">
        <v>543</v>
      </c>
      <c r="Q107" s="218" t="s">
        <v>544</v>
      </c>
      <c r="R107" s="111">
        <f>SUM(W107)/S107</f>
        <v>1</v>
      </c>
      <c r="S107" s="506">
        <f>SUM(W107)</f>
        <v>40000000</v>
      </c>
      <c r="T107" s="89" t="s">
        <v>545</v>
      </c>
      <c r="U107" s="89" t="s">
        <v>546</v>
      </c>
      <c r="V107" s="225" t="s">
        <v>547</v>
      </c>
      <c r="W107" s="507">
        <v>40000000</v>
      </c>
      <c r="X107" s="507">
        <v>9000000</v>
      </c>
      <c r="Y107" s="507">
        <v>5500000</v>
      </c>
      <c r="Z107" s="455" t="s">
        <v>548</v>
      </c>
      <c r="AA107" s="112">
        <v>20</v>
      </c>
      <c r="AB107" s="218" t="s">
        <v>387</v>
      </c>
      <c r="AC107" s="83">
        <v>295972</v>
      </c>
      <c r="AD107" s="83">
        <v>285580</v>
      </c>
      <c r="AE107" s="83">
        <v>135545</v>
      </c>
      <c r="AF107" s="83">
        <v>44254</v>
      </c>
      <c r="AG107" s="83">
        <v>309146</v>
      </c>
      <c r="AH107" s="83">
        <v>92607</v>
      </c>
      <c r="AI107" s="83">
        <v>2145</v>
      </c>
      <c r="AJ107" s="83">
        <v>12718</v>
      </c>
      <c r="AK107" s="83">
        <v>26</v>
      </c>
      <c r="AL107" s="83">
        <v>37</v>
      </c>
      <c r="AM107" s="83">
        <v>0</v>
      </c>
      <c r="AN107" s="83">
        <v>0</v>
      </c>
      <c r="AO107" s="83">
        <v>44350</v>
      </c>
      <c r="AP107" s="83">
        <v>21944</v>
      </c>
      <c r="AQ107" s="83"/>
      <c r="AR107" s="83">
        <v>75687</v>
      </c>
      <c r="AS107" s="83">
        <v>581552</v>
      </c>
      <c r="AT107" s="508">
        <v>44197</v>
      </c>
      <c r="AU107" s="508">
        <v>44561</v>
      </c>
      <c r="AV107" s="509" t="s">
        <v>388</v>
      </c>
    </row>
    <row r="108" spans="1:48" ht="15.75" x14ac:dyDescent="0.25">
      <c r="A108" s="2424"/>
      <c r="B108" s="2425"/>
      <c r="C108" s="459">
        <v>32</v>
      </c>
      <c r="D108" s="2303" t="s">
        <v>549</v>
      </c>
      <c r="E108" s="2303"/>
      <c r="F108" s="2303"/>
      <c r="G108" s="2303"/>
      <c r="H108" s="2303"/>
      <c r="I108" s="2303"/>
      <c r="J108" s="2303"/>
      <c r="K108" s="2303"/>
      <c r="L108" s="484"/>
      <c r="M108" s="510"/>
      <c r="N108" s="484"/>
      <c r="O108" s="511"/>
      <c r="P108" s="462"/>
      <c r="Q108" s="463"/>
      <c r="R108" s="464"/>
      <c r="S108" s="481"/>
      <c r="T108" s="463"/>
      <c r="U108" s="463"/>
      <c r="V108" s="463"/>
      <c r="W108" s="512"/>
      <c r="X108" s="512"/>
      <c r="Y108" s="512"/>
      <c r="Z108" s="513"/>
      <c r="AA108" s="470"/>
      <c r="AB108" s="463"/>
      <c r="AC108" s="462"/>
      <c r="AD108" s="462"/>
      <c r="AE108" s="462"/>
      <c r="AF108" s="462"/>
      <c r="AG108" s="462"/>
      <c r="AH108" s="462"/>
      <c r="AI108" s="462"/>
      <c r="AJ108" s="462"/>
      <c r="AK108" s="462"/>
      <c r="AL108" s="462"/>
      <c r="AM108" s="462"/>
      <c r="AN108" s="462"/>
      <c r="AO108" s="462"/>
      <c r="AP108" s="462"/>
      <c r="AQ108" s="462"/>
      <c r="AR108" s="462"/>
      <c r="AS108" s="462"/>
      <c r="AT108" s="472"/>
      <c r="AU108" s="472"/>
      <c r="AV108" s="466"/>
    </row>
    <row r="109" spans="1:48" s="3" customFormat="1" ht="15.75" x14ac:dyDescent="0.25">
      <c r="A109" s="2424"/>
      <c r="B109" s="2425"/>
      <c r="C109" s="2332"/>
      <c r="D109" s="2333"/>
      <c r="E109" s="496">
        <v>3205</v>
      </c>
      <c r="F109" s="2304" t="s">
        <v>550</v>
      </c>
      <c r="G109" s="2304"/>
      <c r="H109" s="2304"/>
      <c r="I109" s="2304"/>
      <c r="J109" s="2304"/>
      <c r="K109" s="2304"/>
      <c r="L109" s="2304"/>
      <c r="M109" s="206"/>
      <c r="N109" s="327"/>
      <c r="O109" s="206"/>
      <c r="P109" s="206"/>
      <c r="Q109" s="327"/>
      <c r="R109" s="204"/>
      <c r="S109" s="326"/>
      <c r="T109" s="327"/>
      <c r="U109" s="327"/>
      <c r="V109" s="327"/>
      <c r="W109" s="473"/>
      <c r="X109" s="473"/>
      <c r="Y109" s="473"/>
      <c r="Z109" s="64"/>
      <c r="AA109" s="209"/>
      <c r="AB109" s="327"/>
      <c r="AC109" s="206"/>
      <c r="AD109" s="206"/>
      <c r="AE109" s="206"/>
      <c r="AF109" s="206"/>
      <c r="AG109" s="206"/>
      <c r="AH109" s="206"/>
      <c r="AI109" s="206"/>
      <c r="AJ109" s="206"/>
      <c r="AK109" s="206"/>
      <c r="AL109" s="206"/>
      <c r="AM109" s="206"/>
      <c r="AN109" s="206"/>
      <c r="AO109" s="206"/>
      <c r="AP109" s="206"/>
      <c r="AQ109" s="206"/>
      <c r="AR109" s="206"/>
      <c r="AS109" s="206"/>
      <c r="AT109" s="206"/>
      <c r="AU109" s="206"/>
      <c r="AV109" s="327"/>
    </row>
    <row r="110" spans="1:48" s="514" customFormat="1" ht="66.75" customHeight="1" x14ac:dyDescent="0.25">
      <c r="A110" s="2424"/>
      <c r="B110" s="2425"/>
      <c r="C110" s="2134"/>
      <c r="D110" s="2110"/>
      <c r="E110" s="2335"/>
      <c r="F110" s="2336"/>
      <c r="G110" s="2287">
        <v>3205010</v>
      </c>
      <c r="H110" s="2141" t="s">
        <v>551</v>
      </c>
      <c r="I110" s="2287">
        <v>3205010</v>
      </c>
      <c r="J110" s="2141" t="s">
        <v>551</v>
      </c>
      <c r="K110" s="2287" t="s">
        <v>552</v>
      </c>
      <c r="L110" s="2141" t="s">
        <v>553</v>
      </c>
      <c r="M110" s="2287" t="s">
        <v>552</v>
      </c>
      <c r="N110" s="2141" t="s">
        <v>553</v>
      </c>
      <c r="O110" s="2154">
        <v>2</v>
      </c>
      <c r="P110" s="2154" t="s">
        <v>554</v>
      </c>
      <c r="Q110" s="2144" t="s">
        <v>555</v>
      </c>
      <c r="R110" s="2184">
        <f>SUM(W110:W124)/S110</f>
        <v>1</v>
      </c>
      <c r="S110" s="2317">
        <f>SUM(W110:W124)</f>
        <v>1418800000</v>
      </c>
      <c r="T110" s="2144" t="s">
        <v>556</v>
      </c>
      <c r="U110" s="2144" t="s">
        <v>557</v>
      </c>
      <c r="V110" s="2347" t="s">
        <v>558</v>
      </c>
      <c r="W110" s="85">
        <v>11200000</v>
      </c>
      <c r="X110" s="85">
        <v>11200000</v>
      </c>
      <c r="Y110" s="85">
        <v>11200000</v>
      </c>
      <c r="Z110" s="455" t="s">
        <v>559</v>
      </c>
      <c r="AA110" s="2351" t="s">
        <v>403</v>
      </c>
      <c r="AB110" s="2058" t="s">
        <v>404</v>
      </c>
      <c r="AC110" s="2058">
        <v>295972</v>
      </c>
      <c r="AD110" s="2058">
        <v>285580</v>
      </c>
      <c r="AE110" s="2058">
        <v>135545</v>
      </c>
      <c r="AF110" s="2058">
        <v>44254</v>
      </c>
      <c r="AG110" s="2058">
        <v>309146</v>
      </c>
      <c r="AH110" s="2058">
        <v>92607</v>
      </c>
      <c r="AI110" s="2058">
        <v>2145</v>
      </c>
      <c r="AJ110" s="2058">
        <v>12718</v>
      </c>
      <c r="AK110" s="2058">
        <v>26</v>
      </c>
      <c r="AL110" s="2058">
        <v>37</v>
      </c>
      <c r="AM110" s="2058">
        <v>0</v>
      </c>
      <c r="AN110" s="2058">
        <v>0</v>
      </c>
      <c r="AO110" s="2058">
        <v>44350</v>
      </c>
      <c r="AP110" s="2058">
        <v>21944</v>
      </c>
      <c r="AQ110" s="2058"/>
      <c r="AR110" s="2058">
        <v>75687</v>
      </c>
      <c r="AS110" s="2058">
        <v>581552</v>
      </c>
      <c r="AT110" s="2309">
        <v>44197</v>
      </c>
      <c r="AU110" s="2309">
        <v>44561</v>
      </c>
      <c r="AV110" s="2294" t="s">
        <v>388</v>
      </c>
    </row>
    <row r="111" spans="1:48" s="514" customFormat="1" ht="63" customHeight="1" x14ac:dyDescent="0.25">
      <c r="A111" s="2424"/>
      <c r="B111" s="2425"/>
      <c r="C111" s="2134"/>
      <c r="D111" s="2110"/>
      <c r="E111" s="2337"/>
      <c r="F111" s="2338"/>
      <c r="G111" s="2288"/>
      <c r="H111" s="2142"/>
      <c r="I111" s="2288"/>
      <c r="J111" s="2142"/>
      <c r="K111" s="2288"/>
      <c r="L111" s="2142"/>
      <c r="M111" s="2288"/>
      <c r="N111" s="2142"/>
      <c r="O111" s="2128"/>
      <c r="P111" s="2128"/>
      <c r="Q111" s="2145"/>
      <c r="R111" s="2315"/>
      <c r="S111" s="2318"/>
      <c r="T111" s="2145"/>
      <c r="U111" s="2145"/>
      <c r="V111" s="2348"/>
      <c r="W111" s="85">
        <v>2800000</v>
      </c>
      <c r="X111" s="85">
        <v>0</v>
      </c>
      <c r="Y111" s="85"/>
      <c r="Z111" s="455" t="s">
        <v>560</v>
      </c>
      <c r="AA111" s="2352"/>
      <c r="AB111" s="2169"/>
      <c r="AC111" s="2169"/>
      <c r="AD111" s="2169"/>
      <c r="AE111" s="2169"/>
      <c r="AF111" s="2169"/>
      <c r="AG111" s="2169"/>
      <c r="AH111" s="2169"/>
      <c r="AI111" s="2169"/>
      <c r="AJ111" s="2169"/>
      <c r="AK111" s="2169"/>
      <c r="AL111" s="2169"/>
      <c r="AM111" s="2169"/>
      <c r="AN111" s="2169"/>
      <c r="AO111" s="2169"/>
      <c r="AP111" s="2169"/>
      <c r="AQ111" s="2169"/>
      <c r="AR111" s="2169"/>
      <c r="AS111" s="2169"/>
      <c r="AT111" s="2310"/>
      <c r="AU111" s="2310"/>
      <c r="AV111" s="2295"/>
    </row>
    <row r="112" spans="1:48" s="514" customFormat="1" ht="105" x14ac:dyDescent="0.25">
      <c r="A112" s="2424"/>
      <c r="B112" s="2425"/>
      <c r="C112" s="2134"/>
      <c r="D112" s="2110"/>
      <c r="E112" s="2337"/>
      <c r="F112" s="2338"/>
      <c r="G112" s="2288"/>
      <c r="H112" s="2142"/>
      <c r="I112" s="2288"/>
      <c r="J112" s="2142"/>
      <c r="K112" s="2288"/>
      <c r="L112" s="2142"/>
      <c r="M112" s="2288"/>
      <c r="N112" s="2142"/>
      <c r="O112" s="2128"/>
      <c r="P112" s="2128"/>
      <c r="Q112" s="2145"/>
      <c r="R112" s="2315"/>
      <c r="S112" s="2318"/>
      <c r="T112" s="2145"/>
      <c r="U112" s="2145"/>
      <c r="V112" s="497" t="s">
        <v>561</v>
      </c>
      <c r="W112" s="85">
        <f>20000000-18000000</f>
        <v>2000000</v>
      </c>
      <c r="X112" s="85">
        <v>0</v>
      </c>
      <c r="Y112" s="85">
        <v>0</v>
      </c>
      <c r="Z112" s="455" t="s">
        <v>560</v>
      </c>
      <c r="AA112" s="2352"/>
      <c r="AB112" s="2169"/>
      <c r="AC112" s="2169"/>
      <c r="AD112" s="2169"/>
      <c r="AE112" s="2169"/>
      <c r="AF112" s="2169"/>
      <c r="AG112" s="2169"/>
      <c r="AH112" s="2169"/>
      <c r="AI112" s="2169"/>
      <c r="AJ112" s="2169"/>
      <c r="AK112" s="2169"/>
      <c r="AL112" s="2169"/>
      <c r="AM112" s="2169"/>
      <c r="AN112" s="2169"/>
      <c r="AO112" s="2169"/>
      <c r="AP112" s="2169"/>
      <c r="AQ112" s="2169"/>
      <c r="AR112" s="2169"/>
      <c r="AS112" s="2169"/>
      <c r="AT112" s="2310"/>
      <c r="AU112" s="2310"/>
      <c r="AV112" s="2295"/>
    </row>
    <row r="113" spans="1:48" s="514" customFormat="1" ht="72" customHeight="1" x14ac:dyDescent="0.25">
      <c r="A113" s="2424"/>
      <c r="B113" s="2425"/>
      <c r="C113" s="2134"/>
      <c r="D113" s="2110"/>
      <c r="E113" s="2337"/>
      <c r="F113" s="2338"/>
      <c r="G113" s="2288"/>
      <c r="H113" s="2142"/>
      <c r="I113" s="2288"/>
      <c r="J113" s="2142"/>
      <c r="K113" s="2288"/>
      <c r="L113" s="2142"/>
      <c r="M113" s="2288"/>
      <c r="N113" s="2142"/>
      <c r="O113" s="2128"/>
      <c r="P113" s="2128"/>
      <c r="Q113" s="2145"/>
      <c r="R113" s="2315"/>
      <c r="S113" s="2318"/>
      <c r="T113" s="2145"/>
      <c r="U113" s="2145"/>
      <c r="V113" s="2347" t="s">
        <v>562</v>
      </c>
      <c r="W113" s="85">
        <v>3300000</v>
      </c>
      <c r="X113" s="85">
        <v>3300000</v>
      </c>
      <c r="Y113" s="85">
        <v>2500000</v>
      </c>
      <c r="Z113" s="455" t="s">
        <v>559</v>
      </c>
      <c r="AA113" s="2352"/>
      <c r="AB113" s="2169"/>
      <c r="AC113" s="2169"/>
      <c r="AD113" s="2169"/>
      <c r="AE113" s="2169"/>
      <c r="AF113" s="2169"/>
      <c r="AG113" s="2169"/>
      <c r="AH113" s="2169"/>
      <c r="AI113" s="2169"/>
      <c r="AJ113" s="2169"/>
      <c r="AK113" s="2169"/>
      <c r="AL113" s="2169"/>
      <c r="AM113" s="2169"/>
      <c r="AN113" s="2169"/>
      <c r="AO113" s="2169"/>
      <c r="AP113" s="2169"/>
      <c r="AQ113" s="2169"/>
      <c r="AR113" s="2169"/>
      <c r="AS113" s="2169"/>
      <c r="AT113" s="2310"/>
      <c r="AU113" s="2310"/>
      <c r="AV113" s="2295"/>
    </row>
    <row r="114" spans="1:48" s="514" customFormat="1" ht="50.25" customHeight="1" x14ac:dyDescent="0.25">
      <c r="A114" s="2424"/>
      <c r="B114" s="2425"/>
      <c r="C114" s="2134"/>
      <c r="D114" s="2110"/>
      <c r="E114" s="2337"/>
      <c r="F114" s="2338"/>
      <c r="G114" s="2288"/>
      <c r="H114" s="2142"/>
      <c r="I114" s="2288"/>
      <c r="J114" s="2142"/>
      <c r="K114" s="2288"/>
      <c r="L114" s="2142"/>
      <c r="M114" s="2288"/>
      <c r="N114" s="2142"/>
      <c r="O114" s="2128"/>
      <c r="P114" s="2128"/>
      <c r="Q114" s="2145"/>
      <c r="R114" s="2315"/>
      <c r="S114" s="2318"/>
      <c r="T114" s="2145"/>
      <c r="U114" s="2145"/>
      <c r="V114" s="2348"/>
      <c r="W114" s="85">
        <v>1700000</v>
      </c>
      <c r="X114" s="85"/>
      <c r="Y114" s="85">
        <v>0</v>
      </c>
      <c r="Z114" s="455" t="s">
        <v>560</v>
      </c>
      <c r="AA114" s="2352"/>
      <c r="AB114" s="2169"/>
      <c r="AC114" s="2169"/>
      <c r="AD114" s="2169"/>
      <c r="AE114" s="2169"/>
      <c r="AF114" s="2169"/>
      <c r="AG114" s="2169"/>
      <c r="AH114" s="2169"/>
      <c r="AI114" s="2169"/>
      <c r="AJ114" s="2169"/>
      <c r="AK114" s="2169"/>
      <c r="AL114" s="2169"/>
      <c r="AM114" s="2169"/>
      <c r="AN114" s="2169"/>
      <c r="AO114" s="2169"/>
      <c r="AP114" s="2169"/>
      <c r="AQ114" s="2169"/>
      <c r="AR114" s="2169"/>
      <c r="AS114" s="2169"/>
      <c r="AT114" s="2310"/>
      <c r="AU114" s="2310"/>
      <c r="AV114" s="2295"/>
    </row>
    <row r="115" spans="1:48" s="514" customFormat="1" ht="105" x14ac:dyDescent="0.25">
      <c r="A115" s="2424"/>
      <c r="B115" s="2425"/>
      <c r="C115" s="2134"/>
      <c r="D115" s="2110"/>
      <c r="E115" s="2337"/>
      <c r="F115" s="2338"/>
      <c r="G115" s="2288"/>
      <c r="H115" s="2142"/>
      <c r="I115" s="2288"/>
      <c r="J115" s="2142"/>
      <c r="K115" s="2288"/>
      <c r="L115" s="2142"/>
      <c r="M115" s="2288"/>
      <c r="N115" s="2142"/>
      <c r="O115" s="2128"/>
      <c r="P115" s="2128"/>
      <c r="Q115" s="2145"/>
      <c r="R115" s="2315"/>
      <c r="S115" s="2318"/>
      <c r="T115" s="2145"/>
      <c r="U115" s="2145"/>
      <c r="V115" s="497" t="s">
        <v>563</v>
      </c>
      <c r="W115" s="85">
        <f>20000000-1000000</f>
        <v>19000000</v>
      </c>
      <c r="X115" s="85">
        <v>14000000</v>
      </c>
      <c r="Y115" s="85">
        <v>11200000</v>
      </c>
      <c r="Z115" s="455" t="s">
        <v>559</v>
      </c>
      <c r="AA115" s="2352"/>
      <c r="AB115" s="2169"/>
      <c r="AC115" s="2169"/>
      <c r="AD115" s="2169"/>
      <c r="AE115" s="2169"/>
      <c r="AF115" s="2169"/>
      <c r="AG115" s="2169"/>
      <c r="AH115" s="2169"/>
      <c r="AI115" s="2169"/>
      <c r="AJ115" s="2169"/>
      <c r="AK115" s="2169"/>
      <c r="AL115" s="2169"/>
      <c r="AM115" s="2169"/>
      <c r="AN115" s="2169"/>
      <c r="AO115" s="2169"/>
      <c r="AP115" s="2169"/>
      <c r="AQ115" s="2169"/>
      <c r="AR115" s="2169"/>
      <c r="AS115" s="2169"/>
      <c r="AT115" s="2310"/>
      <c r="AU115" s="2310"/>
      <c r="AV115" s="2295"/>
    </row>
    <row r="116" spans="1:48" s="514" customFormat="1" ht="30.75" customHeight="1" x14ac:dyDescent="0.25">
      <c r="A116" s="2424"/>
      <c r="B116" s="2425"/>
      <c r="C116" s="2134"/>
      <c r="D116" s="2110"/>
      <c r="E116" s="2337"/>
      <c r="F116" s="2338"/>
      <c r="G116" s="2288"/>
      <c r="H116" s="2142"/>
      <c r="I116" s="2288"/>
      <c r="J116" s="2142"/>
      <c r="K116" s="2288"/>
      <c r="L116" s="2142"/>
      <c r="M116" s="2288"/>
      <c r="N116" s="2142"/>
      <c r="O116" s="2128"/>
      <c r="P116" s="2128"/>
      <c r="Q116" s="2145"/>
      <c r="R116" s="2315"/>
      <c r="S116" s="2318"/>
      <c r="T116" s="2145"/>
      <c r="U116" s="2145"/>
      <c r="V116" s="2347" t="s">
        <v>564</v>
      </c>
      <c r="W116" s="85">
        <v>10000000</v>
      </c>
      <c r="X116" s="85">
        <v>0</v>
      </c>
      <c r="Y116" s="85">
        <v>0</v>
      </c>
      <c r="Z116" s="428" t="s">
        <v>559</v>
      </c>
      <c r="AA116" s="2352"/>
      <c r="AB116" s="2169"/>
      <c r="AC116" s="2169"/>
      <c r="AD116" s="2169"/>
      <c r="AE116" s="2169"/>
      <c r="AF116" s="2169"/>
      <c r="AG116" s="2169"/>
      <c r="AH116" s="2169"/>
      <c r="AI116" s="2169"/>
      <c r="AJ116" s="2169"/>
      <c r="AK116" s="2169"/>
      <c r="AL116" s="2169"/>
      <c r="AM116" s="2169"/>
      <c r="AN116" s="2169"/>
      <c r="AO116" s="2169"/>
      <c r="AP116" s="2169"/>
      <c r="AQ116" s="2169"/>
      <c r="AR116" s="2169"/>
      <c r="AS116" s="2169"/>
      <c r="AT116" s="2310"/>
      <c r="AU116" s="2310"/>
      <c r="AV116" s="2295"/>
    </row>
    <row r="117" spans="1:48" s="514" customFormat="1" ht="45.75" customHeight="1" x14ac:dyDescent="0.25">
      <c r="A117" s="2424"/>
      <c r="B117" s="2425"/>
      <c r="C117" s="2134"/>
      <c r="D117" s="2110"/>
      <c r="E117" s="2337"/>
      <c r="F117" s="2338"/>
      <c r="G117" s="2288"/>
      <c r="H117" s="2142"/>
      <c r="I117" s="2288"/>
      <c r="J117" s="2142"/>
      <c r="K117" s="2288"/>
      <c r="L117" s="2142"/>
      <c r="M117" s="2288"/>
      <c r="N117" s="2142"/>
      <c r="O117" s="2128"/>
      <c r="P117" s="2128"/>
      <c r="Q117" s="2145"/>
      <c r="R117" s="2315"/>
      <c r="S117" s="2318"/>
      <c r="T117" s="2145"/>
      <c r="U117" s="2145"/>
      <c r="V117" s="2348"/>
      <c r="W117" s="85">
        <v>1318800000</v>
      </c>
      <c r="X117" s="85"/>
      <c r="Y117" s="85"/>
      <c r="Z117" s="455" t="s">
        <v>565</v>
      </c>
      <c r="AA117" s="2352"/>
      <c r="AB117" s="2169"/>
      <c r="AC117" s="2169"/>
      <c r="AD117" s="2169"/>
      <c r="AE117" s="2169"/>
      <c r="AF117" s="2169"/>
      <c r="AG117" s="2169"/>
      <c r="AH117" s="2169"/>
      <c r="AI117" s="2169"/>
      <c r="AJ117" s="2169"/>
      <c r="AK117" s="2169"/>
      <c r="AL117" s="2169"/>
      <c r="AM117" s="2169"/>
      <c r="AN117" s="2169"/>
      <c r="AO117" s="2169"/>
      <c r="AP117" s="2169"/>
      <c r="AQ117" s="2169"/>
      <c r="AR117" s="2169"/>
      <c r="AS117" s="2169"/>
      <c r="AT117" s="2310"/>
      <c r="AU117" s="2310"/>
      <c r="AV117" s="2295"/>
    </row>
    <row r="118" spans="1:48" s="514" customFormat="1" ht="75" x14ac:dyDescent="0.25">
      <c r="A118" s="2424"/>
      <c r="B118" s="2425"/>
      <c r="C118" s="2134"/>
      <c r="D118" s="2110"/>
      <c r="E118" s="2337"/>
      <c r="F118" s="2338"/>
      <c r="G118" s="2288"/>
      <c r="H118" s="2142"/>
      <c r="I118" s="2288"/>
      <c r="J118" s="2142"/>
      <c r="K118" s="2288"/>
      <c r="L118" s="2142"/>
      <c r="M118" s="2288"/>
      <c r="N118" s="2142"/>
      <c r="O118" s="2128"/>
      <c r="P118" s="2128"/>
      <c r="Q118" s="2145"/>
      <c r="R118" s="2315"/>
      <c r="S118" s="2318"/>
      <c r="T118" s="2145"/>
      <c r="U118" s="2145"/>
      <c r="V118" s="497" t="s">
        <v>566</v>
      </c>
      <c r="W118" s="85">
        <v>18000000</v>
      </c>
      <c r="X118" s="85">
        <v>14600000</v>
      </c>
      <c r="Y118" s="85">
        <v>11800000</v>
      </c>
      <c r="Z118" s="422" t="s">
        <v>559</v>
      </c>
      <c r="AA118" s="2352"/>
      <c r="AB118" s="2169"/>
      <c r="AC118" s="2169"/>
      <c r="AD118" s="2169"/>
      <c r="AE118" s="2169"/>
      <c r="AF118" s="2169"/>
      <c r="AG118" s="2169"/>
      <c r="AH118" s="2169"/>
      <c r="AI118" s="2169"/>
      <c r="AJ118" s="2169"/>
      <c r="AK118" s="2169"/>
      <c r="AL118" s="2169"/>
      <c r="AM118" s="2169"/>
      <c r="AN118" s="2169"/>
      <c r="AO118" s="2169"/>
      <c r="AP118" s="2169"/>
      <c r="AQ118" s="2169"/>
      <c r="AR118" s="2169"/>
      <c r="AS118" s="2169"/>
      <c r="AT118" s="2310"/>
      <c r="AU118" s="2310"/>
      <c r="AV118" s="2295"/>
    </row>
    <row r="119" spans="1:48" s="514" customFormat="1" ht="45" x14ac:dyDescent="0.25">
      <c r="A119" s="2424"/>
      <c r="B119" s="2425"/>
      <c r="C119" s="2134"/>
      <c r="D119" s="2110"/>
      <c r="E119" s="2337"/>
      <c r="F119" s="2338"/>
      <c r="G119" s="2288"/>
      <c r="H119" s="2142"/>
      <c r="I119" s="2288"/>
      <c r="J119" s="2142"/>
      <c r="K119" s="2288"/>
      <c r="L119" s="2142"/>
      <c r="M119" s="2288"/>
      <c r="N119" s="2142"/>
      <c r="O119" s="2128"/>
      <c r="P119" s="2128"/>
      <c r="Q119" s="2145"/>
      <c r="R119" s="2315"/>
      <c r="S119" s="2318"/>
      <c r="T119" s="2145"/>
      <c r="U119" s="2145"/>
      <c r="V119" s="497" t="s">
        <v>567</v>
      </c>
      <c r="W119" s="85">
        <v>5000000</v>
      </c>
      <c r="X119" s="85">
        <v>5000000</v>
      </c>
      <c r="Y119" s="85">
        <v>0</v>
      </c>
      <c r="Z119" s="455" t="s">
        <v>568</v>
      </c>
      <c r="AA119" s="2352"/>
      <c r="AB119" s="2169"/>
      <c r="AC119" s="2169"/>
      <c r="AD119" s="2169"/>
      <c r="AE119" s="2169"/>
      <c r="AF119" s="2169"/>
      <c r="AG119" s="2169"/>
      <c r="AH119" s="2169"/>
      <c r="AI119" s="2169"/>
      <c r="AJ119" s="2169"/>
      <c r="AK119" s="2169"/>
      <c r="AL119" s="2169"/>
      <c r="AM119" s="2169"/>
      <c r="AN119" s="2169"/>
      <c r="AO119" s="2169"/>
      <c r="AP119" s="2169"/>
      <c r="AQ119" s="2169"/>
      <c r="AR119" s="2169"/>
      <c r="AS119" s="2169"/>
      <c r="AT119" s="2310"/>
      <c r="AU119" s="2310"/>
      <c r="AV119" s="2295"/>
    </row>
    <row r="120" spans="1:48" s="514" customFormat="1" ht="90" x14ac:dyDescent="0.25">
      <c r="A120" s="2424"/>
      <c r="B120" s="2425"/>
      <c r="C120" s="2134"/>
      <c r="D120" s="2110"/>
      <c r="E120" s="2337"/>
      <c r="F120" s="2338"/>
      <c r="G120" s="2288"/>
      <c r="H120" s="2142"/>
      <c r="I120" s="2288"/>
      <c r="J120" s="2142"/>
      <c r="K120" s="2288"/>
      <c r="L120" s="2142"/>
      <c r="M120" s="2288"/>
      <c r="N120" s="2142"/>
      <c r="O120" s="2128"/>
      <c r="P120" s="2128"/>
      <c r="Q120" s="2145"/>
      <c r="R120" s="2315"/>
      <c r="S120" s="2318"/>
      <c r="T120" s="2145"/>
      <c r="U120" s="2145"/>
      <c r="V120" s="497" t="s">
        <v>569</v>
      </c>
      <c r="W120" s="515">
        <v>6000000</v>
      </c>
      <c r="X120" s="515">
        <v>3500000</v>
      </c>
      <c r="Y120" s="515">
        <v>2000000</v>
      </c>
      <c r="Z120" s="455" t="s">
        <v>559</v>
      </c>
      <c r="AA120" s="2352"/>
      <c r="AB120" s="2169"/>
      <c r="AC120" s="2169"/>
      <c r="AD120" s="2169"/>
      <c r="AE120" s="2169"/>
      <c r="AF120" s="2169"/>
      <c r="AG120" s="2169"/>
      <c r="AH120" s="2169"/>
      <c r="AI120" s="2169"/>
      <c r="AJ120" s="2169"/>
      <c r="AK120" s="2169"/>
      <c r="AL120" s="2169"/>
      <c r="AM120" s="2169"/>
      <c r="AN120" s="2169"/>
      <c r="AO120" s="2169"/>
      <c r="AP120" s="2169"/>
      <c r="AQ120" s="2169"/>
      <c r="AR120" s="2169"/>
      <c r="AS120" s="2169"/>
      <c r="AT120" s="2310"/>
      <c r="AU120" s="2310"/>
      <c r="AV120" s="2295"/>
    </row>
    <row r="121" spans="1:48" s="514" customFormat="1" ht="30" customHeight="1" x14ac:dyDescent="0.25">
      <c r="A121" s="2424"/>
      <c r="B121" s="2425"/>
      <c r="C121" s="2134"/>
      <c r="D121" s="2110"/>
      <c r="E121" s="2337"/>
      <c r="F121" s="2338"/>
      <c r="G121" s="2288"/>
      <c r="H121" s="2142"/>
      <c r="I121" s="2288"/>
      <c r="J121" s="2142"/>
      <c r="K121" s="2288"/>
      <c r="L121" s="2142"/>
      <c r="M121" s="2288"/>
      <c r="N121" s="2142"/>
      <c r="O121" s="2128"/>
      <c r="P121" s="2128"/>
      <c r="Q121" s="2145"/>
      <c r="R121" s="2315"/>
      <c r="S121" s="2318"/>
      <c r="T121" s="2145"/>
      <c r="U121" s="2145"/>
      <c r="V121" s="2029" t="s">
        <v>570</v>
      </c>
      <c r="W121" s="85">
        <v>1000000</v>
      </c>
      <c r="X121" s="85">
        <v>0</v>
      </c>
      <c r="Y121" s="85">
        <v>0</v>
      </c>
      <c r="Z121" s="455" t="s">
        <v>571</v>
      </c>
      <c r="AA121" s="2352"/>
      <c r="AB121" s="2169"/>
      <c r="AC121" s="2169"/>
      <c r="AD121" s="2169"/>
      <c r="AE121" s="2169"/>
      <c r="AF121" s="2169"/>
      <c r="AG121" s="2169"/>
      <c r="AH121" s="2169"/>
      <c r="AI121" s="2169"/>
      <c r="AJ121" s="2169"/>
      <c r="AK121" s="2169"/>
      <c r="AL121" s="2169"/>
      <c r="AM121" s="2169"/>
      <c r="AN121" s="2169"/>
      <c r="AO121" s="2169"/>
      <c r="AP121" s="2169"/>
      <c r="AQ121" s="2169"/>
      <c r="AR121" s="2169"/>
      <c r="AS121" s="2169"/>
      <c r="AT121" s="2310"/>
      <c r="AU121" s="2310"/>
      <c r="AV121" s="2295"/>
    </row>
    <row r="122" spans="1:48" s="514" customFormat="1" ht="30.75" customHeight="1" x14ac:dyDescent="0.25">
      <c r="A122" s="2424"/>
      <c r="B122" s="2425"/>
      <c r="C122" s="2134"/>
      <c r="D122" s="2110"/>
      <c r="E122" s="2337"/>
      <c r="F122" s="2338"/>
      <c r="G122" s="2288"/>
      <c r="H122" s="2142"/>
      <c r="I122" s="2288"/>
      <c r="J122" s="2142"/>
      <c r="K122" s="2288"/>
      <c r="L122" s="2142"/>
      <c r="M122" s="2288"/>
      <c r="N122" s="2142"/>
      <c r="O122" s="2128"/>
      <c r="P122" s="2128"/>
      <c r="Q122" s="2145"/>
      <c r="R122" s="2315"/>
      <c r="S122" s="2318"/>
      <c r="T122" s="2145"/>
      <c r="U122" s="2145"/>
      <c r="V122" s="2030"/>
      <c r="W122" s="85">
        <v>2000000</v>
      </c>
      <c r="X122" s="85"/>
      <c r="Y122" s="85"/>
      <c r="Z122" s="455" t="s">
        <v>572</v>
      </c>
      <c r="AA122" s="2352"/>
      <c r="AB122" s="2169"/>
      <c r="AC122" s="2169"/>
      <c r="AD122" s="2169"/>
      <c r="AE122" s="2169"/>
      <c r="AF122" s="2169"/>
      <c r="AG122" s="2169"/>
      <c r="AH122" s="2169"/>
      <c r="AI122" s="2169"/>
      <c r="AJ122" s="2169"/>
      <c r="AK122" s="2169"/>
      <c r="AL122" s="2169"/>
      <c r="AM122" s="2169"/>
      <c r="AN122" s="2169"/>
      <c r="AO122" s="2169"/>
      <c r="AP122" s="2169"/>
      <c r="AQ122" s="2169"/>
      <c r="AR122" s="2169"/>
      <c r="AS122" s="2169"/>
      <c r="AT122" s="2310"/>
      <c r="AU122" s="2310"/>
      <c r="AV122" s="2295"/>
    </row>
    <row r="123" spans="1:48" s="514" customFormat="1" ht="39.75" customHeight="1" x14ac:dyDescent="0.25">
      <c r="A123" s="2424"/>
      <c r="B123" s="2425"/>
      <c r="C123" s="2134"/>
      <c r="D123" s="2110"/>
      <c r="E123" s="2337"/>
      <c r="F123" s="2338"/>
      <c r="G123" s="2288"/>
      <c r="H123" s="2142"/>
      <c r="I123" s="2288"/>
      <c r="J123" s="2142"/>
      <c r="K123" s="2288"/>
      <c r="L123" s="2142"/>
      <c r="M123" s="2288"/>
      <c r="N123" s="2142"/>
      <c r="O123" s="2128"/>
      <c r="P123" s="2128"/>
      <c r="Q123" s="2145"/>
      <c r="R123" s="2315"/>
      <c r="S123" s="2318"/>
      <c r="T123" s="2145"/>
      <c r="U123" s="2145"/>
      <c r="V123" s="2030"/>
      <c r="W123" s="85">
        <v>15000000</v>
      </c>
      <c r="X123" s="85"/>
      <c r="Y123" s="85"/>
      <c r="Z123" s="455" t="s">
        <v>573</v>
      </c>
      <c r="AA123" s="2352"/>
      <c r="AB123" s="2169"/>
      <c r="AC123" s="2169"/>
      <c r="AD123" s="2169"/>
      <c r="AE123" s="2169"/>
      <c r="AF123" s="2169"/>
      <c r="AG123" s="2169"/>
      <c r="AH123" s="2169"/>
      <c r="AI123" s="2169"/>
      <c r="AJ123" s="2169"/>
      <c r="AK123" s="2169"/>
      <c r="AL123" s="2169"/>
      <c r="AM123" s="2169"/>
      <c r="AN123" s="2169"/>
      <c r="AO123" s="2169"/>
      <c r="AP123" s="2169"/>
      <c r="AQ123" s="2169"/>
      <c r="AR123" s="2169"/>
      <c r="AS123" s="2169"/>
      <c r="AT123" s="2310"/>
      <c r="AU123" s="2310"/>
      <c r="AV123" s="2295"/>
    </row>
    <row r="124" spans="1:48" s="514" customFormat="1" ht="32.25" customHeight="1" x14ac:dyDescent="0.25">
      <c r="A124" s="2424"/>
      <c r="B124" s="2425"/>
      <c r="C124" s="2134"/>
      <c r="D124" s="2110"/>
      <c r="E124" s="2337"/>
      <c r="F124" s="2338"/>
      <c r="G124" s="2289"/>
      <c r="H124" s="2143"/>
      <c r="I124" s="2289"/>
      <c r="J124" s="2143"/>
      <c r="K124" s="2289"/>
      <c r="L124" s="2143"/>
      <c r="M124" s="2289"/>
      <c r="N124" s="2143"/>
      <c r="O124" s="2129"/>
      <c r="P124" s="2129"/>
      <c r="Q124" s="2146"/>
      <c r="R124" s="2316"/>
      <c r="S124" s="2319"/>
      <c r="T124" s="2146"/>
      <c r="U124" s="2146"/>
      <c r="V124" s="2031"/>
      <c r="W124" s="85">
        <v>3000000</v>
      </c>
      <c r="X124" s="85"/>
      <c r="Y124" s="85"/>
      <c r="Z124" s="455" t="s">
        <v>574</v>
      </c>
      <c r="AA124" s="2353"/>
      <c r="AB124" s="2170"/>
      <c r="AC124" s="2170"/>
      <c r="AD124" s="2170"/>
      <c r="AE124" s="2170"/>
      <c r="AF124" s="2170"/>
      <c r="AG124" s="2170"/>
      <c r="AH124" s="2170"/>
      <c r="AI124" s="2170"/>
      <c r="AJ124" s="2170"/>
      <c r="AK124" s="2170"/>
      <c r="AL124" s="2170"/>
      <c r="AM124" s="2170"/>
      <c r="AN124" s="2170"/>
      <c r="AO124" s="2170"/>
      <c r="AP124" s="2170"/>
      <c r="AQ124" s="2170"/>
      <c r="AR124" s="2170"/>
      <c r="AS124" s="2170"/>
      <c r="AT124" s="2311"/>
      <c r="AU124" s="2311"/>
      <c r="AV124" s="2296"/>
    </row>
    <row r="125" spans="1:48" s="514" customFormat="1" ht="42.75" customHeight="1" x14ac:dyDescent="0.25">
      <c r="A125" s="2424"/>
      <c r="B125" s="2425"/>
      <c r="C125" s="2134"/>
      <c r="D125" s="2110"/>
      <c r="E125" s="2337"/>
      <c r="F125" s="2338"/>
      <c r="G125" s="2307">
        <v>3205021</v>
      </c>
      <c r="H125" s="2119" t="s">
        <v>575</v>
      </c>
      <c r="I125" s="2307">
        <v>3205021</v>
      </c>
      <c r="J125" s="2119" t="s">
        <v>575</v>
      </c>
      <c r="K125" s="2307">
        <v>320502100</v>
      </c>
      <c r="L125" s="2119" t="s">
        <v>576</v>
      </c>
      <c r="M125" s="2307">
        <v>320502100</v>
      </c>
      <c r="N125" s="2119" t="s">
        <v>576</v>
      </c>
      <c r="O125" s="2109">
        <v>2</v>
      </c>
      <c r="P125" s="2109" t="s">
        <v>577</v>
      </c>
      <c r="Q125" s="2305" t="s">
        <v>578</v>
      </c>
      <c r="R125" s="2114">
        <f>SUM(W125:W141)/S125</f>
        <v>1</v>
      </c>
      <c r="S125" s="2344">
        <f>SUM(W125:W141)</f>
        <v>844308067</v>
      </c>
      <c r="T125" s="2305" t="s">
        <v>579</v>
      </c>
      <c r="U125" s="2305" t="s">
        <v>557</v>
      </c>
      <c r="V125" s="2029" t="s">
        <v>570</v>
      </c>
      <c r="W125" s="75">
        <v>2500000</v>
      </c>
      <c r="X125" s="75">
        <v>0</v>
      </c>
      <c r="Y125" s="75">
        <v>0</v>
      </c>
      <c r="Z125" s="455" t="s">
        <v>580</v>
      </c>
      <c r="AA125" s="2350">
        <v>20</v>
      </c>
      <c r="AB125" s="2191" t="s">
        <v>387</v>
      </c>
      <c r="AC125" s="2057">
        <v>295972</v>
      </c>
      <c r="AD125" s="2057">
        <v>285580</v>
      </c>
      <c r="AE125" s="2057" t="s">
        <v>581</v>
      </c>
      <c r="AF125" s="2057">
        <v>44254</v>
      </c>
      <c r="AG125" s="2057">
        <v>309146</v>
      </c>
      <c r="AH125" s="2057">
        <v>92607</v>
      </c>
      <c r="AI125" s="2057">
        <v>2145</v>
      </c>
      <c r="AJ125" s="2057">
        <v>12718</v>
      </c>
      <c r="AK125" s="2057">
        <v>26</v>
      </c>
      <c r="AL125" s="2057">
        <v>37</v>
      </c>
      <c r="AM125" s="2057">
        <v>0</v>
      </c>
      <c r="AN125" s="2057">
        <v>0</v>
      </c>
      <c r="AO125" s="2057">
        <v>44350</v>
      </c>
      <c r="AP125" s="2057">
        <v>21944</v>
      </c>
      <c r="AQ125" s="2057"/>
      <c r="AR125" s="2057">
        <v>75687</v>
      </c>
      <c r="AS125" s="2057">
        <v>581552</v>
      </c>
      <c r="AT125" s="2293">
        <v>44197</v>
      </c>
      <c r="AU125" s="2293">
        <v>44561</v>
      </c>
      <c r="AV125" s="2294" t="s">
        <v>388</v>
      </c>
    </row>
    <row r="126" spans="1:48" s="514" customFormat="1" ht="42.75" customHeight="1" x14ac:dyDescent="0.25">
      <c r="A126" s="2424"/>
      <c r="B126" s="2425"/>
      <c r="C126" s="2134"/>
      <c r="D126" s="2110"/>
      <c r="E126" s="2337"/>
      <c r="F126" s="2338"/>
      <c r="G126" s="2307"/>
      <c r="H126" s="2119"/>
      <c r="I126" s="2307"/>
      <c r="J126" s="2119"/>
      <c r="K126" s="2307"/>
      <c r="L126" s="2119"/>
      <c r="M126" s="2307"/>
      <c r="N126" s="2119"/>
      <c r="O126" s="2109"/>
      <c r="P126" s="2109"/>
      <c r="Q126" s="2305"/>
      <c r="R126" s="2114"/>
      <c r="S126" s="2344"/>
      <c r="T126" s="2305"/>
      <c r="U126" s="2305"/>
      <c r="V126" s="2030"/>
      <c r="W126" s="75">
        <v>2000000</v>
      </c>
      <c r="X126" s="75"/>
      <c r="Y126" s="75"/>
      <c r="Z126" s="455" t="s">
        <v>582</v>
      </c>
      <c r="AA126" s="2350"/>
      <c r="AB126" s="2191"/>
      <c r="AC126" s="2057"/>
      <c r="AD126" s="2057"/>
      <c r="AE126" s="2057"/>
      <c r="AF126" s="2057"/>
      <c r="AG126" s="2057"/>
      <c r="AH126" s="2057"/>
      <c r="AI126" s="2057"/>
      <c r="AJ126" s="2057"/>
      <c r="AK126" s="2057"/>
      <c r="AL126" s="2057"/>
      <c r="AM126" s="2057"/>
      <c r="AN126" s="2057"/>
      <c r="AO126" s="2057"/>
      <c r="AP126" s="2057"/>
      <c r="AQ126" s="2057"/>
      <c r="AR126" s="2057"/>
      <c r="AS126" s="2057"/>
      <c r="AT126" s="2293"/>
      <c r="AU126" s="2293"/>
      <c r="AV126" s="2295"/>
    </row>
    <row r="127" spans="1:48" s="514" customFormat="1" ht="42.75" customHeight="1" x14ac:dyDescent="0.25">
      <c r="A127" s="2424"/>
      <c r="B127" s="2425"/>
      <c r="C127" s="2134"/>
      <c r="D127" s="2110"/>
      <c r="E127" s="2337"/>
      <c r="F127" s="2338"/>
      <c r="G127" s="2307"/>
      <c r="H127" s="2119"/>
      <c r="I127" s="2307"/>
      <c r="J127" s="2119"/>
      <c r="K127" s="2307"/>
      <c r="L127" s="2119"/>
      <c r="M127" s="2307"/>
      <c r="N127" s="2119"/>
      <c r="O127" s="2109"/>
      <c r="P127" s="2109"/>
      <c r="Q127" s="2305"/>
      <c r="R127" s="2114"/>
      <c r="S127" s="2344"/>
      <c r="T127" s="2305"/>
      <c r="U127" s="2305"/>
      <c r="V127" s="2030"/>
      <c r="W127" s="75">
        <v>200000</v>
      </c>
      <c r="X127" s="75"/>
      <c r="Y127" s="75"/>
      <c r="Z127" s="455" t="s">
        <v>583</v>
      </c>
      <c r="AA127" s="2350"/>
      <c r="AB127" s="2191"/>
      <c r="AC127" s="2057"/>
      <c r="AD127" s="2057"/>
      <c r="AE127" s="2057"/>
      <c r="AF127" s="2057"/>
      <c r="AG127" s="2057"/>
      <c r="AH127" s="2057"/>
      <c r="AI127" s="2057"/>
      <c r="AJ127" s="2057"/>
      <c r="AK127" s="2057"/>
      <c r="AL127" s="2057"/>
      <c r="AM127" s="2057"/>
      <c r="AN127" s="2057"/>
      <c r="AO127" s="2057"/>
      <c r="AP127" s="2057"/>
      <c r="AQ127" s="2057"/>
      <c r="AR127" s="2057"/>
      <c r="AS127" s="2057"/>
      <c r="AT127" s="2293"/>
      <c r="AU127" s="2293"/>
      <c r="AV127" s="2295"/>
    </row>
    <row r="128" spans="1:48" s="514" customFormat="1" ht="42.75" customHeight="1" x14ac:dyDescent="0.25">
      <c r="A128" s="2424"/>
      <c r="B128" s="2425"/>
      <c r="C128" s="2134"/>
      <c r="D128" s="2110"/>
      <c r="E128" s="2337"/>
      <c r="F128" s="2338"/>
      <c r="G128" s="2307"/>
      <c r="H128" s="2119"/>
      <c r="I128" s="2307"/>
      <c r="J128" s="2119"/>
      <c r="K128" s="2307"/>
      <c r="L128" s="2119"/>
      <c r="M128" s="2307"/>
      <c r="N128" s="2119"/>
      <c r="O128" s="2109"/>
      <c r="P128" s="2109"/>
      <c r="Q128" s="2305"/>
      <c r="R128" s="2114"/>
      <c r="S128" s="2344"/>
      <c r="T128" s="2305"/>
      <c r="U128" s="2305"/>
      <c r="V128" s="2031"/>
      <c r="W128" s="75">
        <v>300000</v>
      </c>
      <c r="X128" s="75"/>
      <c r="Y128" s="75"/>
      <c r="Z128" s="455" t="s">
        <v>584</v>
      </c>
      <c r="AA128" s="2350"/>
      <c r="AB128" s="2191"/>
      <c r="AC128" s="2057"/>
      <c r="AD128" s="2057"/>
      <c r="AE128" s="2057"/>
      <c r="AF128" s="2057"/>
      <c r="AG128" s="2057"/>
      <c r="AH128" s="2057"/>
      <c r="AI128" s="2057"/>
      <c r="AJ128" s="2057"/>
      <c r="AK128" s="2057"/>
      <c r="AL128" s="2057"/>
      <c r="AM128" s="2057"/>
      <c r="AN128" s="2057"/>
      <c r="AO128" s="2057"/>
      <c r="AP128" s="2057"/>
      <c r="AQ128" s="2057"/>
      <c r="AR128" s="2057"/>
      <c r="AS128" s="2057"/>
      <c r="AT128" s="2293"/>
      <c r="AU128" s="2293"/>
      <c r="AV128" s="2295"/>
    </row>
    <row r="129" spans="1:48" s="514" customFormat="1" ht="40.5" customHeight="1" x14ac:dyDescent="0.25">
      <c r="A129" s="2424"/>
      <c r="B129" s="2425"/>
      <c r="C129" s="2134"/>
      <c r="D129" s="2110"/>
      <c r="E129" s="2337"/>
      <c r="F129" s="2338"/>
      <c r="G129" s="2307"/>
      <c r="H129" s="2119"/>
      <c r="I129" s="2307"/>
      <c r="J129" s="2119"/>
      <c r="K129" s="2307"/>
      <c r="L129" s="2119"/>
      <c r="M129" s="2307"/>
      <c r="N129" s="2119"/>
      <c r="O129" s="2109"/>
      <c r="P129" s="2109"/>
      <c r="Q129" s="2305"/>
      <c r="R129" s="2114"/>
      <c r="S129" s="2344"/>
      <c r="T129" s="2305"/>
      <c r="U129" s="2305"/>
      <c r="V129" s="2347" t="s">
        <v>585</v>
      </c>
      <c r="W129" s="75">
        <f>70000000-45000000</f>
        <v>25000000</v>
      </c>
      <c r="X129" s="75">
        <v>23840000</v>
      </c>
      <c r="Y129" s="75">
        <v>16275000</v>
      </c>
      <c r="Z129" s="455" t="s">
        <v>586</v>
      </c>
      <c r="AA129" s="2350"/>
      <c r="AB129" s="2191"/>
      <c r="AC129" s="2057"/>
      <c r="AD129" s="2057"/>
      <c r="AE129" s="2057"/>
      <c r="AF129" s="2057"/>
      <c r="AG129" s="2057"/>
      <c r="AH129" s="2057"/>
      <c r="AI129" s="2057"/>
      <c r="AJ129" s="2057"/>
      <c r="AK129" s="2057"/>
      <c r="AL129" s="2057"/>
      <c r="AM129" s="2057"/>
      <c r="AN129" s="2057"/>
      <c r="AO129" s="2057"/>
      <c r="AP129" s="2057"/>
      <c r="AQ129" s="2057"/>
      <c r="AR129" s="2057"/>
      <c r="AS129" s="2057"/>
      <c r="AT129" s="2293"/>
      <c r="AU129" s="2293"/>
      <c r="AV129" s="2295"/>
    </row>
    <row r="130" spans="1:48" s="514" customFormat="1" ht="44.25" customHeight="1" x14ac:dyDescent="0.25">
      <c r="A130" s="2424"/>
      <c r="B130" s="2425"/>
      <c r="C130" s="2134"/>
      <c r="D130" s="2110"/>
      <c r="E130" s="2337"/>
      <c r="F130" s="2338"/>
      <c r="G130" s="2307"/>
      <c r="H130" s="2119"/>
      <c r="I130" s="2307"/>
      <c r="J130" s="2119"/>
      <c r="K130" s="2307"/>
      <c r="L130" s="2119"/>
      <c r="M130" s="2307"/>
      <c r="N130" s="2119"/>
      <c r="O130" s="2109"/>
      <c r="P130" s="2109"/>
      <c r="Q130" s="2305"/>
      <c r="R130" s="2114"/>
      <c r="S130" s="2344"/>
      <c r="T130" s="2305"/>
      <c r="U130" s="2305"/>
      <c r="V130" s="2348"/>
      <c r="W130" s="75">
        <v>63000000</v>
      </c>
      <c r="X130" s="75">
        <v>0</v>
      </c>
      <c r="Y130" s="75"/>
      <c r="Z130" s="455" t="s">
        <v>587</v>
      </c>
      <c r="AA130" s="458">
        <v>88</v>
      </c>
      <c r="AB130" s="225" t="s">
        <v>155</v>
      </c>
      <c r="AC130" s="2057"/>
      <c r="AD130" s="2057"/>
      <c r="AE130" s="2057"/>
      <c r="AF130" s="2057"/>
      <c r="AG130" s="2057"/>
      <c r="AH130" s="2057"/>
      <c r="AI130" s="2057"/>
      <c r="AJ130" s="2057"/>
      <c r="AK130" s="2057"/>
      <c r="AL130" s="2057"/>
      <c r="AM130" s="2057"/>
      <c r="AN130" s="2057"/>
      <c r="AO130" s="2057"/>
      <c r="AP130" s="2057"/>
      <c r="AQ130" s="2057"/>
      <c r="AR130" s="2057"/>
      <c r="AS130" s="2057"/>
      <c r="AT130" s="2293"/>
      <c r="AU130" s="2293"/>
      <c r="AV130" s="2295"/>
    </row>
    <row r="131" spans="1:48" s="514" customFormat="1" ht="38.25" customHeight="1" x14ac:dyDescent="0.25">
      <c r="A131" s="2424"/>
      <c r="B131" s="2425"/>
      <c r="C131" s="2134"/>
      <c r="D131" s="2110"/>
      <c r="E131" s="2337"/>
      <c r="F131" s="2338"/>
      <c r="G131" s="2307"/>
      <c r="H131" s="2119"/>
      <c r="I131" s="2307"/>
      <c r="J131" s="2119"/>
      <c r="K131" s="2307"/>
      <c r="L131" s="2119"/>
      <c r="M131" s="2307"/>
      <c r="N131" s="2119"/>
      <c r="O131" s="2109"/>
      <c r="P131" s="2109"/>
      <c r="Q131" s="2305"/>
      <c r="R131" s="2114"/>
      <c r="S131" s="2344"/>
      <c r="T131" s="2305"/>
      <c r="U131" s="2305"/>
      <c r="V131" s="2349" t="s">
        <v>527</v>
      </c>
      <c r="W131" s="75">
        <v>5000000</v>
      </c>
      <c r="X131" s="75">
        <v>5000000</v>
      </c>
      <c r="Y131" s="75"/>
      <c r="Z131" s="455" t="s">
        <v>588</v>
      </c>
      <c r="AA131" s="458">
        <v>20</v>
      </c>
      <c r="AB131" s="225" t="s">
        <v>387</v>
      </c>
      <c r="AC131" s="2057"/>
      <c r="AD131" s="2057"/>
      <c r="AE131" s="2057"/>
      <c r="AF131" s="2057"/>
      <c r="AG131" s="2057"/>
      <c r="AH131" s="2057"/>
      <c r="AI131" s="2057"/>
      <c r="AJ131" s="2057"/>
      <c r="AK131" s="2057"/>
      <c r="AL131" s="2057"/>
      <c r="AM131" s="2057"/>
      <c r="AN131" s="2057"/>
      <c r="AO131" s="2057"/>
      <c r="AP131" s="2057"/>
      <c r="AQ131" s="2057"/>
      <c r="AR131" s="2057"/>
      <c r="AS131" s="2057"/>
      <c r="AT131" s="2293"/>
      <c r="AU131" s="2293"/>
      <c r="AV131" s="2295"/>
    </row>
    <row r="132" spans="1:48" s="514" customFormat="1" ht="15" customHeight="1" x14ac:dyDescent="0.25">
      <c r="A132" s="2424"/>
      <c r="B132" s="2425"/>
      <c r="C132" s="2134"/>
      <c r="D132" s="2110"/>
      <c r="E132" s="2337"/>
      <c r="F132" s="2338"/>
      <c r="G132" s="2307"/>
      <c r="H132" s="2119"/>
      <c r="I132" s="2307"/>
      <c r="J132" s="2119"/>
      <c r="K132" s="2307"/>
      <c r="L132" s="2119"/>
      <c r="M132" s="2307"/>
      <c r="N132" s="2119"/>
      <c r="O132" s="2109"/>
      <c r="P132" s="2109"/>
      <c r="Q132" s="2305"/>
      <c r="R132" s="2114"/>
      <c r="S132" s="2344"/>
      <c r="T132" s="2305"/>
      <c r="U132" s="2305"/>
      <c r="V132" s="2349"/>
      <c r="W132" s="75">
        <v>56108067</v>
      </c>
      <c r="X132" s="75">
        <v>56108067</v>
      </c>
      <c r="Y132" s="75">
        <v>30562411.309999999</v>
      </c>
      <c r="Z132" s="455" t="s">
        <v>589</v>
      </c>
      <c r="AA132" s="458">
        <v>89</v>
      </c>
      <c r="AB132" s="225" t="s">
        <v>590</v>
      </c>
      <c r="AC132" s="2057"/>
      <c r="AD132" s="2057"/>
      <c r="AE132" s="2057"/>
      <c r="AF132" s="2057"/>
      <c r="AG132" s="2057"/>
      <c r="AH132" s="2057"/>
      <c r="AI132" s="2057"/>
      <c r="AJ132" s="2057"/>
      <c r="AK132" s="2057"/>
      <c r="AL132" s="2057"/>
      <c r="AM132" s="2057"/>
      <c r="AN132" s="2057"/>
      <c r="AO132" s="2057"/>
      <c r="AP132" s="2057"/>
      <c r="AQ132" s="2057"/>
      <c r="AR132" s="2057"/>
      <c r="AS132" s="2057"/>
      <c r="AT132" s="2293"/>
      <c r="AU132" s="2293"/>
      <c r="AV132" s="2295"/>
    </row>
    <row r="133" spans="1:48" s="514" customFormat="1" ht="45" x14ac:dyDescent="0.25">
      <c r="A133" s="2424"/>
      <c r="B133" s="2425"/>
      <c r="C133" s="2134"/>
      <c r="D133" s="2110"/>
      <c r="E133" s="2337"/>
      <c r="F133" s="2338"/>
      <c r="G133" s="2307"/>
      <c r="H133" s="2119"/>
      <c r="I133" s="2307"/>
      <c r="J133" s="2119"/>
      <c r="K133" s="2307"/>
      <c r="L133" s="2119"/>
      <c r="M133" s="2307"/>
      <c r="N133" s="2119"/>
      <c r="O133" s="2109"/>
      <c r="P133" s="2109"/>
      <c r="Q133" s="2305"/>
      <c r="R133" s="2114"/>
      <c r="S133" s="2344"/>
      <c r="T133" s="2305"/>
      <c r="U133" s="2305"/>
      <c r="V133" s="497" t="s">
        <v>591</v>
      </c>
      <c r="W133" s="75">
        <v>4000000</v>
      </c>
      <c r="X133" s="75">
        <v>2302678</v>
      </c>
      <c r="Y133" s="75"/>
      <c r="Z133" s="455" t="s">
        <v>586</v>
      </c>
      <c r="AA133" s="458">
        <v>20</v>
      </c>
      <c r="AB133" s="225" t="s">
        <v>387</v>
      </c>
      <c r="AC133" s="2057"/>
      <c r="AD133" s="2057"/>
      <c r="AE133" s="2057"/>
      <c r="AF133" s="2057"/>
      <c r="AG133" s="2057"/>
      <c r="AH133" s="2057"/>
      <c r="AI133" s="2057"/>
      <c r="AJ133" s="2057"/>
      <c r="AK133" s="2057"/>
      <c r="AL133" s="2057"/>
      <c r="AM133" s="2057"/>
      <c r="AN133" s="2057"/>
      <c r="AO133" s="2057"/>
      <c r="AP133" s="2057"/>
      <c r="AQ133" s="2057"/>
      <c r="AR133" s="2057"/>
      <c r="AS133" s="2057"/>
      <c r="AT133" s="2293"/>
      <c r="AU133" s="2293"/>
      <c r="AV133" s="2295"/>
    </row>
    <row r="134" spans="1:48" s="514" customFormat="1" ht="75" x14ac:dyDescent="0.25">
      <c r="A134" s="2424"/>
      <c r="B134" s="2425"/>
      <c r="C134" s="2134"/>
      <c r="D134" s="2110"/>
      <c r="E134" s="2337"/>
      <c r="F134" s="2338"/>
      <c r="G134" s="2307"/>
      <c r="H134" s="2119"/>
      <c r="I134" s="2307"/>
      <c r="J134" s="2119"/>
      <c r="K134" s="2307"/>
      <c r="L134" s="2119"/>
      <c r="M134" s="2307"/>
      <c r="N134" s="2119"/>
      <c r="O134" s="2109"/>
      <c r="P134" s="2109"/>
      <c r="Q134" s="2305"/>
      <c r="R134" s="2114"/>
      <c r="S134" s="2344"/>
      <c r="T134" s="2305"/>
      <c r="U134" s="2305"/>
      <c r="V134" s="497" t="s">
        <v>592</v>
      </c>
      <c r="W134" s="75">
        <v>10000000</v>
      </c>
      <c r="X134" s="75">
        <v>0</v>
      </c>
      <c r="Y134" s="75">
        <v>0</v>
      </c>
      <c r="Z134" s="455" t="s">
        <v>593</v>
      </c>
      <c r="AA134" s="458">
        <v>20</v>
      </c>
      <c r="AB134" s="225" t="s">
        <v>387</v>
      </c>
      <c r="AC134" s="2057"/>
      <c r="AD134" s="2057"/>
      <c r="AE134" s="2057"/>
      <c r="AF134" s="2057"/>
      <c r="AG134" s="2057"/>
      <c r="AH134" s="2057"/>
      <c r="AI134" s="2057"/>
      <c r="AJ134" s="2057"/>
      <c r="AK134" s="2057"/>
      <c r="AL134" s="2057"/>
      <c r="AM134" s="2057"/>
      <c r="AN134" s="2057"/>
      <c r="AO134" s="2057"/>
      <c r="AP134" s="2057"/>
      <c r="AQ134" s="2057"/>
      <c r="AR134" s="2057"/>
      <c r="AS134" s="2057"/>
      <c r="AT134" s="2293"/>
      <c r="AU134" s="2293"/>
      <c r="AV134" s="2295"/>
    </row>
    <row r="135" spans="1:48" s="514" customFormat="1" ht="42" customHeight="1" x14ac:dyDescent="0.25">
      <c r="A135" s="2424"/>
      <c r="B135" s="2425"/>
      <c r="C135" s="2134"/>
      <c r="D135" s="2110"/>
      <c r="E135" s="2337"/>
      <c r="F135" s="2338"/>
      <c r="G135" s="2307"/>
      <c r="H135" s="2119"/>
      <c r="I135" s="2307"/>
      <c r="J135" s="2119"/>
      <c r="K135" s="2307"/>
      <c r="L135" s="2119"/>
      <c r="M135" s="2307"/>
      <c r="N135" s="2119"/>
      <c r="O135" s="2109"/>
      <c r="P135" s="2109"/>
      <c r="Q135" s="2305"/>
      <c r="R135" s="2114"/>
      <c r="S135" s="2344"/>
      <c r="T135" s="2305"/>
      <c r="U135" s="2305"/>
      <c r="V135" s="2347" t="s">
        <v>499</v>
      </c>
      <c r="W135" s="75">
        <v>46000000</v>
      </c>
      <c r="X135" s="75">
        <v>45400000</v>
      </c>
      <c r="Y135" s="75">
        <v>27600000</v>
      </c>
      <c r="Z135" s="455" t="s">
        <v>586</v>
      </c>
      <c r="AA135" s="458">
        <v>20</v>
      </c>
      <c r="AB135" s="225" t="s">
        <v>387</v>
      </c>
      <c r="AC135" s="2057"/>
      <c r="AD135" s="2057"/>
      <c r="AE135" s="2057"/>
      <c r="AF135" s="2057"/>
      <c r="AG135" s="2057"/>
      <c r="AH135" s="2057"/>
      <c r="AI135" s="2057"/>
      <c r="AJ135" s="2057"/>
      <c r="AK135" s="2057"/>
      <c r="AL135" s="2057"/>
      <c r="AM135" s="2057"/>
      <c r="AN135" s="2057"/>
      <c r="AO135" s="2057"/>
      <c r="AP135" s="2057"/>
      <c r="AQ135" s="2057"/>
      <c r="AR135" s="2057"/>
      <c r="AS135" s="2057"/>
      <c r="AT135" s="2293"/>
      <c r="AU135" s="2293"/>
      <c r="AV135" s="2295"/>
    </row>
    <row r="136" spans="1:48" s="514" customFormat="1" ht="30" customHeight="1" x14ac:dyDescent="0.25">
      <c r="A136" s="2424"/>
      <c r="B136" s="2425"/>
      <c r="C136" s="2134"/>
      <c r="D136" s="2110"/>
      <c r="E136" s="2337"/>
      <c r="F136" s="2338"/>
      <c r="G136" s="2307"/>
      <c r="H136" s="2119"/>
      <c r="I136" s="2307"/>
      <c r="J136" s="2119"/>
      <c r="K136" s="2307"/>
      <c r="L136" s="2119"/>
      <c r="M136" s="2307"/>
      <c r="N136" s="2119"/>
      <c r="O136" s="2109"/>
      <c r="P136" s="2109"/>
      <c r="Q136" s="2305"/>
      <c r="R136" s="2114"/>
      <c r="S136" s="2344"/>
      <c r="T136" s="2305"/>
      <c r="U136" s="2305"/>
      <c r="V136" s="2348"/>
      <c r="W136" s="75">
        <v>175000000</v>
      </c>
      <c r="X136" s="75">
        <v>22200000</v>
      </c>
      <c r="Y136" s="75"/>
      <c r="Z136" s="455" t="s">
        <v>587</v>
      </c>
      <c r="AA136" s="458">
        <v>88</v>
      </c>
      <c r="AB136" s="225" t="s">
        <v>155</v>
      </c>
      <c r="AC136" s="2057"/>
      <c r="AD136" s="2057"/>
      <c r="AE136" s="2057"/>
      <c r="AF136" s="2057"/>
      <c r="AG136" s="2057"/>
      <c r="AH136" s="2057"/>
      <c r="AI136" s="2057"/>
      <c r="AJ136" s="2057"/>
      <c r="AK136" s="2057"/>
      <c r="AL136" s="2057"/>
      <c r="AM136" s="2057"/>
      <c r="AN136" s="2057"/>
      <c r="AO136" s="2057"/>
      <c r="AP136" s="2057"/>
      <c r="AQ136" s="2057"/>
      <c r="AR136" s="2057"/>
      <c r="AS136" s="2057"/>
      <c r="AT136" s="2293"/>
      <c r="AU136" s="2293"/>
      <c r="AV136" s="2295"/>
    </row>
    <row r="137" spans="1:48" s="514" customFormat="1" ht="60" x14ac:dyDescent="0.25">
      <c r="A137" s="2424"/>
      <c r="B137" s="2425"/>
      <c r="C137" s="2134"/>
      <c r="D137" s="2110"/>
      <c r="E137" s="2337"/>
      <c r="F137" s="2338"/>
      <c r="G137" s="2307"/>
      <c r="H137" s="2119"/>
      <c r="I137" s="2307"/>
      <c r="J137" s="2119"/>
      <c r="K137" s="2307"/>
      <c r="L137" s="2119"/>
      <c r="M137" s="2307"/>
      <c r="N137" s="2119"/>
      <c r="O137" s="2109"/>
      <c r="P137" s="2109"/>
      <c r="Q137" s="2305"/>
      <c r="R137" s="2114"/>
      <c r="S137" s="2344"/>
      <c r="T137" s="2305"/>
      <c r="U137" s="2305"/>
      <c r="V137" s="516" t="s">
        <v>594</v>
      </c>
      <c r="W137" s="75">
        <v>25200000</v>
      </c>
      <c r="X137" s="75"/>
      <c r="Y137" s="75"/>
      <c r="Z137" s="455" t="s">
        <v>587</v>
      </c>
      <c r="AA137" s="458">
        <v>88</v>
      </c>
      <c r="AB137" s="225" t="s">
        <v>155</v>
      </c>
      <c r="AC137" s="2057"/>
      <c r="AD137" s="2057"/>
      <c r="AE137" s="2057"/>
      <c r="AF137" s="2057"/>
      <c r="AG137" s="2057"/>
      <c r="AH137" s="2057"/>
      <c r="AI137" s="2057"/>
      <c r="AJ137" s="2057"/>
      <c r="AK137" s="2057"/>
      <c r="AL137" s="2057"/>
      <c r="AM137" s="2057"/>
      <c r="AN137" s="2057"/>
      <c r="AO137" s="2057"/>
      <c r="AP137" s="2057"/>
      <c r="AQ137" s="2057"/>
      <c r="AR137" s="2057"/>
      <c r="AS137" s="2057"/>
      <c r="AT137" s="2293"/>
      <c r="AU137" s="2293"/>
      <c r="AV137" s="2295"/>
    </row>
    <row r="138" spans="1:48" s="514" customFormat="1" ht="75" x14ac:dyDescent="0.25">
      <c r="A138" s="2424"/>
      <c r="B138" s="2425"/>
      <c r="C138" s="2134"/>
      <c r="D138" s="2110"/>
      <c r="E138" s="2337"/>
      <c r="F138" s="2338"/>
      <c r="G138" s="2307"/>
      <c r="H138" s="2119"/>
      <c r="I138" s="2307"/>
      <c r="J138" s="2119"/>
      <c r="K138" s="2307"/>
      <c r="L138" s="2119"/>
      <c r="M138" s="2307"/>
      <c r="N138" s="2119"/>
      <c r="O138" s="2109"/>
      <c r="P138" s="2109"/>
      <c r="Q138" s="2305"/>
      <c r="R138" s="2114"/>
      <c r="S138" s="2344"/>
      <c r="T138" s="2305"/>
      <c r="U138" s="2305"/>
      <c r="V138" s="517" t="s">
        <v>595</v>
      </c>
      <c r="W138" s="75">
        <v>292000000</v>
      </c>
      <c r="X138" s="75"/>
      <c r="Y138" s="75"/>
      <c r="Z138" s="455" t="s">
        <v>587</v>
      </c>
      <c r="AA138" s="458">
        <v>88</v>
      </c>
      <c r="AB138" s="225" t="s">
        <v>155</v>
      </c>
      <c r="AC138" s="2057"/>
      <c r="AD138" s="2057"/>
      <c r="AE138" s="2057"/>
      <c r="AF138" s="2057"/>
      <c r="AG138" s="2057"/>
      <c r="AH138" s="2057"/>
      <c r="AI138" s="2057"/>
      <c r="AJ138" s="2057"/>
      <c r="AK138" s="2057"/>
      <c r="AL138" s="2057"/>
      <c r="AM138" s="2057"/>
      <c r="AN138" s="2057"/>
      <c r="AO138" s="2057"/>
      <c r="AP138" s="2057"/>
      <c r="AQ138" s="2057"/>
      <c r="AR138" s="2057"/>
      <c r="AS138" s="2057"/>
      <c r="AT138" s="2293"/>
      <c r="AU138" s="2293"/>
      <c r="AV138" s="2295"/>
    </row>
    <row r="139" spans="1:48" s="514" customFormat="1" ht="42" customHeight="1" x14ac:dyDescent="0.25">
      <c r="A139" s="2424"/>
      <c r="B139" s="2425"/>
      <c r="C139" s="2134"/>
      <c r="D139" s="2110"/>
      <c r="E139" s="2337"/>
      <c r="F139" s="2338"/>
      <c r="G139" s="2307"/>
      <c r="H139" s="2119"/>
      <c r="I139" s="2307"/>
      <c r="J139" s="2119"/>
      <c r="K139" s="2307"/>
      <c r="L139" s="2119"/>
      <c r="M139" s="2307"/>
      <c r="N139" s="2119"/>
      <c r="O139" s="2109"/>
      <c r="P139" s="2109"/>
      <c r="Q139" s="2305"/>
      <c r="R139" s="2114"/>
      <c r="S139" s="2344"/>
      <c r="T139" s="2305"/>
      <c r="U139" s="2305"/>
      <c r="V139" s="516" t="s">
        <v>596</v>
      </c>
      <c r="W139" s="75">
        <v>118000000</v>
      </c>
      <c r="X139" s="75"/>
      <c r="Y139" s="75"/>
      <c r="Z139" s="455" t="s">
        <v>587</v>
      </c>
      <c r="AA139" s="458">
        <v>88</v>
      </c>
      <c r="AB139" s="225" t="s">
        <v>155</v>
      </c>
      <c r="AC139" s="2057"/>
      <c r="AD139" s="2057"/>
      <c r="AE139" s="2057"/>
      <c r="AF139" s="2057"/>
      <c r="AG139" s="2057"/>
      <c r="AH139" s="2057"/>
      <c r="AI139" s="2057"/>
      <c r="AJ139" s="2057"/>
      <c r="AK139" s="2057"/>
      <c r="AL139" s="2057"/>
      <c r="AM139" s="2057"/>
      <c r="AN139" s="2057"/>
      <c r="AO139" s="2057"/>
      <c r="AP139" s="2057"/>
      <c r="AQ139" s="2057"/>
      <c r="AR139" s="2057"/>
      <c r="AS139" s="2057"/>
      <c r="AT139" s="2293"/>
      <c r="AU139" s="2293"/>
      <c r="AV139" s="2295"/>
    </row>
    <row r="140" spans="1:48" s="514" customFormat="1" ht="35.25" customHeight="1" x14ac:dyDescent="0.25">
      <c r="A140" s="2424"/>
      <c r="B140" s="2425"/>
      <c r="C140" s="2134"/>
      <c r="D140" s="2110"/>
      <c r="E140" s="2337"/>
      <c r="F140" s="2338"/>
      <c r="G140" s="2307"/>
      <c r="H140" s="2119"/>
      <c r="I140" s="2307"/>
      <c r="J140" s="2119"/>
      <c r="K140" s="2307"/>
      <c r="L140" s="2119"/>
      <c r="M140" s="2307"/>
      <c r="N140" s="2119"/>
      <c r="O140" s="2109"/>
      <c r="P140" s="2109"/>
      <c r="Q140" s="2305"/>
      <c r="R140" s="2114"/>
      <c r="S140" s="2344"/>
      <c r="T140" s="2305"/>
      <c r="U140" s="2305"/>
      <c r="V140" s="2349" t="s">
        <v>597</v>
      </c>
      <c r="W140" s="75">
        <v>15000000</v>
      </c>
      <c r="X140" s="75">
        <v>15000000</v>
      </c>
      <c r="Y140" s="75">
        <v>502698</v>
      </c>
      <c r="Z140" s="455" t="s">
        <v>598</v>
      </c>
      <c r="AA140" s="458">
        <v>88</v>
      </c>
      <c r="AB140" s="225" t="s">
        <v>599</v>
      </c>
      <c r="AC140" s="2057"/>
      <c r="AD140" s="2057"/>
      <c r="AE140" s="2057"/>
      <c r="AF140" s="2057"/>
      <c r="AG140" s="2057"/>
      <c r="AH140" s="2057"/>
      <c r="AI140" s="2057"/>
      <c r="AJ140" s="2057"/>
      <c r="AK140" s="2057"/>
      <c r="AL140" s="2057"/>
      <c r="AM140" s="2057"/>
      <c r="AN140" s="2057"/>
      <c r="AO140" s="2057"/>
      <c r="AP140" s="2057"/>
      <c r="AQ140" s="2057"/>
      <c r="AR140" s="2057"/>
      <c r="AS140" s="2057"/>
      <c r="AT140" s="2293"/>
      <c r="AU140" s="2293"/>
      <c r="AV140" s="2295"/>
    </row>
    <row r="141" spans="1:48" s="514" customFormat="1" ht="36.75" customHeight="1" x14ac:dyDescent="0.25">
      <c r="A141" s="2424"/>
      <c r="B141" s="2425"/>
      <c r="C141" s="2135"/>
      <c r="D141" s="2334"/>
      <c r="E141" s="2339"/>
      <c r="F141" s="2340"/>
      <c r="G141" s="2307"/>
      <c r="H141" s="2119"/>
      <c r="I141" s="2307"/>
      <c r="J141" s="2119"/>
      <c r="K141" s="2307"/>
      <c r="L141" s="2119"/>
      <c r="M141" s="2307"/>
      <c r="N141" s="2119"/>
      <c r="O141" s="2109"/>
      <c r="P141" s="2109"/>
      <c r="Q141" s="2305"/>
      <c r="R141" s="2114"/>
      <c r="S141" s="2344"/>
      <c r="T141" s="2305"/>
      <c r="U141" s="2305"/>
      <c r="V141" s="2349"/>
      <c r="W141" s="75">
        <v>5000000</v>
      </c>
      <c r="X141" s="75">
        <v>0</v>
      </c>
      <c r="Y141" s="75">
        <v>0</v>
      </c>
      <c r="Z141" s="455" t="s">
        <v>600</v>
      </c>
      <c r="AA141" s="458">
        <v>20</v>
      </c>
      <c r="AB141" s="225" t="s">
        <v>387</v>
      </c>
      <c r="AC141" s="2057"/>
      <c r="AD141" s="2057"/>
      <c r="AE141" s="2057"/>
      <c r="AF141" s="2057"/>
      <c r="AG141" s="2057"/>
      <c r="AH141" s="2057"/>
      <c r="AI141" s="2057"/>
      <c r="AJ141" s="2057"/>
      <c r="AK141" s="2057"/>
      <c r="AL141" s="2057"/>
      <c r="AM141" s="2057"/>
      <c r="AN141" s="2057"/>
      <c r="AO141" s="2057"/>
      <c r="AP141" s="2057"/>
      <c r="AQ141" s="2057"/>
      <c r="AR141" s="2057"/>
      <c r="AS141" s="2057"/>
      <c r="AT141" s="2293"/>
      <c r="AU141" s="2293"/>
      <c r="AV141" s="2296"/>
    </row>
    <row r="142" spans="1:48" s="514" customFormat="1" ht="15.75" x14ac:dyDescent="0.25">
      <c r="A142" s="2424"/>
      <c r="B142" s="2425"/>
      <c r="C142" s="459">
        <v>40</v>
      </c>
      <c r="D142" s="2303" t="s">
        <v>601</v>
      </c>
      <c r="E142" s="2303"/>
      <c r="F142" s="2303"/>
      <c r="G142" s="2303"/>
      <c r="H142" s="2303"/>
      <c r="I142" s="2303"/>
      <c r="J142" s="2303"/>
      <c r="K142" s="460"/>
      <c r="L142" s="484"/>
      <c r="M142" s="510"/>
      <c r="N142" s="484"/>
      <c r="O142" s="462"/>
      <c r="P142" s="462"/>
      <c r="Q142" s="463"/>
      <c r="R142" s="464"/>
      <c r="S142" s="481"/>
      <c r="T142" s="463"/>
      <c r="U142" s="463"/>
      <c r="V142" s="518"/>
      <c r="W142" s="512"/>
      <c r="X142" s="512"/>
      <c r="Y142" s="512"/>
      <c r="Z142" s="519"/>
      <c r="AA142" s="470"/>
      <c r="AB142" s="463"/>
      <c r="AC142" s="462"/>
      <c r="AD142" s="462"/>
      <c r="AE142" s="462"/>
      <c r="AF142" s="462"/>
      <c r="AG142" s="462"/>
      <c r="AH142" s="462"/>
      <c r="AI142" s="462"/>
      <c r="AJ142" s="462"/>
      <c r="AK142" s="462"/>
      <c r="AL142" s="462"/>
      <c r="AM142" s="462"/>
      <c r="AN142" s="462"/>
      <c r="AO142" s="462"/>
      <c r="AP142" s="462"/>
      <c r="AQ142" s="462"/>
      <c r="AR142" s="462"/>
      <c r="AS142" s="462"/>
      <c r="AT142" s="472"/>
      <c r="AU142" s="472"/>
      <c r="AV142" s="466"/>
    </row>
    <row r="143" spans="1:48" s="3" customFormat="1" ht="15.75" x14ac:dyDescent="0.25">
      <c r="A143" s="2424"/>
      <c r="B143" s="2425"/>
      <c r="C143" s="2332"/>
      <c r="D143" s="2333"/>
      <c r="E143" s="496">
        <v>4001</v>
      </c>
      <c r="F143" s="2304" t="s">
        <v>602</v>
      </c>
      <c r="G143" s="2304"/>
      <c r="H143" s="2304"/>
      <c r="I143" s="2304"/>
      <c r="J143" s="2304"/>
      <c r="K143" s="2304"/>
      <c r="L143" s="2304"/>
      <c r="M143" s="206"/>
      <c r="N143" s="327"/>
      <c r="O143" s="206"/>
      <c r="P143" s="206"/>
      <c r="Q143" s="327"/>
      <c r="R143" s="204"/>
      <c r="S143" s="326"/>
      <c r="T143" s="327"/>
      <c r="U143" s="327"/>
      <c r="V143" s="327"/>
      <c r="W143" s="473"/>
      <c r="X143" s="473"/>
      <c r="Y143" s="473"/>
      <c r="Z143" s="64"/>
      <c r="AA143" s="209"/>
      <c r="AB143" s="327"/>
      <c r="AC143" s="206"/>
      <c r="AD143" s="206"/>
      <c r="AE143" s="206"/>
      <c r="AF143" s="206"/>
      <c r="AG143" s="206"/>
      <c r="AH143" s="206"/>
      <c r="AI143" s="206"/>
      <c r="AJ143" s="206"/>
      <c r="AK143" s="206"/>
      <c r="AL143" s="206"/>
      <c r="AM143" s="206"/>
      <c r="AN143" s="206"/>
      <c r="AO143" s="206"/>
      <c r="AP143" s="206"/>
      <c r="AQ143" s="206"/>
      <c r="AR143" s="206"/>
      <c r="AS143" s="206"/>
      <c r="AT143" s="206"/>
      <c r="AU143" s="206"/>
      <c r="AV143" s="327"/>
    </row>
    <row r="144" spans="1:48" s="514" customFormat="1" ht="38.25" customHeight="1" x14ac:dyDescent="0.25">
      <c r="A144" s="2424"/>
      <c r="B144" s="2425"/>
      <c r="C144" s="2134"/>
      <c r="D144" s="2110"/>
      <c r="E144" s="2335"/>
      <c r="F144" s="2336"/>
      <c r="G144" s="2346">
        <v>4001015</v>
      </c>
      <c r="H144" s="2119" t="s">
        <v>603</v>
      </c>
      <c r="I144" s="2346">
        <v>4001015</v>
      </c>
      <c r="J144" s="2119" t="s">
        <v>603</v>
      </c>
      <c r="K144" s="2345" t="s">
        <v>604</v>
      </c>
      <c r="L144" s="2174" t="s">
        <v>605</v>
      </c>
      <c r="M144" s="2345" t="s">
        <v>604</v>
      </c>
      <c r="N144" s="2174" t="s">
        <v>605</v>
      </c>
      <c r="O144" s="2109">
        <v>50</v>
      </c>
      <c r="P144" s="2054" t="s">
        <v>606</v>
      </c>
      <c r="Q144" s="2119" t="s">
        <v>607</v>
      </c>
      <c r="R144" s="2114">
        <f>SUM(W144:W145)/S144</f>
        <v>1</v>
      </c>
      <c r="S144" s="2344">
        <f>SUM(W144:W145)</f>
        <v>120000000.09999999</v>
      </c>
      <c r="T144" s="2305" t="s">
        <v>608</v>
      </c>
      <c r="U144" s="2305" t="s">
        <v>609</v>
      </c>
      <c r="V144" s="2055" t="s">
        <v>610</v>
      </c>
      <c r="W144" s="75">
        <v>20000000</v>
      </c>
      <c r="X144" s="75">
        <v>0</v>
      </c>
      <c r="Y144" s="75">
        <v>0</v>
      </c>
      <c r="Z144" s="455" t="s">
        <v>611</v>
      </c>
      <c r="AA144" s="112">
        <v>20</v>
      </c>
      <c r="AB144" s="218" t="s">
        <v>387</v>
      </c>
      <c r="AC144" s="2057">
        <v>680</v>
      </c>
      <c r="AD144" s="2057">
        <v>520</v>
      </c>
      <c r="AE144" s="2057">
        <v>350</v>
      </c>
      <c r="AF144" s="2057">
        <v>300</v>
      </c>
      <c r="AG144" s="2057">
        <v>250</v>
      </c>
      <c r="AH144" s="2057">
        <v>300</v>
      </c>
      <c r="AI144" s="2057"/>
      <c r="AJ144" s="2057"/>
      <c r="AK144" s="2057"/>
      <c r="AL144" s="2057"/>
      <c r="AM144" s="2057"/>
      <c r="AN144" s="2057"/>
      <c r="AO144" s="2057"/>
      <c r="AP144" s="2057"/>
      <c r="AQ144" s="2057"/>
      <c r="AR144" s="2057"/>
      <c r="AS144" s="2057">
        <f>AC144+AD144</f>
        <v>1200</v>
      </c>
      <c r="AT144" s="2341">
        <v>44197</v>
      </c>
      <c r="AU144" s="2341">
        <v>44561</v>
      </c>
      <c r="AV144" s="2342" t="s">
        <v>388</v>
      </c>
    </row>
    <row r="145" spans="1:48" s="514" customFormat="1" ht="40.5" customHeight="1" x14ac:dyDescent="0.25">
      <c r="A145" s="2424"/>
      <c r="B145" s="2425"/>
      <c r="C145" s="2135"/>
      <c r="D145" s="2334"/>
      <c r="E145" s="2339"/>
      <c r="F145" s="2340"/>
      <c r="G145" s="2346"/>
      <c r="H145" s="2119"/>
      <c r="I145" s="2346"/>
      <c r="J145" s="2119"/>
      <c r="K145" s="2345"/>
      <c r="L145" s="2174"/>
      <c r="M145" s="2345"/>
      <c r="N145" s="2174"/>
      <c r="O145" s="2109"/>
      <c r="P145" s="2054"/>
      <c r="Q145" s="2119"/>
      <c r="R145" s="2114"/>
      <c r="S145" s="2344"/>
      <c r="T145" s="2305"/>
      <c r="U145" s="2305"/>
      <c r="V145" s="2055"/>
      <c r="W145" s="75">
        <v>100000000.09999999</v>
      </c>
      <c r="X145" s="75">
        <v>0</v>
      </c>
      <c r="Y145" s="75">
        <v>0</v>
      </c>
      <c r="Z145" s="455" t="s">
        <v>612</v>
      </c>
      <c r="AA145" s="520" t="s">
        <v>419</v>
      </c>
      <c r="AB145" s="218" t="s">
        <v>613</v>
      </c>
      <c r="AC145" s="2057"/>
      <c r="AD145" s="2057"/>
      <c r="AE145" s="2057"/>
      <c r="AF145" s="2057"/>
      <c r="AG145" s="2057"/>
      <c r="AH145" s="2057"/>
      <c r="AI145" s="2057"/>
      <c r="AJ145" s="2057"/>
      <c r="AK145" s="2057"/>
      <c r="AL145" s="2057"/>
      <c r="AM145" s="2057"/>
      <c r="AN145" s="2057"/>
      <c r="AO145" s="2057"/>
      <c r="AP145" s="2057"/>
      <c r="AQ145" s="2057"/>
      <c r="AR145" s="2057"/>
      <c r="AS145" s="2057"/>
      <c r="AT145" s="2057"/>
      <c r="AU145" s="2057"/>
      <c r="AV145" s="2343"/>
    </row>
    <row r="146" spans="1:48" s="514" customFormat="1" ht="15.75" x14ac:dyDescent="0.25">
      <c r="A146" s="521">
        <v>4</v>
      </c>
      <c r="B146" s="2329" t="s">
        <v>336</v>
      </c>
      <c r="C146" s="2329"/>
      <c r="D146" s="2329"/>
      <c r="E146" s="2329"/>
      <c r="F146" s="2329"/>
      <c r="G146" s="2329"/>
      <c r="H146" s="2329"/>
      <c r="I146" s="2329"/>
      <c r="J146" s="2329"/>
      <c r="K146" s="522"/>
      <c r="L146" s="523"/>
      <c r="M146" s="522"/>
      <c r="N146" s="523"/>
      <c r="O146" s="524"/>
      <c r="P146" s="525"/>
      <c r="Q146" s="526"/>
      <c r="R146" s="527"/>
      <c r="S146" s="528"/>
      <c r="T146" s="529"/>
      <c r="U146" s="529"/>
      <c r="V146" s="529"/>
      <c r="W146" s="530"/>
      <c r="X146" s="530"/>
      <c r="Y146" s="530"/>
      <c r="Z146" s="531"/>
      <c r="AA146" s="532"/>
      <c r="AB146" s="529"/>
      <c r="AC146" s="524"/>
      <c r="AD146" s="524"/>
      <c r="AE146" s="524"/>
      <c r="AF146" s="524"/>
      <c r="AG146" s="524"/>
      <c r="AH146" s="524"/>
      <c r="AI146" s="524"/>
      <c r="AJ146" s="524"/>
      <c r="AK146" s="524"/>
      <c r="AL146" s="524"/>
      <c r="AM146" s="524"/>
      <c r="AN146" s="524"/>
      <c r="AO146" s="524"/>
      <c r="AP146" s="524"/>
      <c r="AQ146" s="524"/>
      <c r="AR146" s="524"/>
      <c r="AS146" s="524"/>
      <c r="AT146" s="533"/>
      <c r="AU146" s="533"/>
      <c r="AV146" s="534"/>
    </row>
    <row r="147" spans="1:48" s="514" customFormat="1" ht="15.75" x14ac:dyDescent="0.25">
      <c r="A147" s="2330"/>
      <c r="B147" s="2331"/>
      <c r="C147" s="459">
        <v>45</v>
      </c>
      <c r="D147" s="2303" t="s">
        <v>60</v>
      </c>
      <c r="E147" s="2303"/>
      <c r="F147" s="2303"/>
      <c r="G147" s="2303"/>
      <c r="H147" s="2303"/>
      <c r="I147" s="2303"/>
      <c r="J147" s="2303"/>
      <c r="K147" s="535"/>
      <c r="L147" s="536"/>
      <c r="M147" s="535"/>
      <c r="N147" s="536"/>
      <c r="O147" s="462"/>
      <c r="P147" s="510"/>
      <c r="Q147" s="484"/>
      <c r="R147" s="464"/>
      <c r="S147" s="481"/>
      <c r="T147" s="463"/>
      <c r="U147" s="463"/>
      <c r="V147" s="463"/>
      <c r="W147" s="512"/>
      <c r="X147" s="512"/>
      <c r="Y147" s="512"/>
      <c r="Z147" s="537"/>
      <c r="AA147" s="470"/>
      <c r="AB147" s="463"/>
      <c r="AC147" s="462"/>
      <c r="AD147" s="462"/>
      <c r="AE147" s="462"/>
      <c r="AF147" s="462"/>
      <c r="AG147" s="462"/>
      <c r="AH147" s="462"/>
      <c r="AI147" s="462"/>
      <c r="AJ147" s="462"/>
      <c r="AK147" s="462"/>
      <c r="AL147" s="462"/>
      <c r="AM147" s="462"/>
      <c r="AN147" s="462"/>
      <c r="AO147" s="462"/>
      <c r="AP147" s="462"/>
      <c r="AQ147" s="462"/>
      <c r="AR147" s="462"/>
      <c r="AS147" s="462"/>
      <c r="AT147" s="472"/>
      <c r="AU147" s="472"/>
      <c r="AV147" s="466"/>
    </row>
    <row r="148" spans="1:48" s="3" customFormat="1" ht="15.75" x14ac:dyDescent="0.25">
      <c r="A148" s="2330"/>
      <c r="B148" s="2331"/>
      <c r="C148" s="2332"/>
      <c r="D148" s="2333"/>
      <c r="E148" s="496">
        <v>4599</v>
      </c>
      <c r="F148" s="483" t="s">
        <v>171</v>
      </c>
      <c r="G148" s="483"/>
      <c r="H148" s="327"/>
      <c r="I148" s="483"/>
      <c r="J148" s="327"/>
      <c r="K148" s="483"/>
      <c r="L148" s="327"/>
      <c r="M148" s="483"/>
      <c r="N148" s="327"/>
      <c r="O148" s="206"/>
      <c r="P148" s="206"/>
      <c r="Q148" s="327"/>
      <c r="R148" s="204"/>
      <c r="S148" s="326"/>
      <c r="T148" s="327"/>
      <c r="U148" s="327"/>
      <c r="V148" s="327"/>
      <c r="W148" s="473"/>
      <c r="X148" s="473"/>
      <c r="Y148" s="473"/>
      <c r="Z148" s="64"/>
      <c r="AA148" s="209"/>
      <c r="AB148" s="327"/>
      <c r="AC148" s="206"/>
      <c r="AD148" s="206"/>
      <c r="AE148" s="206"/>
      <c r="AF148" s="206"/>
      <c r="AG148" s="206"/>
      <c r="AH148" s="206"/>
      <c r="AI148" s="206"/>
      <c r="AJ148" s="206"/>
      <c r="AK148" s="206"/>
      <c r="AL148" s="206"/>
      <c r="AM148" s="206"/>
      <c r="AN148" s="206"/>
      <c r="AO148" s="206"/>
      <c r="AP148" s="206"/>
      <c r="AQ148" s="206"/>
      <c r="AR148" s="206"/>
      <c r="AS148" s="206"/>
      <c r="AT148" s="206"/>
      <c r="AU148" s="206"/>
      <c r="AV148" s="327"/>
    </row>
    <row r="149" spans="1:48" s="514" customFormat="1" ht="105" customHeight="1" x14ac:dyDescent="0.25">
      <c r="A149" s="2330"/>
      <c r="B149" s="2331"/>
      <c r="C149" s="2134"/>
      <c r="D149" s="2110"/>
      <c r="E149" s="2335"/>
      <c r="F149" s="2336"/>
      <c r="G149" s="2323" t="s">
        <v>62</v>
      </c>
      <c r="H149" s="2326" t="s">
        <v>614</v>
      </c>
      <c r="I149" s="2323" t="s">
        <v>615</v>
      </c>
      <c r="J149" s="2326" t="s">
        <v>412</v>
      </c>
      <c r="K149" s="2323" t="s">
        <v>62</v>
      </c>
      <c r="L149" s="2326" t="s">
        <v>616</v>
      </c>
      <c r="M149" s="2323">
        <v>459901600</v>
      </c>
      <c r="N149" s="2141" t="s">
        <v>412</v>
      </c>
      <c r="O149" s="2154">
        <v>4</v>
      </c>
      <c r="P149" s="2026" t="s">
        <v>617</v>
      </c>
      <c r="Q149" s="2141" t="s">
        <v>618</v>
      </c>
      <c r="R149" s="2184">
        <f>SUM(W149:W155)/S149</f>
        <v>1</v>
      </c>
      <c r="S149" s="2317">
        <f>SUM(W149:W155)</f>
        <v>100660648</v>
      </c>
      <c r="T149" s="2144" t="s">
        <v>619</v>
      </c>
      <c r="U149" s="2144" t="s">
        <v>620</v>
      </c>
      <c r="V149" s="2320" t="s">
        <v>621</v>
      </c>
      <c r="W149" s="454">
        <v>10000000</v>
      </c>
      <c r="X149" s="454">
        <v>0</v>
      </c>
      <c r="Y149" s="454">
        <v>0</v>
      </c>
      <c r="Z149" s="455" t="s">
        <v>622</v>
      </c>
      <c r="AA149" s="2312" t="s">
        <v>403</v>
      </c>
      <c r="AB149" s="2154" t="s">
        <v>404</v>
      </c>
      <c r="AC149" s="2058">
        <v>295972</v>
      </c>
      <c r="AD149" s="2058">
        <v>285580</v>
      </c>
      <c r="AE149" s="2058">
        <v>135545</v>
      </c>
      <c r="AF149" s="2058">
        <v>44254</v>
      </c>
      <c r="AG149" s="2058">
        <v>309146</v>
      </c>
      <c r="AH149" s="2058">
        <v>92607</v>
      </c>
      <c r="AI149" s="2058">
        <v>2145</v>
      </c>
      <c r="AJ149" s="2058">
        <v>12718</v>
      </c>
      <c r="AK149" s="2058">
        <v>26</v>
      </c>
      <c r="AL149" s="2058">
        <v>37</v>
      </c>
      <c r="AM149" s="2058">
        <v>0</v>
      </c>
      <c r="AN149" s="2058">
        <v>0</v>
      </c>
      <c r="AO149" s="2058">
        <v>44350</v>
      </c>
      <c r="AP149" s="2058">
        <v>21944</v>
      </c>
      <c r="AQ149" s="2058"/>
      <c r="AR149" s="2058">
        <v>75687</v>
      </c>
      <c r="AS149" s="2058">
        <v>581552</v>
      </c>
      <c r="AT149" s="2309">
        <v>44197</v>
      </c>
      <c r="AU149" s="2309">
        <v>44561</v>
      </c>
      <c r="AV149" s="2294" t="s">
        <v>388</v>
      </c>
    </row>
    <row r="150" spans="1:48" s="514" customFormat="1" ht="15" customHeight="1" x14ac:dyDescent="0.25">
      <c r="A150" s="2330"/>
      <c r="B150" s="2331"/>
      <c r="C150" s="2134"/>
      <c r="D150" s="2110"/>
      <c r="E150" s="2337"/>
      <c r="F150" s="2338"/>
      <c r="G150" s="2324"/>
      <c r="H150" s="2327"/>
      <c r="I150" s="2324"/>
      <c r="J150" s="2327"/>
      <c r="K150" s="2324"/>
      <c r="L150" s="2327"/>
      <c r="M150" s="2324"/>
      <c r="N150" s="2142"/>
      <c r="O150" s="2128"/>
      <c r="P150" s="2027"/>
      <c r="Q150" s="2142"/>
      <c r="R150" s="2315"/>
      <c r="S150" s="2318"/>
      <c r="T150" s="2145"/>
      <c r="U150" s="2145"/>
      <c r="V150" s="2321"/>
      <c r="W150" s="454">
        <v>5000000</v>
      </c>
      <c r="X150" s="454"/>
      <c r="Y150" s="454"/>
      <c r="Z150" s="455" t="s">
        <v>623</v>
      </c>
      <c r="AA150" s="2313"/>
      <c r="AB150" s="2128"/>
      <c r="AC150" s="2169"/>
      <c r="AD150" s="2169"/>
      <c r="AE150" s="2169"/>
      <c r="AF150" s="2169"/>
      <c r="AG150" s="2169"/>
      <c r="AH150" s="2169"/>
      <c r="AI150" s="2169"/>
      <c r="AJ150" s="2169"/>
      <c r="AK150" s="2169"/>
      <c r="AL150" s="2169"/>
      <c r="AM150" s="2169"/>
      <c r="AN150" s="2169"/>
      <c r="AO150" s="2169"/>
      <c r="AP150" s="2169"/>
      <c r="AQ150" s="2169"/>
      <c r="AR150" s="2169"/>
      <c r="AS150" s="2169"/>
      <c r="AT150" s="2310"/>
      <c r="AU150" s="2310"/>
      <c r="AV150" s="2295"/>
    </row>
    <row r="151" spans="1:48" s="514" customFormat="1" ht="15" customHeight="1" x14ac:dyDescent="0.25">
      <c r="A151" s="2330"/>
      <c r="B151" s="2331"/>
      <c r="C151" s="2134"/>
      <c r="D151" s="2110"/>
      <c r="E151" s="2337"/>
      <c r="F151" s="2338"/>
      <c r="G151" s="2324"/>
      <c r="H151" s="2327"/>
      <c r="I151" s="2324"/>
      <c r="J151" s="2327"/>
      <c r="K151" s="2324"/>
      <c r="L151" s="2327"/>
      <c r="M151" s="2324"/>
      <c r="N151" s="2142"/>
      <c r="O151" s="2128"/>
      <c r="P151" s="2027"/>
      <c r="Q151" s="2142"/>
      <c r="R151" s="2315"/>
      <c r="S151" s="2318"/>
      <c r="T151" s="2145"/>
      <c r="U151" s="2145"/>
      <c r="V151" s="2321"/>
      <c r="W151" s="454">
        <v>1000000</v>
      </c>
      <c r="X151" s="454"/>
      <c r="Y151" s="454"/>
      <c r="Z151" s="455" t="s">
        <v>624</v>
      </c>
      <c r="AA151" s="2313"/>
      <c r="AB151" s="2128"/>
      <c r="AC151" s="2169"/>
      <c r="AD151" s="2169"/>
      <c r="AE151" s="2169"/>
      <c r="AF151" s="2169"/>
      <c r="AG151" s="2169"/>
      <c r="AH151" s="2169"/>
      <c r="AI151" s="2169"/>
      <c r="AJ151" s="2169"/>
      <c r="AK151" s="2169"/>
      <c r="AL151" s="2169"/>
      <c r="AM151" s="2169"/>
      <c r="AN151" s="2169"/>
      <c r="AO151" s="2169"/>
      <c r="AP151" s="2169"/>
      <c r="AQ151" s="2169"/>
      <c r="AR151" s="2169"/>
      <c r="AS151" s="2169"/>
      <c r="AT151" s="2310"/>
      <c r="AU151" s="2310"/>
      <c r="AV151" s="2295"/>
    </row>
    <row r="152" spans="1:48" s="514" customFormat="1" ht="15" customHeight="1" x14ac:dyDescent="0.25">
      <c r="A152" s="2330"/>
      <c r="B152" s="2331"/>
      <c r="C152" s="2134"/>
      <c r="D152" s="2110"/>
      <c r="E152" s="2337"/>
      <c r="F152" s="2338"/>
      <c r="G152" s="2324"/>
      <c r="H152" s="2327"/>
      <c r="I152" s="2324"/>
      <c r="J152" s="2327"/>
      <c r="K152" s="2324"/>
      <c r="L152" s="2327"/>
      <c r="M152" s="2324"/>
      <c r="N152" s="2142"/>
      <c r="O152" s="2128"/>
      <c r="P152" s="2027"/>
      <c r="Q152" s="2142"/>
      <c r="R152" s="2315"/>
      <c r="S152" s="2318"/>
      <c r="T152" s="2145"/>
      <c r="U152" s="2145"/>
      <c r="V152" s="2322"/>
      <c r="W152" s="454">
        <v>4000000</v>
      </c>
      <c r="X152" s="454"/>
      <c r="Y152" s="454"/>
      <c r="Z152" s="455" t="s">
        <v>625</v>
      </c>
      <c r="AA152" s="2313"/>
      <c r="AB152" s="2128"/>
      <c r="AC152" s="2169"/>
      <c r="AD152" s="2169"/>
      <c r="AE152" s="2169"/>
      <c r="AF152" s="2169"/>
      <c r="AG152" s="2169"/>
      <c r="AH152" s="2169"/>
      <c r="AI152" s="2169"/>
      <c r="AJ152" s="2169"/>
      <c r="AK152" s="2169"/>
      <c r="AL152" s="2169"/>
      <c r="AM152" s="2169"/>
      <c r="AN152" s="2169"/>
      <c r="AO152" s="2169"/>
      <c r="AP152" s="2169"/>
      <c r="AQ152" s="2169"/>
      <c r="AR152" s="2169"/>
      <c r="AS152" s="2169"/>
      <c r="AT152" s="2310"/>
      <c r="AU152" s="2310"/>
      <c r="AV152" s="2295"/>
    </row>
    <row r="153" spans="1:48" s="514" customFormat="1" ht="60" x14ac:dyDescent="0.25">
      <c r="A153" s="2330"/>
      <c r="B153" s="2331"/>
      <c r="C153" s="2134"/>
      <c r="D153" s="2110"/>
      <c r="E153" s="2337"/>
      <c r="F153" s="2338"/>
      <c r="G153" s="2324"/>
      <c r="H153" s="2327"/>
      <c r="I153" s="2324"/>
      <c r="J153" s="2327"/>
      <c r="K153" s="2324"/>
      <c r="L153" s="2327"/>
      <c r="M153" s="2324"/>
      <c r="N153" s="2142"/>
      <c r="O153" s="2128"/>
      <c r="P153" s="2027"/>
      <c r="Q153" s="2142"/>
      <c r="R153" s="2315"/>
      <c r="S153" s="2318"/>
      <c r="T153" s="2145"/>
      <c r="U153" s="2145"/>
      <c r="V153" s="225" t="s">
        <v>626</v>
      </c>
      <c r="W153" s="85">
        <v>10000000</v>
      </c>
      <c r="X153" s="85">
        <v>0</v>
      </c>
      <c r="Y153" s="85">
        <v>0</v>
      </c>
      <c r="Z153" s="455" t="s">
        <v>627</v>
      </c>
      <c r="AA153" s="2313"/>
      <c r="AB153" s="2128"/>
      <c r="AC153" s="2169"/>
      <c r="AD153" s="2169"/>
      <c r="AE153" s="2169"/>
      <c r="AF153" s="2169"/>
      <c r="AG153" s="2169"/>
      <c r="AH153" s="2169"/>
      <c r="AI153" s="2169"/>
      <c r="AJ153" s="2169"/>
      <c r="AK153" s="2169"/>
      <c r="AL153" s="2169"/>
      <c r="AM153" s="2169"/>
      <c r="AN153" s="2169"/>
      <c r="AO153" s="2169"/>
      <c r="AP153" s="2169"/>
      <c r="AQ153" s="2169"/>
      <c r="AR153" s="2169"/>
      <c r="AS153" s="2169"/>
      <c r="AT153" s="2310"/>
      <c r="AU153" s="2310"/>
      <c r="AV153" s="2295"/>
    </row>
    <row r="154" spans="1:48" s="514" customFormat="1" ht="105" x14ac:dyDescent="0.25">
      <c r="A154" s="2330"/>
      <c r="B154" s="2331"/>
      <c r="C154" s="2134"/>
      <c r="D154" s="2110"/>
      <c r="E154" s="2337"/>
      <c r="F154" s="2338"/>
      <c r="G154" s="2324"/>
      <c r="H154" s="2327"/>
      <c r="I154" s="2324"/>
      <c r="J154" s="2327"/>
      <c r="K154" s="2324"/>
      <c r="L154" s="2327"/>
      <c r="M154" s="2324"/>
      <c r="N154" s="2142"/>
      <c r="O154" s="2128"/>
      <c r="P154" s="2027"/>
      <c r="Q154" s="2142"/>
      <c r="R154" s="2315"/>
      <c r="S154" s="2318"/>
      <c r="T154" s="2145"/>
      <c r="U154" s="2145"/>
      <c r="V154" s="222" t="s">
        <v>628</v>
      </c>
      <c r="W154" s="85">
        <v>10000000</v>
      </c>
      <c r="X154" s="85">
        <v>1268000</v>
      </c>
      <c r="Y154" s="85">
        <v>368000</v>
      </c>
      <c r="Z154" s="455" t="s">
        <v>627</v>
      </c>
      <c r="AA154" s="2313"/>
      <c r="AB154" s="2128"/>
      <c r="AC154" s="2169"/>
      <c r="AD154" s="2169"/>
      <c r="AE154" s="2169"/>
      <c r="AF154" s="2169"/>
      <c r="AG154" s="2169"/>
      <c r="AH154" s="2169"/>
      <c r="AI154" s="2169"/>
      <c r="AJ154" s="2169"/>
      <c r="AK154" s="2169"/>
      <c r="AL154" s="2169"/>
      <c r="AM154" s="2169"/>
      <c r="AN154" s="2169"/>
      <c r="AO154" s="2169"/>
      <c r="AP154" s="2169"/>
      <c r="AQ154" s="2169"/>
      <c r="AR154" s="2169"/>
      <c r="AS154" s="2169"/>
      <c r="AT154" s="2310"/>
      <c r="AU154" s="2310"/>
      <c r="AV154" s="2295"/>
    </row>
    <row r="155" spans="1:48" s="514" customFormat="1" ht="90" customHeight="1" x14ac:dyDescent="0.25">
      <c r="A155" s="2330"/>
      <c r="B155" s="2331"/>
      <c r="C155" s="2134"/>
      <c r="D155" s="2110"/>
      <c r="E155" s="2339"/>
      <c r="F155" s="2340"/>
      <c r="G155" s="2325"/>
      <c r="H155" s="2328"/>
      <c r="I155" s="2325"/>
      <c r="J155" s="2328"/>
      <c r="K155" s="2325"/>
      <c r="L155" s="2328"/>
      <c r="M155" s="2325"/>
      <c r="N155" s="2143"/>
      <c r="O155" s="2129"/>
      <c r="P155" s="2028"/>
      <c r="Q155" s="2143"/>
      <c r="R155" s="2316"/>
      <c r="S155" s="2319"/>
      <c r="T155" s="2146"/>
      <c r="U155" s="2146"/>
      <c r="V155" s="87" t="s">
        <v>629</v>
      </c>
      <c r="W155" s="454">
        <v>60660648</v>
      </c>
      <c r="X155" s="454"/>
      <c r="Y155" s="454"/>
      <c r="Z155" s="455" t="s">
        <v>630</v>
      </c>
      <c r="AA155" s="2314"/>
      <c r="AB155" s="2129"/>
      <c r="AC155" s="2170"/>
      <c r="AD155" s="2170"/>
      <c r="AE155" s="2170"/>
      <c r="AF155" s="2170"/>
      <c r="AG155" s="2170"/>
      <c r="AH155" s="2170"/>
      <c r="AI155" s="2170"/>
      <c r="AJ155" s="2170"/>
      <c r="AK155" s="2170"/>
      <c r="AL155" s="2170"/>
      <c r="AM155" s="2170"/>
      <c r="AN155" s="2170"/>
      <c r="AO155" s="2170"/>
      <c r="AP155" s="2170"/>
      <c r="AQ155" s="2170"/>
      <c r="AR155" s="2170"/>
      <c r="AS155" s="2170"/>
      <c r="AT155" s="2311"/>
      <c r="AU155" s="2311"/>
      <c r="AV155" s="2296"/>
    </row>
    <row r="156" spans="1:48" s="3" customFormat="1" ht="15.75" x14ac:dyDescent="0.25">
      <c r="A156" s="2330"/>
      <c r="B156" s="2331"/>
      <c r="C156" s="2134"/>
      <c r="D156" s="2110"/>
      <c r="E156" s="496">
        <v>4502</v>
      </c>
      <c r="F156" s="483" t="s">
        <v>362</v>
      </c>
      <c r="G156" s="483"/>
      <c r="H156" s="327"/>
      <c r="I156" s="483"/>
      <c r="J156" s="327"/>
      <c r="K156" s="483"/>
      <c r="L156" s="327"/>
      <c r="M156" s="483"/>
      <c r="N156" s="327"/>
      <c r="O156" s="483"/>
      <c r="P156" s="483"/>
      <c r="Q156" s="327"/>
      <c r="R156" s="204"/>
      <c r="S156" s="326"/>
      <c r="T156" s="327"/>
      <c r="U156" s="327"/>
      <c r="V156" s="327"/>
      <c r="W156" s="473"/>
      <c r="X156" s="473"/>
      <c r="Y156" s="473"/>
      <c r="Z156" s="538"/>
      <c r="AA156" s="209"/>
      <c r="AB156" s="327"/>
      <c r="AC156" s="206"/>
      <c r="AD156" s="206"/>
      <c r="AE156" s="206"/>
      <c r="AF156" s="206"/>
      <c r="AG156" s="206"/>
      <c r="AH156" s="206"/>
      <c r="AI156" s="206"/>
      <c r="AJ156" s="206"/>
      <c r="AK156" s="206"/>
      <c r="AL156" s="206"/>
      <c r="AM156" s="206"/>
      <c r="AN156" s="206"/>
      <c r="AO156" s="206"/>
      <c r="AP156" s="206"/>
      <c r="AQ156" s="206"/>
      <c r="AR156" s="206"/>
      <c r="AS156" s="206"/>
      <c r="AT156" s="206"/>
      <c r="AU156" s="206"/>
      <c r="AV156" s="327"/>
    </row>
    <row r="157" spans="1:48" s="514" customFormat="1" ht="95.25" customHeight="1" x14ac:dyDescent="0.25">
      <c r="A157" s="2330"/>
      <c r="B157" s="2331"/>
      <c r="C157" s="2134"/>
      <c r="D157" s="2110"/>
      <c r="E157" s="2335"/>
      <c r="F157" s="2336"/>
      <c r="G157" s="2307">
        <v>4502003</v>
      </c>
      <c r="H157" s="2308" t="s">
        <v>631</v>
      </c>
      <c r="I157" s="2307">
        <v>4502003</v>
      </c>
      <c r="J157" s="2308" t="s">
        <v>631</v>
      </c>
      <c r="K157" s="2307">
        <v>450200300</v>
      </c>
      <c r="L157" s="2308" t="s">
        <v>631</v>
      </c>
      <c r="M157" s="2307">
        <v>450200300</v>
      </c>
      <c r="N157" s="2308" t="s">
        <v>631</v>
      </c>
      <c r="O157" s="2109">
        <v>2</v>
      </c>
      <c r="P157" s="2300" t="s">
        <v>632</v>
      </c>
      <c r="Q157" s="2190" t="s">
        <v>633</v>
      </c>
      <c r="R157" s="2114">
        <f>SUM(W157:W158)/S157</f>
        <v>1</v>
      </c>
      <c r="S157" s="2306">
        <f>SUM(W157:W158)</f>
        <v>38000000</v>
      </c>
      <c r="T157" s="2305" t="s">
        <v>634</v>
      </c>
      <c r="U157" s="2305" t="s">
        <v>635</v>
      </c>
      <c r="V157" s="73" t="s">
        <v>636</v>
      </c>
      <c r="W157" s="85">
        <v>0</v>
      </c>
      <c r="X157" s="454">
        <v>0</v>
      </c>
      <c r="Y157" s="454">
        <v>0</v>
      </c>
      <c r="Z157" s="455" t="s">
        <v>637</v>
      </c>
      <c r="AA157" s="2108">
        <v>20</v>
      </c>
      <c r="AB157" s="2305" t="s">
        <v>387</v>
      </c>
      <c r="AC157" s="2057">
        <v>295972</v>
      </c>
      <c r="AD157" s="2057">
        <v>285580</v>
      </c>
      <c r="AE157" s="2057">
        <v>135545</v>
      </c>
      <c r="AF157" s="2057">
        <v>44254</v>
      </c>
      <c r="AG157" s="2057">
        <v>309146</v>
      </c>
      <c r="AH157" s="2057">
        <v>92607</v>
      </c>
      <c r="AI157" s="2057">
        <v>2145</v>
      </c>
      <c r="AJ157" s="2057">
        <v>12718</v>
      </c>
      <c r="AK157" s="2057">
        <v>26</v>
      </c>
      <c r="AL157" s="2057">
        <v>37</v>
      </c>
      <c r="AM157" s="2057">
        <v>0</v>
      </c>
      <c r="AN157" s="2057">
        <v>0</v>
      </c>
      <c r="AO157" s="2057">
        <v>44350</v>
      </c>
      <c r="AP157" s="2057">
        <v>21944</v>
      </c>
      <c r="AQ157" s="2057"/>
      <c r="AR157" s="2057">
        <v>75687</v>
      </c>
      <c r="AS157" s="2057">
        <v>581552</v>
      </c>
      <c r="AT157" s="2293">
        <v>44197</v>
      </c>
      <c r="AU157" s="2293">
        <v>44561</v>
      </c>
      <c r="AV157" s="2294" t="s">
        <v>388</v>
      </c>
    </row>
    <row r="158" spans="1:48" s="514" customFormat="1" ht="91.5" customHeight="1" x14ac:dyDescent="0.25">
      <c r="A158" s="2330"/>
      <c r="B158" s="2331"/>
      <c r="C158" s="2135"/>
      <c r="D158" s="2334"/>
      <c r="E158" s="2339"/>
      <c r="F158" s="2340"/>
      <c r="G158" s="2307"/>
      <c r="H158" s="2308"/>
      <c r="I158" s="2307"/>
      <c r="J158" s="2308"/>
      <c r="K158" s="2307"/>
      <c r="L158" s="2308"/>
      <c r="M158" s="2307"/>
      <c r="N158" s="2308"/>
      <c r="O158" s="2109"/>
      <c r="P158" s="2300"/>
      <c r="Q158" s="2190"/>
      <c r="R158" s="2114"/>
      <c r="S158" s="2306"/>
      <c r="T158" s="2305"/>
      <c r="U158" s="2305"/>
      <c r="V158" s="73" t="s">
        <v>638</v>
      </c>
      <c r="W158" s="85">
        <v>38000000</v>
      </c>
      <c r="X158" s="454">
        <v>0</v>
      </c>
      <c r="Y158" s="454">
        <v>0</v>
      </c>
      <c r="Z158" s="455" t="s">
        <v>637</v>
      </c>
      <c r="AA158" s="2108"/>
      <c r="AB158" s="2305"/>
      <c r="AC158" s="2057"/>
      <c r="AD158" s="2057"/>
      <c r="AE158" s="2057"/>
      <c r="AF158" s="2057"/>
      <c r="AG158" s="2057"/>
      <c r="AH158" s="2057"/>
      <c r="AI158" s="2057"/>
      <c r="AJ158" s="2057"/>
      <c r="AK158" s="2057"/>
      <c r="AL158" s="2057"/>
      <c r="AM158" s="2057"/>
      <c r="AN158" s="2057"/>
      <c r="AO158" s="2057"/>
      <c r="AP158" s="2057"/>
      <c r="AQ158" s="2057"/>
      <c r="AR158" s="2057"/>
      <c r="AS158" s="2057"/>
      <c r="AT158" s="2293"/>
      <c r="AU158" s="2293"/>
      <c r="AV158" s="2296"/>
    </row>
    <row r="159" spans="1:48" ht="15.75" x14ac:dyDescent="0.25">
      <c r="A159" s="540">
        <v>3</v>
      </c>
      <c r="B159" s="2302" t="s">
        <v>639</v>
      </c>
      <c r="C159" s="2302"/>
      <c r="D159" s="2302"/>
      <c r="E159" s="2302"/>
      <c r="F159" s="2302"/>
      <c r="G159" s="2302"/>
      <c r="H159" s="2302"/>
      <c r="I159" s="2302"/>
      <c r="J159" s="302"/>
      <c r="K159" s="303"/>
      <c r="L159" s="302"/>
      <c r="M159" s="303"/>
      <c r="N159" s="302"/>
      <c r="O159" s="303"/>
      <c r="P159" s="303"/>
      <c r="Q159" s="302"/>
      <c r="R159" s="306"/>
      <c r="S159" s="308"/>
      <c r="T159" s="302"/>
      <c r="U159" s="302"/>
      <c r="V159" s="302"/>
      <c r="W159" s="494"/>
      <c r="X159" s="494"/>
      <c r="Y159" s="494"/>
      <c r="Z159" s="26"/>
      <c r="AA159" s="442"/>
      <c r="AB159" s="302"/>
      <c r="AC159" s="303"/>
      <c r="AD159" s="303"/>
      <c r="AE159" s="303"/>
      <c r="AF159" s="303"/>
      <c r="AG159" s="303"/>
      <c r="AH159" s="303"/>
      <c r="AI159" s="303"/>
      <c r="AJ159" s="303"/>
      <c r="AK159" s="303"/>
      <c r="AL159" s="303"/>
      <c r="AM159" s="303"/>
      <c r="AN159" s="303"/>
      <c r="AO159" s="303"/>
      <c r="AP159" s="303"/>
      <c r="AQ159" s="303"/>
      <c r="AR159" s="303"/>
      <c r="AS159" s="303"/>
      <c r="AT159" s="310"/>
      <c r="AU159" s="310"/>
      <c r="AV159" s="302"/>
    </row>
    <row r="160" spans="1:48" s="80" customFormat="1" ht="15.75" x14ac:dyDescent="0.25">
      <c r="A160" s="2424"/>
      <c r="B160" s="2425"/>
      <c r="C160" s="459">
        <v>40</v>
      </c>
      <c r="D160" s="2303" t="s">
        <v>601</v>
      </c>
      <c r="E160" s="2303"/>
      <c r="F160" s="2303"/>
      <c r="G160" s="2303"/>
      <c r="H160" s="2303"/>
      <c r="I160" s="2303"/>
      <c r="J160" s="2303"/>
      <c r="K160" s="2303"/>
      <c r="L160" s="2303"/>
      <c r="M160" s="510"/>
      <c r="N160" s="484"/>
      <c r="O160" s="462"/>
      <c r="P160" s="462"/>
      <c r="Q160" s="463"/>
      <c r="R160" s="464"/>
      <c r="S160" s="481"/>
      <c r="T160" s="463"/>
      <c r="U160" s="463"/>
      <c r="V160" s="518"/>
      <c r="W160" s="512"/>
      <c r="X160" s="512"/>
      <c r="Y160" s="512"/>
      <c r="Z160" s="541"/>
      <c r="AA160" s="470"/>
      <c r="AB160" s="463"/>
      <c r="AC160" s="462"/>
      <c r="AD160" s="462"/>
      <c r="AE160" s="462"/>
      <c r="AF160" s="462"/>
      <c r="AG160" s="462"/>
      <c r="AH160" s="462"/>
      <c r="AI160" s="462"/>
      <c r="AJ160" s="462"/>
      <c r="AK160" s="462"/>
      <c r="AL160" s="462"/>
      <c r="AM160" s="462"/>
      <c r="AN160" s="462"/>
      <c r="AO160" s="462"/>
      <c r="AP160" s="462"/>
      <c r="AQ160" s="462"/>
      <c r="AR160" s="462"/>
      <c r="AS160" s="462"/>
      <c r="AT160" s="472"/>
      <c r="AU160" s="472"/>
      <c r="AV160" s="466"/>
    </row>
    <row r="161" spans="1:93" ht="15.75" x14ac:dyDescent="0.25">
      <c r="A161" s="2424"/>
      <c r="B161" s="2425"/>
      <c r="C161" s="2426"/>
      <c r="D161" s="2427"/>
      <c r="E161" s="206">
        <v>34</v>
      </c>
      <c r="F161" s="2304" t="s">
        <v>640</v>
      </c>
      <c r="G161" s="2304"/>
      <c r="H161" s="2304"/>
      <c r="I161" s="2304"/>
      <c r="J161" s="2304"/>
      <c r="K161" s="2304"/>
      <c r="L161" s="2304"/>
      <c r="M161" s="2304"/>
      <c r="N161" s="2304"/>
      <c r="O161" s="2304"/>
      <c r="P161" s="206"/>
      <c r="Q161" s="327"/>
      <c r="R161" s="204"/>
      <c r="S161" s="326"/>
      <c r="T161" s="327"/>
      <c r="U161" s="327"/>
      <c r="V161" s="327"/>
      <c r="W161" s="473"/>
      <c r="X161" s="473"/>
      <c r="Y161" s="473"/>
      <c r="Z161" s="64"/>
      <c r="AA161" s="209"/>
      <c r="AB161" s="327"/>
      <c r="AC161" s="206"/>
      <c r="AD161" s="206"/>
      <c r="AE161" s="206"/>
      <c r="AF161" s="206"/>
      <c r="AG161" s="206"/>
      <c r="AH161" s="206"/>
      <c r="AI161" s="206"/>
      <c r="AJ161" s="206"/>
      <c r="AK161" s="206"/>
      <c r="AL161" s="206"/>
      <c r="AM161" s="206"/>
      <c r="AN161" s="206"/>
      <c r="AO161" s="206"/>
      <c r="AP161" s="206"/>
      <c r="AQ161" s="206"/>
      <c r="AR161" s="206"/>
      <c r="AS161" s="206"/>
      <c r="AT161" s="328"/>
      <c r="AU161" s="328"/>
      <c r="AV161" s="327"/>
    </row>
    <row r="162" spans="1:93" ht="75" x14ac:dyDescent="0.25">
      <c r="A162" s="2424"/>
      <c r="B162" s="2425"/>
      <c r="C162" s="2428"/>
      <c r="D162" s="2429"/>
      <c r="E162" s="2452"/>
      <c r="F162" s="2453"/>
      <c r="G162" s="542" t="s">
        <v>641</v>
      </c>
      <c r="H162" s="543" t="s">
        <v>642</v>
      </c>
      <c r="I162" s="542" t="s">
        <v>641</v>
      </c>
      <c r="J162" s="543" t="s">
        <v>642</v>
      </c>
      <c r="K162" s="542">
        <v>400301802</v>
      </c>
      <c r="L162" s="222" t="s">
        <v>643</v>
      </c>
      <c r="M162" s="542">
        <v>400301802</v>
      </c>
      <c r="N162" s="222" t="s">
        <v>643</v>
      </c>
      <c r="O162" s="544">
        <v>1</v>
      </c>
      <c r="P162" s="2300" t="s">
        <v>644</v>
      </c>
      <c r="Q162" s="2190" t="s">
        <v>645</v>
      </c>
      <c r="R162" s="545">
        <f>W162/S162</f>
        <v>0.24362284932544206</v>
      </c>
      <c r="S162" s="2301">
        <f>SUM(W162:W170)</f>
        <v>3500159641.6800003</v>
      </c>
      <c r="T162" s="2191" t="s">
        <v>646</v>
      </c>
      <c r="U162" s="2191" t="s">
        <v>647</v>
      </c>
      <c r="V162" s="546" t="s">
        <v>642</v>
      </c>
      <c r="W162" s="498">
        <v>852718865</v>
      </c>
      <c r="X162" s="498">
        <v>0</v>
      </c>
      <c r="Y162" s="498">
        <v>0</v>
      </c>
      <c r="Z162" s="343" t="s">
        <v>648</v>
      </c>
      <c r="AA162" s="112">
        <v>27</v>
      </c>
      <c r="AB162" s="348" t="s">
        <v>649</v>
      </c>
      <c r="AC162" s="2283">
        <v>295972</v>
      </c>
      <c r="AD162" s="2283">
        <v>294321</v>
      </c>
      <c r="AE162" s="2283">
        <v>132302</v>
      </c>
      <c r="AF162" s="2283">
        <v>43426</v>
      </c>
      <c r="AG162" s="2283">
        <v>313940</v>
      </c>
      <c r="AH162" s="2283">
        <v>100625</v>
      </c>
      <c r="AI162" s="2283">
        <v>2145</v>
      </c>
      <c r="AJ162" s="2283">
        <v>12718</v>
      </c>
      <c r="AK162" s="2283">
        <v>36</v>
      </c>
      <c r="AL162" s="2283">
        <v>0</v>
      </c>
      <c r="AM162" s="2283">
        <v>0</v>
      </c>
      <c r="AN162" s="2283">
        <v>0</v>
      </c>
      <c r="AO162" s="2283">
        <v>70</v>
      </c>
      <c r="AP162" s="2283">
        <v>21944</v>
      </c>
      <c r="AQ162" s="2283"/>
      <c r="AR162" s="2283">
        <v>75687</v>
      </c>
      <c r="AS162" s="2283">
        <v>581552</v>
      </c>
      <c r="AT162" s="2293">
        <v>44197</v>
      </c>
      <c r="AU162" s="2293">
        <v>44561</v>
      </c>
      <c r="AV162" s="2294" t="s">
        <v>388</v>
      </c>
    </row>
    <row r="163" spans="1:93" ht="45" x14ac:dyDescent="0.25">
      <c r="A163" s="2424"/>
      <c r="B163" s="2425"/>
      <c r="C163" s="2428"/>
      <c r="D163" s="2429"/>
      <c r="E163" s="2454"/>
      <c r="F163" s="2455"/>
      <c r="G163" s="2287" t="s">
        <v>650</v>
      </c>
      <c r="H163" s="2284" t="s">
        <v>651</v>
      </c>
      <c r="I163" s="2287" t="s">
        <v>650</v>
      </c>
      <c r="J163" s="2284" t="s">
        <v>651</v>
      </c>
      <c r="K163" s="2287">
        <v>400302500</v>
      </c>
      <c r="L163" s="2284" t="s">
        <v>652</v>
      </c>
      <c r="M163" s="2287">
        <v>400302500</v>
      </c>
      <c r="N163" s="2284" t="s">
        <v>652</v>
      </c>
      <c r="O163" s="2287">
        <v>4</v>
      </c>
      <c r="P163" s="2300"/>
      <c r="Q163" s="2190"/>
      <c r="R163" s="2290">
        <f>SUM(W163:W166)/S162</f>
        <v>0.24404724501937303</v>
      </c>
      <c r="S163" s="2301"/>
      <c r="T163" s="2191"/>
      <c r="U163" s="2191"/>
      <c r="V163" s="2297" t="s">
        <v>651</v>
      </c>
      <c r="W163" s="498">
        <v>230774762</v>
      </c>
      <c r="X163" s="498">
        <v>0</v>
      </c>
      <c r="Y163" s="498">
        <v>0</v>
      </c>
      <c r="Z163" s="343" t="s">
        <v>653</v>
      </c>
      <c r="AA163" s="112">
        <v>27</v>
      </c>
      <c r="AB163" s="348" t="s">
        <v>649</v>
      </c>
      <c r="AC163" s="2283"/>
      <c r="AD163" s="2283"/>
      <c r="AE163" s="2283"/>
      <c r="AF163" s="2283"/>
      <c r="AG163" s="2283"/>
      <c r="AH163" s="2283"/>
      <c r="AI163" s="2283"/>
      <c r="AJ163" s="2283"/>
      <c r="AK163" s="2283"/>
      <c r="AL163" s="2283"/>
      <c r="AM163" s="2283"/>
      <c r="AN163" s="2283"/>
      <c r="AO163" s="2283"/>
      <c r="AP163" s="2283"/>
      <c r="AQ163" s="2283"/>
      <c r="AR163" s="2283"/>
      <c r="AS163" s="2283"/>
      <c r="AT163" s="2293"/>
      <c r="AU163" s="2293"/>
      <c r="AV163" s="2295"/>
    </row>
    <row r="164" spans="1:93" ht="30" x14ac:dyDescent="0.25">
      <c r="A164" s="2424"/>
      <c r="B164" s="2425"/>
      <c r="C164" s="2428"/>
      <c r="D164" s="2429"/>
      <c r="E164" s="2454"/>
      <c r="F164" s="2455"/>
      <c r="G164" s="2288"/>
      <c r="H164" s="2285"/>
      <c r="I164" s="2288"/>
      <c r="J164" s="2285"/>
      <c r="K164" s="2288"/>
      <c r="L164" s="2285"/>
      <c r="M164" s="2288"/>
      <c r="N164" s="2285"/>
      <c r="O164" s="2288"/>
      <c r="P164" s="2300"/>
      <c r="Q164" s="2190"/>
      <c r="R164" s="2291"/>
      <c r="S164" s="2301"/>
      <c r="T164" s="2191"/>
      <c r="U164" s="2191"/>
      <c r="V164" s="2298"/>
      <c r="W164" s="498">
        <v>450000000</v>
      </c>
      <c r="X164" s="498">
        <v>0</v>
      </c>
      <c r="Y164" s="498">
        <v>0</v>
      </c>
      <c r="Z164" s="343" t="s">
        <v>654</v>
      </c>
      <c r="AA164" s="520" t="s">
        <v>419</v>
      </c>
      <c r="AB164" s="348" t="s">
        <v>613</v>
      </c>
      <c r="AC164" s="2283"/>
      <c r="AD164" s="2283"/>
      <c r="AE164" s="2283"/>
      <c r="AF164" s="2283"/>
      <c r="AG164" s="2283"/>
      <c r="AH164" s="2283"/>
      <c r="AI164" s="2283"/>
      <c r="AJ164" s="2283"/>
      <c r="AK164" s="2283"/>
      <c r="AL164" s="2283"/>
      <c r="AM164" s="2283"/>
      <c r="AN164" s="2283"/>
      <c r="AO164" s="2283"/>
      <c r="AP164" s="2283"/>
      <c r="AQ164" s="2283"/>
      <c r="AR164" s="2283"/>
      <c r="AS164" s="2283"/>
      <c r="AT164" s="2293"/>
      <c r="AU164" s="2293"/>
      <c r="AV164" s="2295"/>
    </row>
    <row r="165" spans="1:93" ht="30" x14ac:dyDescent="0.25">
      <c r="A165" s="2424"/>
      <c r="B165" s="2425"/>
      <c r="C165" s="2428"/>
      <c r="D165" s="2429"/>
      <c r="E165" s="2454"/>
      <c r="F165" s="2455"/>
      <c r="G165" s="2288"/>
      <c r="H165" s="2285"/>
      <c r="I165" s="2288"/>
      <c r="J165" s="2285"/>
      <c r="K165" s="2288"/>
      <c r="L165" s="2285"/>
      <c r="M165" s="2288"/>
      <c r="N165" s="2285"/>
      <c r="O165" s="2288"/>
      <c r="P165" s="2300"/>
      <c r="Q165" s="2190"/>
      <c r="R165" s="2291"/>
      <c r="S165" s="2301"/>
      <c r="T165" s="2191"/>
      <c r="U165" s="2191"/>
      <c r="V165" s="2298"/>
      <c r="W165" s="498">
        <v>155000000</v>
      </c>
      <c r="X165" s="498"/>
      <c r="Y165" s="498"/>
      <c r="Z165" s="343" t="s">
        <v>655</v>
      </c>
      <c r="AA165" s="520" t="s">
        <v>656</v>
      </c>
      <c r="AB165" s="76" t="s">
        <v>657</v>
      </c>
      <c r="AC165" s="2283"/>
      <c r="AD165" s="2283"/>
      <c r="AE165" s="2283"/>
      <c r="AF165" s="2283"/>
      <c r="AG165" s="2283"/>
      <c r="AH165" s="2283"/>
      <c r="AI165" s="2283"/>
      <c r="AJ165" s="2283"/>
      <c r="AK165" s="2283"/>
      <c r="AL165" s="2283"/>
      <c r="AM165" s="2283"/>
      <c r="AN165" s="2283"/>
      <c r="AO165" s="2283"/>
      <c r="AP165" s="2283"/>
      <c r="AQ165" s="2283"/>
      <c r="AR165" s="2283"/>
      <c r="AS165" s="2283"/>
      <c r="AT165" s="2293"/>
      <c r="AU165" s="2293"/>
      <c r="AV165" s="2295"/>
    </row>
    <row r="166" spans="1:93" ht="45" x14ac:dyDescent="0.25">
      <c r="A166" s="2424"/>
      <c r="B166" s="2425"/>
      <c r="C166" s="2428"/>
      <c r="D166" s="2429"/>
      <c r="E166" s="2454"/>
      <c r="F166" s="2455"/>
      <c r="G166" s="2289"/>
      <c r="H166" s="2286"/>
      <c r="I166" s="2289"/>
      <c r="J166" s="2286"/>
      <c r="K166" s="2289"/>
      <c r="L166" s="2286"/>
      <c r="M166" s="2289"/>
      <c r="N166" s="2286"/>
      <c r="O166" s="2289"/>
      <c r="P166" s="2300"/>
      <c r="Q166" s="2190"/>
      <c r="R166" s="2292"/>
      <c r="S166" s="2301"/>
      <c r="T166" s="2191"/>
      <c r="U166" s="2191"/>
      <c r="V166" s="2299"/>
      <c r="W166" s="498">
        <v>18429555.68</v>
      </c>
      <c r="X166" s="498"/>
      <c r="Y166" s="498"/>
      <c r="Z166" s="343" t="s">
        <v>658</v>
      </c>
      <c r="AA166" s="520" t="s">
        <v>659</v>
      </c>
      <c r="AB166" s="76" t="s">
        <v>660</v>
      </c>
      <c r="AC166" s="2283"/>
      <c r="AD166" s="2283"/>
      <c r="AE166" s="2283"/>
      <c r="AF166" s="2283"/>
      <c r="AG166" s="2283"/>
      <c r="AH166" s="2283"/>
      <c r="AI166" s="2283"/>
      <c r="AJ166" s="2283"/>
      <c r="AK166" s="2283"/>
      <c r="AL166" s="2283"/>
      <c r="AM166" s="2283"/>
      <c r="AN166" s="2283"/>
      <c r="AO166" s="2283"/>
      <c r="AP166" s="2283"/>
      <c r="AQ166" s="2283"/>
      <c r="AR166" s="2283"/>
      <c r="AS166" s="2283"/>
      <c r="AT166" s="2293"/>
      <c r="AU166" s="2293"/>
      <c r="AV166" s="2295"/>
    </row>
    <row r="167" spans="1:93" ht="105" x14ac:dyDescent="0.25">
      <c r="A167" s="2424"/>
      <c r="B167" s="2425"/>
      <c r="C167" s="2428"/>
      <c r="D167" s="2429"/>
      <c r="E167" s="2454"/>
      <c r="F167" s="2455"/>
      <c r="G167" s="542" t="s">
        <v>661</v>
      </c>
      <c r="H167" s="547" t="s">
        <v>662</v>
      </c>
      <c r="I167" s="542" t="s">
        <v>661</v>
      </c>
      <c r="J167" s="547" t="s">
        <v>662</v>
      </c>
      <c r="K167" s="542">
        <v>400302600</v>
      </c>
      <c r="L167" s="548" t="s">
        <v>663</v>
      </c>
      <c r="M167" s="542">
        <v>400302600</v>
      </c>
      <c r="N167" s="548" t="s">
        <v>663</v>
      </c>
      <c r="O167" s="544">
        <v>1</v>
      </c>
      <c r="P167" s="2300"/>
      <c r="Q167" s="2190"/>
      <c r="R167" s="545">
        <f>W167/S162</f>
        <v>0.22434304128571222</v>
      </c>
      <c r="S167" s="2301"/>
      <c r="T167" s="2191"/>
      <c r="U167" s="2191"/>
      <c r="V167" s="548" t="s">
        <v>663</v>
      </c>
      <c r="W167" s="498">
        <v>785236459</v>
      </c>
      <c r="X167" s="499">
        <v>0</v>
      </c>
      <c r="Y167" s="499">
        <v>0</v>
      </c>
      <c r="Z167" s="455" t="s">
        <v>664</v>
      </c>
      <c r="AA167" s="112">
        <v>27</v>
      </c>
      <c r="AB167" s="348" t="s">
        <v>649</v>
      </c>
      <c r="AC167" s="2283"/>
      <c r="AD167" s="2283"/>
      <c r="AE167" s="2283"/>
      <c r="AF167" s="2283"/>
      <c r="AG167" s="2283"/>
      <c r="AH167" s="2283"/>
      <c r="AI167" s="2283"/>
      <c r="AJ167" s="2283"/>
      <c r="AK167" s="2283"/>
      <c r="AL167" s="2283"/>
      <c r="AM167" s="2283"/>
      <c r="AN167" s="2283"/>
      <c r="AO167" s="2283"/>
      <c r="AP167" s="2283"/>
      <c r="AQ167" s="2283"/>
      <c r="AR167" s="2283"/>
      <c r="AS167" s="2283"/>
      <c r="AT167" s="2293"/>
      <c r="AU167" s="2293"/>
      <c r="AV167" s="2295"/>
    </row>
    <row r="168" spans="1:93" ht="105" x14ac:dyDescent="0.25">
      <c r="A168" s="2424"/>
      <c r="B168" s="2425"/>
      <c r="C168" s="2428"/>
      <c r="D168" s="2429"/>
      <c r="E168" s="2454"/>
      <c r="F168" s="2455"/>
      <c r="G168" s="542" t="s">
        <v>665</v>
      </c>
      <c r="H168" s="543" t="s">
        <v>666</v>
      </c>
      <c r="I168" s="542" t="s">
        <v>665</v>
      </c>
      <c r="J168" s="543" t="s">
        <v>666</v>
      </c>
      <c r="K168" s="542">
        <v>400302801</v>
      </c>
      <c r="L168" s="222" t="s">
        <v>667</v>
      </c>
      <c r="M168" s="542">
        <v>400302801</v>
      </c>
      <c r="N168" s="222" t="s">
        <v>667</v>
      </c>
      <c r="O168" s="544">
        <v>4</v>
      </c>
      <c r="P168" s="2300"/>
      <c r="Q168" s="2190"/>
      <c r="R168" s="545">
        <f>W168/S162</f>
        <v>7.971064995940759E-2</v>
      </c>
      <c r="S168" s="2301"/>
      <c r="T168" s="2191"/>
      <c r="U168" s="2191"/>
      <c r="V168" s="543" t="s">
        <v>666</v>
      </c>
      <c r="W168" s="498">
        <v>279000000</v>
      </c>
      <c r="X168" s="499">
        <v>0</v>
      </c>
      <c r="Y168" s="499">
        <v>0</v>
      </c>
      <c r="Z168" s="455" t="s">
        <v>668</v>
      </c>
      <c r="AA168" s="112">
        <v>27</v>
      </c>
      <c r="AB168" s="348" t="s">
        <v>649</v>
      </c>
      <c r="AC168" s="2283"/>
      <c r="AD168" s="2283"/>
      <c r="AE168" s="2283"/>
      <c r="AF168" s="2283"/>
      <c r="AG168" s="2283"/>
      <c r="AH168" s="2283"/>
      <c r="AI168" s="2283"/>
      <c r="AJ168" s="2283"/>
      <c r="AK168" s="2283"/>
      <c r="AL168" s="2283"/>
      <c r="AM168" s="2283"/>
      <c r="AN168" s="2283"/>
      <c r="AO168" s="2283"/>
      <c r="AP168" s="2283"/>
      <c r="AQ168" s="2283"/>
      <c r="AR168" s="2283"/>
      <c r="AS168" s="2283"/>
      <c r="AT168" s="2293"/>
      <c r="AU168" s="2293"/>
      <c r="AV168" s="2295"/>
    </row>
    <row r="169" spans="1:93" ht="60" customHeight="1" x14ac:dyDescent="0.25">
      <c r="A169" s="2424"/>
      <c r="B169" s="2425"/>
      <c r="C169" s="2428"/>
      <c r="D169" s="2429"/>
      <c r="E169" s="2454"/>
      <c r="F169" s="2455"/>
      <c r="G169" s="542">
        <v>4003042</v>
      </c>
      <c r="H169" s="543" t="s">
        <v>669</v>
      </c>
      <c r="I169" s="542">
        <v>4003042</v>
      </c>
      <c r="J169" s="543" t="s">
        <v>669</v>
      </c>
      <c r="K169" s="542">
        <v>400304200</v>
      </c>
      <c r="L169" s="222" t="s">
        <v>670</v>
      </c>
      <c r="M169" s="542">
        <v>400304200</v>
      </c>
      <c r="N169" s="222" t="s">
        <v>670</v>
      </c>
      <c r="O169" s="544">
        <v>3</v>
      </c>
      <c r="P169" s="2300"/>
      <c r="Q169" s="2190"/>
      <c r="R169" s="545">
        <f>W169/S162</f>
        <v>0.17970608897658558</v>
      </c>
      <c r="S169" s="2301"/>
      <c r="T169" s="2191"/>
      <c r="U169" s="2191"/>
      <c r="V169" s="543" t="s">
        <v>669</v>
      </c>
      <c r="W169" s="498">
        <v>629000000</v>
      </c>
      <c r="X169" s="499">
        <v>0</v>
      </c>
      <c r="Y169" s="499">
        <v>0</v>
      </c>
      <c r="Z169" s="455" t="s">
        <v>671</v>
      </c>
      <c r="AA169" s="112">
        <v>27</v>
      </c>
      <c r="AB169" s="348" t="s">
        <v>649</v>
      </c>
      <c r="AC169" s="2283"/>
      <c r="AD169" s="2283"/>
      <c r="AE169" s="2283"/>
      <c r="AF169" s="2283"/>
      <c r="AG169" s="2283"/>
      <c r="AH169" s="2283"/>
      <c r="AI169" s="2283"/>
      <c r="AJ169" s="2283"/>
      <c r="AK169" s="2283"/>
      <c r="AL169" s="2283"/>
      <c r="AM169" s="2283"/>
      <c r="AN169" s="2283"/>
      <c r="AO169" s="2283"/>
      <c r="AP169" s="2283"/>
      <c r="AQ169" s="2283"/>
      <c r="AR169" s="2283"/>
      <c r="AS169" s="2283"/>
      <c r="AT169" s="2293"/>
      <c r="AU169" s="2293"/>
      <c r="AV169" s="2295"/>
    </row>
    <row r="170" spans="1:93" ht="105" x14ac:dyDescent="0.25">
      <c r="A170" s="2450"/>
      <c r="B170" s="2451"/>
      <c r="C170" s="2430"/>
      <c r="D170" s="2431"/>
      <c r="E170" s="2456"/>
      <c r="F170" s="2457"/>
      <c r="G170" s="71" t="s">
        <v>62</v>
      </c>
      <c r="H170" s="549" t="s">
        <v>672</v>
      </c>
      <c r="I170" s="71">
        <v>4003006</v>
      </c>
      <c r="J170" s="549" t="s">
        <v>673</v>
      </c>
      <c r="K170" s="71" t="s">
        <v>62</v>
      </c>
      <c r="L170" s="549" t="s">
        <v>674</v>
      </c>
      <c r="M170" s="71">
        <v>400300600</v>
      </c>
      <c r="N170" s="549" t="s">
        <v>675</v>
      </c>
      <c r="O170" s="270">
        <v>1</v>
      </c>
      <c r="P170" s="2300"/>
      <c r="Q170" s="2190"/>
      <c r="R170" s="545">
        <f>W170/S162</f>
        <v>2.8570125433479424E-2</v>
      </c>
      <c r="S170" s="2301"/>
      <c r="T170" s="2191"/>
      <c r="U170" s="2191"/>
      <c r="V170" s="222" t="s">
        <v>672</v>
      </c>
      <c r="W170" s="97">
        <v>100000000</v>
      </c>
      <c r="X170" s="457">
        <v>0</v>
      </c>
      <c r="Y170" s="457">
        <v>0</v>
      </c>
      <c r="Z170" s="455" t="s">
        <v>676</v>
      </c>
      <c r="AA170" s="112">
        <v>27</v>
      </c>
      <c r="AB170" s="348" t="s">
        <v>649</v>
      </c>
      <c r="AC170" s="2283"/>
      <c r="AD170" s="2283"/>
      <c r="AE170" s="2283"/>
      <c r="AF170" s="2283"/>
      <c r="AG170" s="2283"/>
      <c r="AH170" s="2283"/>
      <c r="AI170" s="2283"/>
      <c r="AJ170" s="2283"/>
      <c r="AK170" s="2283"/>
      <c r="AL170" s="2283"/>
      <c r="AM170" s="2283"/>
      <c r="AN170" s="2283"/>
      <c r="AO170" s="2283"/>
      <c r="AP170" s="2283"/>
      <c r="AQ170" s="2283"/>
      <c r="AR170" s="2283"/>
      <c r="AS170" s="2283"/>
      <c r="AT170" s="2293"/>
      <c r="AU170" s="2293"/>
      <c r="AV170" s="2296"/>
    </row>
    <row r="171" spans="1:93" ht="15.75" x14ac:dyDescent="0.25">
      <c r="A171" s="2458"/>
      <c r="B171" s="2459"/>
      <c r="C171" s="2459"/>
      <c r="D171" s="2459"/>
      <c r="E171" s="2459"/>
      <c r="F171" s="2459"/>
      <c r="G171" s="2459"/>
      <c r="H171" s="2459"/>
      <c r="I171" s="2459"/>
      <c r="J171" s="2459"/>
      <c r="K171" s="2459"/>
      <c r="L171" s="2459"/>
      <c r="M171" s="2459"/>
      <c r="N171" s="2459"/>
      <c r="O171" s="2459"/>
      <c r="P171" s="2459"/>
      <c r="Q171" s="2459"/>
      <c r="R171" s="2460"/>
      <c r="S171" s="550">
        <f>SUM(S12:S170)</f>
        <v>15986154634.140001</v>
      </c>
      <c r="T171" s="126"/>
      <c r="U171" s="126"/>
      <c r="V171" s="121" t="s">
        <v>113</v>
      </c>
      <c r="W171" s="551">
        <f>SUM(W9:W170)</f>
        <v>15986154634.140001</v>
      </c>
      <c r="X171" s="357">
        <f>SUM(X9:X170)</f>
        <v>1133780266</v>
      </c>
      <c r="Y171" s="357">
        <f>SUM(Y9:Y170)</f>
        <v>605385609.30999994</v>
      </c>
      <c r="Z171" s="2461"/>
      <c r="AA171" s="2462"/>
      <c r="AB171" s="2462"/>
      <c r="AC171" s="2462"/>
      <c r="AD171" s="2462"/>
      <c r="AE171" s="2462"/>
      <c r="AF171" s="2462"/>
      <c r="AG171" s="2462"/>
      <c r="AH171" s="2462"/>
      <c r="AI171" s="2462"/>
      <c r="AJ171" s="2462"/>
      <c r="AK171" s="2462"/>
      <c r="AL171" s="2462"/>
      <c r="AM171" s="2462"/>
      <c r="AN171" s="2462"/>
      <c r="AO171" s="2462"/>
      <c r="AP171" s="2462"/>
      <c r="AQ171" s="2462"/>
      <c r="AR171" s="2462"/>
      <c r="AS171" s="2462"/>
      <c r="AT171" s="2462"/>
      <c r="AU171" s="2462"/>
      <c r="AV171" s="2463"/>
    </row>
    <row r="172" spans="1:93" ht="15.75" x14ac:dyDescent="0.25">
      <c r="V172" s="552"/>
      <c r="W172" s="553"/>
      <c r="X172" s="553"/>
      <c r="Y172" s="553"/>
    </row>
    <row r="173" spans="1:93" ht="15" x14ac:dyDescent="0.25">
      <c r="W173" s="554"/>
      <c r="X173" s="554"/>
      <c r="Y173" s="554"/>
    </row>
    <row r="176" spans="1:93" s="132" customFormat="1" ht="15" x14ac:dyDescent="0.25">
      <c r="A176" s="130"/>
      <c r="B176" s="4"/>
      <c r="C176" s="4"/>
      <c r="D176" s="4"/>
      <c r="E176" s="4"/>
      <c r="F176" s="4"/>
      <c r="G176" s="4"/>
      <c r="I176" s="3"/>
      <c r="K176" s="3"/>
      <c r="M176" s="3"/>
      <c r="O176" s="3"/>
      <c r="P176" s="3"/>
      <c r="R176" s="134"/>
      <c r="S176" s="143"/>
      <c r="W176" s="143"/>
      <c r="X176" s="143"/>
      <c r="Y176" s="143"/>
      <c r="Z176" s="143"/>
      <c r="AA176" s="137"/>
      <c r="AC176" s="4"/>
      <c r="AD176" s="4"/>
      <c r="AE176" s="4"/>
      <c r="AF176" s="4"/>
      <c r="AG176" s="4"/>
      <c r="AH176" s="4"/>
      <c r="AI176" s="4"/>
      <c r="AJ176" s="4"/>
      <c r="AK176" s="4"/>
      <c r="AL176" s="4"/>
      <c r="AM176" s="4"/>
      <c r="AN176" s="4"/>
      <c r="AO176" s="4"/>
      <c r="AP176" s="4"/>
      <c r="AQ176" s="4"/>
      <c r="AR176" s="4"/>
      <c r="AS176" s="4"/>
      <c r="AT176" s="138"/>
      <c r="AU176" s="139"/>
      <c r="AV176" s="131"/>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row>
    <row r="177" spans="1:93" s="132" customFormat="1" ht="15" x14ac:dyDescent="0.25">
      <c r="A177" s="130"/>
      <c r="B177" s="4"/>
      <c r="C177" s="4"/>
      <c r="D177" s="4"/>
      <c r="E177" s="4"/>
      <c r="F177" s="4"/>
      <c r="G177" s="4"/>
      <c r="I177" s="3"/>
      <c r="K177" s="3"/>
      <c r="M177" s="3"/>
      <c r="O177" s="3"/>
      <c r="P177" s="3" t="s">
        <v>581</v>
      </c>
      <c r="R177" s="134"/>
      <c r="S177" s="143"/>
      <c r="W177" s="143"/>
      <c r="X177" s="143"/>
      <c r="Y177" s="143"/>
      <c r="Z177" s="143"/>
      <c r="AA177" s="137"/>
      <c r="AC177" s="4"/>
      <c r="AD177" s="4"/>
      <c r="AE177" s="4"/>
      <c r="AF177" s="4"/>
      <c r="AG177" s="4"/>
      <c r="AH177" s="4"/>
      <c r="AI177" s="4"/>
      <c r="AJ177" s="4"/>
      <c r="AK177" s="4"/>
      <c r="AL177" s="4"/>
      <c r="AM177" s="4"/>
      <c r="AN177" s="4"/>
      <c r="AO177" s="4"/>
      <c r="AP177" s="4"/>
      <c r="AQ177" s="4"/>
      <c r="AR177" s="4"/>
      <c r="AS177" s="4"/>
      <c r="AT177" s="138"/>
      <c r="AU177" s="139"/>
      <c r="AV177" s="131"/>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row>
  </sheetData>
  <sheetProtection algorithmName="SHA-512" hashValue="w+NyL/uI/eN+b9N9LHdRF7YGaWa4qqEDiawjjVRBajdSy2NtpVucqdLuUrQJemAo2GcAG+FgUrWnec05BpubDA==" saltValue="0haCmuKZGQt5T8Xo2apYCQ==" spinCount="100000" sheet="1" objects="1" scenarios="1"/>
  <mergeCells count="555">
    <mergeCell ref="A160:B170"/>
    <mergeCell ref="C161:D170"/>
    <mergeCell ref="E162:F170"/>
    <mergeCell ref="A171:R171"/>
    <mergeCell ref="Z171:AV171"/>
    <mergeCell ref="A74:B145"/>
    <mergeCell ref="C75:D107"/>
    <mergeCell ref="E76:F107"/>
    <mergeCell ref="C109:D141"/>
    <mergeCell ref="E110:F141"/>
    <mergeCell ref="C143:D145"/>
    <mergeCell ref="E144:F145"/>
    <mergeCell ref="N76:N78"/>
    <mergeCell ref="O76:O78"/>
    <mergeCell ref="P76:P106"/>
    <mergeCell ref="Q76:Q106"/>
    <mergeCell ref="R76:R78"/>
    <mergeCell ref="S76:S106"/>
    <mergeCell ref="AT76:AT106"/>
    <mergeCell ref="AU76:AU106"/>
    <mergeCell ref="AV76:AV106"/>
    <mergeCell ref="AK76:AK106"/>
    <mergeCell ref="AL76:AL106"/>
    <mergeCell ref="AM76:AM106"/>
    <mergeCell ref="A1:AT4"/>
    <mergeCell ref="A5:O6"/>
    <mergeCell ref="P5:AV5"/>
    <mergeCell ref="AC6:AR6"/>
    <mergeCell ref="A7:B7"/>
    <mergeCell ref="C7:D7"/>
    <mergeCell ref="E7:F7"/>
    <mergeCell ref="G7:J7"/>
    <mergeCell ref="K7:N7"/>
    <mergeCell ref="O7:W7"/>
    <mergeCell ref="AT7:AT8"/>
    <mergeCell ref="AU7:AU8"/>
    <mergeCell ref="AV7:AV8"/>
    <mergeCell ref="W8:Y8"/>
    <mergeCell ref="AP8:AQ8"/>
    <mergeCell ref="B9:I9"/>
    <mergeCell ref="Z7:AB7"/>
    <mergeCell ref="AC7:AD7"/>
    <mergeCell ref="AE7:AH7"/>
    <mergeCell ref="AI7:AN7"/>
    <mergeCell ref="AO7:AR7"/>
    <mergeCell ref="AS7:AS8"/>
    <mergeCell ref="D10:L10"/>
    <mergeCell ref="F11:M11"/>
    <mergeCell ref="A10:B72"/>
    <mergeCell ref="C11:D14"/>
    <mergeCell ref="C16:D20"/>
    <mergeCell ref="C22:D39"/>
    <mergeCell ref="C41:D48"/>
    <mergeCell ref="E42:F48"/>
    <mergeCell ref="E12:F14"/>
    <mergeCell ref="E17:F20"/>
    <mergeCell ref="E23:F39"/>
    <mergeCell ref="C50:D72"/>
    <mergeCell ref="E51:F72"/>
    <mergeCell ref="G12:G14"/>
    <mergeCell ref="H12:H14"/>
    <mergeCell ref="I12:I14"/>
    <mergeCell ref="J12:J14"/>
    <mergeCell ref="K12:K14"/>
    <mergeCell ref="L12:L14"/>
    <mergeCell ref="S12:S14"/>
    <mergeCell ref="T12:T14"/>
    <mergeCell ref="U12:U14"/>
    <mergeCell ref="AA12:AA13"/>
    <mergeCell ref="AB12:AB13"/>
    <mergeCell ref="AC12:AC14"/>
    <mergeCell ref="M12:M14"/>
    <mergeCell ref="N12:N14"/>
    <mergeCell ref="O12:O14"/>
    <mergeCell ref="P12:P14"/>
    <mergeCell ref="Q12:Q14"/>
    <mergeCell ref="R12:R14"/>
    <mergeCell ref="AL12:AL14"/>
    <mergeCell ref="AM12:AM14"/>
    <mergeCell ref="AN12:AN14"/>
    <mergeCell ref="AO12:AO14"/>
    <mergeCell ref="AD12:AD14"/>
    <mergeCell ref="AE12:AE14"/>
    <mergeCell ref="AF12:AF14"/>
    <mergeCell ref="AG12:AG14"/>
    <mergeCell ref="AH12:AH14"/>
    <mergeCell ref="AI12:AI14"/>
    <mergeCell ref="L17:L20"/>
    <mergeCell ref="M17:M20"/>
    <mergeCell ref="N17:N20"/>
    <mergeCell ref="O17:O20"/>
    <mergeCell ref="P17:P20"/>
    <mergeCell ref="Q17:Q20"/>
    <mergeCell ref="AV12:AV14"/>
    <mergeCell ref="D15:L15"/>
    <mergeCell ref="F16:M16"/>
    <mergeCell ref="G17:G20"/>
    <mergeCell ref="H17:H20"/>
    <mergeCell ref="I17:I20"/>
    <mergeCell ref="J17:J20"/>
    <mergeCell ref="K17:K20"/>
    <mergeCell ref="AP12:AP14"/>
    <mergeCell ref="AQ12:AQ14"/>
    <mergeCell ref="AR12:AR14"/>
    <mergeCell ref="AS12:AS14"/>
    <mergeCell ref="AT12:AT14"/>
    <mergeCell ref="AU12:AU14"/>
    <mergeCell ref="AJ12:AJ14"/>
    <mergeCell ref="AK12:AK14"/>
    <mergeCell ref="AE17:AE20"/>
    <mergeCell ref="AF17:AF20"/>
    <mergeCell ref="AG17:AG20"/>
    <mergeCell ref="AH17:AH20"/>
    <mergeCell ref="R17:R20"/>
    <mergeCell ref="S17:S20"/>
    <mergeCell ref="T17:T20"/>
    <mergeCell ref="U17:U20"/>
    <mergeCell ref="AA17:AA20"/>
    <mergeCell ref="AB17:AB20"/>
    <mergeCell ref="AU17:AU20"/>
    <mergeCell ref="AV17:AV20"/>
    <mergeCell ref="V18:V19"/>
    <mergeCell ref="D21:J21"/>
    <mergeCell ref="G23:G39"/>
    <mergeCell ref="H23:H39"/>
    <mergeCell ref="I23:I39"/>
    <mergeCell ref="J23:J39"/>
    <mergeCell ref="AO17:AO20"/>
    <mergeCell ref="AP17:AP20"/>
    <mergeCell ref="AQ17:AQ20"/>
    <mergeCell ref="AR17:AR20"/>
    <mergeCell ref="AS17:AS20"/>
    <mergeCell ref="AT17:AT20"/>
    <mergeCell ref="AI17:AI20"/>
    <mergeCell ref="AJ17:AJ20"/>
    <mergeCell ref="AK17:AK20"/>
    <mergeCell ref="AL17:AL20"/>
    <mergeCell ref="AM17:AM20"/>
    <mergeCell ref="AN17:AN20"/>
    <mergeCell ref="AC17:AC20"/>
    <mergeCell ref="AD17:AD20"/>
    <mergeCell ref="AF23:AF39"/>
    <mergeCell ref="Q23:Q39"/>
    <mergeCell ref="R23:R39"/>
    <mergeCell ref="S23:S39"/>
    <mergeCell ref="T23:T39"/>
    <mergeCell ref="U23:U39"/>
    <mergeCell ref="V23:V24"/>
    <mergeCell ref="K23:K39"/>
    <mergeCell ref="L23:L39"/>
    <mergeCell ref="M23:M39"/>
    <mergeCell ref="N23:N39"/>
    <mergeCell ref="O23:O39"/>
    <mergeCell ref="P23:P39"/>
    <mergeCell ref="AS23:AS39"/>
    <mergeCell ref="AT23:AT39"/>
    <mergeCell ref="AU23:AU39"/>
    <mergeCell ref="AV23:AV39"/>
    <mergeCell ref="V25:V26"/>
    <mergeCell ref="V27:V28"/>
    <mergeCell ref="V32:V35"/>
    <mergeCell ref="AM23:AM39"/>
    <mergeCell ref="AN23:AN39"/>
    <mergeCell ref="AO23:AO39"/>
    <mergeCell ref="AP23:AP39"/>
    <mergeCell ref="AQ23:AQ39"/>
    <mergeCell ref="AR23:AR39"/>
    <mergeCell ref="AG23:AG39"/>
    <mergeCell ref="AH23:AH39"/>
    <mergeCell ref="AI23:AI39"/>
    <mergeCell ref="AJ23:AJ39"/>
    <mergeCell ref="AK23:AK39"/>
    <mergeCell ref="AL23:AL39"/>
    <mergeCell ref="AA23:AA39"/>
    <mergeCell ref="AB23:AB39"/>
    <mergeCell ref="AC23:AC39"/>
    <mergeCell ref="AD23:AD39"/>
    <mergeCell ref="AE23:AE39"/>
    <mergeCell ref="N42:N48"/>
    <mergeCell ref="O42:O48"/>
    <mergeCell ref="P42:P48"/>
    <mergeCell ref="Q42:Q48"/>
    <mergeCell ref="R42:R48"/>
    <mergeCell ref="S42:S48"/>
    <mergeCell ref="D40:N40"/>
    <mergeCell ref="F41:M41"/>
    <mergeCell ref="G42:G48"/>
    <mergeCell ref="H42:H48"/>
    <mergeCell ref="I42:I48"/>
    <mergeCell ref="J42:J48"/>
    <mergeCell ref="K42:K48"/>
    <mergeCell ref="L42:L48"/>
    <mergeCell ref="M42:M48"/>
    <mergeCell ref="AE42:AE48"/>
    <mergeCell ref="AF42:AF48"/>
    <mergeCell ref="AG42:AG48"/>
    <mergeCell ref="AH42:AH48"/>
    <mergeCell ref="AI42:AI48"/>
    <mergeCell ref="AJ42:AJ48"/>
    <mergeCell ref="T42:T48"/>
    <mergeCell ref="U42:U48"/>
    <mergeCell ref="AA42:AA48"/>
    <mergeCell ref="AB42:AB48"/>
    <mergeCell ref="AC42:AC48"/>
    <mergeCell ref="AD42:AD48"/>
    <mergeCell ref="V44:V47"/>
    <mergeCell ref="AQ42:AQ48"/>
    <mergeCell ref="AR42:AR48"/>
    <mergeCell ref="AS42:AS48"/>
    <mergeCell ref="AT42:AT48"/>
    <mergeCell ref="AU42:AU48"/>
    <mergeCell ref="AV42:AV48"/>
    <mergeCell ref="AK42:AK48"/>
    <mergeCell ref="AL42:AL48"/>
    <mergeCell ref="AM42:AM48"/>
    <mergeCell ref="AN42:AN48"/>
    <mergeCell ref="AO42:AO48"/>
    <mergeCell ref="AP42:AP48"/>
    <mergeCell ref="L51:L72"/>
    <mergeCell ref="M51:M72"/>
    <mergeCell ref="N51:N72"/>
    <mergeCell ref="O51:O72"/>
    <mergeCell ref="P51:P72"/>
    <mergeCell ref="Q51:Q72"/>
    <mergeCell ref="D49:K49"/>
    <mergeCell ref="G51:G72"/>
    <mergeCell ref="H51:H72"/>
    <mergeCell ref="I51:I72"/>
    <mergeCell ref="J51:J72"/>
    <mergeCell ref="K51:K72"/>
    <mergeCell ref="AD51:AD72"/>
    <mergeCell ref="AE51:AE72"/>
    <mergeCell ref="AF51:AF72"/>
    <mergeCell ref="AG51:AG72"/>
    <mergeCell ref="R51:R72"/>
    <mergeCell ref="S51:S72"/>
    <mergeCell ref="T51:T72"/>
    <mergeCell ref="U51:U72"/>
    <mergeCell ref="V51:V52"/>
    <mergeCell ref="AA51:AA72"/>
    <mergeCell ref="V70:V71"/>
    <mergeCell ref="AT51:AT72"/>
    <mergeCell ref="AU51:AU72"/>
    <mergeCell ref="AV51:AV72"/>
    <mergeCell ref="V53:V57"/>
    <mergeCell ref="V58:V59"/>
    <mergeCell ref="V60:V61"/>
    <mergeCell ref="V62:V63"/>
    <mergeCell ref="V64:V65"/>
    <mergeCell ref="V66:V67"/>
    <mergeCell ref="V68:V69"/>
    <mergeCell ref="AN51:AN72"/>
    <mergeCell ref="AO51:AO72"/>
    <mergeCell ref="AP51:AP72"/>
    <mergeCell ref="AQ51:AQ72"/>
    <mergeCell ref="AR51:AR72"/>
    <mergeCell ref="AS51:AS72"/>
    <mergeCell ref="AH51:AH72"/>
    <mergeCell ref="AI51:AI72"/>
    <mergeCell ref="AJ51:AJ72"/>
    <mergeCell ref="AK51:AK72"/>
    <mergeCell ref="AL51:AL72"/>
    <mergeCell ref="AM51:AM72"/>
    <mergeCell ref="AB51:AB72"/>
    <mergeCell ref="AC51:AC72"/>
    <mergeCell ref="B73:H73"/>
    <mergeCell ref="D74:M74"/>
    <mergeCell ref="F75:L75"/>
    <mergeCell ref="G76:G78"/>
    <mergeCell ref="H76:H78"/>
    <mergeCell ref="I76:I78"/>
    <mergeCell ref="J76:J78"/>
    <mergeCell ref="K76:K78"/>
    <mergeCell ref="L76:L78"/>
    <mergeCell ref="M76:M78"/>
    <mergeCell ref="AB76:AB106"/>
    <mergeCell ref="AC76:AC106"/>
    <mergeCell ref="AD76:AD106"/>
    <mergeCell ref="V97:V98"/>
    <mergeCell ref="V100:V101"/>
    <mergeCell ref="V102:V103"/>
    <mergeCell ref="M79:M106"/>
    <mergeCell ref="N79:N106"/>
    <mergeCell ref="O79:O106"/>
    <mergeCell ref="R79:R106"/>
    <mergeCell ref="V79:V85"/>
    <mergeCell ref="V87:V88"/>
    <mergeCell ref="G79:G106"/>
    <mergeCell ref="H79:H106"/>
    <mergeCell ref="I79:I106"/>
    <mergeCell ref="J79:J106"/>
    <mergeCell ref="K79:K106"/>
    <mergeCell ref="L79:L106"/>
    <mergeCell ref="T76:T106"/>
    <mergeCell ref="U76:U106"/>
    <mergeCell ref="AA76:AA106"/>
    <mergeCell ref="V89:V90"/>
    <mergeCell ref="V91:V92"/>
    <mergeCell ref="V93:V94"/>
    <mergeCell ref="V95:V96"/>
    <mergeCell ref="AQ76:AQ106"/>
    <mergeCell ref="AR76:AR106"/>
    <mergeCell ref="AS76:AS106"/>
    <mergeCell ref="AE76:AE106"/>
    <mergeCell ref="AF76:AF106"/>
    <mergeCell ref="AG76:AG106"/>
    <mergeCell ref="AH76:AH106"/>
    <mergeCell ref="AI76:AI106"/>
    <mergeCell ref="AJ76:AJ106"/>
    <mergeCell ref="AN76:AN106"/>
    <mergeCell ref="AO76:AO106"/>
    <mergeCell ref="AP76:AP106"/>
    <mergeCell ref="M110:M124"/>
    <mergeCell ref="N110:N124"/>
    <mergeCell ref="O110:O124"/>
    <mergeCell ref="P110:P124"/>
    <mergeCell ref="Q110:Q124"/>
    <mergeCell ref="R110:R124"/>
    <mergeCell ref="D108:K108"/>
    <mergeCell ref="F109:L109"/>
    <mergeCell ref="G110:G124"/>
    <mergeCell ref="H110:H124"/>
    <mergeCell ref="I110:I124"/>
    <mergeCell ref="J110:J124"/>
    <mergeCell ref="K110:K124"/>
    <mergeCell ref="L110:L124"/>
    <mergeCell ref="AE110:AE124"/>
    <mergeCell ref="AF110:AF124"/>
    <mergeCell ref="AG110:AG124"/>
    <mergeCell ref="AH110:AH124"/>
    <mergeCell ref="S110:S124"/>
    <mergeCell ref="T110:T124"/>
    <mergeCell ref="U110:U124"/>
    <mergeCell ref="V110:V111"/>
    <mergeCell ref="AA110:AA124"/>
    <mergeCell ref="AB110:AB124"/>
    <mergeCell ref="AU110:AU124"/>
    <mergeCell ref="AV110:AV124"/>
    <mergeCell ref="V113:V114"/>
    <mergeCell ref="V116:V117"/>
    <mergeCell ref="V121:V124"/>
    <mergeCell ref="G125:G141"/>
    <mergeCell ref="H125:H141"/>
    <mergeCell ref="I125:I141"/>
    <mergeCell ref="J125:J141"/>
    <mergeCell ref="K125:K141"/>
    <mergeCell ref="AO110:AO124"/>
    <mergeCell ref="AP110:AP124"/>
    <mergeCell ref="AQ110:AQ124"/>
    <mergeCell ref="AR110:AR124"/>
    <mergeCell ref="AS110:AS124"/>
    <mergeCell ref="AT110:AT124"/>
    <mergeCell ref="AI110:AI124"/>
    <mergeCell ref="AJ110:AJ124"/>
    <mergeCell ref="AK110:AK124"/>
    <mergeCell ref="AL110:AL124"/>
    <mergeCell ref="AM110:AM124"/>
    <mergeCell ref="AN110:AN124"/>
    <mergeCell ref="AC110:AC124"/>
    <mergeCell ref="AD110:AD124"/>
    <mergeCell ref="AG125:AG141"/>
    <mergeCell ref="R125:R141"/>
    <mergeCell ref="S125:S141"/>
    <mergeCell ref="T125:T141"/>
    <mergeCell ref="U125:U141"/>
    <mergeCell ref="V125:V128"/>
    <mergeCell ref="AA125:AA129"/>
    <mergeCell ref="L125:L141"/>
    <mergeCell ref="M125:M141"/>
    <mergeCell ref="N125:N141"/>
    <mergeCell ref="O125:O141"/>
    <mergeCell ref="P125:P141"/>
    <mergeCell ref="Q125:Q141"/>
    <mergeCell ref="AT125:AT141"/>
    <mergeCell ref="AU125:AU141"/>
    <mergeCell ref="AV125:AV141"/>
    <mergeCell ref="V129:V130"/>
    <mergeCell ref="V131:V132"/>
    <mergeCell ref="V135:V136"/>
    <mergeCell ref="V140:V141"/>
    <mergeCell ref="AN125:AN141"/>
    <mergeCell ref="AO125:AO141"/>
    <mergeCell ref="AP125:AP141"/>
    <mergeCell ref="AQ125:AQ141"/>
    <mergeCell ref="AR125:AR141"/>
    <mergeCell ref="AS125:AS141"/>
    <mergeCell ref="AH125:AH141"/>
    <mergeCell ref="AI125:AI141"/>
    <mergeCell ref="AJ125:AJ141"/>
    <mergeCell ref="AK125:AK141"/>
    <mergeCell ref="AL125:AL141"/>
    <mergeCell ref="AM125:AM141"/>
    <mergeCell ref="AB125:AB129"/>
    <mergeCell ref="AC125:AC141"/>
    <mergeCell ref="AD125:AD141"/>
    <mergeCell ref="AE125:AE141"/>
    <mergeCell ref="AF125:AF141"/>
    <mergeCell ref="M144:M145"/>
    <mergeCell ref="N144:N145"/>
    <mergeCell ref="O144:O145"/>
    <mergeCell ref="P144:P145"/>
    <mergeCell ref="Q144:Q145"/>
    <mergeCell ref="R144:R145"/>
    <mergeCell ref="D142:J142"/>
    <mergeCell ref="F143:L143"/>
    <mergeCell ref="G144:G145"/>
    <mergeCell ref="H144:H145"/>
    <mergeCell ref="I144:I145"/>
    <mergeCell ref="J144:J145"/>
    <mergeCell ref="K144:K145"/>
    <mergeCell ref="L144:L145"/>
    <mergeCell ref="AE144:AE145"/>
    <mergeCell ref="AF144:AF145"/>
    <mergeCell ref="AG144:AG145"/>
    <mergeCell ref="AH144:AH145"/>
    <mergeCell ref="AI144:AI145"/>
    <mergeCell ref="AJ144:AJ145"/>
    <mergeCell ref="S144:S145"/>
    <mergeCell ref="T144:T145"/>
    <mergeCell ref="U144:U145"/>
    <mergeCell ref="V144:V145"/>
    <mergeCell ref="AC144:AC145"/>
    <mergeCell ref="AD144:AD145"/>
    <mergeCell ref="AQ144:AQ145"/>
    <mergeCell ref="AR144:AR145"/>
    <mergeCell ref="AS144:AS145"/>
    <mergeCell ref="AT144:AT145"/>
    <mergeCell ref="AU144:AU145"/>
    <mergeCell ref="AV144:AV145"/>
    <mergeCell ref="AK144:AK145"/>
    <mergeCell ref="AL144:AL145"/>
    <mergeCell ref="AM144:AM145"/>
    <mergeCell ref="AN144:AN145"/>
    <mergeCell ref="AO144:AO145"/>
    <mergeCell ref="AP144:AP145"/>
    <mergeCell ref="K149:K155"/>
    <mergeCell ref="L149:L155"/>
    <mergeCell ref="M149:M155"/>
    <mergeCell ref="N149:N155"/>
    <mergeCell ref="O149:O155"/>
    <mergeCell ref="P149:P155"/>
    <mergeCell ref="B146:J146"/>
    <mergeCell ref="D147:J147"/>
    <mergeCell ref="G149:G155"/>
    <mergeCell ref="H149:H155"/>
    <mergeCell ref="I149:I155"/>
    <mergeCell ref="J149:J155"/>
    <mergeCell ref="A147:B158"/>
    <mergeCell ref="C148:D158"/>
    <mergeCell ref="E149:F155"/>
    <mergeCell ref="E157:F158"/>
    <mergeCell ref="AC149:AC155"/>
    <mergeCell ref="AD149:AD155"/>
    <mergeCell ref="AE149:AE155"/>
    <mergeCell ref="AF149:AF155"/>
    <mergeCell ref="Q149:Q155"/>
    <mergeCell ref="R149:R155"/>
    <mergeCell ref="S149:S155"/>
    <mergeCell ref="T149:T155"/>
    <mergeCell ref="U149:U155"/>
    <mergeCell ref="V149:V152"/>
    <mergeCell ref="AS149:AS155"/>
    <mergeCell ref="AT149:AT155"/>
    <mergeCell ref="AU149:AU155"/>
    <mergeCell ref="AV149:AV155"/>
    <mergeCell ref="G157:G158"/>
    <mergeCell ref="H157:H158"/>
    <mergeCell ref="I157:I158"/>
    <mergeCell ref="J157:J158"/>
    <mergeCell ref="AM149:AM155"/>
    <mergeCell ref="AN149:AN155"/>
    <mergeCell ref="AO149:AO155"/>
    <mergeCell ref="AP149:AP155"/>
    <mergeCell ref="AQ149:AQ155"/>
    <mergeCell ref="AR149:AR155"/>
    <mergeCell ref="AG149:AG155"/>
    <mergeCell ref="AH149:AH155"/>
    <mergeCell ref="AI149:AI155"/>
    <mergeCell ref="AJ149:AJ155"/>
    <mergeCell ref="AK149:AK155"/>
    <mergeCell ref="AL149:AL155"/>
    <mergeCell ref="AA149:AA155"/>
    <mergeCell ref="AB149:AB155"/>
    <mergeCell ref="Q157:Q158"/>
    <mergeCell ref="R157:R158"/>
    <mergeCell ref="S157:S158"/>
    <mergeCell ref="T157:T158"/>
    <mergeCell ref="U157:U158"/>
    <mergeCell ref="AA157:AA158"/>
    <mergeCell ref="K157:K158"/>
    <mergeCell ref="L157:L158"/>
    <mergeCell ref="M157:M158"/>
    <mergeCell ref="N157:N158"/>
    <mergeCell ref="O157:O158"/>
    <mergeCell ref="P157:P158"/>
    <mergeCell ref="AT157:AT158"/>
    <mergeCell ref="AU157:AU158"/>
    <mergeCell ref="AV157:AV158"/>
    <mergeCell ref="B159:I159"/>
    <mergeCell ref="D160:L160"/>
    <mergeCell ref="F161:O161"/>
    <mergeCell ref="AN157:AN158"/>
    <mergeCell ref="AO157:AO158"/>
    <mergeCell ref="AP157:AP158"/>
    <mergeCell ref="AQ157:AQ158"/>
    <mergeCell ref="AR157:AR158"/>
    <mergeCell ref="AS157:AS158"/>
    <mergeCell ref="AH157:AH158"/>
    <mergeCell ref="AI157:AI158"/>
    <mergeCell ref="AJ157:AJ158"/>
    <mergeCell ref="AK157:AK158"/>
    <mergeCell ref="AL157:AL158"/>
    <mergeCell ref="AM157:AM158"/>
    <mergeCell ref="AB157:AB158"/>
    <mergeCell ref="AC157:AC158"/>
    <mergeCell ref="AD157:AD158"/>
    <mergeCell ref="AE157:AE158"/>
    <mergeCell ref="AF157:AF158"/>
    <mergeCell ref="AG157:AG158"/>
    <mergeCell ref="G163:G166"/>
    <mergeCell ref="H163:H166"/>
    <mergeCell ref="I163:I166"/>
    <mergeCell ref="J163:J166"/>
    <mergeCell ref="K163:K166"/>
    <mergeCell ref="L163:L166"/>
    <mergeCell ref="M163:M166"/>
    <mergeCell ref="AN162:AN170"/>
    <mergeCell ref="AO162:AO170"/>
    <mergeCell ref="AH162:AH170"/>
    <mergeCell ref="AI162:AI170"/>
    <mergeCell ref="AJ162:AJ170"/>
    <mergeCell ref="AK162:AK170"/>
    <mergeCell ref="AL162:AL170"/>
    <mergeCell ref="AD162:AD170"/>
    <mergeCell ref="AE162:AE170"/>
    <mergeCell ref="AF162:AF170"/>
    <mergeCell ref="AG162:AG170"/>
    <mergeCell ref="V163:V166"/>
    <mergeCell ref="P162:P170"/>
    <mergeCell ref="Q162:Q170"/>
    <mergeCell ref="S162:S170"/>
    <mergeCell ref="T162:T170"/>
    <mergeCell ref="AM162:AM170"/>
    <mergeCell ref="U162:U170"/>
    <mergeCell ref="AC162:AC170"/>
    <mergeCell ref="N163:N166"/>
    <mergeCell ref="O163:O166"/>
    <mergeCell ref="R163:R166"/>
    <mergeCell ref="AT162:AT170"/>
    <mergeCell ref="AU162:AU170"/>
    <mergeCell ref="AV162:AV170"/>
    <mergeCell ref="AP162:AP170"/>
    <mergeCell ref="AQ162:AQ170"/>
    <mergeCell ref="AR162:AR170"/>
    <mergeCell ref="AS162:AS170"/>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N226"/>
  <sheetViews>
    <sheetView showGridLines="0" zoomScale="70" zoomScaleNormal="70" workbookViewId="0">
      <selection sqref="A1:AR4"/>
    </sheetView>
  </sheetViews>
  <sheetFormatPr baseColWidth="10" defaultColWidth="13.140625" defaultRowHeight="27" customHeight="1" x14ac:dyDescent="0.25"/>
  <cols>
    <col min="1" max="1" width="9.7109375" style="1982" customWidth="1"/>
    <col min="2" max="2" width="10.42578125" style="1808" customWidth="1"/>
    <col min="3" max="3" width="11.5703125" style="1808" customWidth="1"/>
    <col min="4" max="4" width="12.5703125" style="1808" customWidth="1"/>
    <col min="5" max="5" width="13.140625" style="1808" customWidth="1"/>
    <col min="6" max="6" width="16.5703125" style="1808" customWidth="1"/>
    <col min="7" max="7" width="14.7109375" style="1808" customWidth="1"/>
    <col min="8" max="8" width="23.85546875" style="1983" customWidth="1"/>
    <col min="9" max="9" width="24.140625" style="1808" customWidth="1"/>
    <col min="10" max="10" width="28.28515625" style="1983" customWidth="1"/>
    <col min="11" max="11" width="19.42578125" style="1849" customWidth="1"/>
    <col min="12" max="12" width="24.42578125" style="1983" customWidth="1"/>
    <col min="13" max="13" width="26" style="1849" customWidth="1"/>
    <col min="14" max="14" width="27.85546875" style="1983" customWidth="1"/>
    <col min="15" max="15" width="17" style="1849" customWidth="1"/>
    <col min="16" max="16" width="20.85546875" style="1849" customWidth="1"/>
    <col min="17" max="17" width="30.5703125" style="1983" customWidth="1"/>
    <col min="18" max="18" width="22.42578125" style="1984" customWidth="1"/>
    <col min="19" max="19" width="25.5703125" style="1985" customWidth="1"/>
    <col min="20" max="20" width="27.85546875" style="1983" customWidth="1"/>
    <col min="21" max="21" width="31" style="1983" customWidth="1"/>
    <col min="22" max="22" width="47.140625" style="1983" customWidth="1"/>
    <col min="23" max="23" width="29.5703125" style="1986" customWidth="1"/>
    <col min="24" max="24" width="51.42578125" style="1987" customWidth="1"/>
    <col min="25" max="25" width="17.5703125" style="1988" customWidth="1"/>
    <col min="26" max="26" width="30.140625" style="1983" customWidth="1"/>
    <col min="27" max="41" width="10.140625" style="1808" customWidth="1"/>
    <col min="42" max="42" width="13.140625" style="1808"/>
    <col min="43" max="43" width="21.85546875" style="1808" customWidth="1"/>
    <col min="44" max="44" width="22.5703125" style="1808" customWidth="1"/>
    <col min="45" max="45" width="21.5703125" style="1808" customWidth="1"/>
    <col min="46" max="46" width="30" style="1808" customWidth="1"/>
    <col min="47" max="16384" width="13.140625" style="1808"/>
  </cols>
  <sheetData>
    <row r="1" spans="1:66" s="1164" customFormat="1" ht="27.75" customHeight="1" x14ac:dyDescent="0.25">
      <c r="A1" s="2827" t="s">
        <v>2862</v>
      </c>
      <c r="B1" s="2827"/>
      <c r="C1" s="2827"/>
      <c r="D1" s="2827"/>
      <c r="E1" s="2827"/>
      <c r="F1" s="2827"/>
      <c r="G1" s="2827"/>
      <c r="H1" s="2827"/>
      <c r="I1" s="2827"/>
      <c r="J1" s="2827"/>
      <c r="K1" s="2827"/>
      <c r="L1" s="2827"/>
      <c r="M1" s="2827"/>
      <c r="N1" s="2827"/>
      <c r="O1" s="2827"/>
      <c r="P1" s="2827"/>
      <c r="Q1" s="2827"/>
      <c r="R1" s="2827"/>
      <c r="S1" s="2827"/>
      <c r="T1" s="2827"/>
      <c r="U1" s="2827"/>
      <c r="V1" s="2827"/>
      <c r="W1" s="2827"/>
      <c r="X1" s="2827"/>
      <c r="Y1" s="2827"/>
      <c r="Z1" s="2827"/>
      <c r="AA1" s="2827"/>
      <c r="AB1" s="2827"/>
      <c r="AC1" s="2827"/>
      <c r="AD1" s="2827"/>
      <c r="AE1" s="2827"/>
      <c r="AF1" s="2827"/>
      <c r="AG1" s="2827"/>
      <c r="AH1" s="2827"/>
      <c r="AI1" s="2827"/>
      <c r="AJ1" s="2827"/>
      <c r="AK1" s="2827"/>
      <c r="AL1" s="2827"/>
      <c r="AM1" s="2827"/>
      <c r="AN1" s="2827"/>
      <c r="AO1" s="2827"/>
      <c r="AP1" s="2827"/>
      <c r="AQ1" s="2827"/>
      <c r="AR1" s="2828"/>
      <c r="AS1" s="1626" t="s">
        <v>1</v>
      </c>
      <c r="AT1" s="1989" t="s">
        <v>983</v>
      </c>
      <c r="AU1" s="1163"/>
      <c r="AX1" s="1163"/>
      <c r="AY1" s="1163"/>
      <c r="AZ1" s="1163"/>
      <c r="BA1" s="1163"/>
      <c r="BB1" s="1163"/>
      <c r="BC1" s="1163"/>
      <c r="BD1" s="1163"/>
      <c r="BE1" s="1163"/>
      <c r="BF1" s="1163"/>
      <c r="BG1" s="1163"/>
      <c r="BH1" s="1163"/>
      <c r="BI1" s="1163"/>
      <c r="BJ1" s="1163"/>
      <c r="BK1" s="1163"/>
      <c r="BL1" s="1163"/>
      <c r="BM1" s="1163"/>
      <c r="BN1" s="1163"/>
    </row>
    <row r="2" spans="1:66" s="1164" customFormat="1" ht="27.75" customHeight="1" x14ac:dyDescent="0.25">
      <c r="A2" s="2827"/>
      <c r="B2" s="2827"/>
      <c r="C2" s="2827"/>
      <c r="D2" s="2827"/>
      <c r="E2" s="2827"/>
      <c r="F2" s="2827"/>
      <c r="G2" s="2827"/>
      <c r="H2" s="2827"/>
      <c r="I2" s="2827"/>
      <c r="J2" s="2827"/>
      <c r="K2" s="2827"/>
      <c r="L2" s="2827"/>
      <c r="M2" s="2827"/>
      <c r="N2" s="2827"/>
      <c r="O2" s="2827"/>
      <c r="P2" s="2827"/>
      <c r="Q2" s="2827"/>
      <c r="R2" s="2827"/>
      <c r="S2" s="2827"/>
      <c r="T2" s="2827"/>
      <c r="U2" s="2827"/>
      <c r="V2" s="2827"/>
      <c r="W2" s="2827"/>
      <c r="X2" s="2827"/>
      <c r="Y2" s="2827"/>
      <c r="Z2" s="2827"/>
      <c r="AA2" s="2827"/>
      <c r="AB2" s="2827"/>
      <c r="AC2" s="2827"/>
      <c r="AD2" s="2827"/>
      <c r="AE2" s="2827"/>
      <c r="AF2" s="2827"/>
      <c r="AG2" s="2827"/>
      <c r="AH2" s="2827"/>
      <c r="AI2" s="2827"/>
      <c r="AJ2" s="2827"/>
      <c r="AK2" s="2827"/>
      <c r="AL2" s="2827"/>
      <c r="AM2" s="2827"/>
      <c r="AN2" s="2827"/>
      <c r="AO2" s="2827"/>
      <c r="AP2" s="2827"/>
      <c r="AQ2" s="2827"/>
      <c r="AR2" s="2828"/>
      <c r="AS2" s="1626" t="s">
        <v>3</v>
      </c>
      <c r="AT2" s="1165" t="s">
        <v>984</v>
      </c>
      <c r="AU2" s="1163"/>
      <c r="AX2" s="1163"/>
      <c r="AY2" s="1163"/>
      <c r="AZ2" s="1163"/>
      <c r="BA2" s="1163"/>
      <c r="BB2" s="1163"/>
      <c r="BC2" s="1163"/>
      <c r="BD2" s="1163"/>
      <c r="BE2" s="1163"/>
      <c r="BF2" s="1163"/>
      <c r="BG2" s="1163"/>
      <c r="BH2" s="1163"/>
      <c r="BI2" s="1163"/>
      <c r="BJ2" s="1163"/>
      <c r="BK2" s="1163"/>
      <c r="BL2" s="1163"/>
      <c r="BM2" s="1163"/>
      <c r="BN2" s="1163"/>
    </row>
    <row r="3" spans="1:66" s="1164" customFormat="1" ht="27.75" customHeight="1" x14ac:dyDescent="0.25">
      <c r="A3" s="2827"/>
      <c r="B3" s="2827"/>
      <c r="C3" s="2827"/>
      <c r="D3" s="2827"/>
      <c r="E3" s="2827"/>
      <c r="F3" s="2827"/>
      <c r="G3" s="2827"/>
      <c r="H3" s="2827"/>
      <c r="I3" s="2827"/>
      <c r="J3" s="2827"/>
      <c r="K3" s="2827"/>
      <c r="L3" s="2827"/>
      <c r="M3" s="2827"/>
      <c r="N3" s="2827"/>
      <c r="O3" s="2827"/>
      <c r="P3" s="2827"/>
      <c r="Q3" s="2827"/>
      <c r="R3" s="2827"/>
      <c r="S3" s="2827"/>
      <c r="T3" s="2827"/>
      <c r="U3" s="2827"/>
      <c r="V3" s="2827"/>
      <c r="W3" s="2827"/>
      <c r="X3" s="2827"/>
      <c r="Y3" s="2827"/>
      <c r="Z3" s="2827"/>
      <c r="AA3" s="2827"/>
      <c r="AB3" s="2827"/>
      <c r="AC3" s="2827"/>
      <c r="AD3" s="2827"/>
      <c r="AE3" s="2827"/>
      <c r="AF3" s="2827"/>
      <c r="AG3" s="2827"/>
      <c r="AH3" s="2827"/>
      <c r="AI3" s="2827"/>
      <c r="AJ3" s="2827"/>
      <c r="AK3" s="2827"/>
      <c r="AL3" s="2827"/>
      <c r="AM3" s="2827"/>
      <c r="AN3" s="2827"/>
      <c r="AO3" s="2827"/>
      <c r="AP3" s="2827"/>
      <c r="AQ3" s="2827"/>
      <c r="AR3" s="2828"/>
      <c r="AS3" s="1626" t="s">
        <v>4</v>
      </c>
      <c r="AT3" s="1623" t="s">
        <v>985</v>
      </c>
      <c r="AU3" s="1163"/>
      <c r="AX3" s="1163"/>
      <c r="AY3" s="1163"/>
      <c r="AZ3" s="1163"/>
      <c r="BA3" s="1163"/>
      <c r="BB3" s="1163"/>
      <c r="BC3" s="1163"/>
      <c r="BD3" s="1163"/>
      <c r="BE3" s="1163"/>
      <c r="BF3" s="1163"/>
      <c r="BG3" s="1163"/>
      <c r="BH3" s="1163"/>
      <c r="BI3" s="1163"/>
      <c r="BJ3" s="1163"/>
      <c r="BK3" s="1163"/>
      <c r="BL3" s="1163"/>
      <c r="BM3" s="1163"/>
      <c r="BN3" s="1163"/>
    </row>
    <row r="4" spans="1:66" s="1164" customFormat="1" ht="27.75" customHeight="1" x14ac:dyDescent="0.25">
      <c r="A4" s="2829"/>
      <c r="B4" s="2829"/>
      <c r="C4" s="2829"/>
      <c r="D4" s="2829"/>
      <c r="E4" s="2829"/>
      <c r="F4" s="2829"/>
      <c r="G4" s="2829"/>
      <c r="H4" s="2829"/>
      <c r="I4" s="2829"/>
      <c r="J4" s="2829"/>
      <c r="K4" s="2829"/>
      <c r="L4" s="2829"/>
      <c r="M4" s="2829"/>
      <c r="N4" s="2829"/>
      <c r="O4" s="2829"/>
      <c r="P4" s="2829"/>
      <c r="Q4" s="2829"/>
      <c r="R4" s="2829"/>
      <c r="S4" s="2829"/>
      <c r="T4" s="2829"/>
      <c r="U4" s="2829"/>
      <c r="V4" s="2829"/>
      <c r="W4" s="2829"/>
      <c r="X4" s="2829"/>
      <c r="Y4" s="2829"/>
      <c r="Z4" s="2829"/>
      <c r="AA4" s="2829"/>
      <c r="AB4" s="2829"/>
      <c r="AC4" s="2829"/>
      <c r="AD4" s="2829"/>
      <c r="AE4" s="2829"/>
      <c r="AF4" s="2829"/>
      <c r="AG4" s="2829"/>
      <c r="AH4" s="2829"/>
      <c r="AI4" s="2829"/>
      <c r="AJ4" s="2829"/>
      <c r="AK4" s="2829"/>
      <c r="AL4" s="2829"/>
      <c r="AM4" s="2829"/>
      <c r="AN4" s="2829"/>
      <c r="AO4" s="2829"/>
      <c r="AP4" s="2829"/>
      <c r="AQ4" s="2829"/>
      <c r="AR4" s="2830"/>
      <c r="AS4" s="1626" t="s">
        <v>5</v>
      </c>
      <c r="AT4" s="365" t="s">
        <v>114</v>
      </c>
      <c r="AU4" s="1163"/>
      <c r="AX4" s="1163"/>
      <c r="AY4" s="1163"/>
      <c r="AZ4" s="1163"/>
      <c r="BA4" s="1163"/>
      <c r="BB4" s="1163"/>
      <c r="BC4" s="1163"/>
      <c r="BD4" s="1163"/>
      <c r="BE4" s="1163"/>
      <c r="BF4" s="1163"/>
      <c r="BG4" s="1163"/>
      <c r="BH4" s="1163"/>
      <c r="BI4" s="1163"/>
      <c r="BJ4" s="1163"/>
      <c r="BK4" s="1163"/>
      <c r="BL4" s="1163"/>
      <c r="BM4" s="1163"/>
      <c r="BN4" s="1163"/>
    </row>
    <row r="5" spans="1:66" s="1164" customFormat="1" ht="40.5" customHeight="1" x14ac:dyDescent="0.25">
      <c r="A5" s="2831" t="s">
        <v>1794</v>
      </c>
      <c r="B5" s="2831"/>
      <c r="C5" s="2831"/>
      <c r="D5" s="2831"/>
      <c r="E5" s="2831"/>
      <c r="F5" s="2831"/>
      <c r="G5" s="2831"/>
      <c r="H5" s="2831"/>
      <c r="I5" s="2831"/>
      <c r="J5" s="2831"/>
      <c r="K5" s="2831"/>
      <c r="L5" s="2831"/>
      <c r="M5" s="2831"/>
      <c r="N5" s="2831"/>
      <c r="O5" s="2831"/>
      <c r="P5" s="2833"/>
      <c r="Q5" s="2833"/>
      <c r="R5" s="2833"/>
      <c r="S5" s="2833"/>
      <c r="T5" s="2833"/>
      <c r="U5" s="2833"/>
      <c r="V5" s="2833"/>
      <c r="W5" s="2833"/>
      <c r="X5" s="2833"/>
      <c r="Y5" s="2833"/>
      <c r="Z5" s="2833"/>
      <c r="AA5" s="2833"/>
      <c r="AB5" s="2833"/>
      <c r="AC5" s="2833"/>
      <c r="AD5" s="2833"/>
      <c r="AE5" s="2833"/>
      <c r="AF5" s="2833"/>
      <c r="AG5" s="2833"/>
      <c r="AH5" s="2833"/>
      <c r="AI5" s="2833"/>
      <c r="AJ5" s="2833"/>
      <c r="AK5" s="2833"/>
      <c r="AL5" s="2833"/>
      <c r="AM5" s="2833"/>
      <c r="AN5" s="2833"/>
      <c r="AO5" s="2833"/>
      <c r="AP5" s="2833"/>
      <c r="AQ5" s="2833"/>
      <c r="AR5" s="2833"/>
      <c r="AS5" s="2833"/>
      <c r="AT5" s="2833"/>
      <c r="AU5" s="1163"/>
      <c r="AV5" s="1163"/>
      <c r="AW5" s="1163"/>
      <c r="AX5" s="1163"/>
      <c r="AY5" s="1163"/>
      <c r="AZ5" s="1163"/>
      <c r="BA5" s="1163"/>
      <c r="BB5" s="1163"/>
      <c r="BC5" s="1163"/>
      <c r="BD5" s="1163"/>
      <c r="BE5" s="1163"/>
      <c r="BF5" s="1163"/>
      <c r="BG5" s="1163"/>
      <c r="BH5" s="1163"/>
      <c r="BI5" s="1163"/>
      <c r="BJ5" s="1163"/>
      <c r="BK5" s="1163"/>
      <c r="BL5" s="1163"/>
      <c r="BM5" s="1163"/>
      <c r="BN5" s="1163"/>
    </row>
    <row r="6" spans="1:66" s="1164" customFormat="1" ht="27" customHeight="1" x14ac:dyDescent="0.25">
      <c r="A6" s="2832"/>
      <c r="B6" s="2832"/>
      <c r="C6" s="2832"/>
      <c r="D6" s="2832"/>
      <c r="E6" s="2832"/>
      <c r="F6" s="2832"/>
      <c r="G6" s="2832"/>
      <c r="H6" s="2832"/>
      <c r="I6" s="2832"/>
      <c r="J6" s="2832"/>
      <c r="K6" s="2832"/>
      <c r="L6" s="2832"/>
      <c r="M6" s="2832"/>
      <c r="N6" s="2832"/>
      <c r="O6" s="2832"/>
      <c r="P6" s="1625"/>
      <c r="Q6" s="1806"/>
      <c r="R6" s="1625"/>
      <c r="S6" s="1625"/>
      <c r="T6" s="1806"/>
      <c r="U6" s="1806"/>
      <c r="V6" s="1806"/>
      <c r="W6" s="1625"/>
      <c r="X6" s="1625"/>
      <c r="Y6" s="1625"/>
      <c r="Z6" s="1625"/>
      <c r="AA6" s="2834" t="s">
        <v>8</v>
      </c>
      <c r="AB6" s="2835"/>
      <c r="AC6" s="2835"/>
      <c r="AD6" s="2835"/>
      <c r="AE6" s="2835"/>
      <c r="AF6" s="2835"/>
      <c r="AG6" s="2835"/>
      <c r="AH6" s="2835"/>
      <c r="AI6" s="2835"/>
      <c r="AJ6" s="2835"/>
      <c r="AK6" s="2835"/>
      <c r="AL6" s="2835"/>
      <c r="AM6" s="2835"/>
      <c r="AN6" s="2835"/>
      <c r="AO6" s="2835"/>
      <c r="AP6" s="2835"/>
      <c r="AQ6" s="1625"/>
      <c r="AR6" s="1625"/>
      <c r="AS6" s="1625"/>
      <c r="AT6" s="1624"/>
      <c r="AU6" s="1163"/>
      <c r="AV6" s="1163"/>
      <c r="AW6" s="1163"/>
      <c r="AX6" s="1163"/>
      <c r="AY6" s="1163"/>
      <c r="AZ6" s="1163"/>
      <c r="BA6" s="1163"/>
      <c r="BB6" s="1163"/>
      <c r="BC6" s="1163"/>
      <c r="BD6" s="1163"/>
      <c r="BE6" s="1163"/>
      <c r="BF6" s="1163"/>
      <c r="BG6" s="1163"/>
      <c r="BH6" s="1163"/>
      <c r="BI6" s="1163"/>
      <c r="BJ6" s="1163"/>
      <c r="BK6" s="1163"/>
      <c r="BL6" s="1163"/>
      <c r="BM6" s="1163"/>
      <c r="BN6" s="1163"/>
    </row>
    <row r="7" spans="1:66" ht="36.75" customHeight="1" x14ac:dyDescent="0.25">
      <c r="A7" s="2814" t="s">
        <v>9</v>
      </c>
      <c r="B7" s="2815"/>
      <c r="C7" s="2836" t="s">
        <v>10</v>
      </c>
      <c r="D7" s="2814"/>
      <c r="E7" s="2814" t="s">
        <v>11</v>
      </c>
      <c r="F7" s="2815"/>
      <c r="G7" s="2837" t="s">
        <v>12</v>
      </c>
      <c r="H7" s="2838"/>
      <c r="I7" s="2838"/>
      <c r="J7" s="2838"/>
      <c r="K7" s="2837" t="s">
        <v>13</v>
      </c>
      <c r="L7" s="2838"/>
      <c r="M7" s="2838"/>
      <c r="N7" s="2838"/>
      <c r="O7" s="2839" t="s">
        <v>14</v>
      </c>
      <c r="P7" s="2840"/>
      <c r="Q7" s="2840"/>
      <c r="R7" s="2840"/>
      <c r="S7" s="2840"/>
      <c r="T7" s="2840"/>
      <c r="U7" s="2840"/>
      <c r="V7" s="2840"/>
      <c r="W7" s="2840"/>
      <c r="X7" s="2814" t="s">
        <v>15</v>
      </c>
      <c r="Y7" s="2814"/>
      <c r="Z7" s="2815"/>
      <c r="AA7" s="2816" t="s">
        <v>16</v>
      </c>
      <c r="AB7" s="2817"/>
      <c r="AC7" s="2844" t="s">
        <v>17</v>
      </c>
      <c r="AD7" s="2845"/>
      <c r="AE7" s="2845"/>
      <c r="AF7" s="2845"/>
      <c r="AG7" s="2846" t="s">
        <v>18</v>
      </c>
      <c r="AH7" s="2847"/>
      <c r="AI7" s="2847"/>
      <c r="AJ7" s="2847"/>
      <c r="AK7" s="2847"/>
      <c r="AL7" s="2847"/>
      <c r="AM7" s="2844" t="s">
        <v>19</v>
      </c>
      <c r="AN7" s="2845"/>
      <c r="AO7" s="2845"/>
      <c r="AP7" s="2848" t="s">
        <v>20</v>
      </c>
      <c r="AQ7" s="1807"/>
      <c r="AR7" s="2841" t="s">
        <v>2863</v>
      </c>
      <c r="AS7" s="2841" t="s">
        <v>987</v>
      </c>
      <c r="AT7" s="2843" t="s">
        <v>23</v>
      </c>
    </row>
    <row r="8" spans="1:66" ht="90" customHeight="1" x14ac:dyDescent="0.25">
      <c r="A8" s="1809" t="s">
        <v>24</v>
      </c>
      <c r="B8" s="1810" t="s">
        <v>25</v>
      </c>
      <c r="C8" s="1809" t="s">
        <v>24</v>
      </c>
      <c r="D8" s="1810" t="s">
        <v>25</v>
      </c>
      <c r="E8" s="1810" t="s">
        <v>24</v>
      </c>
      <c r="F8" s="1810" t="s">
        <v>25</v>
      </c>
      <c r="G8" s="1172" t="s">
        <v>26</v>
      </c>
      <c r="H8" s="1172" t="s">
        <v>27</v>
      </c>
      <c r="I8" s="1172" t="s">
        <v>28</v>
      </c>
      <c r="J8" s="1172" t="s">
        <v>117</v>
      </c>
      <c r="K8" s="1172" t="s">
        <v>26</v>
      </c>
      <c r="L8" s="1172" t="s">
        <v>30</v>
      </c>
      <c r="M8" s="1172" t="s">
        <v>31</v>
      </c>
      <c r="N8" s="1172" t="s">
        <v>32</v>
      </c>
      <c r="O8" s="1810" t="s">
        <v>116</v>
      </c>
      <c r="P8" s="1810" t="s">
        <v>34</v>
      </c>
      <c r="Q8" s="1810" t="s">
        <v>35</v>
      </c>
      <c r="R8" s="1811" t="s">
        <v>36</v>
      </c>
      <c r="S8" s="1812" t="s">
        <v>37</v>
      </c>
      <c r="T8" s="1810" t="s">
        <v>38</v>
      </c>
      <c r="U8" s="1810" t="s">
        <v>39</v>
      </c>
      <c r="V8" s="1810" t="s">
        <v>40</v>
      </c>
      <c r="W8" s="1813" t="s">
        <v>37</v>
      </c>
      <c r="X8" s="1810" t="s">
        <v>42</v>
      </c>
      <c r="Y8" s="1809" t="s">
        <v>43</v>
      </c>
      <c r="Z8" s="1810" t="s">
        <v>25</v>
      </c>
      <c r="AA8" s="1814" t="s">
        <v>44</v>
      </c>
      <c r="AB8" s="1815" t="s">
        <v>45</v>
      </c>
      <c r="AC8" s="1814" t="s">
        <v>46</v>
      </c>
      <c r="AD8" s="1814" t="s">
        <v>47</v>
      </c>
      <c r="AE8" s="1814" t="s">
        <v>48</v>
      </c>
      <c r="AF8" s="1814" t="s">
        <v>49</v>
      </c>
      <c r="AG8" s="1814" t="s">
        <v>50</v>
      </c>
      <c r="AH8" s="1814" t="s">
        <v>51</v>
      </c>
      <c r="AI8" s="1814" t="s">
        <v>52</v>
      </c>
      <c r="AJ8" s="1814" t="s">
        <v>120</v>
      </c>
      <c r="AK8" s="1814" t="s">
        <v>54</v>
      </c>
      <c r="AL8" s="1814" t="s">
        <v>55</v>
      </c>
      <c r="AM8" s="1814" t="s">
        <v>56</v>
      </c>
      <c r="AN8" s="1814" t="s">
        <v>57</v>
      </c>
      <c r="AO8" s="1814" t="s">
        <v>58</v>
      </c>
      <c r="AP8" s="2848"/>
      <c r="AQ8" s="1816" t="s">
        <v>2864</v>
      </c>
      <c r="AR8" s="2842"/>
      <c r="AS8" s="2842"/>
      <c r="AT8" s="2843"/>
    </row>
    <row r="9" spans="1:66" s="1829" customFormat="1" ht="27" customHeight="1" x14ac:dyDescent="0.25">
      <c r="A9" s="1817">
        <v>1</v>
      </c>
      <c r="B9" s="2641" t="s">
        <v>1030</v>
      </c>
      <c r="C9" s="2642"/>
      <c r="D9" s="2642"/>
      <c r="E9" s="2642"/>
      <c r="F9" s="2642"/>
      <c r="G9" s="1818"/>
      <c r="H9" s="1819"/>
      <c r="I9" s="1818"/>
      <c r="J9" s="1820"/>
      <c r="K9" s="1821"/>
      <c r="L9" s="1820"/>
      <c r="M9" s="1821"/>
      <c r="N9" s="1820"/>
      <c r="O9" s="1821"/>
      <c r="P9" s="1821"/>
      <c r="Q9" s="1820"/>
      <c r="R9" s="1822"/>
      <c r="S9" s="1823"/>
      <c r="T9" s="1820"/>
      <c r="U9" s="1820"/>
      <c r="V9" s="1820"/>
      <c r="W9" s="1824"/>
      <c r="X9" s="1821"/>
      <c r="Y9" s="1825"/>
      <c r="Z9" s="1820"/>
      <c r="AA9" s="1826"/>
      <c r="AB9" s="1826"/>
      <c r="AC9" s="1826"/>
      <c r="AD9" s="1826"/>
      <c r="AE9" s="1826"/>
      <c r="AF9" s="1826"/>
      <c r="AG9" s="1826"/>
      <c r="AH9" s="1826"/>
      <c r="AI9" s="1826"/>
      <c r="AJ9" s="1826"/>
      <c r="AK9" s="1826"/>
      <c r="AL9" s="1826"/>
      <c r="AM9" s="1826"/>
      <c r="AN9" s="1826"/>
      <c r="AO9" s="1826"/>
      <c r="AP9" s="1821"/>
      <c r="AQ9" s="1821"/>
      <c r="AR9" s="1827"/>
      <c r="AS9" s="1827"/>
      <c r="AT9" s="1828"/>
    </row>
    <row r="10" spans="1:66" s="1840" customFormat="1" ht="27" customHeight="1" x14ac:dyDescent="0.25">
      <c r="A10" s="1830"/>
      <c r="B10" s="1831"/>
      <c r="C10" s="38">
        <v>12</v>
      </c>
      <c r="D10" s="2810" t="s">
        <v>375</v>
      </c>
      <c r="E10" s="2811"/>
      <c r="F10" s="2811"/>
      <c r="G10" s="2811"/>
      <c r="H10" s="2811"/>
      <c r="I10" s="2811"/>
      <c r="J10" s="1832"/>
      <c r="K10" s="1833"/>
      <c r="L10" s="1832"/>
      <c r="M10" s="1833"/>
      <c r="N10" s="1832"/>
      <c r="O10" s="1833"/>
      <c r="P10" s="1833"/>
      <c r="Q10" s="1832"/>
      <c r="R10" s="1834"/>
      <c r="S10" s="1835"/>
      <c r="T10" s="1832"/>
      <c r="U10" s="1832"/>
      <c r="V10" s="1832"/>
      <c r="W10" s="1836"/>
      <c r="X10" s="1833"/>
      <c r="Y10" s="1837"/>
      <c r="Z10" s="1832"/>
      <c r="AA10" s="1833"/>
      <c r="AB10" s="1833"/>
      <c r="AC10" s="1833"/>
      <c r="AD10" s="1833"/>
      <c r="AE10" s="1833"/>
      <c r="AF10" s="1833"/>
      <c r="AG10" s="1833"/>
      <c r="AH10" s="1833"/>
      <c r="AI10" s="1833"/>
      <c r="AJ10" s="1833"/>
      <c r="AK10" s="1833"/>
      <c r="AL10" s="1833"/>
      <c r="AM10" s="1833"/>
      <c r="AN10" s="1833"/>
      <c r="AO10" s="1833"/>
      <c r="AP10" s="1833"/>
      <c r="AQ10" s="1833"/>
      <c r="AR10" s="1838"/>
      <c r="AS10" s="1838"/>
      <c r="AT10" s="1839"/>
    </row>
    <row r="11" spans="1:66" s="1849" customFormat="1" ht="27" customHeight="1" x14ac:dyDescent="0.25">
      <c r="A11" s="2676"/>
      <c r="B11" s="2548"/>
      <c r="C11" s="1841"/>
      <c r="D11" s="1842"/>
      <c r="E11" s="1843">
        <v>1202</v>
      </c>
      <c r="F11" s="2812" t="s">
        <v>2865</v>
      </c>
      <c r="G11" s="2813"/>
      <c r="H11" s="2813"/>
      <c r="I11" s="2813"/>
      <c r="J11" s="2813"/>
      <c r="K11" s="2813"/>
      <c r="L11" s="2813"/>
      <c r="M11" s="2813"/>
      <c r="N11" s="2813"/>
      <c r="O11" s="2813"/>
      <c r="P11" s="2813"/>
      <c r="Q11" s="1220"/>
      <c r="R11" s="1844"/>
      <c r="S11" s="1845"/>
      <c r="T11" s="1220"/>
      <c r="U11" s="1220"/>
      <c r="V11" s="1220"/>
      <c r="W11" s="1846"/>
      <c r="X11" s="1847"/>
      <c r="Y11" s="1844"/>
      <c r="Z11" s="1220"/>
      <c r="AA11" s="1844"/>
      <c r="AB11" s="1844"/>
      <c r="AC11" s="1844"/>
      <c r="AD11" s="1844"/>
      <c r="AE11" s="1844"/>
      <c r="AF11" s="1844"/>
      <c r="AG11" s="1844"/>
      <c r="AH11" s="1844"/>
      <c r="AI11" s="1844"/>
      <c r="AJ11" s="1844"/>
      <c r="AK11" s="1844"/>
      <c r="AL11" s="1844"/>
      <c r="AM11" s="1844"/>
      <c r="AN11" s="1844"/>
      <c r="AO11" s="1844"/>
      <c r="AP11" s="1844"/>
      <c r="AQ11" s="1844"/>
      <c r="AR11" s="1844"/>
      <c r="AS11" s="1844"/>
      <c r="AT11" s="1848"/>
    </row>
    <row r="12" spans="1:66" s="1849" customFormat="1" ht="48" customHeight="1" x14ac:dyDescent="0.25">
      <c r="A12" s="2676"/>
      <c r="B12" s="2548"/>
      <c r="C12" s="1850"/>
      <c r="D12" s="1851"/>
      <c r="E12" s="2761"/>
      <c r="F12" s="2761"/>
      <c r="G12" s="2610">
        <v>1202004</v>
      </c>
      <c r="H12" s="2770" t="s">
        <v>2866</v>
      </c>
      <c r="I12" s="2610">
        <v>1202004</v>
      </c>
      <c r="J12" s="2770" t="s">
        <v>2866</v>
      </c>
      <c r="K12" s="2818">
        <v>120200400</v>
      </c>
      <c r="L12" s="2467" t="s">
        <v>221</v>
      </c>
      <c r="M12" s="2818">
        <v>120200400</v>
      </c>
      <c r="N12" s="2467" t="s">
        <v>221</v>
      </c>
      <c r="O12" s="2465">
        <v>12</v>
      </c>
      <c r="P12" s="2630" t="s">
        <v>2867</v>
      </c>
      <c r="Q12" s="2822" t="s">
        <v>2868</v>
      </c>
      <c r="R12" s="2776">
        <f>S12/SUM(W12:W20)</f>
        <v>1</v>
      </c>
      <c r="S12" s="2808">
        <f>SUM(W12:W20)</f>
        <v>149000000</v>
      </c>
      <c r="T12" s="2809" t="s">
        <v>2869</v>
      </c>
      <c r="U12" s="2772" t="s">
        <v>2870</v>
      </c>
      <c r="V12" s="2798" t="s">
        <v>2871</v>
      </c>
      <c r="W12" s="1852">
        <v>15400000</v>
      </c>
      <c r="X12" s="1617" t="s">
        <v>2872</v>
      </c>
      <c r="Y12" s="1853">
        <v>20</v>
      </c>
      <c r="Z12" s="1854" t="s">
        <v>694</v>
      </c>
      <c r="AA12" s="2801">
        <v>291786</v>
      </c>
      <c r="AB12" s="2801">
        <v>270331</v>
      </c>
      <c r="AC12" s="2801">
        <v>102045</v>
      </c>
      <c r="AD12" s="2801">
        <v>39183</v>
      </c>
      <c r="AE12" s="2801">
        <v>310195</v>
      </c>
      <c r="AF12" s="2801">
        <v>110694</v>
      </c>
      <c r="AG12" s="2801">
        <v>2145</v>
      </c>
      <c r="AH12" s="2801">
        <v>12718</v>
      </c>
      <c r="AI12" s="2801">
        <v>26</v>
      </c>
      <c r="AJ12" s="2801">
        <v>37</v>
      </c>
      <c r="AK12" s="2801">
        <v>0</v>
      </c>
      <c r="AL12" s="2801">
        <v>0</v>
      </c>
      <c r="AM12" s="2801">
        <v>44350</v>
      </c>
      <c r="AN12" s="2801">
        <v>21944</v>
      </c>
      <c r="AO12" s="2801">
        <v>75687</v>
      </c>
      <c r="AP12" s="2801">
        <f>+AA12+AB12</f>
        <v>562117</v>
      </c>
      <c r="AQ12" s="2804" t="s">
        <v>2873</v>
      </c>
      <c r="AR12" s="2806">
        <v>44211</v>
      </c>
      <c r="AS12" s="2806">
        <v>44560</v>
      </c>
      <c r="AT12" s="2656" t="s">
        <v>2874</v>
      </c>
    </row>
    <row r="13" spans="1:66" s="1849" customFormat="1" ht="48" customHeight="1" x14ac:dyDescent="0.25">
      <c r="A13" s="2676"/>
      <c r="B13" s="2548"/>
      <c r="C13" s="1850"/>
      <c r="D13" s="1851"/>
      <c r="E13" s="2761"/>
      <c r="F13" s="2761"/>
      <c r="G13" s="2610"/>
      <c r="H13" s="2770"/>
      <c r="I13" s="2610"/>
      <c r="J13" s="2770"/>
      <c r="K13" s="2818"/>
      <c r="L13" s="2467"/>
      <c r="M13" s="2818"/>
      <c r="N13" s="2467"/>
      <c r="O13" s="2465"/>
      <c r="P13" s="2630"/>
      <c r="Q13" s="2823"/>
      <c r="R13" s="2776"/>
      <c r="S13" s="2808"/>
      <c r="T13" s="2809"/>
      <c r="U13" s="2773"/>
      <c r="V13" s="2799"/>
      <c r="W13" s="1852">
        <v>25000000</v>
      </c>
      <c r="X13" s="1617" t="s">
        <v>2875</v>
      </c>
      <c r="Y13" s="1853">
        <v>88</v>
      </c>
      <c r="Z13" s="1854" t="s">
        <v>2876</v>
      </c>
      <c r="AA13" s="2802"/>
      <c r="AB13" s="2802"/>
      <c r="AC13" s="2802"/>
      <c r="AD13" s="2802"/>
      <c r="AE13" s="2802"/>
      <c r="AF13" s="2802"/>
      <c r="AG13" s="2802"/>
      <c r="AH13" s="2802"/>
      <c r="AI13" s="2802"/>
      <c r="AJ13" s="2802"/>
      <c r="AK13" s="2802"/>
      <c r="AL13" s="2802"/>
      <c r="AM13" s="2802"/>
      <c r="AN13" s="2802"/>
      <c r="AO13" s="2802"/>
      <c r="AP13" s="2802"/>
      <c r="AQ13" s="2805"/>
      <c r="AR13" s="2807"/>
      <c r="AS13" s="2807"/>
      <c r="AT13" s="2656"/>
    </row>
    <row r="14" spans="1:66" s="1849" customFormat="1" ht="59.25" customHeight="1" x14ac:dyDescent="0.25">
      <c r="A14" s="2676"/>
      <c r="B14" s="2548"/>
      <c r="C14" s="1850"/>
      <c r="D14" s="1851"/>
      <c r="E14" s="2761"/>
      <c r="F14" s="2761"/>
      <c r="G14" s="2611"/>
      <c r="H14" s="2770"/>
      <c r="I14" s="2611"/>
      <c r="J14" s="2770"/>
      <c r="K14" s="2818"/>
      <c r="L14" s="2467"/>
      <c r="M14" s="2818"/>
      <c r="N14" s="2467"/>
      <c r="O14" s="2465"/>
      <c r="P14" s="2514"/>
      <c r="Q14" s="2823"/>
      <c r="R14" s="2776"/>
      <c r="S14" s="2808"/>
      <c r="T14" s="2809"/>
      <c r="U14" s="2773"/>
      <c r="V14" s="1855" t="s">
        <v>2877</v>
      </c>
      <c r="W14" s="1852">
        <v>15400000</v>
      </c>
      <c r="X14" s="1617" t="s">
        <v>2872</v>
      </c>
      <c r="Y14" s="1853">
        <v>20</v>
      </c>
      <c r="Z14" s="1854" t="s">
        <v>694</v>
      </c>
      <c r="AA14" s="2802"/>
      <c r="AB14" s="2802"/>
      <c r="AC14" s="2802"/>
      <c r="AD14" s="2802"/>
      <c r="AE14" s="2802"/>
      <c r="AF14" s="2802"/>
      <c r="AG14" s="2802"/>
      <c r="AH14" s="2802"/>
      <c r="AI14" s="2802"/>
      <c r="AJ14" s="2802"/>
      <c r="AK14" s="2802"/>
      <c r="AL14" s="2802"/>
      <c r="AM14" s="2802"/>
      <c r="AN14" s="2802"/>
      <c r="AO14" s="2802"/>
      <c r="AP14" s="2802"/>
      <c r="AQ14" s="2805"/>
      <c r="AR14" s="2807"/>
      <c r="AS14" s="2807"/>
      <c r="AT14" s="2656"/>
    </row>
    <row r="15" spans="1:66" s="1849" customFormat="1" ht="45.95" customHeight="1" x14ac:dyDescent="0.25">
      <c r="A15" s="2676"/>
      <c r="B15" s="2548"/>
      <c r="C15" s="1850"/>
      <c r="D15" s="1851"/>
      <c r="E15" s="2761"/>
      <c r="F15" s="2761"/>
      <c r="G15" s="2611"/>
      <c r="H15" s="2770"/>
      <c r="I15" s="2611"/>
      <c r="J15" s="2770"/>
      <c r="K15" s="2818"/>
      <c r="L15" s="2467"/>
      <c r="M15" s="2818"/>
      <c r="N15" s="2467"/>
      <c r="O15" s="2465"/>
      <c r="P15" s="2514"/>
      <c r="Q15" s="2823"/>
      <c r="R15" s="2776"/>
      <c r="S15" s="2808"/>
      <c r="T15" s="2809"/>
      <c r="U15" s="2773"/>
      <c r="V15" s="2798" t="s">
        <v>2878</v>
      </c>
      <c r="W15" s="1852">
        <v>15400000</v>
      </c>
      <c r="X15" s="1617" t="s">
        <v>2872</v>
      </c>
      <c r="Y15" s="1853">
        <v>20</v>
      </c>
      <c r="Z15" s="1854" t="s">
        <v>694</v>
      </c>
      <c r="AA15" s="2802"/>
      <c r="AB15" s="2802"/>
      <c r="AC15" s="2802"/>
      <c r="AD15" s="2802"/>
      <c r="AE15" s="2802"/>
      <c r="AF15" s="2802"/>
      <c r="AG15" s="2802"/>
      <c r="AH15" s="2802"/>
      <c r="AI15" s="2802"/>
      <c r="AJ15" s="2802"/>
      <c r="AK15" s="2802"/>
      <c r="AL15" s="2802"/>
      <c r="AM15" s="2802"/>
      <c r="AN15" s="2802"/>
      <c r="AO15" s="2802"/>
      <c r="AP15" s="2802"/>
      <c r="AQ15" s="2805"/>
      <c r="AR15" s="2807"/>
      <c r="AS15" s="2807"/>
      <c r="AT15" s="2656"/>
    </row>
    <row r="16" spans="1:66" s="1849" customFormat="1" ht="45.95" customHeight="1" x14ac:dyDescent="0.25">
      <c r="A16" s="2676"/>
      <c r="B16" s="2548"/>
      <c r="C16" s="1850"/>
      <c r="D16" s="1851"/>
      <c r="E16" s="2761"/>
      <c r="F16" s="2761"/>
      <c r="G16" s="2611"/>
      <c r="H16" s="2770"/>
      <c r="I16" s="2611"/>
      <c r="J16" s="2770"/>
      <c r="K16" s="2818"/>
      <c r="L16" s="2467"/>
      <c r="M16" s="2818"/>
      <c r="N16" s="2467"/>
      <c r="O16" s="2465"/>
      <c r="P16" s="2514"/>
      <c r="Q16" s="2823"/>
      <c r="R16" s="2776"/>
      <c r="S16" s="2808"/>
      <c r="T16" s="2809"/>
      <c r="U16" s="2773"/>
      <c r="V16" s="2799"/>
      <c r="W16" s="1852">
        <v>10000000</v>
      </c>
      <c r="X16" s="1617" t="s">
        <v>2875</v>
      </c>
      <c r="Y16" s="1853">
        <v>88</v>
      </c>
      <c r="Z16" s="1854" t="s">
        <v>2876</v>
      </c>
      <c r="AA16" s="2802"/>
      <c r="AB16" s="2802"/>
      <c r="AC16" s="2802"/>
      <c r="AD16" s="2802"/>
      <c r="AE16" s="2802"/>
      <c r="AF16" s="2802"/>
      <c r="AG16" s="2802"/>
      <c r="AH16" s="2802"/>
      <c r="AI16" s="2802"/>
      <c r="AJ16" s="2802"/>
      <c r="AK16" s="2802"/>
      <c r="AL16" s="2802"/>
      <c r="AM16" s="2802"/>
      <c r="AN16" s="2802"/>
      <c r="AO16" s="2802"/>
      <c r="AP16" s="2802"/>
      <c r="AQ16" s="2805"/>
      <c r="AR16" s="2807"/>
      <c r="AS16" s="2807"/>
      <c r="AT16" s="2656"/>
    </row>
    <row r="17" spans="1:46" s="1849" customFormat="1" ht="42.75" customHeight="1" x14ac:dyDescent="0.25">
      <c r="A17" s="2676"/>
      <c r="B17" s="2548"/>
      <c r="C17" s="1850"/>
      <c r="D17" s="1851"/>
      <c r="E17" s="2761"/>
      <c r="F17" s="2761"/>
      <c r="G17" s="2611"/>
      <c r="H17" s="2770"/>
      <c r="I17" s="2611"/>
      <c r="J17" s="2770"/>
      <c r="K17" s="2818"/>
      <c r="L17" s="2467"/>
      <c r="M17" s="2818"/>
      <c r="N17" s="2467"/>
      <c r="O17" s="2465"/>
      <c r="P17" s="2514"/>
      <c r="Q17" s="2823"/>
      <c r="R17" s="2776"/>
      <c r="S17" s="2808"/>
      <c r="T17" s="2809"/>
      <c r="U17" s="2773"/>
      <c r="V17" s="1856" t="s">
        <v>2879</v>
      </c>
      <c r="W17" s="1852">
        <v>2000000</v>
      </c>
      <c r="X17" s="1617" t="s">
        <v>2880</v>
      </c>
      <c r="Y17" s="1853">
        <v>20</v>
      </c>
      <c r="Z17" s="1854" t="s">
        <v>694</v>
      </c>
      <c r="AA17" s="2802"/>
      <c r="AB17" s="2802"/>
      <c r="AC17" s="2802"/>
      <c r="AD17" s="2802"/>
      <c r="AE17" s="2802"/>
      <c r="AF17" s="2802"/>
      <c r="AG17" s="2802"/>
      <c r="AH17" s="2802"/>
      <c r="AI17" s="2802"/>
      <c r="AJ17" s="2802"/>
      <c r="AK17" s="2802"/>
      <c r="AL17" s="2802"/>
      <c r="AM17" s="2802"/>
      <c r="AN17" s="2802"/>
      <c r="AO17" s="2802"/>
      <c r="AP17" s="2802"/>
      <c r="AQ17" s="2805"/>
      <c r="AR17" s="2807"/>
      <c r="AS17" s="2807"/>
      <c r="AT17" s="2656"/>
    </row>
    <row r="18" spans="1:46" s="1849" customFormat="1" ht="60" customHeight="1" x14ac:dyDescent="0.25">
      <c r="A18" s="2676"/>
      <c r="B18" s="2548"/>
      <c r="C18" s="1850"/>
      <c r="D18" s="1851"/>
      <c r="E18" s="2761"/>
      <c r="F18" s="2761"/>
      <c r="G18" s="2611"/>
      <c r="H18" s="2770"/>
      <c r="I18" s="2611"/>
      <c r="J18" s="2770"/>
      <c r="K18" s="2818"/>
      <c r="L18" s="2467"/>
      <c r="M18" s="2818"/>
      <c r="N18" s="2467"/>
      <c r="O18" s="2465"/>
      <c r="P18" s="2514"/>
      <c r="Q18" s="2823"/>
      <c r="R18" s="2776"/>
      <c r="S18" s="2808"/>
      <c r="T18" s="2809"/>
      <c r="U18" s="2773"/>
      <c r="V18" s="1857" t="s">
        <v>2881</v>
      </c>
      <c r="W18" s="1852">
        <v>3000000</v>
      </c>
      <c r="X18" s="1617" t="s">
        <v>2880</v>
      </c>
      <c r="Y18" s="1853">
        <v>20</v>
      </c>
      <c r="Z18" s="1854" t="s">
        <v>694</v>
      </c>
      <c r="AA18" s="2802"/>
      <c r="AB18" s="2802"/>
      <c r="AC18" s="2802"/>
      <c r="AD18" s="2802"/>
      <c r="AE18" s="2802"/>
      <c r="AF18" s="2802"/>
      <c r="AG18" s="2802"/>
      <c r="AH18" s="2802"/>
      <c r="AI18" s="2802"/>
      <c r="AJ18" s="2802"/>
      <c r="AK18" s="2802"/>
      <c r="AL18" s="2802"/>
      <c r="AM18" s="2802"/>
      <c r="AN18" s="2802"/>
      <c r="AO18" s="2802"/>
      <c r="AP18" s="2802"/>
      <c r="AQ18" s="2805"/>
      <c r="AR18" s="2807"/>
      <c r="AS18" s="2807"/>
      <c r="AT18" s="2656"/>
    </row>
    <row r="19" spans="1:46" s="1849" customFormat="1" ht="74.25" customHeight="1" x14ac:dyDescent="0.25">
      <c r="A19" s="2676"/>
      <c r="B19" s="2548"/>
      <c r="C19" s="1850"/>
      <c r="D19" s="1851"/>
      <c r="E19" s="2761"/>
      <c r="F19" s="2761"/>
      <c r="G19" s="2611"/>
      <c r="H19" s="2770"/>
      <c r="I19" s="2611"/>
      <c r="J19" s="2770"/>
      <c r="K19" s="2818"/>
      <c r="L19" s="2467"/>
      <c r="M19" s="2818"/>
      <c r="N19" s="2467"/>
      <c r="O19" s="2465"/>
      <c r="P19" s="2514"/>
      <c r="Q19" s="2823"/>
      <c r="R19" s="2776"/>
      <c r="S19" s="2808"/>
      <c r="T19" s="2809"/>
      <c r="U19" s="2773"/>
      <c r="V19" s="1857" t="s">
        <v>2882</v>
      </c>
      <c r="W19" s="1852">
        <v>2800000</v>
      </c>
      <c r="X19" s="1617" t="s">
        <v>2872</v>
      </c>
      <c r="Y19" s="1858">
        <v>20</v>
      </c>
      <c r="Z19" s="1859" t="s">
        <v>694</v>
      </c>
      <c r="AA19" s="2802"/>
      <c r="AB19" s="2802"/>
      <c r="AC19" s="2802"/>
      <c r="AD19" s="2802"/>
      <c r="AE19" s="2802"/>
      <c r="AF19" s="2802"/>
      <c r="AG19" s="2802"/>
      <c r="AH19" s="2802"/>
      <c r="AI19" s="2802"/>
      <c r="AJ19" s="2802"/>
      <c r="AK19" s="2802"/>
      <c r="AL19" s="2802"/>
      <c r="AM19" s="2802"/>
      <c r="AN19" s="2802"/>
      <c r="AO19" s="2802"/>
      <c r="AP19" s="2802"/>
      <c r="AQ19" s="2805"/>
      <c r="AR19" s="2807"/>
      <c r="AS19" s="2807"/>
      <c r="AT19" s="2656"/>
    </row>
    <row r="20" spans="1:46" s="1849" customFormat="1" ht="57" customHeight="1" x14ac:dyDescent="0.25">
      <c r="A20" s="2676"/>
      <c r="B20" s="2548"/>
      <c r="C20" s="1850"/>
      <c r="D20" s="1851"/>
      <c r="E20" s="2761"/>
      <c r="F20" s="2762"/>
      <c r="G20" s="2611"/>
      <c r="H20" s="2790"/>
      <c r="I20" s="2611"/>
      <c r="J20" s="2790"/>
      <c r="K20" s="2819"/>
      <c r="L20" s="2795"/>
      <c r="M20" s="2819"/>
      <c r="N20" s="2795"/>
      <c r="O20" s="2820"/>
      <c r="P20" s="2821"/>
      <c r="Q20" s="2824"/>
      <c r="R20" s="2776"/>
      <c r="S20" s="2808"/>
      <c r="T20" s="2809"/>
      <c r="U20" s="2797"/>
      <c r="V20" s="1860" t="s">
        <v>2883</v>
      </c>
      <c r="W20" s="1852">
        <v>60000000</v>
      </c>
      <c r="X20" s="1617" t="s">
        <v>2872</v>
      </c>
      <c r="Y20" s="1861">
        <v>20</v>
      </c>
      <c r="Z20" s="1862" t="s">
        <v>694</v>
      </c>
      <c r="AA20" s="2803"/>
      <c r="AB20" s="2803"/>
      <c r="AC20" s="2803"/>
      <c r="AD20" s="2803"/>
      <c r="AE20" s="2803"/>
      <c r="AF20" s="2803"/>
      <c r="AG20" s="2803"/>
      <c r="AH20" s="2803"/>
      <c r="AI20" s="2803"/>
      <c r="AJ20" s="2803"/>
      <c r="AK20" s="2803"/>
      <c r="AL20" s="2803"/>
      <c r="AM20" s="2803"/>
      <c r="AN20" s="2803"/>
      <c r="AO20" s="2803"/>
      <c r="AP20" s="2803"/>
      <c r="AQ20" s="2805"/>
      <c r="AR20" s="2807"/>
      <c r="AS20" s="2807"/>
      <c r="AT20" s="2656"/>
    </row>
    <row r="21" spans="1:46" s="1849" customFormat="1" ht="35.1" customHeight="1" x14ac:dyDescent="0.25">
      <c r="A21" s="2676"/>
      <c r="B21" s="2548"/>
      <c r="C21" s="1850"/>
      <c r="D21" s="1851"/>
      <c r="E21" s="1863">
        <v>1203</v>
      </c>
      <c r="F21" s="2783" t="s">
        <v>2884</v>
      </c>
      <c r="G21" s="2784"/>
      <c r="H21" s="2784"/>
      <c r="I21" s="2784"/>
      <c r="J21" s="2784"/>
      <c r="K21" s="2784"/>
      <c r="L21" s="2784"/>
      <c r="M21" s="2784"/>
      <c r="N21" s="2784"/>
      <c r="O21" s="1205"/>
      <c r="P21" s="1207"/>
      <c r="Q21" s="1220"/>
      <c r="R21" s="1844"/>
      <c r="S21" s="1845"/>
      <c r="T21" s="1220"/>
      <c r="U21" s="1220"/>
      <c r="V21" s="1220"/>
      <c r="W21" s="1864"/>
      <c r="X21" s="1865"/>
      <c r="Y21" s="1205"/>
      <c r="Z21" s="1866"/>
      <c r="AA21" s="1844"/>
      <c r="AB21" s="1844"/>
      <c r="AC21" s="1844"/>
      <c r="AD21" s="1844"/>
      <c r="AE21" s="1844"/>
      <c r="AF21" s="1844"/>
      <c r="AG21" s="1844"/>
      <c r="AH21" s="1844"/>
      <c r="AI21" s="1844"/>
      <c r="AJ21" s="1844"/>
      <c r="AK21" s="1844"/>
      <c r="AL21" s="1844"/>
      <c r="AM21" s="1844"/>
      <c r="AN21" s="1844"/>
      <c r="AO21" s="1844"/>
      <c r="AP21" s="1844"/>
      <c r="AQ21" s="2785"/>
      <c r="AR21" s="2785"/>
      <c r="AS21" s="2785"/>
      <c r="AT21" s="2786"/>
    </row>
    <row r="22" spans="1:46" s="1849" customFormat="1" ht="36.75" customHeight="1" x14ac:dyDescent="0.25">
      <c r="A22" s="2676"/>
      <c r="B22" s="2548"/>
      <c r="C22" s="1850"/>
      <c r="D22" s="1851"/>
      <c r="E22" s="2761"/>
      <c r="F22" s="2787"/>
      <c r="G22" s="2788">
        <v>1203002</v>
      </c>
      <c r="H22" s="2789" t="s">
        <v>2885</v>
      </c>
      <c r="I22" s="2788">
        <v>1203002</v>
      </c>
      <c r="J22" s="2789" t="s">
        <v>2885</v>
      </c>
      <c r="K22" s="2791">
        <v>120300200</v>
      </c>
      <c r="L22" s="2794" t="s">
        <v>2886</v>
      </c>
      <c r="M22" s="2791">
        <v>120300200</v>
      </c>
      <c r="N22" s="2794" t="s">
        <v>2886</v>
      </c>
      <c r="O22" s="2825">
        <v>40</v>
      </c>
      <c r="P22" s="2632" t="s">
        <v>2887</v>
      </c>
      <c r="Q22" s="2629" t="s">
        <v>2888</v>
      </c>
      <c r="R22" s="2780">
        <f>S22/SUM(W22:W24)</f>
        <v>1</v>
      </c>
      <c r="S22" s="2796">
        <f>SUM(W22:W24)</f>
        <v>69028401</v>
      </c>
      <c r="T22" s="2615" t="s">
        <v>2889</v>
      </c>
      <c r="U22" s="2772" t="s">
        <v>2890</v>
      </c>
      <c r="V22" s="2798" t="s">
        <v>2891</v>
      </c>
      <c r="W22" s="1669">
        <v>7000000</v>
      </c>
      <c r="X22" s="1617" t="s">
        <v>2892</v>
      </c>
      <c r="Y22" s="1861">
        <v>20</v>
      </c>
      <c r="Z22" s="1867" t="s">
        <v>694</v>
      </c>
      <c r="AA22" s="2800">
        <v>291786</v>
      </c>
      <c r="AB22" s="2779">
        <v>270331</v>
      </c>
      <c r="AC22" s="2779">
        <v>102045</v>
      </c>
      <c r="AD22" s="2779">
        <v>39183</v>
      </c>
      <c r="AE22" s="2779">
        <v>310195</v>
      </c>
      <c r="AF22" s="2779">
        <v>110694</v>
      </c>
      <c r="AG22" s="2779">
        <v>2145</v>
      </c>
      <c r="AH22" s="2779">
        <v>12718</v>
      </c>
      <c r="AI22" s="2779">
        <v>26</v>
      </c>
      <c r="AJ22" s="2779">
        <v>37</v>
      </c>
      <c r="AK22" s="2779">
        <v>0</v>
      </c>
      <c r="AL22" s="2779">
        <v>0</v>
      </c>
      <c r="AM22" s="2779">
        <v>44350</v>
      </c>
      <c r="AN22" s="2779">
        <v>21944</v>
      </c>
      <c r="AO22" s="2779">
        <v>75687</v>
      </c>
      <c r="AP22" s="2779">
        <f>+AA22+AB22</f>
        <v>562117</v>
      </c>
      <c r="AQ22" s="2300" t="s">
        <v>2873</v>
      </c>
      <c r="AR22" s="2558">
        <v>44211</v>
      </c>
      <c r="AS22" s="2558">
        <v>44560</v>
      </c>
      <c r="AT22" s="2687" t="s">
        <v>2874</v>
      </c>
    </row>
    <row r="23" spans="1:46" s="1849" customFormat="1" ht="108" customHeight="1" x14ac:dyDescent="0.25">
      <c r="A23" s="2676"/>
      <c r="B23" s="2548"/>
      <c r="C23" s="1850"/>
      <c r="D23" s="1851"/>
      <c r="E23" s="2761"/>
      <c r="F23" s="2761"/>
      <c r="G23" s="2788"/>
      <c r="H23" s="2770"/>
      <c r="I23" s="2788"/>
      <c r="J23" s="2770"/>
      <c r="K23" s="2792"/>
      <c r="L23" s="2467"/>
      <c r="M23" s="2792"/>
      <c r="N23" s="2467"/>
      <c r="O23" s="2631"/>
      <c r="P23" s="2631"/>
      <c r="Q23" s="2628"/>
      <c r="R23" s="2781"/>
      <c r="S23" s="2796"/>
      <c r="T23" s="2613"/>
      <c r="U23" s="2773"/>
      <c r="V23" s="2799"/>
      <c r="W23" s="1669">
        <v>33028401</v>
      </c>
      <c r="X23" s="1617" t="s">
        <v>2893</v>
      </c>
      <c r="Y23" s="1853">
        <v>88</v>
      </c>
      <c r="Z23" s="1868" t="s">
        <v>2876</v>
      </c>
      <c r="AA23" s="2800"/>
      <c r="AB23" s="2779"/>
      <c r="AC23" s="2779"/>
      <c r="AD23" s="2779"/>
      <c r="AE23" s="2779"/>
      <c r="AF23" s="2779"/>
      <c r="AG23" s="2779"/>
      <c r="AH23" s="2779"/>
      <c r="AI23" s="2779"/>
      <c r="AJ23" s="2779"/>
      <c r="AK23" s="2779"/>
      <c r="AL23" s="2779"/>
      <c r="AM23" s="2779"/>
      <c r="AN23" s="2779"/>
      <c r="AO23" s="2779"/>
      <c r="AP23" s="2779"/>
      <c r="AQ23" s="2300"/>
      <c r="AR23" s="2558"/>
      <c r="AS23" s="2558"/>
      <c r="AT23" s="2687"/>
    </row>
    <row r="24" spans="1:46" s="1849" customFormat="1" ht="65.25" customHeight="1" x14ac:dyDescent="0.25">
      <c r="A24" s="2676"/>
      <c r="B24" s="2548"/>
      <c r="C24" s="1850"/>
      <c r="D24" s="1851"/>
      <c r="E24" s="2761"/>
      <c r="F24" s="2762"/>
      <c r="G24" s="2788"/>
      <c r="H24" s="2790"/>
      <c r="I24" s="2788"/>
      <c r="J24" s="2790"/>
      <c r="K24" s="2793"/>
      <c r="L24" s="2795"/>
      <c r="M24" s="2793"/>
      <c r="N24" s="2795"/>
      <c r="O24" s="2826"/>
      <c r="P24" s="2630"/>
      <c r="Q24" s="2627"/>
      <c r="R24" s="2782"/>
      <c r="S24" s="2796"/>
      <c r="T24" s="2612"/>
      <c r="U24" s="2797"/>
      <c r="V24" s="1855" t="s">
        <v>2894</v>
      </c>
      <c r="W24" s="1669">
        <v>29000000</v>
      </c>
      <c r="X24" s="1617" t="s">
        <v>2892</v>
      </c>
      <c r="Y24" s="1861">
        <v>20</v>
      </c>
      <c r="Z24" s="1867" t="s">
        <v>694</v>
      </c>
      <c r="AA24" s="2800"/>
      <c r="AB24" s="2779"/>
      <c r="AC24" s="2779"/>
      <c r="AD24" s="2779"/>
      <c r="AE24" s="2779"/>
      <c r="AF24" s="2779"/>
      <c r="AG24" s="2779"/>
      <c r="AH24" s="2779"/>
      <c r="AI24" s="2779"/>
      <c r="AJ24" s="2779"/>
      <c r="AK24" s="2779"/>
      <c r="AL24" s="2779"/>
      <c r="AM24" s="2779"/>
      <c r="AN24" s="2779"/>
      <c r="AO24" s="2779"/>
      <c r="AP24" s="2779"/>
      <c r="AQ24" s="2300"/>
      <c r="AR24" s="2558"/>
      <c r="AS24" s="2558"/>
      <c r="AT24" s="2687"/>
    </row>
    <row r="25" spans="1:46" s="1849" customFormat="1" ht="32.1" customHeight="1" x14ac:dyDescent="0.25">
      <c r="A25" s="2676"/>
      <c r="B25" s="2548"/>
      <c r="C25" s="1850"/>
      <c r="D25" s="1851"/>
      <c r="E25" s="1863">
        <v>1206</v>
      </c>
      <c r="F25" s="2697" t="s">
        <v>2895</v>
      </c>
      <c r="G25" s="2091"/>
      <c r="H25" s="2091"/>
      <c r="I25" s="2091"/>
      <c r="J25" s="2091"/>
      <c r="K25" s="2091"/>
      <c r="L25" s="2091"/>
      <c r="M25" s="2091"/>
      <c r="N25" s="2091"/>
      <c r="O25" s="1207"/>
      <c r="P25" s="1844"/>
      <c r="Q25" s="1220"/>
      <c r="R25" s="1844"/>
      <c r="S25" s="1845"/>
      <c r="T25" s="1220"/>
      <c r="U25" s="1220"/>
      <c r="V25" s="1220"/>
      <c r="W25" s="1864"/>
      <c r="X25" s="1865"/>
      <c r="Y25" s="1205"/>
      <c r="Z25" s="1204"/>
      <c r="AA25" s="1844"/>
      <c r="AB25" s="1844"/>
      <c r="AC25" s="1844"/>
      <c r="AD25" s="1844"/>
      <c r="AE25" s="1844"/>
      <c r="AF25" s="1844"/>
      <c r="AG25" s="1844"/>
      <c r="AH25" s="1844"/>
      <c r="AI25" s="1844"/>
      <c r="AJ25" s="1844"/>
      <c r="AK25" s="1844"/>
      <c r="AL25" s="1844"/>
      <c r="AM25" s="1844"/>
      <c r="AN25" s="1844"/>
      <c r="AO25" s="1844"/>
      <c r="AP25" s="1844"/>
      <c r="AQ25" s="2680"/>
      <c r="AR25" s="2680"/>
      <c r="AS25" s="2680"/>
      <c r="AT25" s="2680"/>
    </row>
    <row r="26" spans="1:46" s="1849" customFormat="1" ht="93" customHeight="1" x14ac:dyDescent="0.25">
      <c r="A26" s="2676"/>
      <c r="B26" s="2548"/>
      <c r="C26" s="1850"/>
      <c r="D26" s="1851"/>
      <c r="E26" s="2761"/>
      <c r="F26" s="2761"/>
      <c r="G26" s="2763">
        <v>1206005</v>
      </c>
      <c r="H26" s="2613" t="s">
        <v>2896</v>
      </c>
      <c r="I26" s="2763">
        <v>1206005</v>
      </c>
      <c r="J26" s="2613" t="s">
        <v>2896</v>
      </c>
      <c r="K26" s="2766">
        <v>120600500</v>
      </c>
      <c r="L26" s="2628" t="s">
        <v>2897</v>
      </c>
      <c r="M26" s="2766">
        <v>120600500</v>
      </c>
      <c r="N26" s="2628" t="s">
        <v>2897</v>
      </c>
      <c r="O26" s="2464">
        <v>20</v>
      </c>
      <c r="P26" s="2632" t="s">
        <v>2898</v>
      </c>
      <c r="Q26" s="2775" t="s">
        <v>2899</v>
      </c>
      <c r="R26" s="2776">
        <f>S26/SUM(W26:W30)</f>
        <v>1</v>
      </c>
      <c r="S26" s="2768">
        <f>SUM(W26:W30)</f>
        <v>36000000</v>
      </c>
      <c r="T26" s="2769" t="s">
        <v>2900</v>
      </c>
      <c r="U26" s="2772" t="s">
        <v>2901</v>
      </c>
      <c r="V26" s="1869" t="s">
        <v>2902</v>
      </c>
      <c r="W26" s="1669">
        <v>20000000</v>
      </c>
      <c r="X26" s="1617" t="s">
        <v>2903</v>
      </c>
      <c r="Y26" s="1870">
        <v>20</v>
      </c>
      <c r="Z26" s="1871" t="s">
        <v>694</v>
      </c>
      <c r="AA26" s="2758">
        <v>290</v>
      </c>
      <c r="AB26" s="2758">
        <v>1260</v>
      </c>
      <c r="AC26" s="2758">
        <v>0</v>
      </c>
      <c r="AD26" s="2758">
        <v>150</v>
      </c>
      <c r="AE26" s="2758">
        <v>1350</v>
      </c>
      <c r="AF26" s="2758">
        <v>50</v>
      </c>
      <c r="AG26" s="2758">
        <v>0</v>
      </c>
      <c r="AH26" s="2758">
        <v>0</v>
      </c>
      <c r="AI26" s="2758">
        <v>0</v>
      </c>
      <c r="AJ26" s="2758">
        <v>0</v>
      </c>
      <c r="AK26" s="2758">
        <v>0</v>
      </c>
      <c r="AL26" s="2758">
        <v>0</v>
      </c>
      <c r="AM26" s="2758">
        <v>0</v>
      </c>
      <c r="AN26" s="2758">
        <v>0</v>
      </c>
      <c r="AO26" s="2758">
        <v>0</v>
      </c>
      <c r="AP26" s="2758">
        <f>+AA26+AB26</f>
        <v>1550</v>
      </c>
      <c r="AQ26" s="2777" t="s">
        <v>2873</v>
      </c>
      <c r="AR26" s="2750">
        <v>44198</v>
      </c>
      <c r="AS26" s="2750">
        <v>44560</v>
      </c>
      <c r="AT26" s="2656" t="s">
        <v>2874</v>
      </c>
    </row>
    <row r="27" spans="1:46" s="1849" customFormat="1" ht="93" customHeight="1" x14ac:dyDescent="0.25">
      <c r="A27" s="2676"/>
      <c r="B27" s="2548"/>
      <c r="C27" s="1850"/>
      <c r="D27" s="1851"/>
      <c r="E27" s="2761"/>
      <c r="F27" s="2761"/>
      <c r="G27" s="2764"/>
      <c r="H27" s="2613"/>
      <c r="I27" s="2764"/>
      <c r="J27" s="2613"/>
      <c r="K27" s="2766"/>
      <c r="L27" s="2628"/>
      <c r="M27" s="2766"/>
      <c r="N27" s="2628"/>
      <c r="O27" s="2465"/>
      <c r="P27" s="2631"/>
      <c r="Q27" s="2775"/>
      <c r="R27" s="2776"/>
      <c r="S27" s="2768"/>
      <c r="T27" s="2770"/>
      <c r="U27" s="2773"/>
      <c r="V27" s="2752" t="s">
        <v>2904</v>
      </c>
      <c r="W27" s="1669">
        <v>10000000</v>
      </c>
      <c r="X27" s="1617" t="s">
        <v>2903</v>
      </c>
      <c r="Y27" s="2754">
        <v>20</v>
      </c>
      <c r="Z27" s="2755" t="s">
        <v>694</v>
      </c>
      <c r="AA27" s="2759"/>
      <c r="AB27" s="2759"/>
      <c r="AC27" s="2759"/>
      <c r="AD27" s="2759"/>
      <c r="AE27" s="2759"/>
      <c r="AF27" s="2759"/>
      <c r="AG27" s="2759"/>
      <c r="AH27" s="2759"/>
      <c r="AI27" s="2759"/>
      <c r="AJ27" s="2759"/>
      <c r="AK27" s="2759"/>
      <c r="AL27" s="2759"/>
      <c r="AM27" s="2759"/>
      <c r="AN27" s="2759"/>
      <c r="AO27" s="2759"/>
      <c r="AP27" s="2759"/>
      <c r="AQ27" s="2778"/>
      <c r="AR27" s="2751"/>
      <c r="AS27" s="2751"/>
      <c r="AT27" s="2656"/>
    </row>
    <row r="28" spans="1:46" s="1849" customFormat="1" ht="93" customHeight="1" x14ac:dyDescent="0.25">
      <c r="A28" s="2676"/>
      <c r="B28" s="2548"/>
      <c r="C28" s="1850"/>
      <c r="D28" s="1851"/>
      <c r="E28" s="2761"/>
      <c r="F28" s="2761"/>
      <c r="G28" s="2764"/>
      <c r="H28" s="2613"/>
      <c r="I28" s="2764"/>
      <c r="J28" s="2613"/>
      <c r="K28" s="2766"/>
      <c r="L28" s="2628"/>
      <c r="M28" s="2766"/>
      <c r="N28" s="2628"/>
      <c r="O28" s="2465"/>
      <c r="P28" s="2631"/>
      <c r="Q28" s="2775"/>
      <c r="R28" s="2776"/>
      <c r="S28" s="2768"/>
      <c r="T28" s="2770"/>
      <c r="U28" s="2773"/>
      <c r="V28" s="2753"/>
      <c r="W28" s="1669">
        <v>3000000</v>
      </c>
      <c r="X28" s="1617" t="s">
        <v>2905</v>
      </c>
      <c r="Y28" s="2754"/>
      <c r="Z28" s="2756"/>
      <c r="AA28" s="2759"/>
      <c r="AB28" s="2759"/>
      <c r="AC28" s="2759"/>
      <c r="AD28" s="2759"/>
      <c r="AE28" s="2759"/>
      <c r="AF28" s="2759"/>
      <c r="AG28" s="2759"/>
      <c r="AH28" s="2759"/>
      <c r="AI28" s="2759"/>
      <c r="AJ28" s="2759"/>
      <c r="AK28" s="2759"/>
      <c r="AL28" s="2759"/>
      <c r="AM28" s="2759"/>
      <c r="AN28" s="2759"/>
      <c r="AO28" s="2759"/>
      <c r="AP28" s="2759"/>
      <c r="AQ28" s="2778"/>
      <c r="AR28" s="2751"/>
      <c r="AS28" s="2751"/>
      <c r="AT28" s="2656"/>
    </row>
    <row r="29" spans="1:46" s="1849" customFormat="1" ht="33" customHeight="1" x14ac:dyDescent="0.25">
      <c r="A29" s="2676"/>
      <c r="B29" s="2548"/>
      <c r="C29" s="1850"/>
      <c r="D29" s="1851"/>
      <c r="E29" s="2761"/>
      <c r="F29" s="2761"/>
      <c r="G29" s="2764"/>
      <c r="H29" s="2613"/>
      <c r="I29" s="2764"/>
      <c r="J29" s="2613"/>
      <c r="K29" s="2766"/>
      <c r="L29" s="2628"/>
      <c r="M29" s="2766"/>
      <c r="N29" s="2628"/>
      <c r="O29" s="2465"/>
      <c r="P29" s="2631"/>
      <c r="Q29" s="2775"/>
      <c r="R29" s="2776"/>
      <c r="S29" s="2768"/>
      <c r="T29" s="2770"/>
      <c r="U29" s="2773"/>
      <c r="V29" s="2753"/>
      <c r="W29" s="1669">
        <v>2900000</v>
      </c>
      <c r="X29" s="1617" t="s">
        <v>2906</v>
      </c>
      <c r="Y29" s="2754"/>
      <c r="Z29" s="2757"/>
      <c r="AA29" s="2759"/>
      <c r="AB29" s="2759"/>
      <c r="AC29" s="2759"/>
      <c r="AD29" s="2759"/>
      <c r="AE29" s="2759"/>
      <c r="AF29" s="2759"/>
      <c r="AG29" s="2759"/>
      <c r="AH29" s="2759"/>
      <c r="AI29" s="2759"/>
      <c r="AJ29" s="2759"/>
      <c r="AK29" s="2759"/>
      <c r="AL29" s="2759"/>
      <c r="AM29" s="2759"/>
      <c r="AN29" s="2759"/>
      <c r="AO29" s="2759"/>
      <c r="AP29" s="2759"/>
      <c r="AQ29" s="2778"/>
      <c r="AR29" s="2751"/>
      <c r="AS29" s="2751"/>
      <c r="AT29" s="2656"/>
    </row>
    <row r="30" spans="1:46" s="1849" customFormat="1" ht="63.95" customHeight="1" x14ac:dyDescent="0.25">
      <c r="A30" s="2676"/>
      <c r="B30" s="2548"/>
      <c r="C30" s="1872"/>
      <c r="D30" s="1873"/>
      <c r="E30" s="2762"/>
      <c r="F30" s="2762"/>
      <c r="G30" s="2764"/>
      <c r="H30" s="2765"/>
      <c r="I30" s="2764"/>
      <c r="J30" s="2612"/>
      <c r="K30" s="2767"/>
      <c r="L30" s="2627"/>
      <c r="M30" s="2767"/>
      <c r="N30" s="2627"/>
      <c r="O30" s="2479"/>
      <c r="P30" s="2630"/>
      <c r="Q30" s="2775"/>
      <c r="R30" s="2776"/>
      <c r="S30" s="2768"/>
      <c r="T30" s="2771"/>
      <c r="U30" s="2774"/>
      <c r="V30" s="1874" t="s">
        <v>2907</v>
      </c>
      <c r="W30" s="1669">
        <v>100000</v>
      </c>
      <c r="X30" s="1617" t="s">
        <v>2906</v>
      </c>
      <c r="Y30" s="1870">
        <v>20</v>
      </c>
      <c r="Z30" s="1871" t="s">
        <v>694</v>
      </c>
      <c r="AA30" s="2760"/>
      <c r="AB30" s="2760"/>
      <c r="AC30" s="2760"/>
      <c r="AD30" s="2760"/>
      <c r="AE30" s="2760"/>
      <c r="AF30" s="2760"/>
      <c r="AG30" s="2760"/>
      <c r="AH30" s="2760"/>
      <c r="AI30" s="2760"/>
      <c r="AJ30" s="2760"/>
      <c r="AK30" s="2760"/>
      <c r="AL30" s="2760"/>
      <c r="AM30" s="2760"/>
      <c r="AN30" s="2760"/>
      <c r="AO30" s="2760"/>
      <c r="AP30" s="2760"/>
      <c r="AQ30" s="2778"/>
      <c r="AR30" s="2751"/>
      <c r="AS30" s="2751"/>
      <c r="AT30" s="2656"/>
    </row>
    <row r="31" spans="1:46" s="1891" customFormat="1" ht="31.5" customHeight="1" x14ac:dyDescent="0.25">
      <c r="A31" s="329"/>
      <c r="B31" s="336"/>
      <c r="C31" s="1875">
        <v>22</v>
      </c>
      <c r="D31" s="2275" t="s">
        <v>407</v>
      </c>
      <c r="E31" s="2276"/>
      <c r="F31" s="2276"/>
      <c r="G31" s="2276"/>
      <c r="H31" s="1876"/>
      <c r="I31" s="1877"/>
      <c r="J31" s="1876"/>
      <c r="K31" s="1878"/>
      <c r="L31" s="1879"/>
      <c r="M31" s="1878"/>
      <c r="N31" s="1879"/>
      <c r="O31" s="1880"/>
      <c r="P31" s="1880"/>
      <c r="Q31" s="1881"/>
      <c r="R31" s="1882"/>
      <c r="S31" s="1883"/>
      <c r="T31" s="1876"/>
      <c r="U31" s="1884"/>
      <c r="V31" s="1885"/>
      <c r="W31" s="1886"/>
      <c r="X31" s="535"/>
      <c r="Y31" s="1887"/>
      <c r="Z31" s="1888"/>
      <c r="AA31" s="1889"/>
      <c r="AB31" s="1889"/>
      <c r="AC31" s="1889"/>
      <c r="AD31" s="1889"/>
      <c r="AE31" s="1889"/>
      <c r="AF31" s="1889"/>
      <c r="AG31" s="1889"/>
      <c r="AH31" s="1889"/>
      <c r="AI31" s="1889"/>
      <c r="AJ31" s="1889"/>
      <c r="AK31" s="1889"/>
      <c r="AL31" s="1889"/>
      <c r="AM31" s="1889"/>
      <c r="AN31" s="1889"/>
      <c r="AO31" s="1889"/>
      <c r="AP31" s="1890"/>
      <c r="AQ31" s="2743"/>
      <c r="AR31" s="2743"/>
      <c r="AS31" s="2743"/>
      <c r="AT31" s="2743"/>
    </row>
    <row r="32" spans="1:46" s="1849" customFormat="1" ht="39.950000000000003" customHeight="1" x14ac:dyDescent="0.25">
      <c r="A32" s="1892"/>
      <c r="B32" s="1851"/>
      <c r="C32" s="1850"/>
      <c r="D32" s="1842"/>
      <c r="E32" s="1271">
        <v>2201</v>
      </c>
      <c r="F32" s="2090" t="s">
        <v>2476</v>
      </c>
      <c r="G32" s="2091"/>
      <c r="H32" s="2091"/>
      <c r="I32" s="2091"/>
      <c r="J32" s="2091"/>
      <c r="K32" s="2091"/>
      <c r="L32" s="2091"/>
      <c r="M32" s="2091"/>
      <c r="N32" s="2091"/>
      <c r="O32" s="1844"/>
      <c r="P32" s="1844"/>
      <c r="Q32" s="1220"/>
      <c r="R32" s="1844"/>
      <c r="S32" s="1845"/>
      <c r="T32" s="1220"/>
      <c r="U32" s="1220"/>
      <c r="V32" s="1220"/>
      <c r="W32" s="1864"/>
      <c r="X32" s="1865"/>
      <c r="Y32" s="1847"/>
      <c r="Z32" s="1893"/>
      <c r="AA32" s="1844"/>
      <c r="AB32" s="1844"/>
      <c r="AC32" s="1844"/>
      <c r="AD32" s="1844"/>
      <c r="AE32" s="1844"/>
      <c r="AF32" s="1844"/>
      <c r="AG32" s="1844"/>
      <c r="AH32" s="1844"/>
      <c r="AI32" s="1844"/>
      <c r="AJ32" s="1844"/>
      <c r="AK32" s="1844"/>
      <c r="AL32" s="1844"/>
      <c r="AM32" s="1844"/>
      <c r="AN32" s="1844"/>
      <c r="AO32" s="1844"/>
      <c r="AP32" s="1844"/>
      <c r="AQ32" s="2744"/>
      <c r="AR32" s="2744"/>
      <c r="AS32" s="2744"/>
      <c r="AT32" s="2745"/>
    </row>
    <row r="33" spans="1:46" s="1849" customFormat="1" ht="53.25" customHeight="1" x14ac:dyDescent="0.25">
      <c r="A33" s="1892"/>
      <c r="B33" s="1851"/>
      <c r="C33" s="1850"/>
      <c r="D33" s="1851"/>
      <c r="E33" s="2553"/>
      <c r="F33" s="2553"/>
      <c r="G33" s="2530">
        <v>2201068</v>
      </c>
      <c r="H33" s="2516" t="s">
        <v>2579</v>
      </c>
      <c r="I33" s="2530">
        <v>2201068</v>
      </c>
      <c r="J33" s="2516" t="s">
        <v>2579</v>
      </c>
      <c r="K33" s="2522">
        <v>220106800</v>
      </c>
      <c r="L33" s="2517" t="s">
        <v>2580</v>
      </c>
      <c r="M33" s="2522">
        <v>220106800</v>
      </c>
      <c r="N33" s="2517" t="s">
        <v>2580</v>
      </c>
      <c r="O33" s="2714">
        <v>70</v>
      </c>
      <c r="P33" s="2714" t="s">
        <v>2908</v>
      </c>
      <c r="Q33" s="2193" t="s">
        <v>2909</v>
      </c>
      <c r="R33" s="2746">
        <f>SUM(W33:W38)/S33</f>
        <v>1</v>
      </c>
      <c r="S33" s="2701">
        <f>SUM(W33:W38)</f>
        <v>124287500</v>
      </c>
      <c r="T33" s="2193" t="s">
        <v>2910</v>
      </c>
      <c r="U33" s="2193" t="s">
        <v>2911</v>
      </c>
      <c r="V33" s="2748" t="s">
        <v>2912</v>
      </c>
      <c r="W33" s="1852">
        <f>14000000-2200000</f>
        <v>11800000</v>
      </c>
      <c r="X33" s="1617" t="s">
        <v>2913</v>
      </c>
      <c r="Y33" s="1894">
        <v>20</v>
      </c>
      <c r="Z33" s="1618" t="s">
        <v>694</v>
      </c>
      <c r="AA33" s="2604">
        <v>19507</v>
      </c>
      <c r="AB33" s="2565">
        <v>19809</v>
      </c>
      <c r="AC33" s="2565">
        <v>27714</v>
      </c>
      <c r="AD33" s="2565">
        <v>10230</v>
      </c>
      <c r="AE33" s="2565">
        <v>1292</v>
      </c>
      <c r="AF33" s="2565">
        <v>80</v>
      </c>
      <c r="AG33" s="2565">
        <v>291</v>
      </c>
      <c r="AH33" s="2565">
        <v>334</v>
      </c>
      <c r="AI33" s="2565">
        <v>0</v>
      </c>
      <c r="AJ33" s="2565">
        <v>0</v>
      </c>
      <c r="AK33" s="2565">
        <v>0</v>
      </c>
      <c r="AL33" s="2565">
        <v>0</v>
      </c>
      <c r="AM33" s="2565">
        <v>3158</v>
      </c>
      <c r="AN33" s="2565">
        <v>2437</v>
      </c>
      <c r="AO33" s="2565">
        <v>990</v>
      </c>
      <c r="AP33" s="2565">
        <v>39316</v>
      </c>
      <c r="AQ33" s="2741" t="s">
        <v>2914</v>
      </c>
      <c r="AR33" s="2742">
        <v>44198</v>
      </c>
      <c r="AS33" s="2742">
        <v>44560</v>
      </c>
      <c r="AT33" s="2741" t="s">
        <v>2874</v>
      </c>
    </row>
    <row r="34" spans="1:46" s="1849" customFormat="1" ht="60" customHeight="1" x14ac:dyDescent="0.25">
      <c r="A34" s="1892"/>
      <c r="B34" s="1851"/>
      <c r="C34" s="1850"/>
      <c r="D34" s="1851"/>
      <c r="E34" s="2553"/>
      <c r="F34" s="2553"/>
      <c r="G34" s="2530"/>
      <c r="H34" s="2516"/>
      <c r="I34" s="2530"/>
      <c r="J34" s="2516"/>
      <c r="K34" s="2522"/>
      <c r="L34" s="2517"/>
      <c r="M34" s="2522"/>
      <c r="N34" s="2517"/>
      <c r="O34" s="2522"/>
      <c r="P34" s="2522"/>
      <c r="Q34" s="2517"/>
      <c r="R34" s="2747"/>
      <c r="S34" s="2652"/>
      <c r="T34" s="2517"/>
      <c r="U34" s="2517"/>
      <c r="V34" s="2749"/>
      <c r="W34" s="1852">
        <f>10000000+21217500</f>
        <v>31217500</v>
      </c>
      <c r="X34" s="1617" t="s">
        <v>2915</v>
      </c>
      <c r="Y34" s="1895">
        <v>88</v>
      </c>
      <c r="Z34" s="665" t="s">
        <v>2876</v>
      </c>
      <c r="AA34" s="2605"/>
      <c r="AB34" s="2566"/>
      <c r="AC34" s="2566"/>
      <c r="AD34" s="2566"/>
      <c r="AE34" s="2566"/>
      <c r="AF34" s="2566"/>
      <c r="AG34" s="2566"/>
      <c r="AH34" s="2566"/>
      <c r="AI34" s="2566"/>
      <c r="AJ34" s="2566"/>
      <c r="AK34" s="2566"/>
      <c r="AL34" s="2566"/>
      <c r="AM34" s="2566"/>
      <c r="AN34" s="2566"/>
      <c r="AO34" s="2566"/>
      <c r="AP34" s="2566"/>
      <c r="AQ34" s="2741"/>
      <c r="AR34" s="2742"/>
      <c r="AS34" s="2742"/>
      <c r="AT34" s="2741"/>
    </row>
    <row r="35" spans="1:46" s="1849" customFormat="1" ht="43.5" customHeight="1" x14ac:dyDescent="0.25">
      <c r="A35" s="1892"/>
      <c r="B35" s="1851"/>
      <c r="C35" s="1850"/>
      <c r="D35" s="1851"/>
      <c r="E35" s="2553"/>
      <c r="F35" s="2553"/>
      <c r="G35" s="2531"/>
      <c r="H35" s="2516"/>
      <c r="I35" s="2531"/>
      <c r="J35" s="2516"/>
      <c r="K35" s="2522"/>
      <c r="L35" s="2517"/>
      <c r="M35" s="2522"/>
      <c r="N35" s="2517"/>
      <c r="O35" s="2522"/>
      <c r="P35" s="2522"/>
      <c r="Q35" s="2517"/>
      <c r="R35" s="2747"/>
      <c r="S35" s="2652"/>
      <c r="T35" s="2517"/>
      <c r="U35" s="2224"/>
      <c r="V35" s="2737" t="s">
        <v>2916</v>
      </c>
      <c r="W35" s="1852">
        <f>2000000-2000000</f>
        <v>0</v>
      </c>
      <c r="X35" s="1617" t="s">
        <v>2913</v>
      </c>
      <c r="Y35" s="1894">
        <v>20</v>
      </c>
      <c r="Z35" s="1618" t="s">
        <v>694</v>
      </c>
      <c r="AA35" s="2605"/>
      <c r="AB35" s="2566"/>
      <c r="AC35" s="2566"/>
      <c r="AD35" s="2566"/>
      <c r="AE35" s="2566"/>
      <c r="AF35" s="2566"/>
      <c r="AG35" s="2566"/>
      <c r="AH35" s="2566"/>
      <c r="AI35" s="2566"/>
      <c r="AJ35" s="2566"/>
      <c r="AK35" s="2566"/>
      <c r="AL35" s="2566"/>
      <c r="AM35" s="2566"/>
      <c r="AN35" s="2566"/>
      <c r="AO35" s="2566"/>
      <c r="AP35" s="2566"/>
      <c r="AQ35" s="2741"/>
      <c r="AR35" s="2742"/>
      <c r="AS35" s="2742"/>
      <c r="AT35" s="2741"/>
    </row>
    <row r="36" spans="1:46" s="1849" customFormat="1" ht="59.1" customHeight="1" x14ac:dyDescent="0.25">
      <c r="A36" s="1892"/>
      <c r="B36" s="1851"/>
      <c r="C36" s="1850"/>
      <c r="D36" s="1851"/>
      <c r="E36" s="2553"/>
      <c r="F36" s="2553"/>
      <c r="G36" s="2531"/>
      <c r="H36" s="2516"/>
      <c r="I36" s="2531"/>
      <c r="J36" s="2516"/>
      <c r="K36" s="2522"/>
      <c r="L36" s="2517"/>
      <c r="M36" s="2522"/>
      <c r="N36" s="2517"/>
      <c r="O36" s="2522"/>
      <c r="P36" s="2522"/>
      <c r="Q36" s="2517"/>
      <c r="R36" s="2747"/>
      <c r="S36" s="2652"/>
      <c r="T36" s="2517"/>
      <c r="U36" s="2224"/>
      <c r="V36" s="2737"/>
      <c r="W36" s="1852">
        <f>10000000+21535000</f>
        <v>31535000</v>
      </c>
      <c r="X36" s="1617" t="s">
        <v>2915</v>
      </c>
      <c r="Y36" s="1895">
        <v>88</v>
      </c>
      <c r="Z36" s="665" t="s">
        <v>2876</v>
      </c>
      <c r="AA36" s="2605"/>
      <c r="AB36" s="2566"/>
      <c r="AC36" s="2566"/>
      <c r="AD36" s="2566"/>
      <c r="AE36" s="2566"/>
      <c r="AF36" s="2566"/>
      <c r="AG36" s="2566"/>
      <c r="AH36" s="2566"/>
      <c r="AI36" s="2566"/>
      <c r="AJ36" s="2566"/>
      <c r="AK36" s="2566"/>
      <c r="AL36" s="2566"/>
      <c r="AM36" s="2566"/>
      <c r="AN36" s="2566"/>
      <c r="AO36" s="2566"/>
      <c r="AP36" s="2566"/>
      <c r="AQ36" s="2741"/>
      <c r="AR36" s="2742"/>
      <c r="AS36" s="2742"/>
      <c r="AT36" s="2741"/>
    </row>
    <row r="37" spans="1:46" s="1849" customFormat="1" ht="59.1" customHeight="1" x14ac:dyDescent="0.25">
      <c r="A37" s="1892"/>
      <c r="B37" s="1851"/>
      <c r="C37" s="1850"/>
      <c r="D37" s="1851"/>
      <c r="E37" s="2553"/>
      <c r="F37" s="2553"/>
      <c r="G37" s="2531"/>
      <c r="H37" s="2516"/>
      <c r="I37" s="2531"/>
      <c r="J37" s="2516"/>
      <c r="K37" s="2522"/>
      <c r="L37" s="2517"/>
      <c r="M37" s="2522"/>
      <c r="N37" s="2517"/>
      <c r="O37" s="2522"/>
      <c r="P37" s="2522"/>
      <c r="Q37" s="2517"/>
      <c r="R37" s="2747"/>
      <c r="S37" s="2652"/>
      <c r="T37" s="2517"/>
      <c r="U37" s="2224"/>
      <c r="V37" s="2738" t="s">
        <v>2917</v>
      </c>
      <c r="W37" s="1852">
        <f>14000000+4200000</f>
        <v>18200000</v>
      </c>
      <c r="X37" s="1617" t="s">
        <v>2913</v>
      </c>
      <c r="Y37" s="1894">
        <v>20</v>
      </c>
      <c r="Z37" s="1618" t="s">
        <v>694</v>
      </c>
      <c r="AA37" s="2605"/>
      <c r="AB37" s="2566"/>
      <c r="AC37" s="2566"/>
      <c r="AD37" s="2566"/>
      <c r="AE37" s="2566"/>
      <c r="AF37" s="2566"/>
      <c r="AG37" s="2566"/>
      <c r="AH37" s="2566"/>
      <c r="AI37" s="2566"/>
      <c r="AJ37" s="2566"/>
      <c r="AK37" s="2566"/>
      <c r="AL37" s="2566"/>
      <c r="AM37" s="2566"/>
      <c r="AN37" s="2566"/>
      <c r="AO37" s="2566"/>
      <c r="AP37" s="2566"/>
      <c r="AQ37" s="2741"/>
      <c r="AR37" s="2742"/>
      <c r="AS37" s="2742"/>
      <c r="AT37" s="2741"/>
    </row>
    <row r="38" spans="1:46" s="1849" customFormat="1" ht="54.75" customHeight="1" x14ac:dyDescent="0.25">
      <c r="A38" s="1892"/>
      <c r="B38" s="1851"/>
      <c r="C38" s="1896"/>
      <c r="D38" s="1851"/>
      <c r="E38" s="2654"/>
      <c r="F38" s="2654"/>
      <c r="G38" s="2531"/>
      <c r="H38" s="2655"/>
      <c r="I38" s="2531"/>
      <c r="J38" s="2655"/>
      <c r="K38" s="2522"/>
      <c r="L38" s="2517"/>
      <c r="M38" s="2522"/>
      <c r="N38" s="2517"/>
      <c r="O38" s="2522"/>
      <c r="P38" s="2522"/>
      <c r="Q38" s="2517"/>
      <c r="R38" s="2747"/>
      <c r="S38" s="2652"/>
      <c r="T38" s="2517"/>
      <c r="U38" s="2224"/>
      <c r="V38" s="2739"/>
      <c r="W38" s="1852">
        <f>16000000+15535000</f>
        <v>31535000</v>
      </c>
      <c r="X38" s="1617" t="s">
        <v>2915</v>
      </c>
      <c r="Y38" s="1895">
        <v>88</v>
      </c>
      <c r="Z38" s="665" t="s">
        <v>2876</v>
      </c>
      <c r="AA38" s="2606"/>
      <c r="AB38" s="2567"/>
      <c r="AC38" s="2567"/>
      <c r="AD38" s="2567"/>
      <c r="AE38" s="2567"/>
      <c r="AF38" s="2567"/>
      <c r="AG38" s="2567"/>
      <c r="AH38" s="2567"/>
      <c r="AI38" s="2567"/>
      <c r="AJ38" s="2567"/>
      <c r="AK38" s="2567"/>
      <c r="AL38" s="2567"/>
      <c r="AM38" s="2567"/>
      <c r="AN38" s="2567"/>
      <c r="AO38" s="2567"/>
      <c r="AP38" s="2567"/>
      <c r="AQ38" s="2741"/>
      <c r="AR38" s="2742"/>
      <c r="AS38" s="2742"/>
      <c r="AT38" s="2741"/>
    </row>
    <row r="39" spans="1:46" s="1891" customFormat="1" ht="37.5" customHeight="1" x14ac:dyDescent="0.25">
      <c r="A39" s="329"/>
      <c r="B39" s="349"/>
      <c r="C39" s="313">
        <v>41</v>
      </c>
      <c r="D39" s="2545" t="s">
        <v>2918</v>
      </c>
      <c r="E39" s="2044"/>
      <c r="F39" s="2044"/>
      <c r="G39" s="2044"/>
      <c r="H39" s="2044"/>
      <c r="I39" s="2044"/>
      <c r="J39" s="1897"/>
      <c r="K39" s="1898"/>
      <c r="L39" s="1899"/>
      <c r="M39" s="1898"/>
      <c r="N39" s="1899"/>
      <c r="O39" s="1898"/>
      <c r="P39" s="1898"/>
      <c r="Q39" s="1899"/>
      <c r="R39" s="1900"/>
      <c r="S39" s="1901"/>
      <c r="T39" s="1899"/>
      <c r="U39" s="1899"/>
      <c r="V39" s="1902"/>
      <c r="W39" s="1903"/>
      <c r="X39" s="611"/>
      <c r="Y39" s="1898"/>
      <c r="Z39" s="1899"/>
      <c r="AA39" s="1904"/>
      <c r="AB39" s="1904"/>
      <c r="AC39" s="1904"/>
      <c r="AD39" s="1904"/>
      <c r="AE39" s="1904"/>
      <c r="AF39" s="1904"/>
      <c r="AG39" s="1904"/>
      <c r="AH39" s="1904"/>
      <c r="AI39" s="1904"/>
      <c r="AJ39" s="1904"/>
      <c r="AK39" s="1904"/>
      <c r="AL39" s="1904"/>
      <c r="AM39" s="1904"/>
      <c r="AN39" s="1904"/>
      <c r="AO39" s="1904"/>
      <c r="AP39" s="1905"/>
      <c r="AQ39" s="2740"/>
      <c r="AR39" s="2740"/>
      <c r="AS39" s="2740"/>
      <c r="AT39" s="2740"/>
    </row>
    <row r="40" spans="1:46" s="1849" customFormat="1" ht="41.1" customHeight="1" x14ac:dyDescent="0.25">
      <c r="A40" s="2676"/>
      <c r="B40" s="1851"/>
      <c r="C40" s="1841"/>
      <c r="D40" s="1851"/>
      <c r="E40" s="1906">
        <v>4101</v>
      </c>
      <c r="F40" s="2608" t="s">
        <v>2919</v>
      </c>
      <c r="G40" s="2551"/>
      <c r="H40" s="2551"/>
      <c r="I40" s="2551"/>
      <c r="J40" s="2551"/>
      <c r="K40" s="2551"/>
      <c r="L40" s="2551"/>
      <c r="M40" s="2551"/>
      <c r="N40" s="1204"/>
      <c r="O40" s="1207"/>
      <c r="P40" s="1207"/>
      <c r="Q40" s="1204"/>
      <c r="R40" s="1205"/>
      <c r="S40" s="1907"/>
      <c r="T40" s="1866"/>
      <c r="U40" s="1866"/>
      <c r="V40" s="1204"/>
      <c r="W40" s="1864"/>
      <c r="X40" s="1865"/>
      <c r="Y40" s="1205"/>
      <c r="Z40" s="1866"/>
      <c r="AA40" s="1207"/>
      <c r="AB40" s="1207"/>
      <c r="AC40" s="1207"/>
      <c r="AD40" s="1207"/>
      <c r="AE40" s="1207"/>
      <c r="AF40" s="1207"/>
      <c r="AG40" s="1207"/>
      <c r="AH40" s="1207"/>
      <c r="AI40" s="1207"/>
      <c r="AJ40" s="1207"/>
      <c r="AK40" s="1207"/>
      <c r="AL40" s="1207"/>
      <c r="AM40" s="1207"/>
      <c r="AN40" s="1207"/>
      <c r="AO40" s="1207"/>
      <c r="AP40" s="1207"/>
      <c r="AQ40" s="2735"/>
      <c r="AR40" s="2735"/>
      <c r="AS40" s="2735"/>
      <c r="AT40" s="2735"/>
    </row>
    <row r="41" spans="1:46" s="1849" customFormat="1" ht="110.25" customHeight="1" x14ac:dyDescent="0.25">
      <c r="A41" s="2676"/>
      <c r="B41" s="1851"/>
      <c r="C41" s="1850"/>
      <c r="D41" s="1851"/>
      <c r="E41" s="2553"/>
      <c r="F41" s="2553"/>
      <c r="G41" s="2530">
        <v>4101023</v>
      </c>
      <c r="H41" s="2516" t="s">
        <v>2920</v>
      </c>
      <c r="I41" s="2530">
        <v>4101023</v>
      </c>
      <c r="J41" s="2516" t="s">
        <v>2920</v>
      </c>
      <c r="K41" s="2522">
        <v>410102300</v>
      </c>
      <c r="L41" s="2517" t="s">
        <v>2921</v>
      </c>
      <c r="M41" s="2522">
        <v>410102300</v>
      </c>
      <c r="N41" s="2193" t="s">
        <v>2921</v>
      </c>
      <c r="O41" s="2714">
        <v>500</v>
      </c>
      <c r="P41" s="2714" t="s">
        <v>2922</v>
      </c>
      <c r="Q41" s="2556" t="s">
        <v>2923</v>
      </c>
      <c r="R41" s="2726">
        <f>SUM(W41:W60)/S41</f>
        <v>0.48383523549382862</v>
      </c>
      <c r="S41" s="2526">
        <f>SUM(W41:W89)</f>
        <v>547707113</v>
      </c>
      <c r="T41" s="2736" t="s">
        <v>2924</v>
      </c>
      <c r="U41" s="2727" t="s">
        <v>2925</v>
      </c>
      <c r="V41" s="2081" t="s">
        <v>2926</v>
      </c>
      <c r="W41" s="1852">
        <v>5000000</v>
      </c>
      <c r="X41" s="1617" t="s">
        <v>2927</v>
      </c>
      <c r="Y41" s="1894">
        <v>20</v>
      </c>
      <c r="Z41" s="1618" t="s">
        <v>694</v>
      </c>
      <c r="AA41" s="2604">
        <v>23022</v>
      </c>
      <c r="AB41" s="2565">
        <v>20392</v>
      </c>
      <c r="AC41" s="2565">
        <v>6024</v>
      </c>
      <c r="AD41" s="2565">
        <v>4684</v>
      </c>
      <c r="AE41" s="2565">
        <v>27478</v>
      </c>
      <c r="AF41" s="2565">
        <v>5228</v>
      </c>
      <c r="AG41" s="2565">
        <v>1963</v>
      </c>
      <c r="AH41" s="2565">
        <v>2207</v>
      </c>
      <c r="AI41" s="2565">
        <v>96</v>
      </c>
      <c r="AJ41" s="2565">
        <v>58</v>
      </c>
      <c r="AK41" s="2565">
        <v>0</v>
      </c>
      <c r="AL41" s="2565">
        <v>59</v>
      </c>
      <c r="AM41" s="2565">
        <v>15466</v>
      </c>
      <c r="AN41" s="2565">
        <v>2644</v>
      </c>
      <c r="AO41" s="2565">
        <v>43452</v>
      </c>
      <c r="AP41" s="2565">
        <f>AA41+AB41</f>
        <v>43414</v>
      </c>
      <c r="AQ41" s="2730" t="s">
        <v>2928</v>
      </c>
      <c r="AR41" s="2732">
        <v>44198</v>
      </c>
      <c r="AS41" s="2732">
        <v>44560</v>
      </c>
      <c r="AT41" s="2728" t="s">
        <v>2874</v>
      </c>
    </row>
    <row r="42" spans="1:46" s="1849" customFormat="1" ht="110.25" customHeight="1" x14ac:dyDescent="0.25">
      <c r="A42" s="2676"/>
      <c r="B42" s="1851"/>
      <c r="C42" s="1850"/>
      <c r="D42" s="1851"/>
      <c r="E42" s="2553"/>
      <c r="F42" s="2553"/>
      <c r="G42" s="2530"/>
      <c r="H42" s="2516"/>
      <c r="I42" s="2530"/>
      <c r="J42" s="2516"/>
      <c r="K42" s="2522"/>
      <c r="L42" s="2517"/>
      <c r="M42" s="2522"/>
      <c r="N42" s="2517"/>
      <c r="O42" s="2522"/>
      <c r="P42" s="2522"/>
      <c r="Q42" s="2224"/>
      <c r="R42" s="2726"/>
      <c r="S42" s="2526"/>
      <c r="T42" s="2736"/>
      <c r="U42" s="2727"/>
      <c r="V42" s="2579"/>
      <c r="W42" s="1852">
        <v>15000000</v>
      </c>
      <c r="X42" s="1617" t="s">
        <v>2929</v>
      </c>
      <c r="Y42" s="1895">
        <v>88</v>
      </c>
      <c r="Z42" s="665" t="s">
        <v>2876</v>
      </c>
      <c r="AA42" s="2605"/>
      <c r="AB42" s="2566"/>
      <c r="AC42" s="2566"/>
      <c r="AD42" s="2566"/>
      <c r="AE42" s="2566"/>
      <c r="AF42" s="2566"/>
      <c r="AG42" s="2566"/>
      <c r="AH42" s="2566"/>
      <c r="AI42" s="2566"/>
      <c r="AJ42" s="2566"/>
      <c r="AK42" s="2566"/>
      <c r="AL42" s="2566"/>
      <c r="AM42" s="2566"/>
      <c r="AN42" s="2566"/>
      <c r="AO42" s="2566"/>
      <c r="AP42" s="2566"/>
      <c r="AQ42" s="2731"/>
      <c r="AR42" s="2733"/>
      <c r="AS42" s="2733"/>
      <c r="AT42" s="2728"/>
    </row>
    <row r="43" spans="1:46" s="1849" customFormat="1" ht="110.25" customHeight="1" x14ac:dyDescent="0.25">
      <c r="A43" s="2676"/>
      <c r="B43" s="1851"/>
      <c r="C43" s="1850"/>
      <c r="D43" s="1851"/>
      <c r="E43" s="2553"/>
      <c r="F43" s="2553"/>
      <c r="G43" s="2531"/>
      <c r="H43" s="2516"/>
      <c r="I43" s="2531"/>
      <c r="J43" s="2516"/>
      <c r="K43" s="2522"/>
      <c r="L43" s="2517"/>
      <c r="M43" s="2522"/>
      <c r="N43" s="2517"/>
      <c r="O43" s="2522"/>
      <c r="P43" s="2522"/>
      <c r="Q43" s="2224"/>
      <c r="R43" s="2726"/>
      <c r="S43" s="2526"/>
      <c r="T43" s="2736"/>
      <c r="U43" s="2727"/>
      <c r="V43" s="2081" t="s">
        <v>2930</v>
      </c>
      <c r="W43" s="1852">
        <v>15000000</v>
      </c>
      <c r="X43" s="1617" t="s">
        <v>2927</v>
      </c>
      <c r="Y43" s="1894">
        <v>20</v>
      </c>
      <c r="Z43" s="1618" t="s">
        <v>694</v>
      </c>
      <c r="AA43" s="2605"/>
      <c r="AB43" s="2566"/>
      <c r="AC43" s="2566"/>
      <c r="AD43" s="2566"/>
      <c r="AE43" s="2566"/>
      <c r="AF43" s="2566"/>
      <c r="AG43" s="2566"/>
      <c r="AH43" s="2566"/>
      <c r="AI43" s="2566"/>
      <c r="AJ43" s="2566"/>
      <c r="AK43" s="2566"/>
      <c r="AL43" s="2566"/>
      <c r="AM43" s="2566"/>
      <c r="AN43" s="2566"/>
      <c r="AO43" s="2566"/>
      <c r="AP43" s="2566"/>
      <c r="AQ43" s="2731"/>
      <c r="AR43" s="2733"/>
      <c r="AS43" s="2733"/>
      <c r="AT43" s="2728"/>
    </row>
    <row r="44" spans="1:46" s="1849" customFormat="1" ht="110.25" customHeight="1" x14ac:dyDescent="0.25">
      <c r="A44" s="2676"/>
      <c r="B44" s="1851"/>
      <c r="C44" s="1850"/>
      <c r="D44" s="1851"/>
      <c r="E44" s="2553"/>
      <c r="F44" s="2553"/>
      <c r="G44" s="2531"/>
      <c r="H44" s="2516"/>
      <c r="I44" s="2531"/>
      <c r="J44" s="2516"/>
      <c r="K44" s="2522"/>
      <c r="L44" s="2517"/>
      <c r="M44" s="2522"/>
      <c r="N44" s="2517"/>
      <c r="O44" s="2522"/>
      <c r="P44" s="2522"/>
      <c r="Q44" s="2224"/>
      <c r="R44" s="2726"/>
      <c r="S44" s="2526"/>
      <c r="T44" s="2736"/>
      <c r="U44" s="2727"/>
      <c r="V44" s="2579"/>
      <c r="W44" s="1852">
        <v>20000000</v>
      </c>
      <c r="X44" s="1617" t="s">
        <v>2929</v>
      </c>
      <c r="Y44" s="1895">
        <v>88</v>
      </c>
      <c r="Z44" s="665" t="s">
        <v>2876</v>
      </c>
      <c r="AA44" s="2605"/>
      <c r="AB44" s="2566"/>
      <c r="AC44" s="2566"/>
      <c r="AD44" s="2566"/>
      <c r="AE44" s="2566"/>
      <c r="AF44" s="2566"/>
      <c r="AG44" s="2566"/>
      <c r="AH44" s="2566"/>
      <c r="AI44" s="2566"/>
      <c r="AJ44" s="2566"/>
      <c r="AK44" s="2566"/>
      <c r="AL44" s="2566"/>
      <c r="AM44" s="2566"/>
      <c r="AN44" s="2566"/>
      <c r="AO44" s="2566"/>
      <c r="AP44" s="2566"/>
      <c r="AQ44" s="2731"/>
      <c r="AR44" s="2733"/>
      <c r="AS44" s="2733"/>
      <c r="AT44" s="2728"/>
    </row>
    <row r="45" spans="1:46" s="1849" customFormat="1" ht="110.25" customHeight="1" x14ac:dyDescent="0.25">
      <c r="A45" s="2676"/>
      <c r="B45" s="1851"/>
      <c r="C45" s="1850"/>
      <c r="D45" s="1851"/>
      <c r="E45" s="2553"/>
      <c r="F45" s="2553"/>
      <c r="G45" s="2531"/>
      <c r="H45" s="2516"/>
      <c r="I45" s="2531"/>
      <c r="J45" s="2516"/>
      <c r="K45" s="2522"/>
      <c r="L45" s="2517"/>
      <c r="M45" s="2522"/>
      <c r="N45" s="2517"/>
      <c r="O45" s="2522"/>
      <c r="P45" s="2522"/>
      <c r="Q45" s="2224"/>
      <c r="R45" s="2726"/>
      <c r="S45" s="2526"/>
      <c r="T45" s="2736"/>
      <c r="U45" s="2727"/>
      <c r="V45" s="2081" t="s">
        <v>2931</v>
      </c>
      <c r="W45" s="1852">
        <v>17000000</v>
      </c>
      <c r="X45" s="1617" t="s">
        <v>2927</v>
      </c>
      <c r="Y45" s="1894">
        <v>20</v>
      </c>
      <c r="Z45" s="1618" t="s">
        <v>694</v>
      </c>
      <c r="AA45" s="2605"/>
      <c r="AB45" s="2566"/>
      <c r="AC45" s="2566"/>
      <c r="AD45" s="2566"/>
      <c r="AE45" s="2566"/>
      <c r="AF45" s="2566"/>
      <c r="AG45" s="2566"/>
      <c r="AH45" s="2566"/>
      <c r="AI45" s="2566"/>
      <c r="AJ45" s="2566"/>
      <c r="AK45" s="2566"/>
      <c r="AL45" s="2566"/>
      <c r="AM45" s="2566"/>
      <c r="AN45" s="2566"/>
      <c r="AO45" s="2566"/>
      <c r="AP45" s="2566"/>
      <c r="AQ45" s="2731"/>
      <c r="AR45" s="2733"/>
      <c r="AS45" s="2733"/>
      <c r="AT45" s="2728"/>
    </row>
    <row r="46" spans="1:46" s="1849" customFormat="1" ht="110.25" customHeight="1" x14ac:dyDescent="0.25">
      <c r="A46" s="2676"/>
      <c r="B46" s="1851"/>
      <c r="C46" s="1850"/>
      <c r="D46" s="1851"/>
      <c r="E46" s="2553"/>
      <c r="F46" s="2553"/>
      <c r="G46" s="2531"/>
      <c r="H46" s="2516"/>
      <c r="I46" s="2531"/>
      <c r="J46" s="2516"/>
      <c r="K46" s="2522"/>
      <c r="L46" s="2517"/>
      <c r="M46" s="2522"/>
      <c r="N46" s="2517"/>
      <c r="O46" s="2522"/>
      <c r="P46" s="2522"/>
      <c r="Q46" s="2224"/>
      <c r="R46" s="2726"/>
      <c r="S46" s="2526"/>
      <c r="T46" s="2736"/>
      <c r="U46" s="2727"/>
      <c r="V46" s="2579"/>
      <c r="W46" s="1852">
        <v>35000000</v>
      </c>
      <c r="X46" s="1617" t="s">
        <v>2929</v>
      </c>
      <c r="Y46" s="1895">
        <v>88</v>
      </c>
      <c r="Z46" s="665" t="s">
        <v>2876</v>
      </c>
      <c r="AA46" s="2605"/>
      <c r="AB46" s="2566"/>
      <c r="AC46" s="2566"/>
      <c r="AD46" s="2566"/>
      <c r="AE46" s="2566"/>
      <c r="AF46" s="2566"/>
      <c r="AG46" s="2566"/>
      <c r="AH46" s="2566"/>
      <c r="AI46" s="2566"/>
      <c r="AJ46" s="2566"/>
      <c r="AK46" s="2566"/>
      <c r="AL46" s="2566"/>
      <c r="AM46" s="2566"/>
      <c r="AN46" s="2566"/>
      <c r="AO46" s="2566"/>
      <c r="AP46" s="2566"/>
      <c r="AQ46" s="2731"/>
      <c r="AR46" s="2733"/>
      <c r="AS46" s="2733"/>
      <c r="AT46" s="2728"/>
    </row>
    <row r="47" spans="1:46" s="1849" customFormat="1" ht="68.25" customHeight="1" x14ac:dyDescent="0.25">
      <c r="A47" s="2676"/>
      <c r="B47" s="1851"/>
      <c r="C47" s="1850"/>
      <c r="D47" s="1851"/>
      <c r="E47" s="2553"/>
      <c r="F47" s="2553"/>
      <c r="G47" s="2531"/>
      <c r="H47" s="2516"/>
      <c r="I47" s="2531"/>
      <c r="J47" s="2516"/>
      <c r="K47" s="2522"/>
      <c r="L47" s="2517"/>
      <c r="M47" s="2522"/>
      <c r="N47" s="2517"/>
      <c r="O47" s="2522"/>
      <c r="P47" s="2522"/>
      <c r="Q47" s="2224"/>
      <c r="R47" s="2726"/>
      <c r="S47" s="2526"/>
      <c r="T47" s="2736"/>
      <c r="U47" s="2727"/>
      <c r="V47" s="2081" t="s">
        <v>2932</v>
      </c>
      <c r="W47" s="1852">
        <f>7000000-5000000</f>
        <v>2000000</v>
      </c>
      <c r="X47" s="1617" t="s">
        <v>2933</v>
      </c>
      <c r="Y47" s="1894">
        <v>20</v>
      </c>
      <c r="Z47" s="1618" t="s">
        <v>694</v>
      </c>
      <c r="AA47" s="2605"/>
      <c r="AB47" s="2566"/>
      <c r="AC47" s="2566"/>
      <c r="AD47" s="2566"/>
      <c r="AE47" s="2566"/>
      <c r="AF47" s="2566"/>
      <c r="AG47" s="2566"/>
      <c r="AH47" s="2566"/>
      <c r="AI47" s="2566"/>
      <c r="AJ47" s="2566"/>
      <c r="AK47" s="2566"/>
      <c r="AL47" s="2566"/>
      <c r="AM47" s="2566"/>
      <c r="AN47" s="2566"/>
      <c r="AO47" s="2566"/>
      <c r="AP47" s="2566"/>
      <c r="AQ47" s="2731"/>
      <c r="AR47" s="2733"/>
      <c r="AS47" s="2733"/>
      <c r="AT47" s="2728"/>
    </row>
    <row r="48" spans="1:46" s="1849" customFormat="1" ht="68.25" customHeight="1" x14ac:dyDescent="0.25">
      <c r="A48" s="2676"/>
      <c r="B48" s="1851"/>
      <c r="C48" s="1850"/>
      <c r="D48" s="1851"/>
      <c r="E48" s="2553"/>
      <c r="F48" s="2553"/>
      <c r="G48" s="2531"/>
      <c r="H48" s="2516"/>
      <c r="I48" s="2531"/>
      <c r="J48" s="2516"/>
      <c r="K48" s="2522"/>
      <c r="L48" s="2517"/>
      <c r="M48" s="2522"/>
      <c r="N48" s="2517"/>
      <c r="O48" s="2522"/>
      <c r="P48" s="2522"/>
      <c r="Q48" s="2224"/>
      <c r="R48" s="2726"/>
      <c r="S48" s="2526"/>
      <c r="T48" s="2736"/>
      <c r="U48" s="2727"/>
      <c r="V48" s="2082"/>
      <c r="W48" s="1852">
        <v>5000000</v>
      </c>
      <c r="X48" s="1617" t="s">
        <v>2934</v>
      </c>
      <c r="Y48" s="1895">
        <v>88</v>
      </c>
      <c r="Z48" s="665" t="s">
        <v>2876</v>
      </c>
      <c r="AA48" s="2605"/>
      <c r="AB48" s="2566"/>
      <c r="AC48" s="2566"/>
      <c r="AD48" s="2566"/>
      <c r="AE48" s="2566"/>
      <c r="AF48" s="2566"/>
      <c r="AG48" s="2566"/>
      <c r="AH48" s="2566"/>
      <c r="AI48" s="2566"/>
      <c r="AJ48" s="2566"/>
      <c r="AK48" s="2566"/>
      <c r="AL48" s="2566"/>
      <c r="AM48" s="2566"/>
      <c r="AN48" s="2566"/>
      <c r="AO48" s="2566"/>
      <c r="AP48" s="2566"/>
      <c r="AQ48" s="2731"/>
      <c r="AR48" s="2733"/>
      <c r="AS48" s="2733"/>
      <c r="AT48" s="2728"/>
    </row>
    <row r="49" spans="1:46" s="1849" customFormat="1" ht="68.25" customHeight="1" x14ac:dyDescent="0.25">
      <c r="A49" s="2676"/>
      <c r="B49" s="1851"/>
      <c r="C49" s="1850"/>
      <c r="D49" s="1851"/>
      <c r="E49" s="2553"/>
      <c r="F49" s="2553"/>
      <c r="G49" s="2531"/>
      <c r="H49" s="2516"/>
      <c r="I49" s="2531"/>
      <c r="J49" s="2516"/>
      <c r="K49" s="2522"/>
      <c r="L49" s="2517"/>
      <c r="M49" s="2522"/>
      <c r="N49" s="2517"/>
      <c r="O49" s="2522"/>
      <c r="P49" s="2522"/>
      <c r="Q49" s="2224"/>
      <c r="R49" s="2726"/>
      <c r="S49" s="2526"/>
      <c r="T49" s="2736"/>
      <c r="U49" s="2727"/>
      <c r="V49" s="2082"/>
      <c r="W49" s="1852">
        <v>25000000</v>
      </c>
      <c r="X49" s="1617" t="s">
        <v>2929</v>
      </c>
      <c r="Y49" s="1895">
        <v>88</v>
      </c>
      <c r="Z49" s="665" t="s">
        <v>2876</v>
      </c>
      <c r="AA49" s="2605"/>
      <c r="AB49" s="2566"/>
      <c r="AC49" s="2566"/>
      <c r="AD49" s="2566"/>
      <c r="AE49" s="2566"/>
      <c r="AF49" s="2566"/>
      <c r="AG49" s="2566"/>
      <c r="AH49" s="2566"/>
      <c r="AI49" s="2566"/>
      <c r="AJ49" s="2566"/>
      <c r="AK49" s="2566"/>
      <c r="AL49" s="2566"/>
      <c r="AM49" s="2566"/>
      <c r="AN49" s="2566"/>
      <c r="AO49" s="2566"/>
      <c r="AP49" s="2566"/>
      <c r="AQ49" s="2731"/>
      <c r="AR49" s="2733"/>
      <c r="AS49" s="2733"/>
      <c r="AT49" s="2728"/>
    </row>
    <row r="50" spans="1:46" s="1849" customFormat="1" ht="68.25" customHeight="1" x14ac:dyDescent="0.25">
      <c r="A50" s="2676"/>
      <c r="B50" s="1851"/>
      <c r="C50" s="1850"/>
      <c r="D50" s="1851"/>
      <c r="E50" s="2553"/>
      <c r="F50" s="2553"/>
      <c r="G50" s="2531"/>
      <c r="H50" s="2516"/>
      <c r="I50" s="2531"/>
      <c r="J50" s="2516"/>
      <c r="K50" s="2522"/>
      <c r="L50" s="2517"/>
      <c r="M50" s="2522"/>
      <c r="N50" s="2517"/>
      <c r="O50" s="2522"/>
      <c r="P50" s="2522"/>
      <c r="Q50" s="2224"/>
      <c r="R50" s="2726"/>
      <c r="S50" s="2526"/>
      <c r="T50" s="2736"/>
      <c r="U50" s="2727"/>
      <c r="V50" s="2083"/>
      <c r="W50" s="1852">
        <v>5000000</v>
      </c>
      <c r="X50" s="1617" t="s">
        <v>2927</v>
      </c>
      <c r="Y50" s="1894">
        <v>20</v>
      </c>
      <c r="Z50" s="1618" t="s">
        <v>694</v>
      </c>
      <c r="AA50" s="2605"/>
      <c r="AB50" s="2566"/>
      <c r="AC50" s="2566"/>
      <c r="AD50" s="2566"/>
      <c r="AE50" s="2566"/>
      <c r="AF50" s="2566"/>
      <c r="AG50" s="2566"/>
      <c r="AH50" s="2566"/>
      <c r="AI50" s="2566"/>
      <c r="AJ50" s="2566"/>
      <c r="AK50" s="2566"/>
      <c r="AL50" s="2566"/>
      <c r="AM50" s="2566"/>
      <c r="AN50" s="2566"/>
      <c r="AO50" s="2566"/>
      <c r="AP50" s="2566"/>
      <c r="AQ50" s="2731"/>
      <c r="AR50" s="2733"/>
      <c r="AS50" s="2733"/>
      <c r="AT50" s="2728"/>
    </row>
    <row r="51" spans="1:46" s="1849" customFormat="1" ht="74.25" customHeight="1" x14ac:dyDescent="0.25">
      <c r="A51" s="2676"/>
      <c r="B51" s="1851"/>
      <c r="C51" s="1850"/>
      <c r="D51" s="1851"/>
      <c r="E51" s="2553"/>
      <c r="F51" s="2553"/>
      <c r="G51" s="2531"/>
      <c r="H51" s="2516"/>
      <c r="I51" s="2531"/>
      <c r="J51" s="2516"/>
      <c r="K51" s="2522"/>
      <c r="L51" s="2517"/>
      <c r="M51" s="2522"/>
      <c r="N51" s="2517"/>
      <c r="O51" s="2522"/>
      <c r="P51" s="2522"/>
      <c r="Q51" s="2224"/>
      <c r="R51" s="2726"/>
      <c r="S51" s="2526"/>
      <c r="T51" s="2736"/>
      <c r="U51" s="2727"/>
      <c r="V51" s="2252" t="s">
        <v>2935</v>
      </c>
      <c r="W51" s="1852">
        <v>5000000</v>
      </c>
      <c r="X51" s="1617" t="s">
        <v>2927</v>
      </c>
      <c r="Y51" s="1894">
        <v>20</v>
      </c>
      <c r="Z51" s="1618" t="s">
        <v>694</v>
      </c>
      <c r="AA51" s="2605"/>
      <c r="AB51" s="2566"/>
      <c r="AC51" s="2566"/>
      <c r="AD51" s="2566"/>
      <c r="AE51" s="2566"/>
      <c r="AF51" s="2566"/>
      <c r="AG51" s="2566"/>
      <c r="AH51" s="2566"/>
      <c r="AI51" s="2566"/>
      <c r="AJ51" s="2566"/>
      <c r="AK51" s="2566"/>
      <c r="AL51" s="2566"/>
      <c r="AM51" s="2566"/>
      <c r="AN51" s="2566"/>
      <c r="AO51" s="2566"/>
      <c r="AP51" s="2566"/>
      <c r="AQ51" s="2731"/>
      <c r="AR51" s="2733"/>
      <c r="AS51" s="2733"/>
      <c r="AT51" s="2728"/>
    </row>
    <row r="52" spans="1:46" s="1849" customFormat="1" ht="74.25" customHeight="1" x14ac:dyDescent="0.25">
      <c r="A52" s="2676"/>
      <c r="B52" s="1851"/>
      <c r="C52" s="1850"/>
      <c r="D52" s="1851"/>
      <c r="E52" s="2553"/>
      <c r="F52" s="2553"/>
      <c r="G52" s="2531"/>
      <c r="H52" s="2516"/>
      <c r="I52" s="2531"/>
      <c r="J52" s="2516"/>
      <c r="K52" s="2522"/>
      <c r="L52" s="2517"/>
      <c r="M52" s="2522"/>
      <c r="N52" s="2517"/>
      <c r="O52" s="2522"/>
      <c r="P52" s="2522"/>
      <c r="Q52" s="2224"/>
      <c r="R52" s="2726"/>
      <c r="S52" s="2526"/>
      <c r="T52" s="2736"/>
      <c r="U52" s="2727"/>
      <c r="V52" s="2083"/>
      <c r="W52" s="1852">
        <v>40000000</v>
      </c>
      <c r="X52" s="1617" t="s">
        <v>2929</v>
      </c>
      <c r="Y52" s="1895">
        <v>88</v>
      </c>
      <c r="Z52" s="665" t="s">
        <v>2876</v>
      </c>
      <c r="AA52" s="2605"/>
      <c r="AB52" s="2566"/>
      <c r="AC52" s="2566"/>
      <c r="AD52" s="2566"/>
      <c r="AE52" s="2566"/>
      <c r="AF52" s="2566"/>
      <c r="AG52" s="2566"/>
      <c r="AH52" s="2566"/>
      <c r="AI52" s="2566"/>
      <c r="AJ52" s="2566"/>
      <c r="AK52" s="2566"/>
      <c r="AL52" s="2566"/>
      <c r="AM52" s="2566"/>
      <c r="AN52" s="2566"/>
      <c r="AO52" s="2566"/>
      <c r="AP52" s="2566"/>
      <c r="AQ52" s="2731"/>
      <c r="AR52" s="2733"/>
      <c r="AS52" s="2733"/>
      <c r="AT52" s="2728"/>
    </row>
    <row r="53" spans="1:46" s="1849" customFormat="1" ht="47.25" customHeight="1" x14ac:dyDescent="0.25">
      <c r="A53" s="2676"/>
      <c r="B53" s="1851"/>
      <c r="C53" s="1850"/>
      <c r="D53" s="1851"/>
      <c r="E53" s="2553"/>
      <c r="F53" s="2553"/>
      <c r="G53" s="2531"/>
      <c r="H53" s="2516"/>
      <c r="I53" s="2531"/>
      <c r="J53" s="2516"/>
      <c r="K53" s="2522"/>
      <c r="L53" s="2517"/>
      <c r="M53" s="2522"/>
      <c r="N53" s="2517"/>
      <c r="O53" s="2522"/>
      <c r="P53" s="2522"/>
      <c r="Q53" s="2224"/>
      <c r="R53" s="2726"/>
      <c r="S53" s="2526"/>
      <c r="T53" s="2736"/>
      <c r="U53" s="2727"/>
      <c r="V53" s="2252" t="s">
        <v>2936</v>
      </c>
      <c r="W53" s="1852">
        <v>3000000</v>
      </c>
      <c r="X53" s="1617" t="s">
        <v>2927</v>
      </c>
      <c r="Y53" s="1894">
        <v>20</v>
      </c>
      <c r="Z53" s="1618" t="s">
        <v>694</v>
      </c>
      <c r="AA53" s="2605"/>
      <c r="AB53" s="2566"/>
      <c r="AC53" s="2566"/>
      <c r="AD53" s="2566"/>
      <c r="AE53" s="2566"/>
      <c r="AF53" s="2566"/>
      <c r="AG53" s="2566"/>
      <c r="AH53" s="2566"/>
      <c r="AI53" s="2566"/>
      <c r="AJ53" s="2566"/>
      <c r="AK53" s="2566"/>
      <c r="AL53" s="2566"/>
      <c r="AM53" s="2566"/>
      <c r="AN53" s="2566"/>
      <c r="AO53" s="2566"/>
      <c r="AP53" s="2566"/>
      <c r="AQ53" s="2731"/>
      <c r="AR53" s="2733"/>
      <c r="AS53" s="2733"/>
      <c r="AT53" s="2728"/>
    </row>
    <row r="54" spans="1:46" s="1849" customFormat="1" ht="60" customHeight="1" x14ac:dyDescent="0.25">
      <c r="A54" s="2676"/>
      <c r="B54" s="1851"/>
      <c r="C54" s="1850"/>
      <c r="D54" s="1851"/>
      <c r="E54" s="2553"/>
      <c r="F54" s="2553"/>
      <c r="G54" s="2531"/>
      <c r="H54" s="2516"/>
      <c r="I54" s="2531"/>
      <c r="J54" s="2516"/>
      <c r="K54" s="2522"/>
      <c r="L54" s="2517"/>
      <c r="M54" s="2522"/>
      <c r="N54" s="2517"/>
      <c r="O54" s="2522"/>
      <c r="P54" s="2522"/>
      <c r="Q54" s="2224"/>
      <c r="R54" s="2726"/>
      <c r="S54" s="2526"/>
      <c r="T54" s="2736"/>
      <c r="U54" s="2727"/>
      <c r="V54" s="2083"/>
      <c r="W54" s="1852">
        <v>10000000</v>
      </c>
      <c r="X54" s="1617" t="s">
        <v>2929</v>
      </c>
      <c r="Y54" s="1895">
        <v>88</v>
      </c>
      <c r="Z54" s="665" t="s">
        <v>2876</v>
      </c>
      <c r="AA54" s="2605"/>
      <c r="AB54" s="2566"/>
      <c r="AC54" s="2566"/>
      <c r="AD54" s="2566"/>
      <c r="AE54" s="2566"/>
      <c r="AF54" s="2566"/>
      <c r="AG54" s="2566"/>
      <c r="AH54" s="2566"/>
      <c r="AI54" s="2566"/>
      <c r="AJ54" s="2566"/>
      <c r="AK54" s="2566"/>
      <c r="AL54" s="2566"/>
      <c r="AM54" s="2566"/>
      <c r="AN54" s="2566"/>
      <c r="AO54" s="2566"/>
      <c r="AP54" s="2566"/>
      <c r="AQ54" s="2731"/>
      <c r="AR54" s="2733"/>
      <c r="AS54" s="2733"/>
      <c r="AT54" s="2728"/>
    </row>
    <row r="55" spans="1:46" s="1849" customFormat="1" ht="87" customHeight="1" x14ac:dyDescent="0.25">
      <c r="A55" s="2676"/>
      <c r="B55" s="1851"/>
      <c r="C55" s="1850"/>
      <c r="D55" s="1851"/>
      <c r="E55" s="2553"/>
      <c r="F55" s="2553"/>
      <c r="G55" s="2531"/>
      <c r="H55" s="2516"/>
      <c r="I55" s="2531"/>
      <c r="J55" s="2516"/>
      <c r="K55" s="2522"/>
      <c r="L55" s="2517"/>
      <c r="M55" s="2522"/>
      <c r="N55" s="2517"/>
      <c r="O55" s="2522"/>
      <c r="P55" s="2522"/>
      <c r="Q55" s="2224"/>
      <c r="R55" s="2726"/>
      <c r="S55" s="2526"/>
      <c r="T55" s="2736"/>
      <c r="U55" s="2727"/>
      <c r="V55" s="2252" t="s">
        <v>2937</v>
      </c>
      <c r="W55" s="1852">
        <v>5000000</v>
      </c>
      <c r="X55" s="1617" t="s">
        <v>2927</v>
      </c>
      <c r="Y55" s="1894">
        <v>20</v>
      </c>
      <c r="Z55" s="1618" t="s">
        <v>694</v>
      </c>
      <c r="AA55" s="2605"/>
      <c r="AB55" s="2566"/>
      <c r="AC55" s="2566"/>
      <c r="AD55" s="2566"/>
      <c r="AE55" s="2566"/>
      <c r="AF55" s="2566"/>
      <c r="AG55" s="2566"/>
      <c r="AH55" s="2566"/>
      <c r="AI55" s="2566"/>
      <c r="AJ55" s="2566"/>
      <c r="AK55" s="2566"/>
      <c r="AL55" s="2566"/>
      <c r="AM55" s="2566"/>
      <c r="AN55" s="2566"/>
      <c r="AO55" s="2566"/>
      <c r="AP55" s="2566"/>
      <c r="AQ55" s="2731"/>
      <c r="AR55" s="2733"/>
      <c r="AS55" s="2733"/>
      <c r="AT55" s="2728"/>
    </row>
    <row r="56" spans="1:46" s="1849" customFormat="1" ht="87" customHeight="1" x14ac:dyDescent="0.25">
      <c r="A56" s="2676"/>
      <c r="B56" s="1851"/>
      <c r="C56" s="1850"/>
      <c r="D56" s="1851"/>
      <c r="E56" s="2553"/>
      <c r="F56" s="2553"/>
      <c r="G56" s="2531"/>
      <c r="H56" s="2516"/>
      <c r="I56" s="2531"/>
      <c r="J56" s="2516"/>
      <c r="K56" s="2522"/>
      <c r="L56" s="2517"/>
      <c r="M56" s="2522"/>
      <c r="N56" s="2517"/>
      <c r="O56" s="2522"/>
      <c r="P56" s="2522"/>
      <c r="Q56" s="2224"/>
      <c r="R56" s="2726"/>
      <c r="S56" s="2526"/>
      <c r="T56" s="2736"/>
      <c r="U56" s="2727"/>
      <c r="V56" s="2579"/>
      <c r="W56" s="1852">
        <v>18000000</v>
      </c>
      <c r="X56" s="1617" t="s">
        <v>2929</v>
      </c>
      <c r="Y56" s="1895">
        <v>88</v>
      </c>
      <c r="Z56" s="665" t="s">
        <v>2876</v>
      </c>
      <c r="AA56" s="2605"/>
      <c r="AB56" s="2566"/>
      <c r="AC56" s="2566"/>
      <c r="AD56" s="2566"/>
      <c r="AE56" s="2566"/>
      <c r="AF56" s="2566"/>
      <c r="AG56" s="2566"/>
      <c r="AH56" s="2566"/>
      <c r="AI56" s="2566"/>
      <c r="AJ56" s="2566"/>
      <c r="AK56" s="2566"/>
      <c r="AL56" s="2566"/>
      <c r="AM56" s="2566"/>
      <c r="AN56" s="2566"/>
      <c r="AO56" s="2566"/>
      <c r="AP56" s="2566"/>
      <c r="AQ56" s="2731"/>
      <c r="AR56" s="2733"/>
      <c r="AS56" s="2733"/>
      <c r="AT56" s="2728"/>
    </row>
    <row r="57" spans="1:46" s="1849" customFormat="1" ht="67.5" customHeight="1" x14ac:dyDescent="0.25">
      <c r="A57" s="2676"/>
      <c r="B57" s="1851"/>
      <c r="C57" s="1850"/>
      <c r="D57" s="1851"/>
      <c r="E57" s="2553"/>
      <c r="F57" s="2553"/>
      <c r="G57" s="2531"/>
      <c r="H57" s="2516"/>
      <c r="I57" s="2531"/>
      <c r="J57" s="2516"/>
      <c r="K57" s="2522"/>
      <c r="L57" s="2517"/>
      <c r="M57" s="2522"/>
      <c r="N57" s="2517"/>
      <c r="O57" s="2522"/>
      <c r="P57" s="2522"/>
      <c r="Q57" s="2224"/>
      <c r="R57" s="2726"/>
      <c r="S57" s="2526"/>
      <c r="T57" s="2736"/>
      <c r="U57" s="2727"/>
      <c r="V57" s="2081" t="s">
        <v>2938</v>
      </c>
      <c r="W57" s="1852">
        <v>3000000</v>
      </c>
      <c r="X57" s="1617" t="s">
        <v>2939</v>
      </c>
      <c r="Y57" s="1894">
        <v>20</v>
      </c>
      <c r="Z57" s="1618" t="s">
        <v>694</v>
      </c>
      <c r="AA57" s="2605"/>
      <c r="AB57" s="2566"/>
      <c r="AC57" s="2566"/>
      <c r="AD57" s="2566"/>
      <c r="AE57" s="2566"/>
      <c r="AF57" s="2566"/>
      <c r="AG57" s="2566"/>
      <c r="AH57" s="2566"/>
      <c r="AI57" s="2566"/>
      <c r="AJ57" s="2566"/>
      <c r="AK57" s="2566"/>
      <c r="AL57" s="2566"/>
      <c r="AM57" s="2566"/>
      <c r="AN57" s="2566"/>
      <c r="AO57" s="2566"/>
      <c r="AP57" s="2566"/>
      <c r="AQ57" s="2731"/>
      <c r="AR57" s="2733"/>
      <c r="AS57" s="2733"/>
      <c r="AT57" s="2728"/>
    </row>
    <row r="58" spans="1:46" s="1849" customFormat="1" ht="67.5" customHeight="1" x14ac:dyDescent="0.25">
      <c r="A58" s="2676"/>
      <c r="B58" s="1851"/>
      <c r="C58" s="1850"/>
      <c r="D58" s="1851"/>
      <c r="E58" s="2553"/>
      <c r="F58" s="2553"/>
      <c r="G58" s="2531"/>
      <c r="H58" s="2516"/>
      <c r="I58" s="2531"/>
      <c r="J58" s="2516"/>
      <c r="K58" s="2522"/>
      <c r="L58" s="2517"/>
      <c r="M58" s="2522"/>
      <c r="N58" s="2517"/>
      <c r="O58" s="2522"/>
      <c r="P58" s="2522"/>
      <c r="Q58" s="2224"/>
      <c r="R58" s="2726"/>
      <c r="S58" s="2526"/>
      <c r="T58" s="2736"/>
      <c r="U58" s="2727"/>
      <c r="V58" s="2579"/>
      <c r="W58" s="1852">
        <v>10000000</v>
      </c>
      <c r="X58" s="1617" t="s">
        <v>2940</v>
      </c>
      <c r="Y58" s="1895">
        <v>88</v>
      </c>
      <c r="Z58" s="665" t="s">
        <v>2876</v>
      </c>
      <c r="AA58" s="2605"/>
      <c r="AB58" s="2566"/>
      <c r="AC58" s="2566"/>
      <c r="AD58" s="2566"/>
      <c r="AE58" s="2566"/>
      <c r="AF58" s="2566"/>
      <c r="AG58" s="2566"/>
      <c r="AH58" s="2566"/>
      <c r="AI58" s="2566"/>
      <c r="AJ58" s="2566"/>
      <c r="AK58" s="2566"/>
      <c r="AL58" s="2566"/>
      <c r="AM58" s="2566"/>
      <c r="AN58" s="2566"/>
      <c r="AO58" s="2566"/>
      <c r="AP58" s="2566"/>
      <c r="AQ58" s="2731"/>
      <c r="AR58" s="2733"/>
      <c r="AS58" s="2733"/>
      <c r="AT58" s="2728"/>
    </row>
    <row r="59" spans="1:46" s="1849" customFormat="1" ht="67.5" customHeight="1" x14ac:dyDescent="0.25">
      <c r="A59" s="2676"/>
      <c r="B59" s="1851"/>
      <c r="C59" s="1850"/>
      <c r="D59" s="1851"/>
      <c r="E59" s="2553"/>
      <c r="F59" s="2553"/>
      <c r="G59" s="2531"/>
      <c r="H59" s="2516"/>
      <c r="I59" s="2531"/>
      <c r="J59" s="2516"/>
      <c r="K59" s="2522"/>
      <c r="L59" s="2517"/>
      <c r="M59" s="2522"/>
      <c r="N59" s="2517"/>
      <c r="O59" s="2522"/>
      <c r="P59" s="2522"/>
      <c r="Q59" s="2224"/>
      <c r="R59" s="2726"/>
      <c r="S59" s="2526"/>
      <c r="T59" s="2736"/>
      <c r="U59" s="2727"/>
      <c r="V59" s="2081" t="s">
        <v>2941</v>
      </c>
      <c r="W59" s="1852">
        <v>10000000</v>
      </c>
      <c r="X59" s="1617" t="s">
        <v>2927</v>
      </c>
      <c r="Y59" s="1894">
        <v>20</v>
      </c>
      <c r="Z59" s="1618" t="s">
        <v>694</v>
      </c>
      <c r="AA59" s="2605"/>
      <c r="AB59" s="2566"/>
      <c r="AC59" s="2566"/>
      <c r="AD59" s="2566"/>
      <c r="AE59" s="2566"/>
      <c r="AF59" s="2566"/>
      <c r="AG59" s="2566"/>
      <c r="AH59" s="2566"/>
      <c r="AI59" s="2566"/>
      <c r="AJ59" s="2566"/>
      <c r="AK59" s="2566"/>
      <c r="AL59" s="2566"/>
      <c r="AM59" s="2566"/>
      <c r="AN59" s="2566"/>
      <c r="AO59" s="2566"/>
      <c r="AP59" s="2566"/>
      <c r="AQ59" s="2731"/>
      <c r="AR59" s="2733"/>
      <c r="AS59" s="2733"/>
      <c r="AT59" s="2728"/>
    </row>
    <row r="60" spans="1:46" s="1849" customFormat="1" ht="46.5" customHeight="1" x14ac:dyDescent="0.25">
      <c r="A60" s="2676"/>
      <c r="B60" s="1851"/>
      <c r="C60" s="1850"/>
      <c r="D60" s="1851"/>
      <c r="E60" s="2553"/>
      <c r="F60" s="2553"/>
      <c r="G60" s="2531"/>
      <c r="H60" s="2529"/>
      <c r="I60" s="2531"/>
      <c r="J60" s="2529"/>
      <c r="K60" s="2523"/>
      <c r="L60" s="2194"/>
      <c r="M60" s="2523"/>
      <c r="N60" s="2194"/>
      <c r="O60" s="2523"/>
      <c r="P60" s="2522"/>
      <c r="Q60" s="2224"/>
      <c r="R60" s="2726"/>
      <c r="S60" s="2526"/>
      <c r="T60" s="2736"/>
      <c r="U60" s="2727"/>
      <c r="V60" s="2579"/>
      <c r="W60" s="1852">
        <v>17000000</v>
      </c>
      <c r="X60" s="1617" t="s">
        <v>2929</v>
      </c>
      <c r="Y60" s="1895">
        <v>88</v>
      </c>
      <c r="Z60" s="665" t="s">
        <v>2876</v>
      </c>
      <c r="AA60" s="2605"/>
      <c r="AB60" s="2566"/>
      <c r="AC60" s="2566"/>
      <c r="AD60" s="2566"/>
      <c r="AE60" s="2566"/>
      <c r="AF60" s="2566"/>
      <c r="AG60" s="2566"/>
      <c r="AH60" s="2566"/>
      <c r="AI60" s="2566"/>
      <c r="AJ60" s="2566"/>
      <c r="AK60" s="2566"/>
      <c r="AL60" s="2566"/>
      <c r="AM60" s="2566"/>
      <c r="AN60" s="2566"/>
      <c r="AO60" s="2566"/>
      <c r="AP60" s="2566"/>
      <c r="AQ60" s="2731"/>
      <c r="AR60" s="2733"/>
      <c r="AS60" s="2733"/>
      <c r="AT60" s="2728"/>
    </row>
    <row r="61" spans="1:46" s="1849" customFormat="1" ht="61.5" customHeight="1" x14ac:dyDescent="0.25">
      <c r="A61" s="2676"/>
      <c r="B61" s="1851"/>
      <c r="C61" s="1850"/>
      <c r="D61" s="1851"/>
      <c r="E61" s="2553"/>
      <c r="F61" s="2553"/>
      <c r="G61" s="2531">
        <v>4101025</v>
      </c>
      <c r="H61" s="2515" t="s">
        <v>2942</v>
      </c>
      <c r="I61" s="2531">
        <v>4101025</v>
      </c>
      <c r="J61" s="2515" t="s">
        <v>2942</v>
      </c>
      <c r="K61" s="2714">
        <v>410102511</v>
      </c>
      <c r="L61" s="2193" t="s">
        <v>2943</v>
      </c>
      <c r="M61" s="2714">
        <v>410102511</v>
      </c>
      <c r="N61" s="2193" t="s">
        <v>2943</v>
      </c>
      <c r="O61" s="2714">
        <v>100</v>
      </c>
      <c r="P61" s="2522"/>
      <c r="Q61" s="2224"/>
      <c r="R61" s="2726">
        <f>SUM(W61:W66)/S41</f>
        <v>9.4941253757279576E-2</v>
      </c>
      <c r="S61" s="2526"/>
      <c r="T61" s="2736"/>
      <c r="U61" s="2727" t="s">
        <v>2944</v>
      </c>
      <c r="V61" s="2081" t="s">
        <v>2945</v>
      </c>
      <c r="W61" s="1852">
        <v>22000000</v>
      </c>
      <c r="X61" s="1617" t="s">
        <v>2946</v>
      </c>
      <c r="Y61" s="1894">
        <v>20</v>
      </c>
      <c r="Z61" s="1618" t="s">
        <v>694</v>
      </c>
      <c r="AA61" s="2605"/>
      <c r="AB61" s="2566"/>
      <c r="AC61" s="2566"/>
      <c r="AD61" s="2566"/>
      <c r="AE61" s="2566"/>
      <c r="AF61" s="2566"/>
      <c r="AG61" s="2566"/>
      <c r="AH61" s="2566"/>
      <c r="AI61" s="2566"/>
      <c r="AJ61" s="2566"/>
      <c r="AK61" s="2566"/>
      <c r="AL61" s="2566"/>
      <c r="AM61" s="2566"/>
      <c r="AN61" s="2566"/>
      <c r="AO61" s="2566"/>
      <c r="AP61" s="2566"/>
      <c r="AQ61" s="2731"/>
      <c r="AR61" s="2733"/>
      <c r="AS61" s="2733"/>
      <c r="AT61" s="2728"/>
    </row>
    <row r="62" spans="1:46" s="1849" customFormat="1" ht="61.5" customHeight="1" x14ac:dyDescent="0.25">
      <c r="A62" s="2676"/>
      <c r="B62" s="1851"/>
      <c r="C62" s="1850"/>
      <c r="D62" s="1851"/>
      <c r="E62" s="2553"/>
      <c r="F62" s="2553"/>
      <c r="G62" s="2531"/>
      <c r="H62" s="2516"/>
      <c r="I62" s="2531"/>
      <c r="J62" s="2516"/>
      <c r="K62" s="2522"/>
      <c r="L62" s="2517"/>
      <c r="M62" s="2522"/>
      <c r="N62" s="2517"/>
      <c r="O62" s="2522"/>
      <c r="P62" s="2522"/>
      <c r="Q62" s="2224"/>
      <c r="R62" s="2726"/>
      <c r="S62" s="2526"/>
      <c r="T62" s="2736"/>
      <c r="U62" s="2727"/>
      <c r="V62" s="2579"/>
      <c r="W62" s="1852">
        <v>5000000</v>
      </c>
      <c r="X62" s="1617" t="s">
        <v>2947</v>
      </c>
      <c r="Y62" s="1895">
        <v>88</v>
      </c>
      <c r="Z62" s="665" t="s">
        <v>2876</v>
      </c>
      <c r="AA62" s="2605"/>
      <c r="AB62" s="2566"/>
      <c r="AC62" s="2566"/>
      <c r="AD62" s="2566"/>
      <c r="AE62" s="2566"/>
      <c r="AF62" s="2566"/>
      <c r="AG62" s="2566"/>
      <c r="AH62" s="2566"/>
      <c r="AI62" s="2566"/>
      <c r="AJ62" s="2566"/>
      <c r="AK62" s="2566"/>
      <c r="AL62" s="2566"/>
      <c r="AM62" s="2566"/>
      <c r="AN62" s="2566"/>
      <c r="AO62" s="2566"/>
      <c r="AP62" s="2566"/>
      <c r="AQ62" s="2731"/>
      <c r="AR62" s="2733"/>
      <c r="AS62" s="2733"/>
      <c r="AT62" s="2728"/>
    </row>
    <row r="63" spans="1:46" s="1849" customFormat="1" ht="69" customHeight="1" x14ac:dyDescent="0.25">
      <c r="A63" s="2676"/>
      <c r="B63" s="1851"/>
      <c r="C63" s="1850"/>
      <c r="D63" s="1851"/>
      <c r="E63" s="2553"/>
      <c r="F63" s="2553"/>
      <c r="G63" s="2531"/>
      <c r="H63" s="2516"/>
      <c r="I63" s="2531"/>
      <c r="J63" s="2516"/>
      <c r="K63" s="2522"/>
      <c r="L63" s="2517"/>
      <c r="M63" s="2522"/>
      <c r="N63" s="2517"/>
      <c r="O63" s="2522"/>
      <c r="P63" s="2522"/>
      <c r="Q63" s="2224"/>
      <c r="R63" s="2726"/>
      <c r="S63" s="2526"/>
      <c r="T63" s="2736"/>
      <c r="U63" s="2727"/>
      <c r="V63" s="2081" t="s">
        <v>2948</v>
      </c>
      <c r="W63" s="1852">
        <v>12000000</v>
      </c>
      <c r="X63" s="1617" t="s">
        <v>2946</v>
      </c>
      <c r="Y63" s="1894">
        <v>20</v>
      </c>
      <c r="Z63" s="1618" t="s">
        <v>694</v>
      </c>
      <c r="AA63" s="2605"/>
      <c r="AB63" s="2566"/>
      <c r="AC63" s="2566"/>
      <c r="AD63" s="2566"/>
      <c r="AE63" s="2566"/>
      <c r="AF63" s="2566"/>
      <c r="AG63" s="2566"/>
      <c r="AH63" s="2566"/>
      <c r="AI63" s="2566"/>
      <c r="AJ63" s="2566"/>
      <c r="AK63" s="2566"/>
      <c r="AL63" s="2566"/>
      <c r="AM63" s="2566"/>
      <c r="AN63" s="2566"/>
      <c r="AO63" s="2566"/>
      <c r="AP63" s="2566"/>
      <c r="AQ63" s="2731"/>
      <c r="AR63" s="2733"/>
      <c r="AS63" s="2733"/>
      <c r="AT63" s="2728"/>
    </row>
    <row r="64" spans="1:46" s="1849" customFormat="1" ht="69" customHeight="1" x14ac:dyDescent="0.25">
      <c r="A64" s="2676"/>
      <c r="B64" s="1851"/>
      <c r="C64" s="1850"/>
      <c r="D64" s="1851"/>
      <c r="E64" s="2553"/>
      <c r="F64" s="2553"/>
      <c r="G64" s="2531"/>
      <c r="H64" s="2516"/>
      <c r="I64" s="2531"/>
      <c r="J64" s="2516"/>
      <c r="K64" s="2522"/>
      <c r="L64" s="2517"/>
      <c r="M64" s="2522"/>
      <c r="N64" s="2517"/>
      <c r="O64" s="2522"/>
      <c r="P64" s="2522"/>
      <c r="Q64" s="2224"/>
      <c r="R64" s="2726"/>
      <c r="S64" s="2526"/>
      <c r="T64" s="2736"/>
      <c r="U64" s="2727"/>
      <c r="V64" s="2579"/>
      <c r="W64" s="1852">
        <v>7000000</v>
      </c>
      <c r="X64" s="1617" t="s">
        <v>2947</v>
      </c>
      <c r="Y64" s="1895">
        <v>88</v>
      </c>
      <c r="Z64" s="665" t="s">
        <v>2876</v>
      </c>
      <c r="AA64" s="2605"/>
      <c r="AB64" s="2566"/>
      <c r="AC64" s="2566"/>
      <c r="AD64" s="2566"/>
      <c r="AE64" s="2566"/>
      <c r="AF64" s="2566"/>
      <c r="AG64" s="2566"/>
      <c r="AH64" s="2566"/>
      <c r="AI64" s="2566"/>
      <c r="AJ64" s="2566"/>
      <c r="AK64" s="2566"/>
      <c r="AL64" s="2566"/>
      <c r="AM64" s="2566"/>
      <c r="AN64" s="2566"/>
      <c r="AO64" s="2566"/>
      <c r="AP64" s="2566"/>
      <c r="AQ64" s="2731"/>
      <c r="AR64" s="2733"/>
      <c r="AS64" s="2733"/>
      <c r="AT64" s="2728"/>
    </row>
    <row r="65" spans="1:46" s="1849" customFormat="1" ht="33.75" customHeight="1" x14ac:dyDescent="0.25">
      <c r="A65" s="2676"/>
      <c r="B65" s="1851"/>
      <c r="C65" s="1850"/>
      <c r="D65" s="1851"/>
      <c r="E65" s="2553"/>
      <c r="F65" s="2553"/>
      <c r="G65" s="2531"/>
      <c r="H65" s="2516"/>
      <c r="I65" s="2531"/>
      <c r="J65" s="2516"/>
      <c r="K65" s="2522"/>
      <c r="L65" s="2517"/>
      <c r="M65" s="2522"/>
      <c r="N65" s="2517"/>
      <c r="O65" s="2522"/>
      <c r="P65" s="2522"/>
      <c r="Q65" s="2224"/>
      <c r="R65" s="2726"/>
      <c r="S65" s="2526"/>
      <c r="T65" s="2736"/>
      <c r="U65" s="2727"/>
      <c r="V65" s="1908" t="s">
        <v>2949</v>
      </c>
      <c r="W65" s="1852">
        <v>3000000</v>
      </c>
      <c r="X65" s="1617" t="s">
        <v>2946</v>
      </c>
      <c r="Y65" s="1894">
        <v>20</v>
      </c>
      <c r="Z65" s="1618" t="s">
        <v>694</v>
      </c>
      <c r="AA65" s="2605"/>
      <c r="AB65" s="2566"/>
      <c r="AC65" s="2566"/>
      <c r="AD65" s="2566"/>
      <c r="AE65" s="2566"/>
      <c r="AF65" s="2566"/>
      <c r="AG65" s="2566"/>
      <c r="AH65" s="2566"/>
      <c r="AI65" s="2566"/>
      <c r="AJ65" s="2566"/>
      <c r="AK65" s="2566"/>
      <c r="AL65" s="2566"/>
      <c r="AM65" s="2566"/>
      <c r="AN65" s="2566"/>
      <c r="AO65" s="2566"/>
      <c r="AP65" s="2566"/>
      <c r="AQ65" s="2731"/>
      <c r="AR65" s="2733"/>
      <c r="AS65" s="2733"/>
      <c r="AT65" s="2728"/>
    </row>
    <row r="66" spans="1:46" s="1849" customFormat="1" ht="56.25" customHeight="1" x14ac:dyDescent="0.25">
      <c r="A66" s="2676"/>
      <c r="B66" s="1851"/>
      <c r="C66" s="1850"/>
      <c r="D66" s="1851"/>
      <c r="E66" s="2553"/>
      <c r="F66" s="2553"/>
      <c r="G66" s="2531"/>
      <c r="H66" s="2529"/>
      <c r="I66" s="2531"/>
      <c r="J66" s="2529"/>
      <c r="K66" s="2523"/>
      <c r="L66" s="2194"/>
      <c r="M66" s="2523"/>
      <c r="N66" s="2194"/>
      <c r="O66" s="2523"/>
      <c r="P66" s="2522"/>
      <c r="Q66" s="2224"/>
      <c r="R66" s="2726"/>
      <c r="S66" s="2526"/>
      <c r="T66" s="2736"/>
      <c r="U66" s="2727"/>
      <c r="V66" s="1908" t="s">
        <v>2950</v>
      </c>
      <c r="W66" s="1852">
        <v>3000000</v>
      </c>
      <c r="X66" s="1617" t="s">
        <v>2946</v>
      </c>
      <c r="Y66" s="1894">
        <v>20</v>
      </c>
      <c r="Z66" s="1618" t="s">
        <v>694</v>
      </c>
      <c r="AA66" s="2605"/>
      <c r="AB66" s="2566"/>
      <c r="AC66" s="2566"/>
      <c r="AD66" s="2566"/>
      <c r="AE66" s="2566"/>
      <c r="AF66" s="2566"/>
      <c r="AG66" s="2566"/>
      <c r="AH66" s="2566"/>
      <c r="AI66" s="2566"/>
      <c r="AJ66" s="2566"/>
      <c r="AK66" s="2566"/>
      <c r="AL66" s="2566"/>
      <c r="AM66" s="2566"/>
      <c r="AN66" s="2566"/>
      <c r="AO66" s="2566"/>
      <c r="AP66" s="2566"/>
      <c r="AQ66" s="2731"/>
      <c r="AR66" s="2733"/>
      <c r="AS66" s="2733"/>
      <c r="AT66" s="2728"/>
    </row>
    <row r="67" spans="1:46" s="1849" customFormat="1" ht="48" customHeight="1" x14ac:dyDescent="0.25">
      <c r="A67" s="2676"/>
      <c r="B67" s="1851"/>
      <c r="C67" s="1850"/>
      <c r="D67" s="1851"/>
      <c r="E67" s="2553"/>
      <c r="F67" s="2553"/>
      <c r="G67" s="2531">
        <v>4101038</v>
      </c>
      <c r="H67" s="2515" t="s">
        <v>2951</v>
      </c>
      <c r="I67" s="2531">
        <v>4101038</v>
      </c>
      <c r="J67" s="2515" t="s">
        <v>2951</v>
      </c>
      <c r="K67" s="2714">
        <v>410103800</v>
      </c>
      <c r="L67" s="2193" t="s">
        <v>2952</v>
      </c>
      <c r="M67" s="2714">
        <v>410103800</v>
      </c>
      <c r="N67" s="2193" t="s">
        <v>2952</v>
      </c>
      <c r="O67" s="2714">
        <v>12</v>
      </c>
      <c r="P67" s="2522"/>
      <c r="Q67" s="2224"/>
      <c r="R67" s="2726">
        <f>SUM(W67:W75)/S41</f>
        <v>8.5812287049848848E-2</v>
      </c>
      <c r="S67" s="2526"/>
      <c r="T67" s="2736"/>
      <c r="U67" s="2727" t="s">
        <v>2953</v>
      </c>
      <c r="V67" s="1908" t="s">
        <v>2954</v>
      </c>
      <c r="W67" s="1852">
        <v>6000000</v>
      </c>
      <c r="X67" s="1617" t="s">
        <v>2955</v>
      </c>
      <c r="Y67" s="1894">
        <v>20</v>
      </c>
      <c r="Z67" s="1618" t="s">
        <v>694</v>
      </c>
      <c r="AA67" s="2605"/>
      <c r="AB67" s="2566"/>
      <c r="AC67" s="2566"/>
      <c r="AD67" s="2566"/>
      <c r="AE67" s="2566"/>
      <c r="AF67" s="2566"/>
      <c r="AG67" s="2566"/>
      <c r="AH67" s="2566"/>
      <c r="AI67" s="2566"/>
      <c r="AJ67" s="2566"/>
      <c r="AK67" s="2566"/>
      <c r="AL67" s="2566"/>
      <c r="AM67" s="2566"/>
      <c r="AN67" s="2566"/>
      <c r="AO67" s="2566"/>
      <c r="AP67" s="2566"/>
      <c r="AQ67" s="2731"/>
      <c r="AR67" s="2733"/>
      <c r="AS67" s="2733"/>
      <c r="AT67" s="2728"/>
    </row>
    <row r="68" spans="1:46" s="1849" customFormat="1" ht="47.25" customHeight="1" x14ac:dyDescent="0.25">
      <c r="A68" s="2676"/>
      <c r="B68" s="1851"/>
      <c r="C68" s="1850"/>
      <c r="D68" s="1851"/>
      <c r="E68" s="2553"/>
      <c r="F68" s="2553"/>
      <c r="G68" s="2531"/>
      <c r="H68" s="2516"/>
      <c r="I68" s="2531"/>
      <c r="J68" s="2516"/>
      <c r="K68" s="2522"/>
      <c r="L68" s="2517"/>
      <c r="M68" s="2522"/>
      <c r="N68" s="2517"/>
      <c r="O68" s="2522"/>
      <c r="P68" s="2522"/>
      <c r="Q68" s="2224"/>
      <c r="R68" s="2726"/>
      <c r="S68" s="2526"/>
      <c r="T68" s="2736"/>
      <c r="U68" s="2727"/>
      <c r="V68" s="1908" t="s">
        <v>2956</v>
      </c>
      <c r="W68" s="1852">
        <v>17000000</v>
      </c>
      <c r="X68" s="1617" t="s">
        <v>2955</v>
      </c>
      <c r="Y68" s="1894">
        <v>20</v>
      </c>
      <c r="Z68" s="1618" t="s">
        <v>694</v>
      </c>
      <c r="AA68" s="2605"/>
      <c r="AB68" s="2566"/>
      <c r="AC68" s="2566"/>
      <c r="AD68" s="2566"/>
      <c r="AE68" s="2566"/>
      <c r="AF68" s="2566"/>
      <c r="AG68" s="2566"/>
      <c r="AH68" s="2566"/>
      <c r="AI68" s="2566"/>
      <c r="AJ68" s="2566"/>
      <c r="AK68" s="2566"/>
      <c r="AL68" s="2566"/>
      <c r="AM68" s="2566"/>
      <c r="AN68" s="2566"/>
      <c r="AO68" s="2566"/>
      <c r="AP68" s="2566"/>
      <c r="AQ68" s="2731"/>
      <c r="AR68" s="2733"/>
      <c r="AS68" s="2733"/>
      <c r="AT68" s="2728"/>
    </row>
    <row r="69" spans="1:46" s="1849" customFormat="1" ht="41.25" customHeight="1" x14ac:dyDescent="0.25">
      <c r="A69" s="2676"/>
      <c r="B69" s="1851"/>
      <c r="C69" s="1850"/>
      <c r="D69" s="1851"/>
      <c r="E69" s="2553"/>
      <c r="F69" s="2553"/>
      <c r="G69" s="2531"/>
      <c r="H69" s="2516"/>
      <c r="I69" s="2531"/>
      <c r="J69" s="2516"/>
      <c r="K69" s="2522"/>
      <c r="L69" s="2517"/>
      <c r="M69" s="2522"/>
      <c r="N69" s="2517"/>
      <c r="O69" s="2522"/>
      <c r="P69" s="2522"/>
      <c r="Q69" s="2224"/>
      <c r="R69" s="2726"/>
      <c r="S69" s="2526"/>
      <c r="T69" s="2736"/>
      <c r="U69" s="2727"/>
      <c r="V69" s="2081" t="s">
        <v>2957</v>
      </c>
      <c r="W69" s="1852">
        <v>5000000</v>
      </c>
      <c r="X69" s="1617" t="s">
        <v>2958</v>
      </c>
      <c r="Y69" s="1894">
        <v>20</v>
      </c>
      <c r="Z69" s="1618" t="s">
        <v>694</v>
      </c>
      <c r="AA69" s="2605"/>
      <c r="AB69" s="2566"/>
      <c r="AC69" s="2566"/>
      <c r="AD69" s="2566"/>
      <c r="AE69" s="2566"/>
      <c r="AF69" s="2566"/>
      <c r="AG69" s="2566"/>
      <c r="AH69" s="2566"/>
      <c r="AI69" s="2566"/>
      <c r="AJ69" s="2566"/>
      <c r="AK69" s="2566"/>
      <c r="AL69" s="2566"/>
      <c r="AM69" s="2566"/>
      <c r="AN69" s="2566"/>
      <c r="AO69" s="2566"/>
      <c r="AP69" s="2566"/>
      <c r="AQ69" s="2731"/>
      <c r="AR69" s="2733"/>
      <c r="AS69" s="2733"/>
      <c r="AT69" s="2728"/>
    </row>
    <row r="70" spans="1:46" s="1849" customFormat="1" ht="29.25" customHeight="1" x14ac:dyDescent="0.25">
      <c r="A70" s="2676"/>
      <c r="B70" s="1851"/>
      <c r="C70" s="1850"/>
      <c r="D70" s="1851"/>
      <c r="E70" s="2553"/>
      <c r="F70" s="2553"/>
      <c r="G70" s="2531"/>
      <c r="H70" s="2516"/>
      <c r="I70" s="2531"/>
      <c r="J70" s="2516"/>
      <c r="K70" s="2522"/>
      <c r="L70" s="2517"/>
      <c r="M70" s="2522"/>
      <c r="N70" s="2517"/>
      <c r="O70" s="2522"/>
      <c r="P70" s="2522"/>
      <c r="Q70" s="2224"/>
      <c r="R70" s="2726"/>
      <c r="S70" s="2526"/>
      <c r="T70" s="2736"/>
      <c r="U70" s="2727"/>
      <c r="V70" s="2082"/>
      <c r="W70" s="1852">
        <v>2500000</v>
      </c>
      <c r="X70" s="1617" t="s">
        <v>2959</v>
      </c>
      <c r="Y70" s="1894">
        <v>20</v>
      </c>
      <c r="Z70" s="1618" t="s">
        <v>694</v>
      </c>
      <c r="AA70" s="2605"/>
      <c r="AB70" s="2566"/>
      <c r="AC70" s="2566"/>
      <c r="AD70" s="2566"/>
      <c r="AE70" s="2566"/>
      <c r="AF70" s="2566"/>
      <c r="AG70" s="2566"/>
      <c r="AH70" s="2566"/>
      <c r="AI70" s="2566"/>
      <c r="AJ70" s="2566"/>
      <c r="AK70" s="2566"/>
      <c r="AL70" s="2566"/>
      <c r="AM70" s="2566"/>
      <c r="AN70" s="2566"/>
      <c r="AO70" s="2566"/>
      <c r="AP70" s="2566"/>
      <c r="AQ70" s="2731"/>
      <c r="AR70" s="2733"/>
      <c r="AS70" s="2733"/>
      <c r="AT70" s="2728"/>
    </row>
    <row r="71" spans="1:46" s="1849" customFormat="1" ht="29.25" customHeight="1" x14ac:dyDescent="0.25">
      <c r="A71" s="2676"/>
      <c r="B71" s="1851"/>
      <c r="C71" s="1850"/>
      <c r="D71" s="1851"/>
      <c r="E71" s="2553"/>
      <c r="F71" s="2553"/>
      <c r="G71" s="2531"/>
      <c r="H71" s="2516"/>
      <c r="I71" s="2531"/>
      <c r="J71" s="2516"/>
      <c r="K71" s="2522"/>
      <c r="L71" s="2517"/>
      <c r="M71" s="2522"/>
      <c r="N71" s="2517"/>
      <c r="O71" s="2522"/>
      <c r="P71" s="2522"/>
      <c r="Q71" s="2224"/>
      <c r="R71" s="2726"/>
      <c r="S71" s="2526"/>
      <c r="T71" s="2736"/>
      <c r="U71" s="2727"/>
      <c r="V71" s="2579"/>
      <c r="W71" s="1852">
        <v>3000000</v>
      </c>
      <c r="X71" s="1617" t="s">
        <v>2960</v>
      </c>
      <c r="Y71" s="1895">
        <v>88</v>
      </c>
      <c r="Z71" s="665" t="s">
        <v>2876</v>
      </c>
      <c r="AA71" s="2605"/>
      <c r="AB71" s="2566"/>
      <c r="AC71" s="2566"/>
      <c r="AD71" s="2566"/>
      <c r="AE71" s="2566"/>
      <c r="AF71" s="2566"/>
      <c r="AG71" s="2566"/>
      <c r="AH71" s="2566"/>
      <c r="AI71" s="2566"/>
      <c r="AJ71" s="2566"/>
      <c r="AK71" s="2566"/>
      <c r="AL71" s="2566"/>
      <c r="AM71" s="2566"/>
      <c r="AN71" s="2566"/>
      <c r="AO71" s="2566"/>
      <c r="AP71" s="2566"/>
      <c r="AQ71" s="2731"/>
      <c r="AR71" s="2733"/>
      <c r="AS71" s="2733"/>
      <c r="AT71" s="2728"/>
    </row>
    <row r="72" spans="1:46" s="1849" customFormat="1" ht="35.25" customHeight="1" x14ac:dyDescent="0.25">
      <c r="A72" s="2676"/>
      <c r="B72" s="1851"/>
      <c r="C72" s="1850"/>
      <c r="D72" s="1851"/>
      <c r="E72" s="2553"/>
      <c r="F72" s="2553"/>
      <c r="G72" s="2531"/>
      <c r="H72" s="2516"/>
      <c r="I72" s="2531"/>
      <c r="J72" s="2516"/>
      <c r="K72" s="2522"/>
      <c r="L72" s="2517"/>
      <c r="M72" s="2522"/>
      <c r="N72" s="2517"/>
      <c r="O72" s="2522"/>
      <c r="P72" s="2522"/>
      <c r="Q72" s="2224"/>
      <c r="R72" s="2726"/>
      <c r="S72" s="2526"/>
      <c r="T72" s="2736"/>
      <c r="U72" s="2727"/>
      <c r="V72" s="1908" t="s">
        <v>2949</v>
      </c>
      <c r="W72" s="1852">
        <v>2500000</v>
      </c>
      <c r="X72" s="1617" t="s">
        <v>2959</v>
      </c>
      <c r="Y72" s="1894">
        <v>20</v>
      </c>
      <c r="Z72" s="1618" t="s">
        <v>694</v>
      </c>
      <c r="AA72" s="2605"/>
      <c r="AB72" s="2566"/>
      <c r="AC72" s="2566"/>
      <c r="AD72" s="2566"/>
      <c r="AE72" s="2566"/>
      <c r="AF72" s="2566"/>
      <c r="AG72" s="2566"/>
      <c r="AH72" s="2566"/>
      <c r="AI72" s="2566"/>
      <c r="AJ72" s="2566"/>
      <c r="AK72" s="2566"/>
      <c r="AL72" s="2566"/>
      <c r="AM72" s="2566"/>
      <c r="AN72" s="2566"/>
      <c r="AO72" s="2566"/>
      <c r="AP72" s="2566"/>
      <c r="AQ72" s="2731"/>
      <c r="AR72" s="2733"/>
      <c r="AS72" s="2733"/>
      <c r="AT72" s="2728"/>
    </row>
    <row r="73" spans="1:46" s="1849" customFormat="1" ht="54.75" customHeight="1" x14ac:dyDescent="0.25">
      <c r="A73" s="2676"/>
      <c r="B73" s="1851"/>
      <c r="C73" s="1850"/>
      <c r="D73" s="1851"/>
      <c r="E73" s="2553"/>
      <c r="F73" s="2553"/>
      <c r="G73" s="2531"/>
      <c r="H73" s="2516"/>
      <c r="I73" s="2531"/>
      <c r="J73" s="2516"/>
      <c r="K73" s="2522"/>
      <c r="L73" s="2517"/>
      <c r="M73" s="2522"/>
      <c r="N73" s="2517"/>
      <c r="O73" s="2522"/>
      <c r="P73" s="2522"/>
      <c r="Q73" s="2224"/>
      <c r="R73" s="2726"/>
      <c r="S73" s="2526"/>
      <c r="T73" s="2736"/>
      <c r="U73" s="2727"/>
      <c r="V73" s="2081" t="s">
        <v>2961</v>
      </c>
      <c r="W73" s="1852">
        <v>5000000</v>
      </c>
      <c r="X73" s="1617" t="s">
        <v>2955</v>
      </c>
      <c r="Y73" s="1894">
        <v>20</v>
      </c>
      <c r="Z73" s="1618" t="s">
        <v>694</v>
      </c>
      <c r="AA73" s="2605"/>
      <c r="AB73" s="2566"/>
      <c r="AC73" s="2566"/>
      <c r="AD73" s="2566"/>
      <c r="AE73" s="2566"/>
      <c r="AF73" s="2566"/>
      <c r="AG73" s="2566"/>
      <c r="AH73" s="2566"/>
      <c r="AI73" s="2566"/>
      <c r="AJ73" s="2566"/>
      <c r="AK73" s="2566"/>
      <c r="AL73" s="2566"/>
      <c r="AM73" s="2566"/>
      <c r="AN73" s="2566"/>
      <c r="AO73" s="2566"/>
      <c r="AP73" s="2566"/>
      <c r="AQ73" s="2731"/>
      <c r="AR73" s="2733"/>
      <c r="AS73" s="2733"/>
      <c r="AT73" s="2728"/>
    </row>
    <row r="74" spans="1:46" s="1849" customFormat="1" ht="54.75" customHeight="1" x14ac:dyDescent="0.25">
      <c r="A74" s="2676"/>
      <c r="B74" s="1851"/>
      <c r="C74" s="1850"/>
      <c r="D74" s="1851"/>
      <c r="E74" s="2553"/>
      <c r="F74" s="2553"/>
      <c r="G74" s="2531"/>
      <c r="H74" s="2516"/>
      <c r="I74" s="2531"/>
      <c r="J74" s="2516"/>
      <c r="K74" s="2522"/>
      <c r="L74" s="2517"/>
      <c r="M74" s="2522"/>
      <c r="N74" s="2517"/>
      <c r="O74" s="2522"/>
      <c r="P74" s="2522"/>
      <c r="Q74" s="2224"/>
      <c r="R74" s="2726"/>
      <c r="S74" s="2526"/>
      <c r="T74" s="2736"/>
      <c r="U74" s="2727"/>
      <c r="V74" s="2579"/>
      <c r="W74" s="1852">
        <v>3000000</v>
      </c>
      <c r="X74" s="1617" t="s">
        <v>2962</v>
      </c>
      <c r="Y74" s="1895">
        <v>88</v>
      </c>
      <c r="Z74" s="665" t="s">
        <v>2876</v>
      </c>
      <c r="AA74" s="2605"/>
      <c r="AB74" s="2566"/>
      <c r="AC74" s="2566"/>
      <c r="AD74" s="2566"/>
      <c r="AE74" s="2566"/>
      <c r="AF74" s="2566"/>
      <c r="AG74" s="2566"/>
      <c r="AH74" s="2566"/>
      <c r="AI74" s="2566"/>
      <c r="AJ74" s="2566"/>
      <c r="AK74" s="2566"/>
      <c r="AL74" s="2566"/>
      <c r="AM74" s="2566"/>
      <c r="AN74" s="2566"/>
      <c r="AO74" s="2566"/>
      <c r="AP74" s="2566"/>
      <c r="AQ74" s="2731"/>
      <c r="AR74" s="2733"/>
      <c r="AS74" s="2733"/>
      <c r="AT74" s="2728"/>
    </row>
    <row r="75" spans="1:46" s="1849" customFormat="1" ht="93.75" customHeight="1" x14ac:dyDescent="0.25">
      <c r="A75" s="2676"/>
      <c r="B75" s="1851"/>
      <c r="C75" s="1850"/>
      <c r="D75" s="1851"/>
      <c r="E75" s="2553"/>
      <c r="F75" s="2553"/>
      <c r="G75" s="2531"/>
      <c r="H75" s="2529"/>
      <c r="I75" s="2531"/>
      <c r="J75" s="2529"/>
      <c r="K75" s="2523"/>
      <c r="L75" s="2194"/>
      <c r="M75" s="2523"/>
      <c r="N75" s="2194"/>
      <c r="O75" s="2523"/>
      <c r="P75" s="2522"/>
      <c r="Q75" s="2224"/>
      <c r="R75" s="2726"/>
      <c r="S75" s="2526"/>
      <c r="T75" s="2736"/>
      <c r="U75" s="2727"/>
      <c r="V75" s="1908" t="s">
        <v>2963</v>
      </c>
      <c r="W75" s="1852">
        <v>3000000</v>
      </c>
      <c r="X75" s="1617" t="s">
        <v>2955</v>
      </c>
      <c r="Y75" s="1894">
        <v>20</v>
      </c>
      <c r="Z75" s="1618" t="s">
        <v>694</v>
      </c>
      <c r="AA75" s="2605"/>
      <c r="AB75" s="2566"/>
      <c r="AC75" s="2566"/>
      <c r="AD75" s="2566"/>
      <c r="AE75" s="2566"/>
      <c r="AF75" s="2566"/>
      <c r="AG75" s="2566"/>
      <c r="AH75" s="2566"/>
      <c r="AI75" s="2566"/>
      <c r="AJ75" s="2566"/>
      <c r="AK75" s="2566"/>
      <c r="AL75" s="2566"/>
      <c r="AM75" s="2566"/>
      <c r="AN75" s="2566"/>
      <c r="AO75" s="2566"/>
      <c r="AP75" s="2566"/>
      <c r="AQ75" s="2731"/>
      <c r="AR75" s="2733"/>
      <c r="AS75" s="2733"/>
      <c r="AT75" s="2728"/>
    </row>
    <row r="76" spans="1:46" s="1849" customFormat="1" ht="70.5" customHeight="1" x14ac:dyDescent="0.25">
      <c r="A76" s="2676"/>
      <c r="B76" s="1851"/>
      <c r="C76" s="1850"/>
      <c r="D76" s="1851"/>
      <c r="E76" s="2553"/>
      <c r="F76" s="2553"/>
      <c r="G76" s="2667">
        <v>4101073</v>
      </c>
      <c r="H76" s="2721" t="s">
        <v>2964</v>
      </c>
      <c r="I76" s="2667">
        <v>4101073</v>
      </c>
      <c r="J76" s="2723" t="s">
        <v>2964</v>
      </c>
      <c r="K76" s="2714">
        <v>410107300</v>
      </c>
      <c r="L76" s="2193" t="s">
        <v>2965</v>
      </c>
      <c r="M76" s="2714">
        <v>410107300</v>
      </c>
      <c r="N76" s="2193" t="s">
        <v>2965</v>
      </c>
      <c r="O76" s="2714">
        <v>30</v>
      </c>
      <c r="P76" s="2522"/>
      <c r="Q76" s="2224"/>
      <c r="R76" s="2715">
        <f>SUM(W76:W81)/S41</f>
        <v>0.24959893664919411</v>
      </c>
      <c r="S76" s="2526"/>
      <c r="T76" s="2736"/>
      <c r="U76" s="2718" t="s">
        <v>2966</v>
      </c>
      <c r="V76" s="2081" t="s">
        <v>2967</v>
      </c>
      <c r="W76" s="1852">
        <f>40000000-40000000</f>
        <v>0</v>
      </c>
      <c r="X76" s="1617" t="s">
        <v>2968</v>
      </c>
      <c r="Y76" s="1894">
        <v>20</v>
      </c>
      <c r="Z76" s="1618" t="s">
        <v>694</v>
      </c>
      <c r="AA76" s="2605"/>
      <c r="AB76" s="2566"/>
      <c r="AC76" s="2566"/>
      <c r="AD76" s="2566"/>
      <c r="AE76" s="2566"/>
      <c r="AF76" s="2566"/>
      <c r="AG76" s="2566"/>
      <c r="AH76" s="2566"/>
      <c r="AI76" s="2566"/>
      <c r="AJ76" s="2566"/>
      <c r="AK76" s="2566"/>
      <c r="AL76" s="2566"/>
      <c r="AM76" s="2566"/>
      <c r="AN76" s="2566"/>
      <c r="AO76" s="2566"/>
      <c r="AP76" s="2566"/>
      <c r="AQ76" s="2731"/>
      <c r="AR76" s="2733"/>
      <c r="AS76" s="2733"/>
      <c r="AT76" s="2728"/>
    </row>
    <row r="77" spans="1:46" s="1849" customFormat="1" ht="70.5" customHeight="1" x14ac:dyDescent="0.25">
      <c r="A77" s="2676"/>
      <c r="B77" s="1851"/>
      <c r="C77" s="1850"/>
      <c r="D77" s="1851"/>
      <c r="E77" s="2553"/>
      <c r="F77" s="2553"/>
      <c r="G77" s="2668"/>
      <c r="H77" s="2719"/>
      <c r="I77" s="2668"/>
      <c r="J77" s="2724"/>
      <c r="K77" s="2522"/>
      <c r="L77" s="2517"/>
      <c r="M77" s="2522"/>
      <c r="N77" s="2517"/>
      <c r="O77" s="2522"/>
      <c r="P77" s="2522"/>
      <c r="Q77" s="2224"/>
      <c r="R77" s="2716"/>
      <c r="S77" s="2526"/>
      <c r="T77" s="2736"/>
      <c r="U77" s="2719"/>
      <c r="V77" s="2082"/>
      <c r="W77" s="1852">
        <v>36707113</v>
      </c>
      <c r="X77" s="1617" t="s">
        <v>2969</v>
      </c>
      <c r="Y77" s="1895">
        <v>88</v>
      </c>
      <c r="Z77" s="665" t="s">
        <v>2876</v>
      </c>
      <c r="AA77" s="2605"/>
      <c r="AB77" s="2566"/>
      <c r="AC77" s="2566"/>
      <c r="AD77" s="2566"/>
      <c r="AE77" s="2566"/>
      <c r="AF77" s="2566"/>
      <c r="AG77" s="2566"/>
      <c r="AH77" s="2566"/>
      <c r="AI77" s="2566"/>
      <c r="AJ77" s="2566"/>
      <c r="AK77" s="2566"/>
      <c r="AL77" s="2566"/>
      <c r="AM77" s="2566"/>
      <c r="AN77" s="2566"/>
      <c r="AO77" s="2566"/>
      <c r="AP77" s="2566"/>
      <c r="AQ77" s="2731"/>
      <c r="AR77" s="2733"/>
      <c r="AS77" s="2733"/>
      <c r="AT77" s="2728"/>
    </row>
    <row r="78" spans="1:46" s="1849" customFormat="1" ht="70.5" customHeight="1" x14ac:dyDescent="0.25">
      <c r="A78" s="2676"/>
      <c r="B78" s="1851"/>
      <c r="C78" s="1850"/>
      <c r="D78" s="1851"/>
      <c r="E78" s="2553"/>
      <c r="F78" s="2553"/>
      <c r="G78" s="2668"/>
      <c r="H78" s="2719"/>
      <c r="I78" s="2668"/>
      <c r="J78" s="2724"/>
      <c r="K78" s="2522"/>
      <c r="L78" s="2517"/>
      <c r="M78" s="2522"/>
      <c r="N78" s="2517"/>
      <c r="O78" s="2522"/>
      <c r="P78" s="2522"/>
      <c r="Q78" s="2224"/>
      <c r="R78" s="2716"/>
      <c r="S78" s="2526"/>
      <c r="T78" s="2736"/>
      <c r="U78" s="2719"/>
      <c r="V78" s="2082"/>
      <c r="W78" s="1852">
        <v>20000000</v>
      </c>
      <c r="X78" s="1617" t="s">
        <v>2970</v>
      </c>
      <c r="Y78" s="1894">
        <v>20</v>
      </c>
      <c r="Z78" s="1618" t="s">
        <v>694</v>
      </c>
      <c r="AA78" s="2605"/>
      <c r="AB78" s="2566"/>
      <c r="AC78" s="2566"/>
      <c r="AD78" s="2566"/>
      <c r="AE78" s="2566"/>
      <c r="AF78" s="2566"/>
      <c r="AG78" s="2566"/>
      <c r="AH78" s="2566"/>
      <c r="AI78" s="2566"/>
      <c r="AJ78" s="2566"/>
      <c r="AK78" s="2566"/>
      <c r="AL78" s="2566"/>
      <c r="AM78" s="2566"/>
      <c r="AN78" s="2566"/>
      <c r="AO78" s="2566"/>
      <c r="AP78" s="2566"/>
      <c r="AQ78" s="2731"/>
      <c r="AR78" s="2733"/>
      <c r="AS78" s="2733"/>
      <c r="AT78" s="2728"/>
    </row>
    <row r="79" spans="1:46" s="1849" customFormat="1" ht="70.5" customHeight="1" x14ac:dyDescent="0.25">
      <c r="A79" s="2676"/>
      <c r="B79" s="1851"/>
      <c r="C79" s="1850"/>
      <c r="D79" s="1851"/>
      <c r="E79" s="2553"/>
      <c r="F79" s="2553"/>
      <c r="G79" s="2668"/>
      <c r="H79" s="2719"/>
      <c r="I79" s="2668"/>
      <c r="J79" s="2724"/>
      <c r="K79" s="2522"/>
      <c r="L79" s="2517"/>
      <c r="M79" s="2522"/>
      <c r="N79" s="2517"/>
      <c r="O79" s="2522"/>
      <c r="P79" s="2522"/>
      <c r="Q79" s="2224"/>
      <c r="R79" s="2716"/>
      <c r="S79" s="2526"/>
      <c r="T79" s="2736"/>
      <c r="U79" s="2719"/>
      <c r="V79" s="2082"/>
      <c r="W79" s="1852">
        <v>30000000</v>
      </c>
      <c r="X79" s="1617" t="s">
        <v>2971</v>
      </c>
      <c r="Y79" s="1895">
        <v>88</v>
      </c>
      <c r="Z79" s="665" t="s">
        <v>2876</v>
      </c>
      <c r="AA79" s="2605"/>
      <c r="AB79" s="2566"/>
      <c r="AC79" s="2566"/>
      <c r="AD79" s="2566"/>
      <c r="AE79" s="2566"/>
      <c r="AF79" s="2566"/>
      <c r="AG79" s="2566"/>
      <c r="AH79" s="2566"/>
      <c r="AI79" s="2566"/>
      <c r="AJ79" s="2566"/>
      <c r="AK79" s="2566"/>
      <c r="AL79" s="2566"/>
      <c r="AM79" s="2566"/>
      <c r="AN79" s="2566"/>
      <c r="AO79" s="2566"/>
      <c r="AP79" s="2566"/>
      <c r="AQ79" s="2731"/>
      <c r="AR79" s="2733"/>
      <c r="AS79" s="2733"/>
      <c r="AT79" s="2728"/>
    </row>
    <row r="80" spans="1:46" s="1849" customFormat="1" ht="70.5" customHeight="1" x14ac:dyDescent="0.25">
      <c r="A80" s="2676"/>
      <c r="B80" s="1851"/>
      <c r="C80" s="1850"/>
      <c r="D80" s="1851"/>
      <c r="E80" s="2553"/>
      <c r="F80" s="2553"/>
      <c r="G80" s="2668"/>
      <c r="H80" s="2719"/>
      <c r="I80" s="2668"/>
      <c r="J80" s="2724"/>
      <c r="K80" s="2522"/>
      <c r="L80" s="2517"/>
      <c r="M80" s="2522"/>
      <c r="N80" s="2517"/>
      <c r="O80" s="2522"/>
      <c r="P80" s="2522"/>
      <c r="Q80" s="2224"/>
      <c r="R80" s="2716"/>
      <c r="S80" s="2526"/>
      <c r="T80" s="2736"/>
      <c r="U80" s="2719"/>
      <c r="V80" s="2082"/>
      <c r="W80" s="1852">
        <v>30000000</v>
      </c>
      <c r="X80" s="1617" t="s">
        <v>2972</v>
      </c>
      <c r="Y80" s="1895">
        <v>88</v>
      </c>
      <c r="Z80" s="665" t="s">
        <v>2876</v>
      </c>
      <c r="AA80" s="2605"/>
      <c r="AB80" s="2566"/>
      <c r="AC80" s="2566"/>
      <c r="AD80" s="2566"/>
      <c r="AE80" s="2566"/>
      <c r="AF80" s="2566"/>
      <c r="AG80" s="2566"/>
      <c r="AH80" s="2566"/>
      <c r="AI80" s="2566"/>
      <c r="AJ80" s="2566"/>
      <c r="AK80" s="2566"/>
      <c r="AL80" s="2566"/>
      <c r="AM80" s="2566"/>
      <c r="AN80" s="2566"/>
      <c r="AO80" s="2566"/>
      <c r="AP80" s="2566"/>
      <c r="AQ80" s="2731"/>
      <c r="AR80" s="2733"/>
      <c r="AS80" s="2733"/>
      <c r="AT80" s="2728"/>
    </row>
    <row r="81" spans="1:46" s="1849" customFormat="1" ht="70.5" customHeight="1" x14ac:dyDescent="0.25">
      <c r="A81" s="2676"/>
      <c r="B81" s="1851"/>
      <c r="C81" s="1850"/>
      <c r="D81" s="1851"/>
      <c r="E81" s="2553"/>
      <c r="F81" s="2553"/>
      <c r="G81" s="2530"/>
      <c r="H81" s="2722"/>
      <c r="I81" s="2530"/>
      <c r="J81" s="2725"/>
      <c r="K81" s="2523"/>
      <c r="L81" s="2194"/>
      <c r="M81" s="2523"/>
      <c r="N81" s="2194"/>
      <c r="O81" s="2523"/>
      <c r="P81" s="2522"/>
      <c r="Q81" s="2224"/>
      <c r="R81" s="2717"/>
      <c r="S81" s="2526"/>
      <c r="T81" s="2736"/>
      <c r="U81" s="2720"/>
      <c r="V81" s="2082"/>
      <c r="W81" s="1852">
        <v>20000000</v>
      </c>
      <c r="X81" s="1617" t="s">
        <v>2973</v>
      </c>
      <c r="Y81" s="1894">
        <v>20</v>
      </c>
      <c r="Z81" s="1618" t="s">
        <v>694</v>
      </c>
      <c r="AA81" s="2605"/>
      <c r="AB81" s="2566"/>
      <c r="AC81" s="2566"/>
      <c r="AD81" s="2566"/>
      <c r="AE81" s="2566"/>
      <c r="AF81" s="2566"/>
      <c r="AG81" s="2566"/>
      <c r="AH81" s="2566"/>
      <c r="AI81" s="2566"/>
      <c r="AJ81" s="2566"/>
      <c r="AK81" s="2566"/>
      <c r="AL81" s="2566"/>
      <c r="AM81" s="2566"/>
      <c r="AN81" s="2566"/>
      <c r="AO81" s="2566"/>
      <c r="AP81" s="2566"/>
      <c r="AQ81" s="2731"/>
      <c r="AR81" s="2733"/>
      <c r="AS81" s="2733"/>
      <c r="AT81" s="2728"/>
    </row>
    <row r="82" spans="1:46" s="1849" customFormat="1" ht="50.25" customHeight="1" x14ac:dyDescent="0.25">
      <c r="A82" s="2676"/>
      <c r="B82" s="1851"/>
      <c r="C82" s="1850"/>
      <c r="D82" s="1851"/>
      <c r="E82" s="2553"/>
      <c r="F82" s="2553"/>
      <c r="G82" s="2665">
        <v>4101011</v>
      </c>
      <c r="H82" s="2711" t="s">
        <v>2974</v>
      </c>
      <c r="I82" s="2665">
        <v>4101011</v>
      </c>
      <c r="J82" s="2711" t="s">
        <v>2974</v>
      </c>
      <c r="K82" s="2702">
        <v>410101100</v>
      </c>
      <c r="L82" s="2141" t="s">
        <v>2975</v>
      </c>
      <c r="M82" s="2702">
        <v>410101100</v>
      </c>
      <c r="N82" s="2141" t="s">
        <v>2975</v>
      </c>
      <c r="O82" s="2702">
        <v>2</v>
      </c>
      <c r="P82" s="2522"/>
      <c r="Q82" s="2224"/>
      <c r="R82" s="2706">
        <f>SUM(W82:W89)/S41</f>
        <v>8.5812287049848848E-2</v>
      </c>
      <c r="S82" s="2526"/>
      <c r="T82" s="2736"/>
      <c r="U82" s="2273" t="s">
        <v>2976</v>
      </c>
      <c r="V82" s="2251" t="s">
        <v>2977</v>
      </c>
      <c r="W82" s="1852">
        <v>3000000</v>
      </c>
      <c r="X82" s="1617" t="s">
        <v>2978</v>
      </c>
      <c r="Y82" s="1894">
        <v>20</v>
      </c>
      <c r="Z82" s="1618" t="s">
        <v>694</v>
      </c>
      <c r="AA82" s="2605"/>
      <c r="AB82" s="2566"/>
      <c r="AC82" s="2566"/>
      <c r="AD82" s="2566"/>
      <c r="AE82" s="2566"/>
      <c r="AF82" s="2566"/>
      <c r="AG82" s="2566"/>
      <c r="AH82" s="2566"/>
      <c r="AI82" s="2566"/>
      <c r="AJ82" s="2566"/>
      <c r="AK82" s="2566"/>
      <c r="AL82" s="2566"/>
      <c r="AM82" s="2566"/>
      <c r="AN82" s="2566"/>
      <c r="AO82" s="2566"/>
      <c r="AP82" s="2566"/>
      <c r="AQ82" s="2731"/>
      <c r="AR82" s="2733"/>
      <c r="AS82" s="2733"/>
      <c r="AT82" s="2728"/>
    </row>
    <row r="83" spans="1:46" s="1849" customFormat="1" ht="50.25" customHeight="1" x14ac:dyDescent="0.25">
      <c r="A83" s="2676"/>
      <c r="B83" s="1851"/>
      <c r="C83" s="1850"/>
      <c r="D83" s="1851"/>
      <c r="E83" s="2553"/>
      <c r="F83" s="2553"/>
      <c r="G83" s="2665"/>
      <c r="H83" s="2712"/>
      <c r="I83" s="2665"/>
      <c r="J83" s="2712"/>
      <c r="K83" s="2703"/>
      <c r="L83" s="2142"/>
      <c r="M83" s="2703"/>
      <c r="N83" s="2142"/>
      <c r="O83" s="2703"/>
      <c r="P83" s="2522"/>
      <c r="Q83" s="2224"/>
      <c r="R83" s="2707"/>
      <c r="S83" s="2526"/>
      <c r="T83" s="2736"/>
      <c r="U83" s="2274"/>
      <c r="V83" s="2251"/>
      <c r="W83" s="1852">
        <v>20000000</v>
      </c>
      <c r="X83" s="1617" t="s">
        <v>2979</v>
      </c>
      <c r="Y83" s="1895">
        <v>88</v>
      </c>
      <c r="Z83" s="665" t="s">
        <v>2876</v>
      </c>
      <c r="AA83" s="2605"/>
      <c r="AB83" s="2566"/>
      <c r="AC83" s="2566"/>
      <c r="AD83" s="2566"/>
      <c r="AE83" s="2566"/>
      <c r="AF83" s="2566"/>
      <c r="AG83" s="2566"/>
      <c r="AH83" s="2566"/>
      <c r="AI83" s="2566"/>
      <c r="AJ83" s="2566"/>
      <c r="AK83" s="2566"/>
      <c r="AL83" s="2566"/>
      <c r="AM83" s="2566"/>
      <c r="AN83" s="2566"/>
      <c r="AO83" s="2566"/>
      <c r="AP83" s="2566"/>
      <c r="AQ83" s="2731"/>
      <c r="AR83" s="2733"/>
      <c r="AS83" s="2733"/>
      <c r="AT83" s="2728"/>
    </row>
    <row r="84" spans="1:46" s="1849" customFormat="1" ht="53.25" customHeight="1" x14ac:dyDescent="0.25">
      <c r="A84" s="2676"/>
      <c r="B84" s="1851"/>
      <c r="C84" s="1850"/>
      <c r="D84" s="1851"/>
      <c r="E84" s="2553"/>
      <c r="F84" s="2553"/>
      <c r="G84" s="2665"/>
      <c r="H84" s="2712"/>
      <c r="I84" s="2665"/>
      <c r="J84" s="2712"/>
      <c r="K84" s="2703"/>
      <c r="L84" s="2142"/>
      <c r="M84" s="2703"/>
      <c r="N84" s="2142"/>
      <c r="O84" s="2703"/>
      <c r="P84" s="2522"/>
      <c r="Q84" s="2224"/>
      <c r="R84" s="2707"/>
      <c r="S84" s="2526"/>
      <c r="T84" s="2736"/>
      <c r="U84" s="2709"/>
      <c r="V84" s="2082" t="s">
        <v>2980</v>
      </c>
      <c r="W84" s="1852">
        <v>7000000</v>
      </c>
      <c r="X84" s="1617" t="s">
        <v>2981</v>
      </c>
      <c r="Y84" s="1894">
        <v>20</v>
      </c>
      <c r="Z84" s="1618" t="s">
        <v>694</v>
      </c>
      <c r="AA84" s="2605"/>
      <c r="AB84" s="2566"/>
      <c r="AC84" s="2566"/>
      <c r="AD84" s="2566"/>
      <c r="AE84" s="2566"/>
      <c r="AF84" s="2566"/>
      <c r="AG84" s="2566"/>
      <c r="AH84" s="2566"/>
      <c r="AI84" s="2566"/>
      <c r="AJ84" s="2566"/>
      <c r="AK84" s="2566"/>
      <c r="AL84" s="2566"/>
      <c r="AM84" s="2566"/>
      <c r="AN84" s="2566"/>
      <c r="AO84" s="2566"/>
      <c r="AP84" s="2566"/>
      <c r="AQ84" s="2731"/>
      <c r="AR84" s="2733"/>
      <c r="AS84" s="2733"/>
      <c r="AT84" s="2728"/>
    </row>
    <row r="85" spans="1:46" s="1849" customFormat="1" ht="53.25" customHeight="1" x14ac:dyDescent="0.25">
      <c r="A85" s="2676"/>
      <c r="B85" s="1851"/>
      <c r="C85" s="1850"/>
      <c r="D85" s="1851"/>
      <c r="E85" s="2553"/>
      <c r="F85" s="2553"/>
      <c r="G85" s="2665"/>
      <c r="H85" s="2712"/>
      <c r="I85" s="2665"/>
      <c r="J85" s="2712"/>
      <c r="K85" s="2703"/>
      <c r="L85" s="2142"/>
      <c r="M85" s="2703"/>
      <c r="N85" s="2142"/>
      <c r="O85" s="2703"/>
      <c r="P85" s="2522"/>
      <c r="Q85" s="2224"/>
      <c r="R85" s="2707"/>
      <c r="S85" s="2526"/>
      <c r="T85" s="2736"/>
      <c r="U85" s="2709"/>
      <c r="V85" s="2579"/>
      <c r="W85" s="1852">
        <v>10000000</v>
      </c>
      <c r="X85" s="1617" t="s">
        <v>2979</v>
      </c>
      <c r="Y85" s="1895">
        <v>88</v>
      </c>
      <c r="Z85" s="665" t="s">
        <v>2876</v>
      </c>
      <c r="AA85" s="2605"/>
      <c r="AB85" s="2566"/>
      <c r="AC85" s="2566"/>
      <c r="AD85" s="2566"/>
      <c r="AE85" s="2566"/>
      <c r="AF85" s="2566"/>
      <c r="AG85" s="2566"/>
      <c r="AH85" s="2566"/>
      <c r="AI85" s="2566"/>
      <c r="AJ85" s="2566"/>
      <c r="AK85" s="2566"/>
      <c r="AL85" s="2566"/>
      <c r="AM85" s="2566"/>
      <c r="AN85" s="2566"/>
      <c r="AO85" s="2566"/>
      <c r="AP85" s="2566"/>
      <c r="AQ85" s="2731"/>
      <c r="AR85" s="2733"/>
      <c r="AS85" s="2733"/>
      <c r="AT85" s="2728"/>
    </row>
    <row r="86" spans="1:46" s="1849" customFormat="1" ht="38.25" customHeight="1" x14ac:dyDescent="0.25">
      <c r="A86" s="2676"/>
      <c r="B86" s="1851"/>
      <c r="C86" s="1850"/>
      <c r="D86" s="1851"/>
      <c r="E86" s="2553"/>
      <c r="F86" s="2553"/>
      <c r="G86" s="2665"/>
      <c r="H86" s="2712"/>
      <c r="I86" s="2665"/>
      <c r="J86" s="2712"/>
      <c r="K86" s="2703"/>
      <c r="L86" s="2142"/>
      <c r="M86" s="2703"/>
      <c r="N86" s="2142"/>
      <c r="O86" s="2703"/>
      <c r="P86" s="2522"/>
      <c r="Q86" s="2224"/>
      <c r="R86" s="2707"/>
      <c r="S86" s="2526"/>
      <c r="T86" s="2736"/>
      <c r="U86" s="2709"/>
      <c r="V86" s="1909" t="s">
        <v>2949</v>
      </c>
      <c r="W86" s="1852">
        <v>2000000</v>
      </c>
      <c r="X86" s="1617" t="s">
        <v>2982</v>
      </c>
      <c r="Y86" s="1894">
        <v>20</v>
      </c>
      <c r="Z86" s="1618" t="s">
        <v>694</v>
      </c>
      <c r="AA86" s="2605"/>
      <c r="AB86" s="2566"/>
      <c r="AC86" s="2566"/>
      <c r="AD86" s="2566"/>
      <c r="AE86" s="2566"/>
      <c r="AF86" s="2566"/>
      <c r="AG86" s="2566"/>
      <c r="AH86" s="2566"/>
      <c r="AI86" s="2566"/>
      <c r="AJ86" s="2566"/>
      <c r="AK86" s="2566"/>
      <c r="AL86" s="2566"/>
      <c r="AM86" s="2566"/>
      <c r="AN86" s="2566"/>
      <c r="AO86" s="2566"/>
      <c r="AP86" s="2566"/>
      <c r="AQ86" s="2731"/>
      <c r="AR86" s="2733"/>
      <c r="AS86" s="2733"/>
      <c r="AT86" s="2728"/>
    </row>
    <row r="87" spans="1:46" s="1849" customFormat="1" ht="38.25" customHeight="1" x14ac:dyDescent="0.25">
      <c r="A87" s="2676"/>
      <c r="B87" s="1851"/>
      <c r="C87" s="1850"/>
      <c r="D87" s="1851"/>
      <c r="E87" s="2553"/>
      <c r="F87" s="2553"/>
      <c r="G87" s="2665"/>
      <c r="H87" s="2712"/>
      <c r="I87" s="2665"/>
      <c r="J87" s="2712"/>
      <c r="K87" s="2703"/>
      <c r="L87" s="2142"/>
      <c r="M87" s="2703"/>
      <c r="N87" s="2142"/>
      <c r="O87" s="2703"/>
      <c r="P87" s="2522"/>
      <c r="Q87" s="2224"/>
      <c r="R87" s="2707"/>
      <c r="S87" s="2526"/>
      <c r="T87" s="2736"/>
      <c r="U87" s="2709"/>
      <c r="V87" s="2081" t="s">
        <v>2983</v>
      </c>
      <c r="W87" s="1852">
        <v>1000000</v>
      </c>
      <c r="X87" s="1617" t="s">
        <v>2982</v>
      </c>
      <c r="Y87" s="1894">
        <v>20</v>
      </c>
      <c r="Z87" s="1618" t="s">
        <v>694</v>
      </c>
      <c r="AA87" s="2605"/>
      <c r="AB87" s="2566"/>
      <c r="AC87" s="2566"/>
      <c r="AD87" s="2566"/>
      <c r="AE87" s="2566"/>
      <c r="AF87" s="2566"/>
      <c r="AG87" s="2566"/>
      <c r="AH87" s="2566"/>
      <c r="AI87" s="2566"/>
      <c r="AJ87" s="2566"/>
      <c r="AK87" s="2566"/>
      <c r="AL87" s="2566"/>
      <c r="AM87" s="2566"/>
      <c r="AN87" s="2566"/>
      <c r="AO87" s="2566"/>
      <c r="AP87" s="2566"/>
      <c r="AQ87" s="2731"/>
      <c r="AR87" s="2733"/>
      <c r="AS87" s="2733"/>
      <c r="AT87" s="2728"/>
    </row>
    <row r="88" spans="1:46" s="1849" customFormat="1" ht="38.25" customHeight="1" x14ac:dyDescent="0.25">
      <c r="A88" s="2676"/>
      <c r="B88" s="1851"/>
      <c r="C88" s="1850"/>
      <c r="D88" s="1851"/>
      <c r="E88" s="2553"/>
      <c r="F88" s="2553"/>
      <c r="G88" s="2665"/>
      <c r="H88" s="2712"/>
      <c r="I88" s="2665"/>
      <c r="J88" s="2712"/>
      <c r="K88" s="2703"/>
      <c r="L88" s="2142"/>
      <c r="M88" s="2703"/>
      <c r="N88" s="2142"/>
      <c r="O88" s="2703"/>
      <c r="P88" s="2522"/>
      <c r="Q88" s="2224"/>
      <c r="R88" s="2707"/>
      <c r="S88" s="2526"/>
      <c r="T88" s="2736"/>
      <c r="U88" s="2709"/>
      <c r="V88" s="2082"/>
      <c r="W88" s="1852">
        <v>2000000</v>
      </c>
      <c r="X88" s="1617" t="s">
        <v>2979</v>
      </c>
      <c r="Y88" s="1895">
        <v>88</v>
      </c>
      <c r="Z88" s="665" t="s">
        <v>2876</v>
      </c>
      <c r="AA88" s="2605"/>
      <c r="AB88" s="2566"/>
      <c r="AC88" s="2566"/>
      <c r="AD88" s="2566"/>
      <c r="AE88" s="2566"/>
      <c r="AF88" s="2566"/>
      <c r="AG88" s="2566"/>
      <c r="AH88" s="2566"/>
      <c r="AI88" s="2566"/>
      <c r="AJ88" s="2566"/>
      <c r="AK88" s="2566"/>
      <c r="AL88" s="2566"/>
      <c r="AM88" s="2566"/>
      <c r="AN88" s="2566"/>
      <c r="AO88" s="2566"/>
      <c r="AP88" s="2566"/>
      <c r="AQ88" s="2731"/>
      <c r="AR88" s="2733"/>
      <c r="AS88" s="2733"/>
      <c r="AT88" s="2728"/>
    </row>
    <row r="89" spans="1:46" s="1849" customFormat="1" ht="38.25" customHeight="1" x14ac:dyDescent="0.25">
      <c r="A89" s="2676"/>
      <c r="B89" s="1851"/>
      <c r="C89" s="1850"/>
      <c r="D89" s="1851"/>
      <c r="E89" s="2553"/>
      <c r="F89" s="2654"/>
      <c r="G89" s="2665"/>
      <c r="H89" s="2713"/>
      <c r="I89" s="2665"/>
      <c r="J89" s="2713"/>
      <c r="K89" s="2704"/>
      <c r="L89" s="2705"/>
      <c r="M89" s="2704"/>
      <c r="N89" s="2705"/>
      <c r="O89" s="2704"/>
      <c r="P89" s="2700"/>
      <c r="Q89" s="2593"/>
      <c r="R89" s="2708"/>
      <c r="S89" s="2526"/>
      <c r="T89" s="2736"/>
      <c r="U89" s="2710"/>
      <c r="V89" s="2579"/>
      <c r="W89" s="1852">
        <v>2000000</v>
      </c>
      <c r="X89" s="1617" t="s">
        <v>2981</v>
      </c>
      <c r="Y89" s="1894">
        <v>20</v>
      </c>
      <c r="Z89" s="1618" t="s">
        <v>694</v>
      </c>
      <c r="AA89" s="2734"/>
      <c r="AB89" s="2729"/>
      <c r="AC89" s="2729"/>
      <c r="AD89" s="2729"/>
      <c r="AE89" s="2729"/>
      <c r="AF89" s="2729"/>
      <c r="AG89" s="2729"/>
      <c r="AH89" s="2729"/>
      <c r="AI89" s="2729"/>
      <c r="AJ89" s="2729"/>
      <c r="AK89" s="2729"/>
      <c r="AL89" s="2729"/>
      <c r="AM89" s="2729"/>
      <c r="AN89" s="2729"/>
      <c r="AO89" s="2729"/>
      <c r="AP89" s="2729"/>
      <c r="AQ89" s="2731"/>
      <c r="AR89" s="2733"/>
      <c r="AS89" s="2733"/>
      <c r="AT89" s="2728"/>
    </row>
    <row r="90" spans="1:46" s="1849" customFormat="1" ht="21.75" customHeight="1" x14ac:dyDescent="0.25">
      <c r="A90" s="2676"/>
      <c r="B90" s="1851"/>
      <c r="C90" s="1850"/>
      <c r="D90" s="1851"/>
      <c r="E90" s="1863">
        <v>4103</v>
      </c>
      <c r="F90" s="2697" t="s">
        <v>1190</v>
      </c>
      <c r="G90" s="2091"/>
      <c r="H90" s="2091"/>
      <c r="I90" s="2091"/>
      <c r="J90" s="2091"/>
      <c r="K90" s="2091"/>
      <c r="L90" s="2091"/>
      <c r="M90" s="2091"/>
      <c r="N90" s="2091"/>
      <c r="O90" s="2091"/>
      <c r="P90" s="2091"/>
      <c r="Q90" s="1204"/>
      <c r="R90" s="1207"/>
      <c r="S90" s="1910"/>
      <c r="T90" s="1204"/>
      <c r="U90" s="1204"/>
      <c r="V90" s="1893"/>
      <c r="W90" s="1864"/>
      <c r="X90" s="1865"/>
      <c r="Y90" s="1205"/>
      <c r="Z90" s="1866"/>
      <c r="AA90" s="1844"/>
      <c r="AB90" s="1844"/>
      <c r="AC90" s="1844"/>
      <c r="AD90" s="1844"/>
      <c r="AE90" s="1844"/>
      <c r="AF90" s="1844"/>
      <c r="AG90" s="1844"/>
      <c r="AH90" s="1844"/>
      <c r="AI90" s="1844"/>
      <c r="AJ90" s="1844"/>
      <c r="AK90" s="1844"/>
      <c r="AL90" s="1844"/>
      <c r="AM90" s="1844"/>
      <c r="AN90" s="1844"/>
      <c r="AO90" s="1844"/>
      <c r="AP90" s="1844"/>
      <c r="AQ90" s="2698"/>
      <c r="AR90" s="2698"/>
      <c r="AS90" s="2698"/>
      <c r="AT90" s="2699"/>
    </row>
    <row r="91" spans="1:46" s="1849" customFormat="1" ht="43.5" customHeight="1" x14ac:dyDescent="0.25">
      <c r="A91" s="2676"/>
      <c r="B91" s="1851"/>
      <c r="C91" s="1850"/>
      <c r="D91" s="1851"/>
      <c r="E91" s="2553"/>
      <c r="F91" s="2553"/>
      <c r="G91" s="2530" t="s">
        <v>62</v>
      </c>
      <c r="H91" s="2516" t="s">
        <v>2984</v>
      </c>
      <c r="I91" s="2530">
        <v>4103052</v>
      </c>
      <c r="J91" s="2516" t="s">
        <v>1198</v>
      </c>
      <c r="K91" s="2522" t="s">
        <v>62</v>
      </c>
      <c r="L91" s="2517" t="s">
        <v>2985</v>
      </c>
      <c r="M91" s="2522">
        <v>410305201</v>
      </c>
      <c r="N91" s="2517" t="s">
        <v>2986</v>
      </c>
      <c r="O91" s="2522">
        <v>25</v>
      </c>
      <c r="P91" s="2522" t="s">
        <v>2987</v>
      </c>
      <c r="Q91" s="2193" t="s">
        <v>2988</v>
      </c>
      <c r="R91" s="2696">
        <f>SUM(W91:W100)/S91</f>
        <v>1</v>
      </c>
      <c r="S91" s="2701">
        <f>SUM(W91:W100)</f>
        <v>34027629</v>
      </c>
      <c r="T91" s="2193" t="s">
        <v>2989</v>
      </c>
      <c r="U91" s="2556" t="s">
        <v>2990</v>
      </c>
      <c r="V91" s="2691" t="s">
        <v>2991</v>
      </c>
      <c r="W91" s="1852">
        <f>5000000-5000000</f>
        <v>0</v>
      </c>
      <c r="X91" s="1617" t="s">
        <v>2992</v>
      </c>
      <c r="Y91" s="1894">
        <v>20</v>
      </c>
      <c r="Z91" s="1618" t="s">
        <v>694</v>
      </c>
      <c r="AA91" s="2569">
        <v>91</v>
      </c>
      <c r="AB91" s="2692">
        <v>237</v>
      </c>
      <c r="AC91" s="2688">
        <v>0</v>
      </c>
      <c r="AD91" s="2688">
        <v>0</v>
      </c>
      <c r="AE91" s="2688">
        <v>0</v>
      </c>
      <c r="AF91" s="2688">
        <v>0</v>
      </c>
      <c r="AG91" s="2688">
        <v>0</v>
      </c>
      <c r="AH91" s="2688">
        <v>0</v>
      </c>
      <c r="AI91" s="2688">
        <v>0</v>
      </c>
      <c r="AJ91" s="2688">
        <v>0</v>
      </c>
      <c r="AK91" s="2688">
        <v>0</v>
      </c>
      <c r="AL91" s="2688">
        <v>0</v>
      </c>
      <c r="AM91" s="2688">
        <v>0</v>
      </c>
      <c r="AN91" s="2688">
        <v>0</v>
      </c>
      <c r="AO91" s="2688">
        <v>0</v>
      </c>
      <c r="AP91" s="2688">
        <f>+AA91+AB91</f>
        <v>328</v>
      </c>
      <c r="AQ91" s="2300" t="s">
        <v>2928</v>
      </c>
      <c r="AR91" s="2558">
        <v>44198</v>
      </c>
      <c r="AS91" s="2558">
        <v>44560</v>
      </c>
      <c r="AT91" s="2687" t="s">
        <v>2874</v>
      </c>
    </row>
    <row r="92" spans="1:46" s="1849" customFormat="1" ht="43.5" customHeight="1" x14ac:dyDescent="0.25">
      <c r="A92" s="2676"/>
      <c r="B92" s="1851"/>
      <c r="C92" s="1850"/>
      <c r="D92" s="1851"/>
      <c r="E92" s="2553"/>
      <c r="F92" s="2553"/>
      <c r="G92" s="2530"/>
      <c r="H92" s="2516"/>
      <c r="I92" s="2530"/>
      <c r="J92" s="2516"/>
      <c r="K92" s="2522"/>
      <c r="L92" s="2517"/>
      <c r="M92" s="2522"/>
      <c r="N92" s="2517"/>
      <c r="O92" s="2522"/>
      <c r="P92" s="2522"/>
      <c r="Q92" s="2517"/>
      <c r="R92" s="2651"/>
      <c r="S92" s="2652"/>
      <c r="T92" s="2517"/>
      <c r="U92" s="2224"/>
      <c r="V92" s="2691"/>
      <c r="W92" s="1852">
        <v>5000000</v>
      </c>
      <c r="X92" s="1617" t="s">
        <v>2993</v>
      </c>
      <c r="Y92" s="1894">
        <v>20</v>
      </c>
      <c r="Z92" s="1618" t="s">
        <v>694</v>
      </c>
      <c r="AA92" s="2570"/>
      <c r="AB92" s="2693"/>
      <c r="AC92" s="2689"/>
      <c r="AD92" s="2689"/>
      <c r="AE92" s="2689"/>
      <c r="AF92" s="2689"/>
      <c r="AG92" s="2689"/>
      <c r="AH92" s="2689"/>
      <c r="AI92" s="2689"/>
      <c r="AJ92" s="2689"/>
      <c r="AK92" s="2689"/>
      <c r="AL92" s="2689"/>
      <c r="AM92" s="2689"/>
      <c r="AN92" s="2689"/>
      <c r="AO92" s="2689"/>
      <c r="AP92" s="2689"/>
      <c r="AQ92" s="2300"/>
      <c r="AR92" s="2687"/>
      <c r="AS92" s="2687"/>
      <c r="AT92" s="2687"/>
    </row>
    <row r="93" spans="1:46" s="1849" customFormat="1" ht="43.5" customHeight="1" x14ac:dyDescent="0.25">
      <c r="A93" s="2676"/>
      <c r="B93" s="1851"/>
      <c r="C93" s="1850"/>
      <c r="D93" s="1851"/>
      <c r="E93" s="2553"/>
      <c r="F93" s="2553"/>
      <c r="G93" s="2531"/>
      <c r="H93" s="2516"/>
      <c r="I93" s="2531"/>
      <c r="J93" s="2516"/>
      <c r="K93" s="2522"/>
      <c r="L93" s="2517"/>
      <c r="M93" s="2522"/>
      <c r="N93" s="2517"/>
      <c r="O93" s="2522"/>
      <c r="P93" s="2522"/>
      <c r="Q93" s="2517"/>
      <c r="R93" s="2651"/>
      <c r="S93" s="2652"/>
      <c r="T93" s="2517"/>
      <c r="U93" s="2224"/>
      <c r="V93" s="2691"/>
      <c r="W93" s="1852">
        <v>3027629</v>
      </c>
      <c r="X93" s="1617" t="s">
        <v>2994</v>
      </c>
      <c r="Y93" s="1894">
        <v>88</v>
      </c>
      <c r="Z93" s="665" t="s">
        <v>2876</v>
      </c>
      <c r="AA93" s="2570"/>
      <c r="AB93" s="2693"/>
      <c r="AC93" s="2689"/>
      <c r="AD93" s="2689"/>
      <c r="AE93" s="2689"/>
      <c r="AF93" s="2689"/>
      <c r="AG93" s="2689"/>
      <c r="AH93" s="2689"/>
      <c r="AI93" s="2689"/>
      <c r="AJ93" s="2689"/>
      <c r="AK93" s="2689"/>
      <c r="AL93" s="2689"/>
      <c r="AM93" s="2689"/>
      <c r="AN93" s="2689"/>
      <c r="AO93" s="2689"/>
      <c r="AP93" s="2689"/>
      <c r="AQ93" s="2300"/>
      <c r="AR93" s="2687"/>
      <c r="AS93" s="2687"/>
      <c r="AT93" s="2687"/>
    </row>
    <row r="94" spans="1:46" s="1849" customFormat="1" ht="40.5" customHeight="1" x14ac:dyDescent="0.25">
      <c r="A94" s="2676"/>
      <c r="B94" s="1851"/>
      <c r="C94" s="1850"/>
      <c r="D94" s="1851"/>
      <c r="E94" s="2553"/>
      <c r="F94" s="2553"/>
      <c r="G94" s="2531"/>
      <c r="H94" s="2516"/>
      <c r="I94" s="2531"/>
      <c r="J94" s="2516"/>
      <c r="K94" s="2522"/>
      <c r="L94" s="2517"/>
      <c r="M94" s="2522"/>
      <c r="N94" s="2517"/>
      <c r="O94" s="2522"/>
      <c r="P94" s="2522"/>
      <c r="Q94" s="2517"/>
      <c r="R94" s="2651"/>
      <c r="S94" s="2652"/>
      <c r="T94" s="2517"/>
      <c r="U94" s="2224"/>
      <c r="V94" s="2691" t="s">
        <v>2995</v>
      </c>
      <c r="W94" s="1852">
        <f>9000000-9000000</f>
        <v>0</v>
      </c>
      <c r="X94" s="1617" t="s">
        <v>2992</v>
      </c>
      <c r="Y94" s="1894">
        <v>20</v>
      </c>
      <c r="Z94" s="1618" t="s">
        <v>694</v>
      </c>
      <c r="AA94" s="2570"/>
      <c r="AB94" s="2693"/>
      <c r="AC94" s="2689"/>
      <c r="AD94" s="2689"/>
      <c r="AE94" s="2689"/>
      <c r="AF94" s="2689"/>
      <c r="AG94" s="2689"/>
      <c r="AH94" s="2689"/>
      <c r="AI94" s="2689"/>
      <c r="AJ94" s="2689"/>
      <c r="AK94" s="2689"/>
      <c r="AL94" s="2689"/>
      <c r="AM94" s="2689"/>
      <c r="AN94" s="2689"/>
      <c r="AO94" s="2689"/>
      <c r="AP94" s="2689"/>
      <c r="AQ94" s="2300"/>
      <c r="AR94" s="2687"/>
      <c r="AS94" s="2687"/>
      <c r="AT94" s="2687"/>
    </row>
    <row r="95" spans="1:46" s="1849" customFormat="1" ht="40.5" customHeight="1" x14ac:dyDescent="0.25">
      <c r="A95" s="2676"/>
      <c r="B95" s="1851"/>
      <c r="C95" s="1850"/>
      <c r="D95" s="1851"/>
      <c r="E95" s="2553"/>
      <c r="F95" s="2553"/>
      <c r="G95" s="2531"/>
      <c r="H95" s="2516"/>
      <c r="I95" s="2531"/>
      <c r="J95" s="2516"/>
      <c r="K95" s="2522"/>
      <c r="L95" s="2517"/>
      <c r="M95" s="2522"/>
      <c r="N95" s="2517"/>
      <c r="O95" s="2522"/>
      <c r="P95" s="2522"/>
      <c r="Q95" s="2517"/>
      <c r="R95" s="2651"/>
      <c r="S95" s="2652"/>
      <c r="T95" s="2517"/>
      <c r="U95" s="2224"/>
      <c r="V95" s="2691"/>
      <c r="W95" s="1852">
        <v>5000000</v>
      </c>
      <c r="X95" s="1617" t="s">
        <v>2996</v>
      </c>
      <c r="Y95" s="1894">
        <v>20</v>
      </c>
      <c r="Z95" s="1618" t="s">
        <v>694</v>
      </c>
      <c r="AA95" s="2570"/>
      <c r="AB95" s="2693"/>
      <c r="AC95" s="2689"/>
      <c r="AD95" s="2689"/>
      <c r="AE95" s="2689"/>
      <c r="AF95" s="2689"/>
      <c r="AG95" s="2689"/>
      <c r="AH95" s="2689"/>
      <c r="AI95" s="2689"/>
      <c r="AJ95" s="2689"/>
      <c r="AK95" s="2689"/>
      <c r="AL95" s="2689"/>
      <c r="AM95" s="2689"/>
      <c r="AN95" s="2689"/>
      <c r="AO95" s="2689"/>
      <c r="AP95" s="2689"/>
      <c r="AQ95" s="2300"/>
      <c r="AR95" s="2687"/>
      <c r="AS95" s="2687"/>
      <c r="AT95" s="2687"/>
    </row>
    <row r="96" spans="1:46" s="1849" customFormat="1" ht="40.5" customHeight="1" x14ac:dyDescent="0.25">
      <c r="A96" s="2676"/>
      <c r="B96" s="1851"/>
      <c r="C96" s="1850"/>
      <c r="D96" s="1851"/>
      <c r="E96" s="2553"/>
      <c r="F96" s="2553"/>
      <c r="G96" s="2531"/>
      <c r="H96" s="2516"/>
      <c r="I96" s="2531"/>
      <c r="J96" s="2516"/>
      <c r="K96" s="2522"/>
      <c r="L96" s="2517"/>
      <c r="M96" s="2522"/>
      <c r="N96" s="2517"/>
      <c r="O96" s="2522"/>
      <c r="P96" s="2522"/>
      <c r="Q96" s="2517"/>
      <c r="R96" s="2651"/>
      <c r="S96" s="2652"/>
      <c r="T96" s="2517"/>
      <c r="U96" s="2224"/>
      <c r="V96" s="2691"/>
      <c r="W96" s="1852">
        <v>4000000</v>
      </c>
      <c r="X96" s="1617" t="s">
        <v>2997</v>
      </c>
      <c r="Y96" s="1894">
        <v>20</v>
      </c>
      <c r="Z96" s="1618" t="s">
        <v>694</v>
      </c>
      <c r="AA96" s="2570"/>
      <c r="AB96" s="2693"/>
      <c r="AC96" s="2689"/>
      <c r="AD96" s="2689"/>
      <c r="AE96" s="2689"/>
      <c r="AF96" s="2689"/>
      <c r="AG96" s="2689"/>
      <c r="AH96" s="2689"/>
      <c r="AI96" s="2689"/>
      <c r="AJ96" s="2689"/>
      <c r="AK96" s="2689"/>
      <c r="AL96" s="2689"/>
      <c r="AM96" s="2689"/>
      <c r="AN96" s="2689"/>
      <c r="AO96" s="2689"/>
      <c r="AP96" s="2689"/>
      <c r="AQ96" s="2300"/>
      <c r="AR96" s="2687"/>
      <c r="AS96" s="2687"/>
      <c r="AT96" s="2687"/>
    </row>
    <row r="97" spans="1:46" s="1849" customFormat="1" ht="40.5" customHeight="1" x14ac:dyDescent="0.25">
      <c r="A97" s="2676"/>
      <c r="B97" s="1851"/>
      <c r="C97" s="1850"/>
      <c r="D97" s="1851"/>
      <c r="E97" s="2553"/>
      <c r="F97" s="2553"/>
      <c r="G97" s="2531"/>
      <c r="H97" s="2516"/>
      <c r="I97" s="2531"/>
      <c r="J97" s="2516"/>
      <c r="K97" s="2522"/>
      <c r="L97" s="2517"/>
      <c r="M97" s="2522"/>
      <c r="N97" s="2517"/>
      <c r="O97" s="2522"/>
      <c r="P97" s="2522"/>
      <c r="Q97" s="2517"/>
      <c r="R97" s="2651"/>
      <c r="S97" s="2652"/>
      <c r="T97" s="2517"/>
      <c r="U97" s="2224"/>
      <c r="V97" s="2691"/>
      <c r="W97" s="1852">
        <v>5000000</v>
      </c>
      <c r="X97" s="1617" t="s">
        <v>2998</v>
      </c>
      <c r="Y97" s="1894">
        <v>88</v>
      </c>
      <c r="Z97" s="665" t="s">
        <v>2876</v>
      </c>
      <c r="AA97" s="2570"/>
      <c r="AB97" s="2693"/>
      <c r="AC97" s="2689"/>
      <c r="AD97" s="2689"/>
      <c r="AE97" s="2689"/>
      <c r="AF97" s="2689"/>
      <c r="AG97" s="2689"/>
      <c r="AH97" s="2689"/>
      <c r="AI97" s="2689"/>
      <c r="AJ97" s="2689"/>
      <c r="AK97" s="2689"/>
      <c r="AL97" s="2689"/>
      <c r="AM97" s="2689"/>
      <c r="AN97" s="2689"/>
      <c r="AO97" s="2689"/>
      <c r="AP97" s="2689"/>
      <c r="AQ97" s="2300"/>
      <c r="AR97" s="2687"/>
      <c r="AS97" s="2687"/>
      <c r="AT97" s="2687"/>
    </row>
    <row r="98" spans="1:46" s="1849" customFormat="1" ht="40.5" customHeight="1" x14ac:dyDescent="0.25">
      <c r="A98" s="2676"/>
      <c r="B98" s="1851"/>
      <c r="C98" s="1850"/>
      <c r="D98" s="1851"/>
      <c r="E98" s="2553"/>
      <c r="F98" s="2553"/>
      <c r="G98" s="2531"/>
      <c r="H98" s="2516"/>
      <c r="I98" s="2531"/>
      <c r="J98" s="2516"/>
      <c r="K98" s="2522"/>
      <c r="L98" s="2517"/>
      <c r="M98" s="2522"/>
      <c r="N98" s="2517"/>
      <c r="O98" s="2522"/>
      <c r="P98" s="2522"/>
      <c r="Q98" s="2517"/>
      <c r="R98" s="2651"/>
      <c r="S98" s="2652"/>
      <c r="T98" s="2517"/>
      <c r="U98" s="2224"/>
      <c r="V98" s="2695"/>
      <c r="W98" s="1852">
        <v>3000000</v>
      </c>
      <c r="X98" s="1617" t="s">
        <v>2999</v>
      </c>
      <c r="Y98" s="1895">
        <v>88</v>
      </c>
      <c r="Z98" s="665" t="s">
        <v>2876</v>
      </c>
      <c r="AA98" s="2570"/>
      <c r="AB98" s="2693"/>
      <c r="AC98" s="2689"/>
      <c r="AD98" s="2689"/>
      <c r="AE98" s="2689"/>
      <c r="AF98" s="2689"/>
      <c r="AG98" s="2689"/>
      <c r="AH98" s="2689"/>
      <c r="AI98" s="2689"/>
      <c r="AJ98" s="2689"/>
      <c r="AK98" s="2689"/>
      <c r="AL98" s="2689"/>
      <c r="AM98" s="2689"/>
      <c r="AN98" s="2689"/>
      <c r="AO98" s="2689"/>
      <c r="AP98" s="2689"/>
      <c r="AQ98" s="2300"/>
      <c r="AR98" s="2687"/>
      <c r="AS98" s="2687"/>
      <c r="AT98" s="2687"/>
    </row>
    <row r="99" spans="1:46" s="1849" customFormat="1" ht="40.5" customHeight="1" x14ac:dyDescent="0.25">
      <c r="A99" s="2676"/>
      <c r="B99" s="1851"/>
      <c r="C99" s="1850"/>
      <c r="D99" s="1851"/>
      <c r="E99" s="2553"/>
      <c r="F99" s="2553"/>
      <c r="G99" s="2531"/>
      <c r="H99" s="2516"/>
      <c r="I99" s="2531"/>
      <c r="J99" s="2516"/>
      <c r="K99" s="2522"/>
      <c r="L99" s="2517"/>
      <c r="M99" s="2522"/>
      <c r="N99" s="2517"/>
      <c r="O99" s="2522"/>
      <c r="P99" s="2522"/>
      <c r="Q99" s="2517"/>
      <c r="R99" s="2651"/>
      <c r="S99" s="2652"/>
      <c r="T99" s="2517"/>
      <c r="U99" s="2224"/>
      <c r="V99" s="2691" t="s">
        <v>3000</v>
      </c>
      <c r="W99" s="1852">
        <v>4000000</v>
      </c>
      <c r="X99" s="1617" t="s">
        <v>2996</v>
      </c>
      <c r="Y99" s="1894">
        <v>20</v>
      </c>
      <c r="Z99" s="665" t="s">
        <v>694</v>
      </c>
      <c r="AA99" s="2570"/>
      <c r="AB99" s="2693"/>
      <c r="AC99" s="2689"/>
      <c r="AD99" s="2689"/>
      <c r="AE99" s="2689"/>
      <c r="AF99" s="2689"/>
      <c r="AG99" s="2689"/>
      <c r="AH99" s="2689"/>
      <c r="AI99" s="2689"/>
      <c r="AJ99" s="2689"/>
      <c r="AK99" s="2689"/>
      <c r="AL99" s="2689"/>
      <c r="AM99" s="2689"/>
      <c r="AN99" s="2689"/>
      <c r="AO99" s="2689"/>
      <c r="AP99" s="2689"/>
      <c r="AQ99" s="2300"/>
      <c r="AR99" s="2687"/>
      <c r="AS99" s="2687"/>
      <c r="AT99" s="2687"/>
    </row>
    <row r="100" spans="1:46" s="1849" customFormat="1" ht="46.5" customHeight="1" x14ac:dyDescent="0.25">
      <c r="A100" s="2676"/>
      <c r="B100" s="1851"/>
      <c r="C100" s="1896"/>
      <c r="D100" s="1911"/>
      <c r="E100" s="2654"/>
      <c r="F100" s="2654"/>
      <c r="G100" s="2531"/>
      <c r="H100" s="2655"/>
      <c r="I100" s="2531"/>
      <c r="J100" s="2655"/>
      <c r="K100" s="2700"/>
      <c r="L100" s="2517"/>
      <c r="M100" s="2522"/>
      <c r="N100" s="2517"/>
      <c r="O100" s="2522"/>
      <c r="P100" s="2522"/>
      <c r="Q100" s="2517"/>
      <c r="R100" s="2651"/>
      <c r="S100" s="2652"/>
      <c r="T100" s="2517"/>
      <c r="U100" s="2224"/>
      <c r="V100" s="2691"/>
      <c r="W100" s="1852">
        <v>5000000</v>
      </c>
      <c r="X100" s="1617" t="s">
        <v>2994</v>
      </c>
      <c r="Y100" s="1912">
        <v>88</v>
      </c>
      <c r="Z100" s="1614" t="s">
        <v>2876</v>
      </c>
      <c r="AA100" s="2571"/>
      <c r="AB100" s="2694"/>
      <c r="AC100" s="2690"/>
      <c r="AD100" s="2690"/>
      <c r="AE100" s="2690"/>
      <c r="AF100" s="2690"/>
      <c r="AG100" s="2690"/>
      <c r="AH100" s="2690"/>
      <c r="AI100" s="2690"/>
      <c r="AJ100" s="2690"/>
      <c r="AK100" s="2690"/>
      <c r="AL100" s="2690"/>
      <c r="AM100" s="2690"/>
      <c r="AN100" s="2690"/>
      <c r="AO100" s="2690"/>
      <c r="AP100" s="2690"/>
      <c r="AQ100" s="2300"/>
      <c r="AR100" s="2687"/>
      <c r="AS100" s="2687"/>
      <c r="AT100" s="2687"/>
    </row>
    <row r="101" spans="1:46" s="1891" customFormat="1" ht="25.5" customHeight="1" x14ac:dyDescent="0.25">
      <c r="A101" s="329"/>
      <c r="B101" s="349"/>
      <c r="C101" s="1076">
        <v>45</v>
      </c>
      <c r="D101" s="2594" t="s">
        <v>60</v>
      </c>
      <c r="E101" s="2595"/>
      <c r="F101" s="2276"/>
      <c r="G101" s="2276"/>
      <c r="H101" s="2276"/>
      <c r="I101" s="1913"/>
      <c r="J101" s="1914"/>
      <c r="K101" s="1913"/>
      <c r="L101" s="1366"/>
      <c r="M101" s="1915"/>
      <c r="N101" s="1366"/>
      <c r="O101" s="1898"/>
      <c r="P101" s="1898"/>
      <c r="Q101" s="1899"/>
      <c r="R101" s="1900"/>
      <c r="S101" s="1901"/>
      <c r="T101" s="1899"/>
      <c r="U101" s="1899"/>
      <c r="V101" s="1916"/>
      <c r="W101" s="1903"/>
      <c r="X101" s="611"/>
      <c r="Y101" s="1917"/>
      <c r="Z101" s="1897"/>
      <c r="AA101" s="1904"/>
      <c r="AB101" s="1904"/>
      <c r="AC101" s="1918"/>
      <c r="AD101" s="1918"/>
      <c r="AE101" s="1918"/>
      <c r="AF101" s="1918"/>
      <c r="AG101" s="1918"/>
      <c r="AH101" s="1918"/>
      <c r="AI101" s="1918"/>
      <c r="AJ101" s="1918"/>
      <c r="AK101" s="1918"/>
      <c r="AL101" s="1918"/>
      <c r="AM101" s="1918"/>
      <c r="AN101" s="1918"/>
      <c r="AO101" s="1918"/>
      <c r="AP101" s="1918"/>
      <c r="AQ101" s="2675"/>
      <c r="AR101" s="2675"/>
      <c r="AS101" s="2675"/>
      <c r="AT101" s="2675"/>
    </row>
    <row r="102" spans="1:46" s="1849" customFormat="1" ht="29.25" customHeight="1" x14ac:dyDescent="0.25">
      <c r="A102" s="2676"/>
      <c r="B102" s="2678"/>
      <c r="C102" s="1919"/>
      <c r="D102" s="1920"/>
      <c r="E102" s="1271">
        <v>4501</v>
      </c>
      <c r="F102" s="2550" t="s">
        <v>3001</v>
      </c>
      <c r="G102" s="2551"/>
      <c r="H102" s="2551"/>
      <c r="I102" s="2551"/>
      <c r="J102" s="2551"/>
      <c r="K102" s="2551"/>
      <c r="L102" s="2551"/>
      <c r="M102" s="2551"/>
      <c r="N102" s="2551"/>
      <c r="O102" s="1205"/>
      <c r="P102" s="1205"/>
      <c r="Q102" s="1866"/>
      <c r="R102" s="1205"/>
      <c r="S102" s="1907"/>
      <c r="T102" s="1866"/>
      <c r="U102" s="1866"/>
      <c r="V102" s="1204"/>
      <c r="W102" s="1864"/>
      <c r="X102" s="1865"/>
      <c r="Y102" s="1207"/>
      <c r="Z102" s="1204"/>
      <c r="AA102" s="1205"/>
      <c r="AB102" s="1205"/>
      <c r="AC102" s="1205"/>
      <c r="AD102" s="1205"/>
      <c r="AE102" s="1205"/>
      <c r="AF102" s="1205"/>
      <c r="AG102" s="1205"/>
      <c r="AH102" s="1205"/>
      <c r="AI102" s="1205"/>
      <c r="AJ102" s="1205"/>
      <c r="AK102" s="1205"/>
      <c r="AL102" s="1205"/>
      <c r="AM102" s="1205"/>
      <c r="AN102" s="1205"/>
      <c r="AO102" s="1205"/>
      <c r="AP102" s="1205"/>
      <c r="AQ102" s="2680"/>
      <c r="AR102" s="2680"/>
      <c r="AS102" s="2680"/>
      <c r="AT102" s="2680"/>
    </row>
    <row r="103" spans="1:46" s="1849" customFormat="1" ht="42" customHeight="1" x14ac:dyDescent="0.25">
      <c r="A103" s="2676"/>
      <c r="B103" s="2678"/>
      <c r="C103" s="1892"/>
      <c r="D103" s="1920"/>
      <c r="E103" s="2681"/>
      <c r="F103" s="2681"/>
      <c r="G103" s="2665" t="s">
        <v>62</v>
      </c>
      <c r="H103" s="2541" t="s">
        <v>3002</v>
      </c>
      <c r="I103" s="2665">
        <v>4501029</v>
      </c>
      <c r="J103" s="2541" t="s">
        <v>3003</v>
      </c>
      <c r="K103" s="2665" t="s">
        <v>62</v>
      </c>
      <c r="L103" s="2658" t="s">
        <v>3004</v>
      </c>
      <c r="M103" s="2665">
        <v>450102900</v>
      </c>
      <c r="N103" s="2666" t="s">
        <v>3005</v>
      </c>
      <c r="O103" s="2661">
        <v>5</v>
      </c>
      <c r="P103" s="2662" t="s">
        <v>3006</v>
      </c>
      <c r="Q103" s="2658" t="s">
        <v>3007</v>
      </c>
      <c r="R103" s="2663">
        <f>SUM(W103:W121)/S103</f>
        <v>1</v>
      </c>
      <c r="S103" s="2664">
        <f>SUM(W103:W121)</f>
        <v>4387879528.3299999</v>
      </c>
      <c r="T103" s="2658" t="s">
        <v>3008</v>
      </c>
      <c r="U103" s="2658" t="s">
        <v>3009</v>
      </c>
      <c r="V103" s="2659" t="s">
        <v>3010</v>
      </c>
      <c r="W103" s="1852">
        <f>1055182726-771385127</f>
        <v>283797599</v>
      </c>
      <c r="X103" s="1617" t="s">
        <v>3011</v>
      </c>
      <c r="Y103" s="269">
        <v>42</v>
      </c>
      <c r="Z103" s="1921" t="s">
        <v>3012</v>
      </c>
      <c r="AA103" s="2667">
        <v>291786</v>
      </c>
      <c r="AB103" s="2667">
        <v>270331</v>
      </c>
      <c r="AC103" s="2667">
        <v>102045</v>
      </c>
      <c r="AD103" s="2667">
        <v>39183</v>
      </c>
      <c r="AE103" s="2667">
        <v>310195</v>
      </c>
      <c r="AF103" s="2667">
        <v>110694</v>
      </c>
      <c r="AG103" s="2669">
        <v>2145</v>
      </c>
      <c r="AH103" s="2669">
        <v>12718</v>
      </c>
      <c r="AI103" s="2669">
        <v>26</v>
      </c>
      <c r="AJ103" s="2672">
        <v>37</v>
      </c>
      <c r="AK103" s="2672">
        <v>0</v>
      </c>
      <c r="AL103" s="2672">
        <v>0</v>
      </c>
      <c r="AM103" s="2672">
        <v>44350</v>
      </c>
      <c r="AN103" s="2672">
        <v>21944</v>
      </c>
      <c r="AO103" s="2672">
        <v>75687</v>
      </c>
      <c r="AP103" s="2672">
        <f>AA103+AB103</f>
        <v>562117</v>
      </c>
      <c r="AQ103" s="2656" t="s">
        <v>2873</v>
      </c>
      <c r="AR103" s="2657">
        <v>44198</v>
      </c>
      <c r="AS103" s="2657">
        <v>44560</v>
      </c>
      <c r="AT103" s="2656" t="s">
        <v>2874</v>
      </c>
    </row>
    <row r="104" spans="1:46" s="1849" customFormat="1" ht="42" customHeight="1" x14ac:dyDescent="0.25">
      <c r="A104" s="2676"/>
      <c r="B104" s="2678"/>
      <c r="C104" s="1892"/>
      <c r="D104" s="1920"/>
      <c r="E104" s="2681"/>
      <c r="F104" s="2681"/>
      <c r="G104" s="2665"/>
      <c r="H104" s="2541"/>
      <c r="I104" s="2665"/>
      <c r="J104" s="2541"/>
      <c r="K104" s="2665"/>
      <c r="L104" s="2658"/>
      <c r="M104" s="2665"/>
      <c r="N104" s="2666"/>
      <c r="O104" s="2661"/>
      <c r="P104" s="2662"/>
      <c r="Q104" s="2658"/>
      <c r="R104" s="2663"/>
      <c r="S104" s="2664"/>
      <c r="T104" s="2658"/>
      <c r="U104" s="2658"/>
      <c r="V104" s="2660"/>
      <c r="W104" s="1852">
        <v>1234817274</v>
      </c>
      <c r="X104" s="1617" t="s">
        <v>3013</v>
      </c>
      <c r="Y104" s="269">
        <v>92</v>
      </c>
      <c r="Z104" s="1921" t="s">
        <v>3014</v>
      </c>
      <c r="AA104" s="2668"/>
      <c r="AB104" s="2668"/>
      <c r="AC104" s="2668"/>
      <c r="AD104" s="2668"/>
      <c r="AE104" s="2668"/>
      <c r="AF104" s="2668"/>
      <c r="AG104" s="2670"/>
      <c r="AH104" s="2670"/>
      <c r="AI104" s="2670"/>
      <c r="AJ104" s="2673"/>
      <c r="AK104" s="2673"/>
      <c r="AL104" s="2673"/>
      <c r="AM104" s="2673"/>
      <c r="AN104" s="2673"/>
      <c r="AO104" s="2673"/>
      <c r="AP104" s="2673"/>
      <c r="AQ104" s="2656"/>
      <c r="AR104" s="2657"/>
      <c r="AS104" s="2657"/>
      <c r="AT104" s="2656"/>
    </row>
    <row r="105" spans="1:46" s="1849" customFormat="1" ht="36.75" customHeight="1" x14ac:dyDescent="0.25">
      <c r="A105" s="2676"/>
      <c r="B105" s="2678"/>
      <c r="C105" s="1892"/>
      <c r="D105" s="1920"/>
      <c r="E105" s="2681"/>
      <c r="F105" s="2681"/>
      <c r="G105" s="2665"/>
      <c r="H105" s="2541"/>
      <c r="I105" s="2665"/>
      <c r="J105" s="2541"/>
      <c r="K105" s="2665"/>
      <c r="L105" s="2658"/>
      <c r="M105" s="2665"/>
      <c r="N105" s="2666"/>
      <c r="O105" s="2661"/>
      <c r="P105" s="2662"/>
      <c r="Q105" s="2658"/>
      <c r="R105" s="2663"/>
      <c r="S105" s="2664"/>
      <c r="T105" s="2658"/>
      <c r="U105" s="2658"/>
      <c r="V105" s="1922" t="s">
        <v>3015</v>
      </c>
      <c r="W105" s="1852">
        <v>100000000</v>
      </c>
      <c r="X105" s="1617" t="s">
        <v>3016</v>
      </c>
      <c r="Y105" s="269">
        <v>42</v>
      </c>
      <c r="Z105" s="1921" t="s">
        <v>3012</v>
      </c>
      <c r="AA105" s="2668"/>
      <c r="AB105" s="2668"/>
      <c r="AC105" s="2668"/>
      <c r="AD105" s="2668"/>
      <c r="AE105" s="2668"/>
      <c r="AF105" s="2668"/>
      <c r="AG105" s="2670"/>
      <c r="AH105" s="2670"/>
      <c r="AI105" s="2670"/>
      <c r="AJ105" s="2673"/>
      <c r="AK105" s="2673"/>
      <c r="AL105" s="2673"/>
      <c r="AM105" s="2673"/>
      <c r="AN105" s="2673"/>
      <c r="AO105" s="2673"/>
      <c r="AP105" s="2673"/>
      <c r="AQ105" s="2656"/>
      <c r="AR105" s="2657"/>
      <c r="AS105" s="2657"/>
      <c r="AT105" s="2656"/>
    </row>
    <row r="106" spans="1:46" s="1849" customFormat="1" ht="51" customHeight="1" x14ac:dyDescent="0.25">
      <c r="A106" s="2676"/>
      <c r="B106" s="2678"/>
      <c r="C106" s="1892"/>
      <c r="D106" s="1920"/>
      <c r="E106" s="2681"/>
      <c r="F106" s="2681"/>
      <c r="G106" s="2665"/>
      <c r="H106" s="2541"/>
      <c r="I106" s="2665"/>
      <c r="J106" s="2541"/>
      <c r="K106" s="2665"/>
      <c r="L106" s="2658"/>
      <c r="M106" s="2665"/>
      <c r="N106" s="2666"/>
      <c r="O106" s="2661"/>
      <c r="P106" s="2662"/>
      <c r="Q106" s="2658"/>
      <c r="R106" s="2663"/>
      <c r="S106" s="2664"/>
      <c r="T106" s="2658"/>
      <c r="U106" s="2658"/>
      <c r="V106" s="2659" t="s">
        <v>3017</v>
      </c>
      <c r="W106" s="1852">
        <f>121000000+771385127</f>
        <v>892385127</v>
      </c>
      <c r="X106" s="1617" t="s">
        <v>3018</v>
      </c>
      <c r="Y106" s="269">
        <v>42</v>
      </c>
      <c r="Z106" s="1921" t="s">
        <v>3012</v>
      </c>
      <c r="AA106" s="2668"/>
      <c r="AB106" s="2668"/>
      <c r="AC106" s="2668"/>
      <c r="AD106" s="2668"/>
      <c r="AE106" s="2668"/>
      <c r="AF106" s="2668"/>
      <c r="AG106" s="2670"/>
      <c r="AH106" s="2670"/>
      <c r="AI106" s="2670"/>
      <c r="AJ106" s="2673"/>
      <c r="AK106" s="2673"/>
      <c r="AL106" s="2673"/>
      <c r="AM106" s="2673"/>
      <c r="AN106" s="2673"/>
      <c r="AO106" s="2673"/>
      <c r="AP106" s="2673"/>
      <c r="AQ106" s="2656"/>
      <c r="AR106" s="2657"/>
      <c r="AS106" s="2657"/>
      <c r="AT106" s="2656"/>
    </row>
    <row r="107" spans="1:46" s="1849" customFormat="1" ht="51" customHeight="1" x14ac:dyDescent="0.25">
      <c r="A107" s="2676"/>
      <c r="B107" s="2678"/>
      <c r="C107" s="1892"/>
      <c r="D107" s="1920"/>
      <c r="E107" s="2681"/>
      <c r="F107" s="2681"/>
      <c r="G107" s="2665"/>
      <c r="H107" s="2541"/>
      <c r="I107" s="2665"/>
      <c r="J107" s="2541"/>
      <c r="K107" s="2665"/>
      <c r="L107" s="2658"/>
      <c r="M107" s="2665"/>
      <c r="N107" s="2666"/>
      <c r="O107" s="2661"/>
      <c r="P107" s="2662"/>
      <c r="Q107" s="2658"/>
      <c r="R107" s="2663"/>
      <c r="S107" s="2664"/>
      <c r="T107" s="2658"/>
      <c r="U107" s="2658"/>
      <c r="V107" s="2660"/>
      <c r="W107" s="1852">
        <v>315614874</v>
      </c>
      <c r="X107" s="1617" t="s">
        <v>3019</v>
      </c>
      <c r="Y107" s="269">
        <v>92</v>
      </c>
      <c r="Z107" s="1921" t="s">
        <v>3014</v>
      </c>
      <c r="AA107" s="2668"/>
      <c r="AB107" s="2668"/>
      <c r="AC107" s="2668"/>
      <c r="AD107" s="2668"/>
      <c r="AE107" s="2668"/>
      <c r="AF107" s="2668"/>
      <c r="AG107" s="2670"/>
      <c r="AH107" s="2670"/>
      <c r="AI107" s="2670"/>
      <c r="AJ107" s="2673"/>
      <c r="AK107" s="2673"/>
      <c r="AL107" s="2673"/>
      <c r="AM107" s="2673"/>
      <c r="AN107" s="2673"/>
      <c r="AO107" s="2673"/>
      <c r="AP107" s="2673"/>
      <c r="AQ107" s="2656"/>
      <c r="AR107" s="2657"/>
      <c r="AS107" s="2657"/>
      <c r="AT107" s="2656"/>
    </row>
    <row r="108" spans="1:46" s="1849" customFormat="1" ht="30.75" customHeight="1" x14ac:dyDescent="0.25">
      <c r="A108" s="2676"/>
      <c r="B108" s="2678"/>
      <c r="C108" s="1892"/>
      <c r="D108" s="1920"/>
      <c r="E108" s="2681"/>
      <c r="F108" s="2681"/>
      <c r="G108" s="2665"/>
      <c r="H108" s="2541"/>
      <c r="I108" s="2665"/>
      <c r="J108" s="2541"/>
      <c r="K108" s="2665"/>
      <c r="L108" s="2658"/>
      <c r="M108" s="2665"/>
      <c r="N108" s="2666"/>
      <c r="O108" s="2661"/>
      <c r="P108" s="2662"/>
      <c r="Q108" s="2658"/>
      <c r="R108" s="2663"/>
      <c r="S108" s="2664"/>
      <c r="T108" s="2658"/>
      <c r="U108" s="2658"/>
      <c r="V108" s="2682" t="s">
        <v>3020</v>
      </c>
      <c r="W108" s="1852">
        <v>22000000</v>
      </c>
      <c r="X108" s="1617" t="s">
        <v>3011</v>
      </c>
      <c r="Y108" s="269">
        <v>42</v>
      </c>
      <c r="Z108" s="1921" t="s">
        <v>3012</v>
      </c>
      <c r="AA108" s="2668"/>
      <c r="AB108" s="2668"/>
      <c r="AC108" s="2668"/>
      <c r="AD108" s="2668"/>
      <c r="AE108" s="2668"/>
      <c r="AF108" s="2668"/>
      <c r="AG108" s="2670"/>
      <c r="AH108" s="2670"/>
      <c r="AI108" s="2670"/>
      <c r="AJ108" s="2673"/>
      <c r="AK108" s="2673"/>
      <c r="AL108" s="2673"/>
      <c r="AM108" s="2673"/>
      <c r="AN108" s="2673"/>
      <c r="AO108" s="2673"/>
      <c r="AP108" s="2673"/>
      <c r="AQ108" s="2656"/>
      <c r="AR108" s="2657"/>
      <c r="AS108" s="2657"/>
      <c r="AT108" s="2656"/>
    </row>
    <row r="109" spans="1:46" s="1849" customFormat="1" ht="38.25" customHeight="1" x14ac:dyDescent="0.25">
      <c r="A109" s="2676"/>
      <c r="B109" s="2678"/>
      <c r="C109" s="1892"/>
      <c r="D109" s="1920"/>
      <c r="E109" s="2681"/>
      <c r="F109" s="2681"/>
      <c r="G109" s="2665"/>
      <c r="H109" s="2541"/>
      <c r="I109" s="2665"/>
      <c r="J109" s="2541"/>
      <c r="K109" s="2665"/>
      <c r="L109" s="2658"/>
      <c r="M109" s="2665"/>
      <c r="N109" s="2666"/>
      <c r="O109" s="2661"/>
      <c r="P109" s="2662"/>
      <c r="Q109" s="2658"/>
      <c r="R109" s="2663"/>
      <c r="S109" s="2664"/>
      <c r="T109" s="2658"/>
      <c r="U109" s="2658"/>
      <c r="V109" s="2683"/>
      <c r="W109" s="1852">
        <f>8000000-1000000</f>
        <v>7000000</v>
      </c>
      <c r="X109" s="1617" t="s">
        <v>3021</v>
      </c>
      <c r="Y109" s="269">
        <v>42</v>
      </c>
      <c r="Z109" s="1921" t="s">
        <v>3012</v>
      </c>
      <c r="AA109" s="2668"/>
      <c r="AB109" s="2668"/>
      <c r="AC109" s="2668"/>
      <c r="AD109" s="2668"/>
      <c r="AE109" s="2668"/>
      <c r="AF109" s="2668"/>
      <c r="AG109" s="2670"/>
      <c r="AH109" s="2670"/>
      <c r="AI109" s="2670"/>
      <c r="AJ109" s="2673"/>
      <c r="AK109" s="2673"/>
      <c r="AL109" s="2673"/>
      <c r="AM109" s="2673"/>
      <c r="AN109" s="2673"/>
      <c r="AO109" s="2673"/>
      <c r="AP109" s="2673"/>
      <c r="AQ109" s="2656"/>
      <c r="AR109" s="2657"/>
      <c r="AS109" s="2657"/>
      <c r="AT109" s="2656"/>
    </row>
    <row r="110" spans="1:46" s="1849" customFormat="1" ht="64.5" customHeight="1" x14ac:dyDescent="0.25">
      <c r="A110" s="2676"/>
      <c r="B110" s="2678"/>
      <c r="C110" s="1892"/>
      <c r="D110" s="1920"/>
      <c r="E110" s="2681"/>
      <c r="F110" s="2681"/>
      <c r="G110" s="2665"/>
      <c r="H110" s="2541"/>
      <c r="I110" s="2665"/>
      <c r="J110" s="2541"/>
      <c r="K110" s="2665"/>
      <c r="L110" s="2658"/>
      <c r="M110" s="2665"/>
      <c r="N110" s="2666"/>
      <c r="O110" s="2661"/>
      <c r="P110" s="2662"/>
      <c r="Q110" s="2658"/>
      <c r="R110" s="2663"/>
      <c r="S110" s="2664"/>
      <c r="T110" s="2658"/>
      <c r="U110" s="2658"/>
      <c r="V110" s="1922" t="s">
        <v>3022</v>
      </c>
      <c r="W110" s="1852">
        <v>50000000</v>
      </c>
      <c r="X110" s="1617" t="s">
        <v>3021</v>
      </c>
      <c r="Y110" s="269">
        <v>42</v>
      </c>
      <c r="Z110" s="1921" t="s">
        <v>3012</v>
      </c>
      <c r="AA110" s="2668"/>
      <c r="AB110" s="2668"/>
      <c r="AC110" s="2668"/>
      <c r="AD110" s="2668"/>
      <c r="AE110" s="2668"/>
      <c r="AF110" s="2668"/>
      <c r="AG110" s="2670"/>
      <c r="AH110" s="2670"/>
      <c r="AI110" s="2670"/>
      <c r="AJ110" s="2673"/>
      <c r="AK110" s="2673"/>
      <c r="AL110" s="2673"/>
      <c r="AM110" s="2673"/>
      <c r="AN110" s="2673"/>
      <c r="AO110" s="2673"/>
      <c r="AP110" s="2673"/>
      <c r="AQ110" s="2656"/>
      <c r="AR110" s="2657"/>
      <c r="AS110" s="2657"/>
      <c r="AT110" s="2656"/>
    </row>
    <row r="111" spans="1:46" s="1849" customFormat="1" ht="42" customHeight="1" x14ac:dyDescent="0.25">
      <c r="A111" s="2676"/>
      <c r="B111" s="2678"/>
      <c r="C111" s="1892"/>
      <c r="D111" s="1920"/>
      <c r="E111" s="2681"/>
      <c r="F111" s="2681"/>
      <c r="G111" s="2665"/>
      <c r="H111" s="2541"/>
      <c r="I111" s="2665"/>
      <c r="J111" s="2541"/>
      <c r="K111" s="2665"/>
      <c r="L111" s="2658"/>
      <c r="M111" s="2665"/>
      <c r="N111" s="2666"/>
      <c r="O111" s="2661"/>
      <c r="P111" s="2662"/>
      <c r="Q111" s="2658"/>
      <c r="R111" s="2663"/>
      <c r="S111" s="2664"/>
      <c r="T111" s="2658"/>
      <c r="U111" s="2658"/>
      <c r="V111" s="1922" t="s">
        <v>3023</v>
      </c>
      <c r="W111" s="1852">
        <f>40000000-458751+25000000</f>
        <v>64541249</v>
      </c>
      <c r="X111" s="1617" t="s">
        <v>3021</v>
      </c>
      <c r="Y111" s="269">
        <v>42</v>
      </c>
      <c r="Z111" s="1921" t="s">
        <v>3012</v>
      </c>
      <c r="AA111" s="2668"/>
      <c r="AB111" s="2668"/>
      <c r="AC111" s="2668"/>
      <c r="AD111" s="2668"/>
      <c r="AE111" s="2668"/>
      <c r="AF111" s="2668"/>
      <c r="AG111" s="2670"/>
      <c r="AH111" s="2670"/>
      <c r="AI111" s="2670"/>
      <c r="AJ111" s="2673"/>
      <c r="AK111" s="2673"/>
      <c r="AL111" s="2673"/>
      <c r="AM111" s="2673"/>
      <c r="AN111" s="2673"/>
      <c r="AO111" s="2673"/>
      <c r="AP111" s="2673"/>
      <c r="AQ111" s="2656"/>
      <c r="AR111" s="2657"/>
      <c r="AS111" s="2657"/>
      <c r="AT111" s="2656"/>
    </row>
    <row r="112" spans="1:46" s="1849" customFormat="1" ht="42.75" customHeight="1" x14ac:dyDescent="0.25">
      <c r="A112" s="2676"/>
      <c r="B112" s="2678"/>
      <c r="C112" s="1892"/>
      <c r="D112" s="1920"/>
      <c r="E112" s="2681"/>
      <c r="F112" s="2681"/>
      <c r="G112" s="2665"/>
      <c r="H112" s="2541"/>
      <c r="I112" s="2665"/>
      <c r="J112" s="2541"/>
      <c r="K112" s="2665"/>
      <c r="L112" s="2658"/>
      <c r="M112" s="2665"/>
      <c r="N112" s="2666"/>
      <c r="O112" s="2661"/>
      <c r="P112" s="2662"/>
      <c r="Q112" s="2658"/>
      <c r="R112" s="2663"/>
      <c r="S112" s="2664"/>
      <c r="T112" s="2658"/>
      <c r="U112" s="2658"/>
      <c r="V112" s="2682" t="s">
        <v>3024</v>
      </c>
      <c r="W112" s="1852">
        <f>50000000-25000000-25000000</f>
        <v>0</v>
      </c>
      <c r="X112" s="1617" t="s">
        <v>3025</v>
      </c>
      <c r="Y112" s="2639">
        <v>42</v>
      </c>
      <c r="Z112" s="2556" t="s">
        <v>3012</v>
      </c>
      <c r="AA112" s="2668"/>
      <c r="AB112" s="2668"/>
      <c r="AC112" s="2668"/>
      <c r="AD112" s="2668"/>
      <c r="AE112" s="2668"/>
      <c r="AF112" s="2668"/>
      <c r="AG112" s="2670"/>
      <c r="AH112" s="2670"/>
      <c r="AI112" s="2670"/>
      <c r="AJ112" s="2673"/>
      <c r="AK112" s="2673"/>
      <c r="AL112" s="2673"/>
      <c r="AM112" s="2673"/>
      <c r="AN112" s="2673"/>
      <c r="AO112" s="2673"/>
      <c r="AP112" s="2673"/>
      <c r="AQ112" s="2656"/>
      <c r="AR112" s="2657"/>
      <c r="AS112" s="2657"/>
      <c r="AT112" s="2656"/>
    </row>
    <row r="113" spans="1:46" s="1849" customFormat="1" ht="38.25" customHeight="1" x14ac:dyDescent="0.25">
      <c r="A113" s="2676"/>
      <c r="B113" s="2678"/>
      <c r="C113" s="1892"/>
      <c r="D113" s="1920"/>
      <c r="E113" s="2681"/>
      <c r="F113" s="2681"/>
      <c r="G113" s="2665"/>
      <c r="H113" s="2541"/>
      <c r="I113" s="2665"/>
      <c r="J113" s="2541"/>
      <c r="K113" s="2665"/>
      <c r="L113" s="2658"/>
      <c r="M113" s="2665"/>
      <c r="N113" s="2666"/>
      <c r="O113" s="2661"/>
      <c r="P113" s="2662"/>
      <c r="Q113" s="2658"/>
      <c r="R113" s="2663"/>
      <c r="S113" s="2664"/>
      <c r="T113" s="2658"/>
      <c r="U113" s="2658"/>
      <c r="V113" s="2683"/>
      <c r="W113" s="1852">
        <v>48000000</v>
      </c>
      <c r="X113" s="1617" t="s">
        <v>3018</v>
      </c>
      <c r="Y113" s="2684"/>
      <c r="Z113" s="2557"/>
      <c r="AA113" s="2668"/>
      <c r="AB113" s="2668"/>
      <c r="AC113" s="2668"/>
      <c r="AD113" s="2668"/>
      <c r="AE113" s="2668"/>
      <c r="AF113" s="2668"/>
      <c r="AG113" s="2670"/>
      <c r="AH113" s="2670"/>
      <c r="AI113" s="2670"/>
      <c r="AJ113" s="2673"/>
      <c r="AK113" s="2673"/>
      <c r="AL113" s="2673"/>
      <c r="AM113" s="2673"/>
      <c r="AN113" s="2673"/>
      <c r="AO113" s="2673"/>
      <c r="AP113" s="2673"/>
      <c r="AQ113" s="2656"/>
      <c r="AR113" s="2657"/>
      <c r="AS113" s="2657"/>
      <c r="AT113" s="2656"/>
    </row>
    <row r="114" spans="1:46" s="1849" customFormat="1" ht="38.25" customHeight="1" x14ac:dyDescent="0.25">
      <c r="A114" s="2676"/>
      <c r="B114" s="2678"/>
      <c r="C114" s="1892"/>
      <c r="D114" s="1920"/>
      <c r="E114" s="2681"/>
      <c r="F114" s="2681"/>
      <c r="G114" s="2665"/>
      <c r="H114" s="2541"/>
      <c r="I114" s="2665"/>
      <c r="J114" s="2541"/>
      <c r="K114" s="2665"/>
      <c r="L114" s="2658"/>
      <c r="M114" s="2665"/>
      <c r="N114" s="2666"/>
      <c r="O114" s="2661"/>
      <c r="P114" s="2662"/>
      <c r="Q114" s="2658"/>
      <c r="R114" s="2663"/>
      <c r="S114" s="2664"/>
      <c r="T114" s="2658"/>
      <c r="U114" s="2658"/>
      <c r="V114" s="1923" t="s">
        <v>3026</v>
      </c>
      <c r="W114" s="1852">
        <v>25000000</v>
      </c>
      <c r="X114" s="1617" t="s">
        <v>3027</v>
      </c>
      <c r="Y114" s="269">
        <v>42</v>
      </c>
      <c r="Z114" s="1921" t="s">
        <v>3012</v>
      </c>
      <c r="AA114" s="2668"/>
      <c r="AB114" s="2668"/>
      <c r="AC114" s="2668"/>
      <c r="AD114" s="2668"/>
      <c r="AE114" s="2668"/>
      <c r="AF114" s="2668"/>
      <c r="AG114" s="2670"/>
      <c r="AH114" s="2670"/>
      <c r="AI114" s="2670"/>
      <c r="AJ114" s="2673"/>
      <c r="AK114" s="2673"/>
      <c r="AL114" s="2673"/>
      <c r="AM114" s="2673"/>
      <c r="AN114" s="2673"/>
      <c r="AO114" s="2673"/>
      <c r="AP114" s="2673"/>
      <c r="AQ114" s="2656"/>
      <c r="AR114" s="2657"/>
      <c r="AS114" s="2657"/>
      <c r="AT114" s="2656"/>
    </row>
    <row r="115" spans="1:46" s="1849" customFormat="1" ht="62.25" customHeight="1" x14ac:dyDescent="0.25">
      <c r="A115" s="2676"/>
      <c r="B115" s="2678"/>
      <c r="C115" s="1892"/>
      <c r="D115" s="1920"/>
      <c r="E115" s="2681"/>
      <c r="F115" s="2681"/>
      <c r="G115" s="2665"/>
      <c r="H115" s="2541"/>
      <c r="I115" s="2665"/>
      <c r="J115" s="2541"/>
      <c r="K115" s="2665"/>
      <c r="L115" s="2658"/>
      <c r="M115" s="2665"/>
      <c r="N115" s="2666"/>
      <c r="O115" s="2661"/>
      <c r="P115" s="2662"/>
      <c r="Q115" s="2658"/>
      <c r="R115" s="2663"/>
      <c r="S115" s="2664"/>
      <c r="T115" s="2658"/>
      <c r="U115" s="2658"/>
      <c r="V115" s="1922" t="s">
        <v>3028</v>
      </c>
      <c r="W115" s="1852">
        <f>40000000-28460000</f>
        <v>11540000</v>
      </c>
      <c r="X115" s="1617" t="s">
        <v>3021</v>
      </c>
      <c r="Y115" s="269">
        <v>42</v>
      </c>
      <c r="Z115" s="1921" t="s">
        <v>3012</v>
      </c>
      <c r="AA115" s="2668"/>
      <c r="AB115" s="2668"/>
      <c r="AC115" s="2668"/>
      <c r="AD115" s="2668"/>
      <c r="AE115" s="2668"/>
      <c r="AF115" s="2668"/>
      <c r="AG115" s="2670"/>
      <c r="AH115" s="2670"/>
      <c r="AI115" s="2670"/>
      <c r="AJ115" s="2673"/>
      <c r="AK115" s="2673"/>
      <c r="AL115" s="2673"/>
      <c r="AM115" s="2673"/>
      <c r="AN115" s="2673"/>
      <c r="AO115" s="2673"/>
      <c r="AP115" s="2673"/>
      <c r="AQ115" s="2656"/>
      <c r="AR115" s="2657"/>
      <c r="AS115" s="2657"/>
      <c r="AT115" s="2656"/>
    </row>
    <row r="116" spans="1:46" s="1849" customFormat="1" ht="31.5" customHeight="1" x14ac:dyDescent="0.25">
      <c r="A116" s="2676"/>
      <c r="B116" s="2678"/>
      <c r="C116" s="1892"/>
      <c r="D116" s="1920"/>
      <c r="E116" s="2681"/>
      <c r="F116" s="2681"/>
      <c r="G116" s="2665"/>
      <c r="H116" s="2541"/>
      <c r="I116" s="2665"/>
      <c r="J116" s="2541"/>
      <c r="K116" s="2665"/>
      <c r="L116" s="2658"/>
      <c r="M116" s="2665"/>
      <c r="N116" s="2666"/>
      <c r="O116" s="2661"/>
      <c r="P116" s="2662"/>
      <c r="Q116" s="2658"/>
      <c r="R116" s="2663"/>
      <c r="S116" s="2664"/>
      <c r="T116" s="2658"/>
      <c r="U116" s="2658"/>
      <c r="V116" s="2682" t="s">
        <v>3029</v>
      </c>
      <c r="W116" s="1852">
        <v>71000000</v>
      </c>
      <c r="X116" s="1617" t="s">
        <v>3018</v>
      </c>
      <c r="Y116" s="269">
        <v>42</v>
      </c>
      <c r="Z116" s="1921" t="s">
        <v>3012</v>
      </c>
      <c r="AA116" s="2668"/>
      <c r="AB116" s="2668"/>
      <c r="AC116" s="2668"/>
      <c r="AD116" s="2668"/>
      <c r="AE116" s="2668"/>
      <c r="AF116" s="2668"/>
      <c r="AG116" s="2670"/>
      <c r="AH116" s="2670"/>
      <c r="AI116" s="2670"/>
      <c r="AJ116" s="2673"/>
      <c r="AK116" s="2673"/>
      <c r="AL116" s="2673"/>
      <c r="AM116" s="2673"/>
      <c r="AN116" s="2673"/>
      <c r="AO116" s="2673"/>
      <c r="AP116" s="2673"/>
      <c r="AQ116" s="2656"/>
      <c r="AR116" s="2657"/>
      <c r="AS116" s="2657"/>
      <c r="AT116" s="2656"/>
    </row>
    <row r="117" spans="1:46" s="1849" customFormat="1" ht="33.75" customHeight="1" x14ac:dyDescent="0.25">
      <c r="A117" s="2676"/>
      <c r="B117" s="2678"/>
      <c r="C117" s="1892"/>
      <c r="D117" s="1920"/>
      <c r="E117" s="2681"/>
      <c r="F117" s="2681"/>
      <c r="G117" s="2665"/>
      <c r="H117" s="2541"/>
      <c r="I117" s="2665"/>
      <c r="J117" s="2541"/>
      <c r="K117" s="2665"/>
      <c r="L117" s="2658"/>
      <c r="M117" s="2665"/>
      <c r="N117" s="2666"/>
      <c r="O117" s="2661"/>
      <c r="P117" s="2662"/>
      <c r="Q117" s="2658"/>
      <c r="R117" s="2663"/>
      <c r="S117" s="2664"/>
      <c r="T117" s="2658"/>
      <c r="U117" s="2658"/>
      <c r="V117" s="2685"/>
      <c r="W117" s="1852">
        <v>50000000</v>
      </c>
      <c r="X117" s="1617" t="s">
        <v>3016</v>
      </c>
      <c r="Y117" s="269">
        <v>42</v>
      </c>
      <c r="Z117" s="1921" t="s">
        <v>3012</v>
      </c>
      <c r="AA117" s="2668"/>
      <c r="AB117" s="2668"/>
      <c r="AC117" s="2668"/>
      <c r="AD117" s="2668"/>
      <c r="AE117" s="2668"/>
      <c r="AF117" s="2668"/>
      <c r="AG117" s="2670"/>
      <c r="AH117" s="2670"/>
      <c r="AI117" s="2670"/>
      <c r="AJ117" s="2673"/>
      <c r="AK117" s="2673"/>
      <c r="AL117" s="2673"/>
      <c r="AM117" s="2673"/>
      <c r="AN117" s="2673"/>
      <c r="AO117" s="2673"/>
      <c r="AP117" s="2673"/>
      <c r="AQ117" s="2656"/>
      <c r="AR117" s="2657"/>
      <c r="AS117" s="2657"/>
      <c r="AT117" s="2656"/>
    </row>
    <row r="118" spans="1:46" s="1849" customFormat="1" ht="30" customHeight="1" x14ac:dyDescent="0.25">
      <c r="A118" s="2676"/>
      <c r="B118" s="2678"/>
      <c r="C118" s="1892"/>
      <c r="D118" s="1920"/>
      <c r="E118" s="2681"/>
      <c r="F118" s="2681"/>
      <c r="G118" s="2665"/>
      <c r="H118" s="2541"/>
      <c r="I118" s="2665"/>
      <c r="J118" s="2541"/>
      <c r="K118" s="2665"/>
      <c r="L118" s="2658"/>
      <c r="M118" s="2665"/>
      <c r="N118" s="2666"/>
      <c r="O118" s="2661"/>
      <c r="P118" s="2662"/>
      <c r="Q118" s="2658"/>
      <c r="R118" s="2663"/>
      <c r="S118" s="2664"/>
      <c r="T118" s="2658"/>
      <c r="U118" s="2658"/>
      <c r="V118" s="2683"/>
      <c r="W118" s="1852">
        <v>19000000</v>
      </c>
      <c r="X118" s="1617" t="s">
        <v>3021</v>
      </c>
      <c r="Y118" s="269">
        <v>42</v>
      </c>
      <c r="Z118" s="1615" t="s">
        <v>3012</v>
      </c>
      <c r="AA118" s="2668"/>
      <c r="AB118" s="2668"/>
      <c r="AC118" s="2668"/>
      <c r="AD118" s="2668"/>
      <c r="AE118" s="2668"/>
      <c r="AF118" s="2668"/>
      <c r="AG118" s="2670"/>
      <c r="AH118" s="2670"/>
      <c r="AI118" s="2670"/>
      <c r="AJ118" s="2673"/>
      <c r="AK118" s="2673"/>
      <c r="AL118" s="2673"/>
      <c r="AM118" s="2673"/>
      <c r="AN118" s="2673"/>
      <c r="AO118" s="2673"/>
      <c r="AP118" s="2673"/>
      <c r="AQ118" s="2656"/>
      <c r="AR118" s="2657"/>
      <c r="AS118" s="2657"/>
      <c r="AT118" s="2656"/>
    </row>
    <row r="119" spans="1:46" s="1849" customFormat="1" ht="39.950000000000003" customHeight="1" x14ac:dyDescent="0.25">
      <c r="A119" s="2676"/>
      <c r="B119" s="2678"/>
      <c r="C119" s="1892"/>
      <c r="D119" s="1920"/>
      <c r="E119" s="2681"/>
      <c r="F119" s="2681"/>
      <c r="G119" s="2665"/>
      <c r="H119" s="2541"/>
      <c r="I119" s="2665"/>
      <c r="J119" s="2541"/>
      <c r="K119" s="2665"/>
      <c r="L119" s="2658"/>
      <c r="M119" s="2665"/>
      <c r="N119" s="2666"/>
      <c r="O119" s="2661"/>
      <c r="P119" s="2662"/>
      <c r="Q119" s="2658"/>
      <c r="R119" s="2663"/>
      <c r="S119" s="2664"/>
      <c r="T119" s="2658"/>
      <c r="U119" s="2658"/>
      <c r="V119" s="1924" t="s">
        <v>3030</v>
      </c>
      <c r="W119" s="1852">
        <v>50000000</v>
      </c>
      <c r="X119" s="1617" t="s">
        <v>3018</v>
      </c>
      <c r="Y119" s="1925">
        <v>42</v>
      </c>
      <c r="Z119" s="1618" t="s">
        <v>3012</v>
      </c>
      <c r="AA119" s="2668"/>
      <c r="AB119" s="2668"/>
      <c r="AC119" s="2668"/>
      <c r="AD119" s="2668"/>
      <c r="AE119" s="2668"/>
      <c r="AF119" s="2668"/>
      <c r="AG119" s="2670"/>
      <c r="AH119" s="2670"/>
      <c r="AI119" s="2670"/>
      <c r="AJ119" s="2673"/>
      <c r="AK119" s="2673"/>
      <c r="AL119" s="2673"/>
      <c r="AM119" s="2673"/>
      <c r="AN119" s="2673"/>
      <c r="AO119" s="2673"/>
      <c r="AP119" s="2673"/>
      <c r="AQ119" s="2656"/>
      <c r="AR119" s="2657"/>
      <c r="AS119" s="2657"/>
      <c r="AT119" s="2656"/>
    </row>
    <row r="120" spans="1:46" s="1849" customFormat="1" ht="49.5" customHeight="1" x14ac:dyDescent="0.25">
      <c r="A120" s="2676"/>
      <c r="B120" s="2678"/>
      <c r="C120" s="1892"/>
      <c r="D120" s="1920"/>
      <c r="E120" s="2681"/>
      <c r="F120" s="2681"/>
      <c r="G120" s="2665"/>
      <c r="H120" s="2541"/>
      <c r="I120" s="2665"/>
      <c r="J120" s="2541"/>
      <c r="K120" s="2665"/>
      <c r="L120" s="2658"/>
      <c r="M120" s="2665"/>
      <c r="N120" s="2666"/>
      <c r="O120" s="2661"/>
      <c r="P120" s="2662"/>
      <c r="Q120" s="2658"/>
      <c r="R120" s="2663"/>
      <c r="S120" s="2664"/>
      <c r="T120" s="2658"/>
      <c r="U120" s="2658"/>
      <c r="V120" s="2659" t="s">
        <v>3031</v>
      </c>
      <c r="W120" s="1852">
        <v>29918751</v>
      </c>
      <c r="X120" s="1617" t="s">
        <v>3021</v>
      </c>
      <c r="Y120" s="1925">
        <v>42</v>
      </c>
      <c r="Z120" s="1618" t="s">
        <v>3012</v>
      </c>
      <c r="AA120" s="2668"/>
      <c r="AB120" s="2668"/>
      <c r="AC120" s="2668"/>
      <c r="AD120" s="2668"/>
      <c r="AE120" s="2668"/>
      <c r="AF120" s="2668"/>
      <c r="AG120" s="2670"/>
      <c r="AH120" s="2670"/>
      <c r="AI120" s="2670"/>
      <c r="AJ120" s="2673"/>
      <c r="AK120" s="2673"/>
      <c r="AL120" s="2673"/>
      <c r="AM120" s="2673"/>
      <c r="AN120" s="2673"/>
      <c r="AO120" s="2673"/>
      <c r="AP120" s="2673"/>
      <c r="AQ120" s="2656"/>
      <c r="AR120" s="2657"/>
      <c r="AS120" s="2657"/>
      <c r="AT120" s="2656"/>
    </row>
    <row r="121" spans="1:46" s="1849" customFormat="1" ht="68.25" customHeight="1" x14ac:dyDescent="0.25">
      <c r="A121" s="2676"/>
      <c r="B121" s="2678"/>
      <c r="C121" s="1892"/>
      <c r="D121" s="1920"/>
      <c r="E121" s="2681"/>
      <c r="F121" s="2681"/>
      <c r="G121" s="2665"/>
      <c r="H121" s="2541"/>
      <c r="I121" s="2665"/>
      <c r="J121" s="2541"/>
      <c r="K121" s="2665"/>
      <c r="L121" s="2658"/>
      <c r="M121" s="2665"/>
      <c r="N121" s="2666"/>
      <c r="O121" s="2661"/>
      <c r="P121" s="2662"/>
      <c r="Q121" s="2658"/>
      <c r="R121" s="2663"/>
      <c r="S121" s="2664"/>
      <c r="T121" s="2658"/>
      <c r="U121" s="2658"/>
      <c r="V121" s="2660"/>
      <c r="W121" s="1852">
        <f>113264654.33+1000000000</f>
        <v>1113264654.3299999</v>
      </c>
      <c r="X121" s="1617" t="s">
        <v>3032</v>
      </c>
      <c r="Y121" s="1925">
        <v>92</v>
      </c>
      <c r="Z121" s="1613" t="s">
        <v>3014</v>
      </c>
      <c r="AA121" s="2530"/>
      <c r="AB121" s="2530"/>
      <c r="AC121" s="2530"/>
      <c r="AD121" s="2530"/>
      <c r="AE121" s="2530"/>
      <c r="AF121" s="2530"/>
      <c r="AG121" s="2671"/>
      <c r="AH121" s="2671"/>
      <c r="AI121" s="2671"/>
      <c r="AJ121" s="2674"/>
      <c r="AK121" s="2674"/>
      <c r="AL121" s="2674"/>
      <c r="AM121" s="2686"/>
      <c r="AN121" s="2686"/>
      <c r="AO121" s="2686"/>
      <c r="AP121" s="2686"/>
      <c r="AQ121" s="2656"/>
      <c r="AR121" s="2657"/>
      <c r="AS121" s="2657"/>
      <c r="AT121" s="2656"/>
    </row>
    <row r="122" spans="1:46" s="1849" customFormat="1" ht="57.75" customHeight="1" x14ac:dyDescent="0.25">
      <c r="A122" s="2676"/>
      <c r="B122" s="2678"/>
      <c r="C122" s="1892"/>
      <c r="D122" s="1920"/>
      <c r="E122" s="2553"/>
      <c r="F122" s="2553"/>
      <c r="G122" s="2531">
        <v>4501001</v>
      </c>
      <c r="H122" s="2516" t="s">
        <v>3033</v>
      </c>
      <c r="I122" s="2531">
        <v>4501001</v>
      </c>
      <c r="J122" s="2516" t="s">
        <v>3033</v>
      </c>
      <c r="K122" s="2522">
        <v>450100100</v>
      </c>
      <c r="L122" s="2517" t="s">
        <v>3034</v>
      </c>
      <c r="M122" s="2522">
        <v>450100100</v>
      </c>
      <c r="N122" s="2517" t="s">
        <v>3034</v>
      </c>
      <c r="O122" s="2522">
        <v>12</v>
      </c>
      <c r="P122" s="2522" t="s">
        <v>3035</v>
      </c>
      <c r="Q122" s="2517" t="s">
        <v>3036</v>
      </c>
      <c r="R122" s="2651">
        <f>SUM(W122:W125)/S122</f>
        <v>1</v>
      </c>
      <c r="S122" s="2652">
        <f>SUM(W122:W125)</f>
        <v>61000000</v>
      </c>
      <c r="T122" s="2193" t="s">
        <v>2900</v>
      </c>
      <c r="U122" s="2517" t="s">
        <v>3037</v>
      </c>
      <c r="V122" s="2556" t="s">
        <v>3038</v>
      </c>
      <c r="W122" s="1852">
        <v>30000000</v>
      </c>
      <c r="X122" s="1617" t="s">
        <v>3039</v>
      </c>
      <c r="Y122" s="269">
        <v>20</v>
      </c>
      <c r="Z122" s="1921" t="s">
        <v>694</v>
      </c>
      <c r="AA122" s="2647">
        <v>291786</v>
      </c>
      <c r="AB122" s="2650">
        <v>270331</v>
      </c>
      <c r="AC122" s="2650">
        <v>102045</v>
      </c>
      <c r="AD122" s="2650">
        <v>39183</v>
      </c>
      <c r="AE122" s="2650">
        <v>310195</v>
      </c>
      <c r="AF122" s="2650">
        <v>110694</v>
      </c>
      <c r="AG122" s="2644">
        <v>2145</v>
      </c>
      <c r="AH122" s="2644">
        <v>12718</v>
      </c>
      <c r="AI122" s="2644">
        <v>26</v>
      </c>
      <c r="AJ122" s="2644">
        <v>37</v>
      </c>
      <c r="AK122" s="2644">
        <v>0</v>
      </c>
      <c r="AL122" s="2644">
        <v>0</v>
      </c>
      <c r="AM122" s="2644">
        <v>44350</v>
      </c>
      <c r="AN122" s="2644">
        <v>21944</v>
      </c>
      <c r="AO122" s="2644">
        <v>75687</v>
      </c>
      <c r="AP122" s="2644">
        <f>+AA122+AB122</f>
        <v>562117</v>
      </c>
      <c r="AQ122" s="2645" t="s">
        <v>2873</v>
      </c>
      <c r="AR122" s="2635">
        <v>44198</v>
      </c>
      <c r="AS122" s="2635">
        <v>44560</v>
      </c>
      <c r="AT122" s="2637" t="s">
        <v>2874</v>
      </c>
    </row>
    <row r="123" spans="1:46" s="1849" customFormat="1" ht="57.75" customHeight="1" x14ac:dyDescent="0.25">
      <c r="A123" s="2676"/>
      <c r="B123" s="2678"/>
      <c r="C123" s="1892"/>
      <c r="D123" s="1920"/>
      <c r="E123" s="2553"/>
      <c r="F123" s="2553"/>
      <c r="G123" s="2531"/>
      <c r="H123" s="2516"/>
      <c r="I123" s="2531"/>
      <c r="J123" s="2516"/>
      <c r="K123" s="2522"/>
      <c r="L123" s="2517"/>
      <c r="M123" s="2522"/>
      <c r="N123" s="2517"/>
      <c r="O123" s="2522"/>
      <c r="P123" s="2522"/>
      <c r="Q123" s="2517"/>
      <c r="R123" s="2651"/>
      <c r="S123" s="2652"/>
      <c r="T123" s="2517"/>
      <c r="U123" s="2517"/>
      <c r="V123" s="2557"/>
      <c r="W123" s="1852">
        <v>25000000</v>
      </c>
      <c r="X123" s="1617" t="s">
        <v>3040</v>
      </c>
      <c r="Y123" s="1894">
        <v>88</v>
      </c>
      <c r="Z123" s="665" t="s">
        <v>2876</v>
      </c>
      <c r="AA123" s="2648"/>
      <c r="AB123" s="2500"/>
      <c r="AC123" s="2500"/>
      <c r="AD123" s="2500"/>
      <c r="AE123" s="2500"/>
      <c r="AF123" s="2500"/>
      <c r="AG123" s="2566"/>
      <c r="AH123" s="2566"/>
      <c r="AI123" s="2566"/>
      <c r="AJ123" s="2566"/>
      <c r="AK123" s="2566"/>
      <c r="AL123" s="2566"/>
      <c r="AM123" s="2566"/>
      <c r="AN123" s="2566"/>
      <c r="AO123" s="2566"/>
      <c r="AP123" s="2566"/>
      <c r="AQ123" s="2646"/>
      <c r="AR123" s="2636"/>
      <c r="AS123" s="2636"/>
      <c r="AT123" s="2638"/>
    </row>
    <row r="124" spans="1:46" s="1849" customFormat="1" ht="39" customHeight="1" x14ac:dyDescent="0.25">
      <c r="A124" s="2676"/>
      <c r="B124" s="2678"/>
      <c r="C124" s="1892"/>
      <c r="D124" s="1920"/>
      <c r="E124" s="2553"/>
      <c r="F124" s="2553"/>
      <c r="G124" s="2531"/>
      <c r="H124" s="2516"/>
      <c r="I124" s="2531"/>
      <c r="J124" s="2516"/>
      <c r="K124" s="2522"/>
      <c r="L124" s="2517"/>
      <c r="M124" s="2522"/>
      <c r="N124" s="2517"/>
      <c r="O124" s="2522"/>
      <c r="P124" s="2522"/>
      <c r="Q124" s="2517"/>
      <c r="R124" s="2651"/>
      <c r="S124" s="2652"/>
      <c r="T124" s="2517"/>
      <c r="U124" s="2517"/>
      <c r="V124" s="2556" t="s">
        <v>3041</v>
      </c>
      <c r="W124" s="1852">
        <v>1000000</v>
      </c>
      <c r="X124" s="1617" t="s">
        <v>3039</v>
      </c>
      <c r="Y124" s="2639">
        <v>20</v>
      </c>
      <c r="Z124" s="2556" t="s">
        <v>694</v>
      </c>
      <c r="AA124" s="2648"/>
      <c r="AB124" s="2500"/>
      <c r="AC124" s="2500"/>
      <c r="AD124" s="2500"/>
      <c r="AE124" s="2500"/>
      <c r="AF124" s="2500"/>
      <c r="AG124" s="2566"/>
      <c r="AH124" s="2566"/>
      <c r="AI124" s="2566"/>
      <c r="AJ124" s="2566"/>
      <c r="AK124" s="2566"/>
      <c r="AL124" s="2566"/>
      <c r="AM124" s="2566"/>
      <c r="AN124" s="2566"/>
      <c r="AO124" s="2566"/>
      <c r="AP124" s="2566"/>
      <c r="AQ124" s="2646"/>
      <c r="AR124" s="2636"/>
      <c r="AS124" s="2636"/>
      <c r="AT124" s="2638"/>
    </row>
    <row r="125" spans="1:46" s="1849" customFormat="1" ht="64.5" customHeight="1" x14ac:dyDescent="0.25">
      <c r="A125" s="2677"/>
      <c r="B125" s="2679"/>
      <c r="C125" s="1926"/>
      <c r="D125" s="1927"/>
      <c r="E125" s="2654"/>
      <c r="F125" s="2654"/>
      <c r="G125" s="2531"/>
      <c r="H125" s="2655"/>
      <c r="I125" s="2531"/>
      <c r="J125" s="2516"/>
      <c r="K125" s="2522"/>
      <c r="L125" s="2517"/>
      <c r="M125" s="2522"/>
      <c r="N125" s="2517"/>
      <c r="O125" s="2522"/>
      <c r="P125" s="2522"/>
      <c r="Q125" s="2517"/>
      <c r="R125" s="2651"/>
      <c r="S125" s="2652"/>
      <c r="T125" s="2653"/>
      <c r="U125" s="2517"/>
      <c r="V125" s="2224"/>
      <c r="W125" s="1852">
        <v>5000000</v>
      </c>
      <c r="X125" s="1617" t="s">
        <v>3042</v>
      </c>
      <c r="Y125" s="2640"/>
      <c r="Z125" s="2224"/>
      <c r="AA125" s="2649"/>
      <c r="AB125" s="2501"/>
      <c r="AC125" s="2501"/>
      <c r="AD125" s="2501"/>
      <c r="AE125" s="2501"/>
      <c r="AF125" s="2501"/>
      <c r="AG125" s="2567"/>
      <c r="AH125" s="2567"/>
      <c r="AI125" s="2567"/>
      <c r="AJ125" s="2567"/>
      <c r="AK125" s="2567"/>
      <c r="AL125" s="2567"/>
      <c r="AM125" s="2567"/>
      <c r="AN125" s="2567"/>
      <c r="AO125" s="2567"/>
      <c r="AP125" s="2567"/>
      <c r="AQ125" s="2646"/>
      <c r="AR125" s="2636"/>
      <c r="AS125" s="2636"/>
      <c r="AT125" s="2638"/>
    </row>
    <row r="126" spans="1:46" ht="27.75" customHeight="1" x14ac:dyDescent="0.25">
      <c r="A126" s="1928">
        <v>3</v>
      </c>
      <c r="B126" s="2641" t="s">
        <v>488</v>
      </c>
      <c r="C126" s="2642"/>
      <c r="D126" s="2642"/>
      <c r="E126" s="2642"/>
      <c r="F126" s="2642"/>
      <c r="G126" s="2642"/>
      <c r="H126" s="2642"/>
      <c r="I126" s="1250"/>
      <c r="J126" s="1185"/>
      <c r="K126" s="1184"/>
      <c r="L126" s="1185"/>
      <c r="M126" s="1184"/>
      <c r="N126" s="1185"/>
      <c r="O126" s="1184"/>
      <c r="P126" s="1184"/>
      <c r="Q126" s="1185"/>
      <c r="R126" s="1184"/>
      <c r="S126" s="1929"/>
      <c r="T126" s="1185"/>
      <c r="U126" s="1185"/>
      <c r="V126" s="1185"/>
      <c r="W126" s="1930"/>
      <c r="X126" s="1931"/>
      <c r="Y126" s="1184"/>
      <c r="Z126" s="1185"/>
      <c r="AA126" s="1184"/>
      <c r="AB126" s="1184"/>
      <c r="AC126" s="1184"/>
      <c r="AD126" s="1184"/>
      <c r="AE126" s="1184"/>
      <c r="AF126" s="1184"/>
      <c r="AG126" s="1184"/>
      <c r="AH126" s="1184"/>
      <c r="AI126" s="1184"/>
      <c r="AJ126" s="1184"/>
      <c r="AK126" s="1184"/>
      <c r="AL126" s="1184"/>
      <c r="AM126" s="1250"/>
      <c r="AN126" s="1184"/>
      <c r="AO126" s="1184"/>
      <c r="AP126" s="1184"/>
      <c r="AQ126" s="2643"/>
      <c r="AR126" s="2643"/>
      <c r="AS126" s="2643"/>
      <c r="AT126" s="2643"/>
    </row>
    <row r="127" spans="1:46" s="1891" customFormat="1" ht="27.75" customHeight="1" x14ac:dyDescent="0.25">
      <c r="A127" s="1191"/>
      <c r="B127" s="1831"/>
      <c r="C127" s="38">
        <v>32</v>
      </c>
      <c r="D127" s="2545" t="s">
        <v>549</v>
      </c>
      <c r="E127" s="2044"/>
      <c r="F127" s="2546"/>
      <c r="G127" s="2546"/>
      <c r="H127" s="2546"/>
      <c r="I127" s="2546"/>
      <c r="J127" s="1253"/>
      <c r="K127" s="1254"/>
      <c r="L127" s="1253"/>
      <c r="M127" s="1254"/>
      <c r="N127" s="1253"/>
      <c r="O127" s="1254"/>
      <c r="P127" s="1254"/>
      <c r="Q127" s="1253"/>
      <c r="R127" s="1194"/>
      <c r="S127" s="1932"/>
      <c r="T127" s="1193"/>
      <c r="U127" s="1193"/>
      <c r="V127" s="1193"/>
      <c r="W127" s="1933"/>
      <c r="X127" s="1934"/>
      <c r="Y127" s="1194"/>
      <c r="Z127" s="1193"/>
      <c r="AA127" s="1194"/>
      <c r="AB127" s="1194"/>
      <c r="AC127" s="1194"/>
      <c r="AD127" s="1194"/>
      <c r="AE127" s="1194"/>
      <c r="AF127" s="1194"/>
      <c r="AG127" s="1194"/>
      <c r="AH127" s="1194"/>
      <c r="AI127" s="1194"/>
      <c r="AJ127" s="1194"/>
      <c r="AK127" s="1194"/>
      <c r="AL127" s="1194"/>
      <c r="AM127" s="1194"/>
      <c r="AN127" s="1194"/>
      <c r="AO127" s="1194"/>
      <c r="AP127" s="1194"/>
      <c r="AQ127" s="2607"/>
      <c r="AR127" s="2607"/>
      <c r="AS127" s="2607"/>
      <c r="AT127" s="2607"/>
    </row>
    <row r="128" spans="1:46" ht="27" customHeight="1" x14ac:dyDescent="0.25">
      <c r="A128" s="1892"/>
      <c r="B128" s="1920"/>
      <c r="C128" s="1919"/>
      <c r="D128" s="1920"/>
      <c r="E128" s="1906">
        <v>3205</v>
      </c>
      <c r="F128" s="2608" t="s">
        <v>550</v>
      </c>
      <c r="G128" s="2551"/>
      <c r="H128" s="2551"/>
      <c r="I128" s="2551"/>
      <c r="J128" s="2551"/>
      <c r="K128" s="2551"/>
      <c r="L128" s="2551"/>
      <c r="M128" s="2551"/>
      <c r="N128" s="2551"/>
      <c r="O128" s="2551"/>
      <c r="P128" s="2551"/>
      <c r="Q128" s="2551"/>
      <c r="R128" s="1207"/>
      <c r="S128" s="1910"/>
      <c r="T128" s="1204"/>
      <c r="U128" s="1204"/>
      <c r="V128" s="1204"/>
      <c r="W128" s="1864"/>
      <c r="X128" s="1865"/>
      <c r="Y128" s="1205"/>
      <c r="Z128" s="1866"/>
      <c r="AA128" s="1207"/>
      <c r="AB128" s="1207"/>
      <c r="AC128" s="1207"/>
      <c r="AD128" s="1207"/>
      <c r="AE128" s="1207"/>
      <c r="AF128" s="1207"/>
      <c r="AG128" s="1207"/>
      <c r="AH128" s="1207"/>
      <c r="AI128" s="1207"/>
      <c r="AJ128" s="1207"/>
      <c r="AK128" s="1207"/>
      <c r="AL128" s="1207"/>
      <c r="AM128" s="1207"/>
      <c r="AN128" s="1207"/>
      <c r="AO128" s="1207"/>
      <c r="AP128" s="1207"/>
      <c r="AQ128" s="2609"/>
      <c r="AR128" s="2609"/>
      <c r="AS128" s="2609"/>
      <c r="AT128" s="2609"/>
    </row>
    <row r="129" spans="1:46" ht="92.25" customHeight="1" x14ac:dyDescent="0.25">
      <c r="A129" s="1892"/>
      <c r="B129" s="1920"/>
      <c r="C129" s="1892"/>
      <c r="D129" s="1920"/>
      <c r="E129" s="2585"/>
      <c r="F129" s="2585"/>
      <c r="G129" s="2610">
        <v>3205002</v>
      </c>
      <c r="H129" s="2612" t="s">
        <v>3043</v>
      </c>
      <c r="I129" s="2610">
        <v>3205002</v>
      </c>
      <c r="J129" s="2612" t="s">
        <v>3043</v>
      </c>
      <c r="K129" s="2624">
        <v>320500200</v>
      </c>
      <c r="L129" s="2627" t="s">
        <v>3044</v>
      </c>
      <c r="M129" s="2624">
        <v>320500200</v>
      </c>
      <c r="N129" s="2627" t="s">
        <v>3044</v>
      </c>
      <c r="O129" s="2479">
        <v>3</v>
      </c>
      <c r="P129" s="2630" t="s">
        <v>3045</v>
      </c>
      <c r="Q129" s="2616" t="s">
        <v>3046</v>
      </c>
      <c r="R129" s="2619">
        <f>SUM(W129:W132)/S129</f>
        <v>1</v>
      </c>
      <c r="S129" s="2621">
        <f>SUM(W129:W132)</f>
        <v>243850000</v>
      </c>
      <c r="T129" s="2623" t="s">
        <v>3047</v>
      </c>
      <c r="U129" s="2173" t="s">
        <v>3048</v>
      </c>
      <c r="V129" s="2556" t="s">
        <v>3049</v>
      </c>
      <c r="W129" s="1669">
        <v>31000000</v>
      </c>
      <c r="X129" s="1617" t="s">
        <v>3050</v>
      </c>
      <c r="Y129" s="1861">
        <v>20</v>
      </c>
      <c r="Z129" s="1862" t="s">
        <v>694</v>
      </c>
      <c r="AA129" s="2604">
        <v>181571</v>
      </c>
      <c r="AB129" s="2565">
        <v>173060</v>
      </c>
      <c r="AC129" s="2565">
        <v>98942</v>
      </c>
      <c r="AD129" s="2565">
        <v>114369</v>
      </c>
      <c r="AE129" s="2565">
        <v>114368</v>
      </c>
      <c r="AF129" s="2565">
        <v>26952</v>
      </c>
      <c r="AG129" s="2565"/>
      <c r="AH129" s="2565"/>
      <c r="AI129" s="2565"/>
      <c r="AJ129" s="2565"/>
      <c r="AK129" s="2565"/>
      <c r="AL129" s="2565"/>
      <c r="AM129" s="2565"/>
      <c r="AN129" s="2565"/>
      <c r="AO129" s="2565"/>
      <c r="AP129" s="2565">
        <f>AA129+AB129</f>
        <v>354631</v>
      </c>
      <c r="AQ129" s="2600" t="s">
        <v>2914</v>
      </c>
      <c r="AR129" s="2602">
        <v>44198</v>
      </c>
      <c r="AS129" s="2633">
        <v>44560</v>
      </c>
      <c r="AT129" s="2499" t="s">
        <v>2874</v>
      </c>
    </row>
    <row r="130" spans="1:46" ht="92.25" customHeight="1" x14ac:dyDescent="0.25">
      <c r="A130" s="1892"/>
      <c r="B130" s="1920"/>
      <c r="C130" s="1892"/>
      <c r="D130" s="1920"/>
      <c r="E130" s="2585"/>
      <c r="F130" s="2585"/>
      <c r="G130" s="2610"/>
      <c r="H130" s="2613"/>
      <c r="I130" s="2610"/>
      <c r="J130" s="2613"/>
      <c r="K130" s="2625"/>
      <c r="L130" s="2628"/>
      <c r="M130" s="2625"/>
      <c r="N130" s="2628"/>
      <c r="O130" s="2465"/>
      <c r="P130" s="2631"/>
      <c r="Q130" s="2617"/>
      <c r="R130" s="2620"/>
      <c r="S130" s="2622"/>
      <c r="T130" s="2618"/>
      <c r="U130" s="2466"/>
      <c r="V130" s="2557"/>
      <c r="W130" s="1669">
        <f>25000000+134220000</f>
        <v>159220000</v>
      </c>
      <c r="X130" s="1617" t="s">
        <v>3051</v>
      </c>
      <c r="Y130" s="1935">
        <v>88</v>
      </c>
      <c r="Z130" s="1936" t="s">
        <v>2876</v>
      </c>
      <c r="AA130" s="2605"/>
      <c r="AB130" s="2566"/>
      <c r="AC130" s="2566"/>
      <c r="AD130" s="2566"/>
      <c r="AE130" s="2566"/>
      <c r="AF130" s="2566"/>
      <c r="AG130" s="2566"/>
      <c r="AH130" s="2566"/>
      <c r="AI130" s="2566"/>
      <c r="AJ130" s="2566"/>
      <c r="AK130" s="2566"/>
      <c r="AL130" s="2566"/>
      <c r="AM130" s="2566"/>
      <c r="AN130" s="2566"/>
      <c r="AO130" s="2566"/>
      <c r="AP130" s="2566"/>
      <c r="AQ130" s="2601"/>
      <c r="AR130" s="2603"/>
      <c r="AS130" s="2634"/>
      <c r="AT130" s="2500"/>
    </row>
    <row r="131" spans="1:46" ht="92.25" customHeight="1" x14ac:dyDescent="0.25">
      <c r="A131" s="1892"/>
      <c r="B131" s="1920"/>
      <c r="C131" s="1892"/>
      <c r="D131" s="1920"/>
      <c r="E131" s="2585"/>
      <c r="F131" s="2585"/>
      <c r="G131" s="2610"/>
      <c r="H131" s="2613"/>
      <c r="I131" s="2610"/>
      <c r="J131" s="2613"/>
      <c r="K131" s="2625"/>
      <c r="L131" s="2628"/>
      <c r="M131" s="2625"/>
      <c r="N131" s="2628"/>
      <c r="O131" s="2465"/>
      <c r="P131" s="2631"/>
      <c r="Q131" s="2617"/>
      <c r="R131" s="2620"/>
      <c r="S131" s="2622"/>
      <c r="T131" s="2618"/>
      <c r="U131" s="2466"/>
      <c r="V131" s="2556" t="s">
        <v>3052</v>
      </c>
      <c r="W131" s="1669">
        <v>14000000</v>
      </c>
      <c r="X131" s="1617" t="s">
        <v>3050</v>
      </c>
      <c r="Y131" s="1935">
        <v>20</v>
      </c>
      <c r="Z131" s="1936" t="s">
        <v>694</v>
      </c>
      <c r="AA131" s="2605"/>
      <c r="AB131" s="2566"/>
      <c r="AC131" s="2566"/>
      <c r="AD131" s="2566"/>
      <c r="AE131" s="2566"/>
      <c r="AF131" s="2566"/>
      <c r="AG131" s="2566"/>
      <c r="AH131" s="2566"/>
      <c r="AI131" s="2566"/>
      <c r="AJ131" s="2566"/>
      <c r="AK131" s="2566"/>
      <c r="AL131" s="2566"/>
      <c r="AM131" s="2566"/>
      <c r="AN131" s="2566"/>
      <c r="AO131" s="2566"/>
      <c r="AP131" s="2566"/>
      <c r="AQ131" s="2601"/>
      <c r="AR131" s="2603"/>
      <c r="AS131" s="2634"/>
      <c r="AT131" s="2500"/>
    </row>
    <row r="132" spans="1:46" ht="88.5" customHeight="1" x14ac:dyDescent="0.25">
      <c r="A132" s="1892"/>
      <c r="B132" s="1920"/>
      <c r="C132" s="1937"/>
      <c r="D132" s="1927"/>
      <c r="E132" s="2586"/>
      <c r="F132" s="2586"/>
      <c r="G132" s="2611"/>
      <c r="H132" s="2614"/>
      <c r="I132" s="2611"/>
      <c r="J132" s="2615"/>
      <c r="K132" s="2626"/>
      <c r="L132" s="2629"/>
      <c r="M132" s="2626"/>
      <c r="N132" s="2629"/>
      <c r="O132" s="2464"/>
      <c r="P132" s="2632"/>
      <c r="Q132" s="2618"/>
      <c r="R132" s="2620"/>
      <c r="S132" s="2622"/>
      <c r="T132" s="2618"/>
      <c r="U132" s="2466"/>
      <c r="V132" s="2593"/>
      <c r="W132" s="1852">
        <f>20000000+19630000</f>
        <v>39630000</v>
      </c>
      <c r="X132" s="1617" t="s">
        <v>3051</v>
      </c>
      <c r="Y132" s="1861">
        <v>88</v>
      </c>
      <c r="Z132" s="1862" t="s">
        <v>2876</v>
      </c>
      <c r="AA132" s="2606"/>
      <c r="AB132" s="2567"/>
      <c r="AC132" s="2567"/>
      <c r="AD132" s="2567"/>
      <c r="AE132" s="2567"/>
      <c r="AF132" s="2567"/>
      <c r="AG132" s="2567"/>
      <c r="AH132" s="2567"/>
      <c r="AI132" s="2567"/>
      <c r="AJ132" s="2567"/>
      <c r="AK132" s="2567"/>
      <c r="AL132" s="2567"/>
      <c r="AM132" s="2567"/>
      <c r="AN132" s="2567"/>
      <c r="AO132" s="2567"/>
      <c r="AP132" s="2567"/>
      <c r="AQ132" s="2601"/>
      <c r="AR132" s="2603"/>
      <c r="AS132" s="2634"/>
      <c r="AT132" s="2500"/>
    </row>
    <row r="133" spans="1:46" ht="15.75" x14ac:dyDescent="0.25">
      <c r="A133" s="1892"/>
      <c r="B133" s="1920"/>
      <c r="C133" s="313">
        <v>45</v>
      </c>
      <c r="D133" s="2594" t="s">
        <v>60</v>
      </c>
      <c r="E133" s="2595"/>
      <c r="F133" s="2595"/>
      <c r="G133" s="2595"/>
      <c r="H133" s="2595"/>
      <c r="I133" s="1938"/>
      <c r="J133" s="1939"/>
      <c r="K133" s="1940"/>
      <c r="L133" s="1941"/>
      <c r="M133" s="1940"/>
      <c r="N133" s="1941"/>
      <c r="O133" s="1942"/>
      <c r="P133" s="1942"/>
      <c r="Q133" s="1939"/>
      <c r="R133" s="1943"/>
      <c r="S133" s="1944"/>
      <c r="T133" s="1939"/>
      <c r="U133" s="1941"/>
      <c r="V133" s="1899"/>
      <c r="W133" s="1886"/>
      <c r="X133" s="1945"/>
      <c r="Y133" s="1946"/>
      <c r="Z133" s="1947"/>
      <c r="AA133" s="1904"/>
      <c r="AB133" s="1904"/>
      <c r="AC133" s="1904"/>
      <c r="AD133" s="1904"/>
      <c r="AE133" s="1904"/>
      <c r="AF133" s="1904"/>
      <c r="AG133" s="1904"/>
      <c r="AH133" s="1904"/>
      <c r="AI133" s="1904"/>
      <c r="AJ133" s="1904"/>
      <c r="AK133" s="1904"/>
      <c r="AL133" s="1904"/>
      <c r="AM133" s="1904"/>
      <c r="AN133" s="1904"/>
      <c r="AO133" s="1904"/>
      <c r="AP133" s="1904"/>
      <c r="AQ133" s="2596"/>
      <c r="AR133" s="2596"/>
      <c r="AS133" s="2596"/>
      <c r="AT133" s="2597"/>
    </row>
    <row r="134" spans="1:46" s="1948" customFormat="1" ht="38.1" customHeight="1" x14ac:dyDescent="0.25">
      <c r="A134" s="1892"/>
      <c r="B134" s="1851"/>
      <c r="C134" s="1841"/>
      <c r="D134" s="1851"/>
      <c r="E134" s="1271">
        <v>4503</v>
      </c>
      <c r="F134" s="2550" t="s">
        <v>3053</v>
      </c>
      <c r="G134" s="2551"/>
      <c r="H134" s="2551"/>
      <c r="I134" s="2551"/>
      <c r="J134" s="2551"/>
      <c r="K134" s="2551"/>
      <c r="L134" s="2551"/>
      <c r="M134" s="2551"/>
      <c r="N134" s="1866"/>
      <c r="O134" s="1205"/>
      <c r="P134" s="1205"/>
      <c r="Q134" s="1866"/>
      <c r="R134" s="1205"/>
      <c r="S134" s="1907"/>
      <c r="T134" s="1866"/>
      <c r="U134" s="1866"/>
      <c r="V134" s="1204"/>
      <c r="W134" s="1864"/>
      <c r="X134" s="1865"/>
      <c r="Y134" s="1207"/>
      <c r="Z134" s="1204"/>
      <c r="AA134" s="1207"/>
      <c r="AB134" s="1207"/>
      <c r="AC134" s="1207"/>
      <c r="AD134" s="1207"/>
      <c r="AE134" s="1207"/>
      <c r="AF134" s="1207"/>
      <c r="AG134" s="1207"/>
      <c r="AH134" s="1207"/>
      <c r="AI134" s="1207"/>
      <c r="AJ134" s="1207"/>
      <c r="AK134" s="1207"/>
      <c r="AL134" s="1207"/>
      <c r="AM134" s="1207"/>
      <c r="AN134" s="1207"/>
      <c r="AO134" s="1207"/>
      <c r="AP134" s="1207"/>
      <c r="AQ134" s="2598"/>
      <c r="AR134" s="2598"/>
      <c r="AS134" s="2598"/>
      <c r="AT134" s="2599"/>
    </row>
    <row r="135" spans="1:46" ht="48" customHeight="1" x14ac:dyDescent="0.25">
      <c r="A135" s="1892"/>
      <c r="B135" s="2548"/>
      <c r="C135" s="1850"/>
      <c r="D135" s="1851"/>
      <c r="E135" s="2585"/>
      <c r="F135" s="2585"/>
      <c r="G135" s="2587">
        <v>4503002</v>
      </c>
      <c r="H135" s="2580" t="s">
        <v>3054</v>
      </c>
      <c r="I135" s="2587">
        <v>4503002</v>
      </c>
      <c r="J135" s="2580" t="s">
        <v>3054</v>
      </c>
      <c r="K135" s="2582">
        <v>450300200</v>
      </c>
      <c r="L135" s="2584" t="s">
        <v>1350</v>
      </c>
      <c r="M135" s="2582">
        <v>450300200</v>
      </c>
      <c r="N135" s="2573" t="s">
        <v>1350</v>
      </c>
      <c r="O135" s="2476">
        <v>4000</v>
      </c>
      <c r="P135" s="2572" t="s">
        <v>3055</v>
      </c>
      <c r="Q135" s="2573" t="s">
        <v>3056</v>
      </c>
      <c r="R135" s="2539">
        <f>SUM(W135:W141)/SUM(S135:S173)</f>
        <v>7.3076986232303104E-2</v>
      </c>
      <c r="S135" s="2574">
        <f>SUM(W135:W173)</f>
        <v>547367948</v>
      </c>
      <c r="T135" s="2575" t="s">
        <v>3057</v>
      </c>
      <c r="U135" s="2577" t="s">
        <v>3058</v>
      </c>
      <c r="V135" s="2560" t="s">
        <v>3059</v>
      </c>
      <c r="W135" s="1669">
        <v>14000000</v>
      </c>
      <c r="X135" s="1617" t="s">
        <v>3060</v>
      </c>
      <c r="Y135" s="1853">
        <v>20</v>
      </c>
      <c r="Z135" s="1854" t="s">
        <v>694</v>
      </c>
      <c r="AA135" s="2569">
        <v>296582</v>
      </c>
      <c r="AB135" s="2565">
        <v>284952</v>
      </c>
      <c r="AC135" s="2565">
        <v>135545</v>
      </c>
      <c r="AD135" s="2565">
        <v>44254</v>
      </c>
      <c r="AE135" s="2565">
        <v>309146</v>
      </c>
      <c r="AF135" s="2565">
        <v>92589</v>
      </c>
      <c r="AG135" s="2565">
        <v>2145</v>
      </c>
      <c r="AH135" s="2565">
        <v>12718</v>
      </c>
      <c r="AI135" s="2565">
        <v>0</v>
      </c>
      <c r="AJ135" s="2565">
        <v>0</v>
      </c>
      <c r="AK135" s="2565">
        <v>0</v>
      </c>
      <c r="AL135" s="2565">
        <v>0</v>
      </c>
      <c r="AM135" s="2565">
        <v>0</v>
      </c>
      <c r="AN135" s="2565">
        <v>0</v>
      </c>
      <c r="AO135" s="2565">
        <v>0</v>
      </c>
      <c r="AP135" s="2565" t="e">
        <f>#REF!+#REF!</f>
        <v>#REF!</v>
      </c>
      <c r="AQ135" s="2568" t="s">
        <v>2914</v>
      </c>
      <c r="AR135" s="2558">
        <v>44198</v>
      </c>
      <c r="AS135" s="2558">
        <v>44560</v>
      </c>
      <c r="AT135" s="2559" t="s">
        <v>2874</v>
      </c>
    </row>
    <row r="136" spans="1:46" ht="36" customHeight="1" x14ac:dyDescent="0.25">
      <c r="A136" s="1892"/>
      <c r="B136" s="2548"/>
      <c r="C136" s="1850"/>
      <c r="D136" s="1851"/>
      <c r="E136" s="2585"/>
      <c r="F136" s="2585"/>
      <c r="G136" s="2587"/>
      <c r="H136" s="2580"/>
      <c r="I136" s="2587"/>
      <c r="J136" s="2580"/>
      <c r="K136" s="2582"/>
      <c r="L136" s="2584"/>
      <c r="M136" s="2582"/>
      <c r="N136" s="2573"/>
      <c r="O136" s="2476"/>
      <c r="P136" s="2572"/>
      <c r="Q136" s="2573"/>
      <c r="R136" s="2539"/>
      <c r="S136" s="2574"/>
      <c r="T136" s="2575"/>
      <c r="U136" s="2577"/>
      <c r="V136" s="2561"/>
      <c r="W136" s="1669">
        <v>12000000</v>
      </c>
      <c r="X136" s="1617" t="s">
        <v>3061</v>
      </c>
      <c r="Y136" s="1853">
        <v>88</v>
      </c>
      <c r="Z136" s="1862" t="s">
        <v>2876</v>
      </c>
      <c r="AA136" s="2570"/>
      <c r="AB136" s="2566"/>
      <c r="AC136" s="2566"/>
      <c r="AD136" s="2566"/>
      <c r="AE136" s="2566"/>
      <c r="AF136" s="2566"/>
      <c r="AG136" s="2566"/>
      <c r="AH136" s="2566"/>
      <c r="AI136" s="2566"/>
      <c r="AJ136" s="2566"/>
      <c r="AK136" s="2566"/>
      <c r="AL136" s="2566"/>
      <c r="AM136" s="2566"/>
      <c r="AN136" s="2566"/>
      <c r="AO136" s="2566"/>
      <c r="AP136" s="2566"/>
      <c r="AQ136" s="2568"/>
      <c r="AR136" s="2558"/>
      <c r="AS136" s="2558"/>
      <c r="AT136" s="2559"/>
    </row>
    <row r="137" spans="1:46" ht="39.75" customHeight="1" x14ac:dyDescent="0.25">
      <c r="A137" s="1892"/>
      <c r="B137" s="2548"/>
      <c r="C137" s="1850"/>
      <c r="D137" s="1851"/>
      <c r="E137" s="2585"/>
      <c r="F137" s="2585"/>
      <c r="G137" s="2588"/>
      <c r="H137" s="2580"/>
      <c r="I137" s="2588"/>
      <c r="J137" s="2580"/>
      <c r="K137" s="2582"/>
      <c r="L137" s="2573"/>
      <c r="M137" s="2582"/>
      <c r="N137" s="2573"/>
      <c r="O137" s="2476"/>
      <c r="P137" s="2572"/>
      <c r="Q137" s="2573"/>
      <c r="R137" s="2539"/>
      <c r="S137" s="2574"/>
      <c r="T137" s="2575"/>
      <c r="U137" s="2577"/>
      <c r="V137" s="2560" t="s">
        <v>3062</v>
      </c>
      <c r="W137" s="1669">
        <v>2000000</v>
      </c>
      <c r="X137" s="1617" t="s">
        <v>3060</v>
      </c>
      <c r="Y137" s="1853">
        <v>20</v>
      </c>
      <c r="Z137" s="1854" t="s">
        <v>694</v>
      </c>
      <c r="AA137" s="2570"/>
      <c r="AB137" s="2566"/>
      <c r="AC137" s="2566"/>
      <c r="AD137" s="2566"/>
      <c r="AE137" s="2566"/>
      <c r="AF137" s="2566"/>
      <c r="AG137" s="2566"/>
      <c r="AH137" s="2566"/>
      <c r="AI137" s="2566"/>
      <c r="AJ137" s="2566"/>
      <c r="AK137" s="2566"/>
      <c r="AL137" s="2566"/>
      <c r="AM137" s="2566"/>
      <c r="AN137" s="2566"/>
      <c r="AO137" s="2566"/>
      <c r="AP137" s="2566"/>
      <c r="AQ137" s="2568"/>
      <c r="AR137" s="2558"/>
      <c r="AS137" s="2558"/>
      <c r="AT137" s="2559"/>
    </row>
    <row r="138" spans="1:46" ht="39.75" customHeight="1" x14ac:dyDescent="0.25">
      <c r="A138" s="1892"/>
      <c r="B138" s="2548"/>
      <c r="C138" s="1850"/>
      <c r="D138" s="1851"/>
      <c r="E138" s="2585"/>
      <c r="F138" s="2585"/>
      <c r="G138" s="2588"/>
      <c r="H138" s="2580"/>
      <c r="I138" s="2588"/>
      <c r="J138" s="2580"/>
      <c r="K138" s="2582"/>
      <c r="L138" s="2573"/>
      <c r="M138" s="2582"/>
      <c r="N138" s="2573"/>
      <c r="O138" s="2476"/>
      <c r="P138" s="2572"/>
      <c r="Q138" s="2573"/>
      <c r="R138" s="2539"/>
      <c r="S138" s="2574"/>
      <c r="T138" s="2575"/>
      <c r="U138" s="2509"/>
      <c r="V138" s="2561"/>
      <c r="W138" s="1669">
        <v>5000000</v>
      </c>
      <c r="X138" s="1617" t="s">
        <v>3063</v>
      </c>
      <c r="Y138" s="1853">
        <v>88</v>
      </c>
      <c r="Z138" s="1862" t="s">
        <v>2876</v>
      </c>
      <c r="AA138" s="2570"/>
      <c r="AB138" s="2566"/>
      <c r="AC138" s="2566"/>
      <c r="AD138" s="2566"/>
      <c r="AE138" s="2566"/>
      <c r="AF138" s="2566"/>
      <c r="AG138" s="2566"/>
      <c r="AH138" s="2566"/>
      <c r="AI138" s="2566"/>
      <c r="AJ138" s="2566"/>
      <c r="AK138" s="2566"/>
      <c r="AL138" s="2566"/>
      <c r="AM138" s="2566"/>
      <c r="AN138" s="2566"/>
      <c r="AO138" s="2566"/>
      <c r="AP138" s="2566"/>
      <c r="AQ138" s="2568"/>
      <c r="AR138" s="2558"/>
      <c r="AS138" s="2558"/>
      <c r="AT138" s="2559"/>
    </row>
    <row r="139" spans="1:46" ht="39.75" customHeight="1" x14ac:dyDescent="0.25">
      <c r="A139" s="1892"/>
      <c r="B139" s="2548"/>
      <c r="C139" s="1850"/>
      <c r="D139" s="1851"/>
      <c r="E139" s="2585"/>
      <c r="F139" s="2585"/>
      <c r="G139" s="2588"/>
      <c r="H139" s="2580"/>
      <c r="I139" s="2588"/>
      <c r="J139" s="2580"/>
      <c r="K139" s="2582"/>
      <c r="L139" s="2573"/>
      <c r="M139" s="2582"/>
      <c r="N139" s="2573"/>
      <c r="O139" s="2476"/>
      <c r="P139" s="2572"/>
      <c r="Q139" s="2573"/>
      <c r="R139" s="2539"/>
      <c r="S139" s="2574"/>
      <c r="T139" s="2575"/>
      <c r="U139" s="2509"/>
      <c r="V139" s="2560" t="s">
        <v>3064</v>
      </c>
      <c r="W139" s="1669">
        <f>2000000-2000000</f>
        <v>0</v>
      </c>
      <c r="X139" s="1617" t="s">
        <v>3060</v>
      </c>
      <c r="Y139" s="1853"/>
      <c r="Z139" s="1854"/>
      <c r="AA139" s="2570"/>
      <c r="AB139" s="2566"/>
      <c r="AC139" s="2566"/>
      <c r="AD139" s="2566"/>
      <c r="AE139" s="2566"/>
      <c r="AF139" s="2566"/>
      <c r="AG139" s="2566"/>
      <c r="AH139" s="2566"/>
      <c r="AI139" s="2566"/>
      <c r="AJ139" s="2566"/>
      <c r="AK139" s="2566"/>
      <c r="AL139" s="2566"/>
      <c r="AM139" s="2566"/>
      <c r="AN139" s="2566"/>
      <c r="AO139" s="2566"/>
      <c r="AP139" s="2566"/>
      <c r="AQ139" s="2568"/>
      <c r="AR139" s="2558"/>
      <c r="AS139" s="2558"/>
      <c r="AT139" s="2559"/>
    </row>
    <row r="140" spans="1:46" ht="39.75" customHeight="1" x14ac:dyDescent="0.25">
      <c r="A140" s="1892"/>
      <c r="B140" s="2548"/>
      <c r="C140" s="1850"/>
      <c r="D140" s="1851"/>
      <c r="E140" s="2585"/>
      <c r="F140" s="2585"/>
      <c r="G140" s="2588"/>
      <c r="H140" s="2580"/>
      <c r="I140" s="2588"/>
      <c r="J140" s="2580"/>
      <c r="K140" s="2582"/>
      <c r="L140" s="2573"/>
      <c r="M140" s="2582"/>
      <c r="N140" s="2573"/>
      <c r="O140" s="2476"/>
      <c r="P140" s="2572"/>
      <c r="Q140" s="2573"/>
      <c r="R140" s="2539"/>
      <c r="S140" s="2574"/>
      <c r="T140" s="2575"/>
      <c r="U140" s="2509"/>
      <c r="V140" s="2562"/>
      <c r="W140" s="1669">
        <v>2000000</v>
      </c>
      <c r="X140" s="1617" t="s">
        <v>3065</v>
      </c>
      <c r="Y140" s="1858">
        <v>20</v>
      </c>
      <c r="Z140" s="1859" t="s">
        <v>694</v>
      </c>
      <c r="AA140" s="2570"/>
      <c r="AB140" s="2566"/>
      <c r="AC140" s="2566"/>
      <c r="AD140" s="2566"/>
      <c r="AE140" s="2566"/>
      <c r="AF140" s="2566"/>
      <c r="AG140" s="2566"/>
      <c r="AH140" s="2566"/>
      <c r="AI140" s="2566"/>
      <c r="AJ140" s="2566"/>
      <c r="AK140" s="2566"/>
      <c r="AL140" s="2566"/>
      <c r="AM140" s="2566"/>
      <c r="AN140" s="2566"/>
      <c r="AO140" s="2566"/>
      <c r="AP140" s="2566"/>
      <c r="AQ140" s="2568"/>
      <c r="AR140" s="2558"/>
      <c r="AS140" s="2558"/>
      <c r="AT140" s="2559"/>
    </row>
    <row r="141" spans="1:46" ht="52.5" customHeight="1" x14ac:dyDescent="0.25">
      <c r="A141" s="1892"/>
      <c r="B141" s="2548"/>
      <c r="C141" s="1850"/>
      <c r="D141" s="1851"/>
      <c r="E141" s="2585"/>
      <c r="F141" s="2585"/>
      <c r="G141" s="2588"/>
      <c r="H141" s="2581"/>
      <c r="I141" s="2588"/>
      <c r="J141" s="2581"/>
      <c r="K141" s="2583"/>
      <c r="L141" s="2573"/>
      <c r="M141" s="2583"/>
      <c r="N141" s="2573"/>
      <c r="O141" s="2476"/>
      <c r="P141" s="2572"/>
      <c r="Q141" s="2573"/>
      <c r="R141" s="2539"/>
      <c r="S141" s="2574"/>
      <c r="T141" s="2575"/>
      <c r="U141" s="2509"/>
      <c r="V141" s="2562"/>
      <c r="W141" s="1852">
        <v>5000000</v>
      </c>
      <c r="X141" s="1617" t="s">
        <v>3066</v>
      </c>
      <c r="Y141" s="1853">
        <v>88</v>
      </c>
      <c r="Z141" s="1862" t="s">
        <v>2876</v>
      </c>
      <c r="AA141" s="2570"/>
      <c r="AB141" s="2566"/>
      <c r="AC141" s="2566"/>
      <c r="AD141" s="2566"/>
      <c r="AE141" s="2566"/>
      <c r="AF141" s="2566"/>
      <c r="AG141" s="2566"/>
      <c r="AH141" s="2566"/>
      <c r="AI141" s="2566"/>
      <c r="AJ141" s="2566"/>
      <c r="AK141" s="2566"/>
      <c r="AL141" s="2566"/>
      <c r="AM141" s="2566"/>
      <c r="AN141" s="2566"/>
      <c r="AO141" s="2566"/>
      <c r="AP141" s="2566"/>
      <c r="AQ141" s="2568"/>
      <c r="AR141" s="2558"/>
      <c r="AS141" s="2558"/>
      <c r="AT141" s="2559"/>
    </row>
    <row r="142" spans="1:46" ht="49.5" customHeight="1" x14ac:dyDescent="0.25">
      <c r="A142" s="1892"/>
      <c r="B142" s="2548"/>
      <c r="C142" s="1850"/>
      <c r="D142" s="1851"/>
      <c r="E142" s="2585"/>
      <c r="F142" s="2585"/>
      <c r="G142" s="2528">
        <v>4503003</v>
      </c>
      <c r="H142" s="2477" t="s">
        <v>219</v>
      </c>
      <c r="I142" s="2528">
        <v>4503003</v>
      </c>
      <c r="J142" s="2477" t="s">
        <v>219</v>
      </c>
      <c r="K142" s="2563">
        <v>450300300</v>
      </c>
      <c r="L142" s="2592" t="s">
        <v>3067</v>
      </c>
      <c r="M142" s="2563">
        <v>450300300</v>
      </c>
      <c r="N142" s="2592" t="s">
        <v>3067</v>
      </c>
      <c r="O142" s="2528">
        <v>12</v>
      </c>
      <c r="P142" s="2572"/>
      <c r="Q142" s="2573"/>
      <c r="R142" s="2539">
        <f>SUM(W142:W166)/S135</f>
        <v>0.75792253001997112</v>
      </c>
      <c r="S142" s="2574"/>
      <c r="T142" s="2575"/>
      <c r="U142" s="2540" t="s">
        <v>3068</v>
      </c>
      <c r="V142" s="2251" t="s">
        <v>3069</v>
      </c>
      <c r="W142" s="1669">
        <v>10000000</v>
      </c>
      <c r="X142" s="1617" t="s">
        <v>3070</v>
      </c>
      <c r="Y142" s="1949">
        <v>20</v>
      </c>
      <c r="Z142" s="1621" t="s">
        <v>694</v>
      </c>
      <c r="AA142" s="2570"/>
      <c r="AB142" s="2566"/>
      <c r="AC142" s="2566"/>
      <c r="AD142" s="2566"/>
      <c r="AE142" s="2566"/>
      <c r="AF142" s="2566"/>
      <c r="AG142" s="2566"/>
      <c r="AH142" s="2566"/>
      <c r="AI142" s="2566"/>
      <c r="AJ142" s="2566"/>
      <c r="AK142" s="2566"/>
      <c r="AL142" s="2566"/>
      <c r="AM142" s="2566"/>
      <c r="AN142" s="2566"/>
      <c r="AO142" s="2566"/>
      <c r="AP142" s="2566"/>
      <c r="AQ142" s="2568"/>
      <c r="AR142" s="2558"/>
      <c r="AS142" s="2558"/>
      <c r="AT142" s="2559"/>
    </row>
    <row r="143" spans="1:46" ht="49.5" customHeight="1" x14ac:dyDescent="0.25">
      <c r="A143" s="1892"/>
      <c r="B143" s="2548"/>
      <c r="C143" s="1850"/>
      <c r="D143" s="1851"/>
      <c r="E143" s="2585"/>
      <c r="F143" s="2585"/>
      <c r="G143" s="2528"/>
      <c r="H143" s="2478"/>
      <c r="I143" s="2528"/>
      <c r="J143" s="2478"/>
      <c r="K143" s="2564"/>
      <c r="L143" s="2592"/>
      <c r="M143" s="2564"/>
      <c r="N143" s="2592"/>
      <c r="O143" s="2528"/>
      <c r="P143" s="2572"/>
      <c r="Q143" s="2573"/>
      <c r="R143" s="2539"/>
      <c r="S143" s="2574"/>
      <c r="T143" s="2575"/>
      <c r="U143" s="2540"/>
      <c r="V143" s="2251"/>
      <c r="W143" s="1669">
        <v>10000000</v>
      </c>
      <c r="X143" s="1617" t="s">
        <v>3071</v>
      </c>
      <c r="Y143" s="1853">
        <v>88</v>
      </c>
      <c r="Z143" s="1862" t="s">
        <v>2876</v>
      </c>
      <c r="AA143" s="2570"/>
      <c r="AB143" s="2566"/>
      <c r="AC143" s="2566"/>
      <c r="AD143" s="2566"/>
      <c r="AE143" s="2566"/>
      <c r="AF143" s="2566"/>
      <c r="AG143" s="2566"/>
      <c r="AH143" s="2566"/>
      <c r="AI143" s="2566"/>
      <c r="AJ143" s="2566"/>
      <c r="AK143" s="2566"/>
      <c r="AL143" s="2566"/>
      <c r="AM143" s="2566"/>
      <c r="AN143" s="2566"/>
      <c r="AO143" s="2566"/>
      <c r="AP143" s="2566"/>
      <c r="AQ143" s="2568"/>
      <c r="AR143" s="2558"/>
      <c r="AS143" s="2558"/>
      <c r="AT143" s="2559"/>
    </row>
    <row r="144" spans="1:46" ht="49.5" customHeight="1" x14ac:dyDescent="0.25">
      <c r="A144" s="1892"/>
      <c r="B144" s="2548"/>
      <c r="C144" s="1850"/>
      <c r="D144" s="1851"/>
      <c r="E144" s="2585"/>
      <c r="F144" s="2585"/>
      <c r="G144" s="2528"/>
      <c r="H144" s="2478"/>
      <c r="I144" s="2528"/>
      <c r="J144" s="2478"/>
      <c r="K144" s="2564"/>
      <c r="L144" s="2592"/>
      <c r="M144" s="2564"/>
      <c r="N144" s="2592"/>
      <c r="O144" s="2528"/>
      <c r="P144" s="2572"/>
      <c r="Q144" s="2573"/>
      <c r="R144" s="2539"/>
      <c r="S144" s="2574"/>
      <c r="T144" s="2575"/>
      <c r="U144" s="2540"/>
      <c r="V144" s="1616" t="s">
        <v>3072</v>
      </c>
      <c r="W144" s="1669">
        <v>30512500</v>
      </c>
      <c r="X144" s="1617" t="s">
        <v>3073</v>
      </c>
      <c r="Y144" s="1853">
        <v>88</v>
      </c>
      <c r="Z144" s="1862" t="s">
        <v>2876</v>
      </c>
      <c r="AA144" s="2570"/>
      <c r="AB144" s="2566"/>
      <c r="AC144" s="2566"/>
      <c r="AD144" s="2566"/>
      <c r="AE144" s="2566"/>
      <c r="AF144" s="2566"/>
      <c r="AG144" s="2566"/>
      <c r="AH144" s="2566"/>
      <c r="AI144" s="2566"/>
      <c r="AJ144" s="2566"/>
      <c r="AK144" s="2566"/>
      <c r="AL144" s="2566"/>
      <c r="AM144" s="2566"/>
      <c r="AN144" s="2566"/>
      <c r="AO144" s="2566"/>
      <c r="AP144" s="2566"/>
      <c r="AQ144" s="2568"/>
      <c r="AR144" s="2558"/>
      <c r="AS144" s="2558"/>
      <c r="AT144" s="2559"/>
    </row>
    <row r="145" spans="1:46" ht="25.5" customHeight="1" x14ac:dyDescent="0.25">
      <c r="A145" s="1892"/>
      <c r="B145" s="2548"/>
      <c r="C145" s="1850"/>
      <c r="D145" s="1851"/>
      <c r="E145" s="2585"/>
      <c r="F145" s="2585"/>
      <c r="G145" s="2528"/>
      <c r="H145" s="2478"/>
      <c r="I145" s="2528"/>
      <c r="J145" s="2478"/>
      <c r="K145" s="2564"/>
      <c r="L145" s="2592"/>
      <c r="M145" s="2564"/>
      <c r="N145" s="2592"/>
      <c r="O145" s="2528"/>
      <c r="P145" s="2572"/>
      <c r="Q145" s="2573"/>
      <c r="R145" s="2539"/>
      <c r="S145" s="2574"/>
      <c r="T145" s="2575"/>
      <c r="U145" s="2540"/>
      <c r="V145" s="2251" t="s">
        <v>3074</v>
      </c>
      <c r="W145" s="1669">
        <v>28400000</v>
      </c>
      <c r="X145" s="1617" t="s">
        <v>3075</v>
      </c>
      <c r="Y145" s="1950">
        <v>20</v>
      </c>
      <c r="Z145" s="1619" t="s">
        <v>694</v>
      </c>
      <c r="AA145" s="2570"/>
      <c r="AB145" s="2566"/>
      <c r="AC145" s="2566"/>
      <c r="AD145" s="2566"/>
      <c r="AE145" s="2566"/>
      <c r="AF145" s="2566"/>
      <c r="AG145" s="2566"/>
      <c r="AH145" s="2566"/>
      <c r="AI145" s="2566"/>
      <c r="AJ145" s="2566"/>
      <c r="AK145" s="2566"/>
      <c r="AL145" s="2566"/>
      <c r="AM145" s="2566"/>
      <c r="AN145" s="2566"/>
      <c r="AO145" s="2566"/>
      <c r="AP145" s="2566"/>
      <c r="AQ145" s="2568"/>
      <c r="AR145" s="2558"/>
      <c r="AS145" s="2558"/>
      <c r="AT145" s="2559"/>
    </row>
    <row r="146" spans="1:46" ht="25.5" customHeight="1" x14ac:dyDescent="0.25">
      <c r="A146" s="1892"/>
      <c r="B146" s="2548"/>
      <c r="C146" s="1850"/>
      <c r="D146" s="1851"/>
      <c r="E146" s="2585"/>
      <c r="F146" s="2585"/>
      <c r="G146" s="2528"/>
      <c r="H146" s="2478"/>
      <c r="I146" s="2528"/>
      <c r="J146" s="2478"/>
      <c r="K146" s="2564"/>
      <c r="L146" s="2592"/>
      <c r="M146" s="2564"/>
      <c r="N146" s="2592"/>
      <c r="O146" s="2528"/>
      <c r="P146" s="2572"/>
      <c r="Q146" s="2573"/>
      <c r="R146" s="2539"/>
      <c r="S146" s="2574"/>
      <c r="T146" s="2575"/>
      <c r="U146" s="2540"/>
      <c r="V146" s="2251"/>
      <c r="W146" s="1669">
        <f>6800000-6800000</f>
        <v>0</v>
      </c>
      <c r="X146" s="1617" t="s">
        <v>3076</v>
      </c>
      <c r="Y146" s="1951">
        <v>20</v>
      </c>
      <c r="Z146" s="670" t="s">
        <v>694</v>
      </c>
      <c r="AA146" s="2570"/>
      <c r="AB146" s="2566"/>
      <c r="AC146" s="2566"/>
      <c r="AD146" s="2566"/>
      <c r="AE146" s="2566"/>
      <c r="AF146" s="2566"/>
      <c r="AG146" s="2566"/>
      <c r="AH146" s="2566"/>
      <c r="AI146" s="2566"/>
      <c r="AJ146" s="2566"/>
      <c r="AK146" s="2566"/>
      <c r="AL146" s="2566"/>
      <c r="AM146" s="2566"/>
      <c r="AN146" s="2566"/>
      <c r="AO146" s="2566"/>
      <c r="AP146" s="2566"/>
      <c r="AQ146" s="2568"/>
      <c r="AR146" s="2558"/>
      <c r="AS146" s="2558"/>
      <c r="AT146" s="2559"/>
    </row>
    <row r="147" spans="1:46" ht="25.5" customHeight="1" x14ac:dyDescent="0.25">
      <c r="A147" s="1892"/>
      <c r="B147" s="2548"/>
      <c r="C147" s="1850"/>
      <c r="D147" s="1851"/>
      <c r="E147" s="2585"/>
      <c r="F147" s="2585"/>
      <c r="G147" s="2528"/>
      <c r="H147" s="2478"/>
      <c r="I147" s="2528"/>
      <c r="J147" s="2478"/>
      <c r="K147" s="2564"/>
      <c r="L147" s="2592"/>
      <c r="M147" s="2564"/>
      <c r="N147" s="2592"/>
      <c r="O147" s="2528"/>
      <c r="P147" s="2572"/>
      <c r="Q147" s="2573"/>
      <c r="R147" s="2539"/>
      <c r="S147" s="2574"/>
      <c r="T147" s="2575"/>
      <c r="U147" s="2540"/>
      <c r="V147" s="2251"/>
      <c r="W147" s="1669">
        <v>6800000</v>
      </c>
      <c r="X147" s="1617" t="s">
        <v>3077</v>
      </c>
      <c r="Y147" s="1950">
        <v>20</v>
      </c>
      <c r="Z147" s="1619" t="s">
        <v>694</v>
      </c>
      <c r="AA147" s="2570"/>
      <c r="AB147" s="2566"/>
      <c r="AC147" s="2566"/>
      <c r="AD147" s="2566"/>
      <c r="AE147" s="2566"/>
      <c r="AF147" s="2566"/>
      <c r="AG147" s="2566"/>
      <c r="AH147" s="2566"/>
      <c r="AI147" s="2566"/>
      <c r="AJ147" s="2566"/>
      <c r="AK147" s="2566"/>
      <c r="AL147" s="2566"/>
      <c r="AM147" s="2566"/>
      <c r="AN147" s="2566"/>
      <c r="AO147" s="2566"/>
      <c r="AP147" s="2566"/>
      <c r="AQ147" s="2568"/>
      <c r="AR147" s="2558"/>
      <c r="AS147" s="2558"/>
      <c r="AT147" s="2559"/>
    </row>
    <row r="148" spans="1:46" ht="27.75" customHeight="1" x14ac:dyDescent="0.25">
      <c r="A148" s="1892"/>
      <c r="B148" s="2548"/>
      <c r="C148" s="1850"/>
      <c r="D148" s="1851"/>
      <c r="E148" s="2585"/>
      <c r="F148" s="2585"/>
      <c r="G148" s="2528"/>
      <c r="H148" s="2478"/>
      <c r="I148" s="2528"/>
      <c r="J148" s="2478"/>
      <c r="K148" s="2564"/>
      <c r="L148" s="2592"/>
      <c r="M148" s="2564"/>
      <c r="N148" s="2592"/>
      <c r="O148" s="2528"/>
      <c r="P148" s="2572"/>
      <c r="Q148" s="2573"/>
      <c r="R148" s="2539"/>
      <c r="S148" s="2574"/>
      <c r="T148" s="2575"/>
      <c r="U148" s="2540"/>
      <c r="V148" s="2251"/>
      <c r="W148" s="1852">
        <f>33000000+12415000</f>
        <v>45415000</v>
      </c>
      <c r="X148" s="1617" t="s">
        <v>3073</v>
      </c>
      <c r="Y148" s="1853">
        <v>88</v>
      </c>
      <c r="Z148" s="1952" t="s">
        <v>2876</v>
      </c>
      <c r="AA148" s="2570"/>
      <c r="AB148" s="2566"/>
      <c r="AC148" s="2566"/>
      <c r="AD148" s="2566"/>
      <c r="AE148" s="2566"/>
      <c r="AF148" s="2566"/>
      <c r="AG148" s="2566"/>
      <c r="AH148" s="2566"/>
      <c r="AI148" s="2566"/>
      <c r="AJ148" s="2566"/>
      <c r="AK148" s="2566"/>
      <c r="AL148" s="2566"/>
      <c r="AM148" s="2566"/>
      <c r="AN148" s="2566"/>
      <c r="AO148" s="2566"/>
      <c r="AP148" s="2566"/>
      <c r="AQ148" s="2568"/>
      <c r="AR148" s="2558"/>
      <c r="AS148" s="2558"/>
      <c r="AT148" s="2559"/>
    </row>
    <row r="149" spans="1:46" s="1891" customFormat="1" ht="60" customHeight="1" x14ac:dyDescent="0.25">
      <c r="A149" s="329"/>
      <c r="B149" s="2548"/>
      <c r="C149" s="1953"/>
      <c r="D149" s="349"/>
      <c r="E149" s="2585"/>
      <c r="F149" s="2585"/>
      <c r="G149" s="2528"/>
      <c r="H149" s="2478"/>
      <c r="I149" s="2528"/>
      <c r="J149" s="2478"/>
      <c r="K149" s="2564"/>
      <c r="L149" s="2592"/>
      <c r="M149" s="2564"/>
      <c r="N149" s="2592"/>
      <c r="O149" s="2528"/>
      <c r="P149" s="2572"/>
      <c r="Q149" s="2573"/>
      <c r="R149" s="2539"/>
      <c r="S149" s="2574"/>
      <c r="T149" s="2575"/>
      <c r="U149" s="2541"/>
      <c r="V149" s="2252" t="s">
        <v>3078</v>
      </c>
      <c r="W149" s="1669">
        <v>14400000</v>
      </c>
      <c r="X149" s="1617" t="s">
        <v>3075</v>
      </c>
      <c r="Y149" s="1954">
        <v>20</v>
      </c>
      <c r="Z149" s="1620" t="s">
        <v>694</v>
      </c>
      <c r="AA149" s="2570"/>
      <c r="AB149" s="2566"/>
      <c r="AC149" s="2566"/>
      <c r="AD149" s="2566"/>
      <c r="AE149" s="2566"/>
      <c r="AF149" s="2566"/>
      <c r="AG149" s="2566"/>
      <c r="AH149" s="2566"/>
      <c r="AI149" s="2566"/>
      <c r="AJ149" s="2566"/>
      <c r="AK149" s="2566"/>
      <c r="AL149" s="2566"/>
      <c r="AM149" s="2566"/>
      <c r="AN149" s="2566"/>
      <c r="AO149" s="2566"/>
      <c r="AP149" s="2566"/>
      <c r="AQ149" s="2568"/>
      <c r="AR149" s="2558"/>
      <c r="AS149" s="2558"/>
      <c r="AT149" s="2559"/>
    </row>
    <row r="150" spans="1:46" s="1891" customFormat="1" ht="60" customHeight="1" x14ac:dyDescent="0.25">
      <c r="A150" s="329"/>
      <c r="B150" s="2548"/>
      <c r="C150" s="1953"/>
      <c r="D150" s="349"/>
      <c r="E150" s="2585"/>
      <c r="F150" s="2585"/>
      <c r="G150" s="2528"/>
      <c r="H150" s="2478"/>
      <c r="I150" s="2528"/>
      <c r="J150" s="2478"/>
      <c r="K150" s="2564"/>
      <c r="L150" s="2592"/>
      <c r="M150" s="2564"/>
      <c r="N150" s="2592"/>
      <c r="O150" s="2528"/>
      <c r="P150" s="2572"/>
      <c r="Q150" s="2573"/>
      <c r="R150" s="2539"/>
      <c r="S150" s="2574"/>
      <c r="T150" s="2575"/>
      <c r="U150" s="2541"/>
      <c r="V150" s="2082"/>
      <c r="W150" s="1669">
        <f>9000000+9845000</f>
        <v>18845000</v>
      </c>
      <c r="X150" s="1617" t="s">
        <v>3073</v>
      </c>
      <c r="Y150" s="1853">
        <v>88</v>
      </c>
      <c r="Z150" s="1862" t="s">
        <v>2876</v>
      </c>
      <c r="AA150" s="2570"/>
      <c r="AB150" s="2566"/>
      <c r="AC150" s="2566"/>
      <c r="AD150" s="2566"/>
      <c r="AE150" s="2566"/>
      <c r="AF150" s="2566"/>
      <c r="AG150" s="2566"/>
      <c r="AH150" s="2566"/>
      <c r="AI150" s="2566"/>
      <c r="AJ150" s="2566"/>
      <c r="AK150" s="2566"/>
      <c r="AL150" s="2566"/>
      <c r="AM150" s="2566"/>
      <c r="AN150" s="2566"/>
      <c r="AO150" s="2566"/>
      <c r="AP150" s="2566"/>
      <c r="AQ150" s="2568"/>
      <c r="AR150" s="2558"/>
      <c r="AS150" s="2558"/>
      <c r="AT150" s="2559"/>
    </row>
    <row r="151" spans="1:46" s="1891" customFormat="1" ht="33.75" customHeight="1" x14ac:dyDescent="0.25">
      <c r="A151" s="329"/>
      <c r="B151" s="2548"/>
      <c r="C151" s="1953"/>
      <c r="D151" s="349"/>
      <c r="E151" s="2585"/>
      <c r="F151" s="2585"/>
      <c r="G151" s="2528"/>
      <c r="H151" s="2478"/>
      <c r="I151" s="2528"/>
      <c r="J151" s="2478"/>
      <c r="K151" s="2564"/>
      <c r="L151" s="2592"/>
      <c r="M151" s="2564"/>
      <c r="N151" s="2592"/>
      <c r="O151" s="2528"/>
      <c r="P151" s="2572"/>
      <c r="Q151" s="2573"/>
      <c r="R151" s="2539"/>
      <c r="S151" s="2574"/>
      <c r="T151" s="2575"/>
      <c r="U151" s="2540"/>
      <c r="V151" s="2251" t="s">
        <v>3079</v>
      </c>
      <c r="W151" s="1669">
        <v>10000000</v>
      </c>
      <c r="X151" s="1617" t="s">
        <v>3080</v>
      </c>
      <c r="Y151" s="1949">
        <v>20</v>
      </c>
      <c r="Z151" s="1621" t="s">
        <v>694</v>
      </c>
      <c r="AA151" s="2570"/>
      <c r="AB151" s="2566"/>
      <c r="AC151" s="2566"/>
      <c r="AD151" s="2566"/>
      <c r="AE151" s="2566"/>
      <c r="AF151" s="2566"/>
      <c r="AG151" s="2566"/>
      <c r="AH151" s="2566"/>
      <c r="AI151" s="2566"/>
      <c r="AJ151" s="2566"/>
      <c r="AK151" s="2566"/>
      <c r="AL151" s="2566"/>
      <c r="AM151" s="2566"/>
      <c r="AN151" s="2566"/>
      <c r="AO151" s="2566"/>
      <c r="AP151" s="2566"/>
      <c r="AQ151" s="2568"/>
      <c r="AR151" s="2558"/>
      <c r="AS151" s="2558"/>
      <c r="AT151" s="2559"/>
    </row>
    <row r="152" spans="1:46" ht="33.75" customHeight="1" x14ac:dyDescent="0.25">
      <c r="A152" s="1892"/>
      <c r="B152" s="2548"/>
      <c r="C152" s="1850"/>
      <c r="D152" s="1851"/>
      <c r="E152" s="2585"/>
      <c r="F152" s="2585"/>
      <c r="G152" s="2528"/>
      <c r="H152" s="2478"/>
      <c r="I152" s="2528"/>
      <c r="J152" s="2478"/>
      <c r="K152" s="2564"/>
      <c r="L152" s="2592"/>
      <c r="M152" s="2564"/>
      <c r="N152" s="2592"/>
      <c r="O152" s="2528"/>
      <c r="P152" s="2572"/>
      <c r="Q152" s="2573"/>
      <c r="R152" s="2539"/>
      <c r="S152" s="2574"/>
      <c r="T152" s="2575"/>
      <c r="U152" s="2540"/>
      <c r="V152" s="2251"/>
      <c r="W152" s="1669">
        <v>5200000</v>
      </c>
      <c r="X152" s="1617" t="s">
        <v>3076</v>
      </c>
      <c r="Y152" s="1954">
        <v>20</v>
      </c>
      <c r="Z152" s="1620" t="s">
        <v>694</v>
      </c>
      <c r="AA152" s="2570"/>
      <c r="AB152" s="2566"/>
      <c r="AC152" s="2566"/>
      <c r="AD152" s="2566"/>
      <c r="AE152" s="2566"/>
      <c r="AF152" s="2566"/>
      <c r="AG152" s="2566"/>
      <c r="AH152" s="2566"/>
      <c r="AI152" s="2566"/>
      <c r="AJ152" s="2566"/>
      <c r="AK152" s="2566"/>
      <c r="AL152" s="2566"/>
      <c r="AM152" s="2566"/>
      <c r="AN152" s="2566"/>
      <c r="AO152" s="2566"/>
      <c r="AP152" s="2566"/>
      <c r="AQ152" s="2568"/>
      <c r="AR152" s="2558"/>
      <c r="AS152" s="2558"/>
      <c r="AT152" s="2559"/>
    </row>
    <row r="153" spans="1:46" ht="33.75" customHeight="1" x14ac:dyDescent="0.25">
      <c r="A153" s="1892"/>
      <c r="B153" s="2548"/>
      <c r="C153" s="1850"/>
      <c r="D153" s="1851"/>
      <c r="E153" s="2585"/>
      <c r="F153" s="2585"/>
      <c r="G153" s="2528"/>
      <c r="H153" s="2478"/>
      <c r="I153" s="2528"/>
      <c r="J153" s="2478"/>
      <c r="K153" s="2564"/>
      <c r="L153" s="2592"/>
      <c r="M153" s="2564"/>
      <c r="N153" s="2592"/>
      <c r="O153" s="2528"/>
      <c r="P153" s="2572"/>
      <c r="Q153" s="2573"/>
      <c r="R153" s="2539"/>
      <c r="S153" s="2574"/>
      <c r="T153" s="2575"/>
      <c r="U153" s="2540"/>
      <c r="V153" s="2251"/>
      <c r="W153" s="1669">
        <v>36000000</v>
      </c>
      <c r="X153" s="1617" t="s">
        <v>3081</v>
      </c>
      <c r="Y153" s="1853">
        <v>88</v>
      </c>
      <c r="Z153" s="1862" t="s">
        <v>2876</v>
      </c>
      <c r="AA153" s="2570"/>
      <c r="AB153" s="2566"/>
      <c r="AC153" s="2566"/>
      <c r="AD153" s="2566"/>
      <c r="AE153" s="2566"/>
      <c r="AF153" s="2566"/>
      <c r="AG153" s="2566"/>
      <c r="AH153" s="2566"/>
      <c r="AI153" s="2566"/>
      <c r="AJ153" s="2566"/>
      <c r="AK153" s="2566"/>
      <c r="AL153" s="2566"/>
      <c r="AM153" s="2566"/>
      <c r="AN153" s="2566"/>
      <c r="AO153" s="2566"/>
      <c r="AP153" s="2566"/>
      <c r="AQ153" s="2568"/>
      <c r="AR153" s="2558"/>
      <c r="AS153" s="2558"/>
      <c r="AT153" s="2559"/>
    </row>
    <row r="154" spans="1:46" ht="33.75" customHeight="1" x14ac:dyDescent="0.25">
      <c r="A154" s="1892"/>
      <c r="B154" s="2548"/>
      <c r="C154" s="1850"/>
      <c r="D154" s="1851"/>
      <c r="E154" s="2585"/>
      <c r="F154" s="2585"/>
      <c r="G154" s="2528"/>
      <c r="H154" s="2478"/>
      <c r="I154" s="2528"/>
      <c r="J154" s="2478"/>
      <c r="K154" s="2564"/>
      <c r="L154" s="2592"/>
      <c r="M154" s="2564"/>
      <c r="N154" s="2592"/>
      <c r="O154" s="2528"/>
      <c r="P154" s="2572"/>
      <c r="Q154" s="2573"/>
      <c r="R154" s="2539"/>
      <c r="S154" s="2574"/>
      <c r="T154" s="2575"/>
      <c r="U154" s="2540"/>
      <c r="V154" s="2251"/>
      <c r="W154" s="1852">
        <v>20000000</v>
      </c>
      <c r="X154" s="1617" t="s">
        <v>3082</v>
      </c>
      <c r="Y154" s="1853">
        <v>88</v>
      </c>
      <c r="Z154" s="1862" t="s">
        <v>2876</v>
      </c>
      <c r="AA154" s="2570"/>
      <c r="AB154" s="2566"/>
      <c r="AC154" s="2566"/>
      <c r="AD154" s="2566"/>
      <c r="AE154" s="2566"/>
      <c r="AF154" s="2566"/>
      <c r="AG154" s="2566"/>
      <c r="AH154" s="2566"/>
      <c r="AI154" s="2566"/>
      <c r="AJ154" s="2566"/>
      <c r="AK154" s="2566"/>
      <c r="AL154" s="2566"/>
      <c r="AM154" s="2566"/>
      <c r="AN154" s="2566"/>
      <c r="AO154" s="2566"/>
      <c r="AP154" s="2566"/>
      <c r="AQ154" s="2568"/>
      <c r="AR154" s="2558"/>
      <c r="AS154" s="2558"/>
      <c r="AT154" s="2559"/>
    </row>
    <row r="155" spans="1:46" ht="26.25" customHeight="1" x14ac:dyDescent="0.25">
      <c r="A155" s="1892"/>
      <c r="B155" s="2548"/>
      <c r="C155" s="1850"/>
      <c r="D155" s="1851"/>
      <c r="E155" s="2585"/>
      <c r="F155" s="2585"/>
      <c r="G155" s="2528"/>
      <c r="H155" s="2478"/>
      <c r="I155" s="2528"/>
      <c r="J155" s="2478"/>
      <c r="K155" s="2564"/>
      <c r="L155" s="2592"/>
      <c r="M155" s="2564"/>
      <c r="N155" s="2592"/>
      <c r="O155" s="2528"/>
      <c r="P155" s="2572"/>
      <c r="Q155" s="2573"/>
      <c r="R155" s="2539"/>
      <c r="S155" s="2574"/>
      <c r="T155" s="2575"/>
      <c r="U155" s="2540"/>
      <c r="V155" s="2251"/>
      <c r="W155" s="1852">
        <v>20000000</v>
      </c>
      <c r="X155" s="1617" t="s">
        <v>3083</v>
      </c>
      <c r="Y155" s="1853">
        <v>88</v>
      </c>
      <c r="Z155" s="1862" t="s">
        <v>2876</v>
      </c>
      <c r="AA155" s="2570"/>
      <c r="AB155" s="2566"/>
      <c r="AC155" s="2566"/>
      <c r="AD155" s="2566"/>
      <c r="AE155" s="2566"/>
      <c r="AF155" s="2566"/>
      <c r="AG155" s="2566"/>
      <c r="AH155" s="2566"/>
      <c r="AI155" s="2566"/>
      <c r="AJ155" s="2566"/>
      <c r="AK155" s="2566"/>
      <c r="AL155" s="2566"/>
      <c r="AM155" s="2566"/>
      <c r="AN155" s="2566"/>
      <c r="AO155" s="2566"/>
      <c r="AP155" s="2566"/>
      <c r="AQ155" s="2568"/>
      <c r="AR155" s="2558"/>
      <c r="AS155" s="2558"/>
      <c r="AT155" s="2559"/>
    </row>
    <row r="156" spans="1:46" ht="26.25" customHeight="1" x14ac:dyDescent="0.25">
      <c r="A156" s="1892"/>
      <c r="B156" s="2548"/>
      <c r="C156" s="1850"/>
      <c r="D156" s="1851"/>
      <c r="E156" s="2585"/>
      <c r="F156" s="2585"/>
      <c r="G156" s="2528"/>
      <c r="H156" s="2478"/>
      <c r="I156" s="2528"/>
      <c r="J156" s="2478"/>
      <c r="K156" s="2564"/>
      <c r="L156" s="2592"/>
      <c r="M156" s="2564"/>
      <c r="N156" s="2592"/>
      <c r="O156" s="2528"/>
      <c r="P156" s="2572"/>
      <c r="Q156" s="2573"/>
      <c r="R156" s="2539"/>
      <c r="S156" s="2574"/>
      <c r="T156" s="2575"/>
      <c r="U156" s="2540"/>
      <c r="V156" s="1616" t="s">
        <v>3084</v>
      </c>
      <c r="W156" s="1852">
        <v>50000000</v>
      </c>
      <c r="X156" s="1617" t="s">
        <v>3085</v>
      </c>
      <c r="Y156" s="1853">
        <v>88</v>
      </c>
      <c r="Z156" s="1862" t="s">
        <v>2876</v>
      </c>
      <c r="AA156" s="2570"/>
      <c r="AB156" s="2566"/>
      <c r="AC156" s="2566"/>
      <c r="AD156" s="2566"/>
      <c r="AE156" s="2566"/>
      <c r="AF156" s="2566"/>
      <c r="AG156" s="2566"/>
      <c r="AH156" s="2566"/>
      <c r="AI156" s="2566"/>
      <c r="AJ156" s="2566"/>
      <c r="AK156" s="2566"/>
      <c r="AL156" s="2566"/>
      <c r="AM156" s="2566"/>
      <c r="AN156" s="2566"/>
      <c r="AO156" s="2566"/>
      <c r="AP156" s="2566"/>
      <c r="AQ156" s="2568"/>
      <c r="AR156" s="2558"/>
      <c r="AS156" s="2558"/>
      <c r="AT156" s="2559"/>
    </row>
    <row r="157" spans="1:46" ht="37.5" customHeight="1" x14ac:dyDescent="0.25">
      <c r="A157" s="1892"/>
      <c r="B157" s="2548"/>
      <c r="C157" s="1850"/>
      <c r="D157" s="1851"/>
      <c r="E157" s="2585"/>
      <c r="F157" s="2585"/>
      <c r="G157" s="2528"/>
      <c r="H157" s="2478"/>
      <c r="I157" s="2528"/>
      <c r="J157" s="2478"/>
      <c r="K157" s="2564"/>
      <c r="L157" s="2592"/>
      <c r="M157" s="2564"/>
      <c r="N157" s="2592"/>
      <c r="O157" s="2528"/>
      <c r="P157" s="2572"/>
      <c r="Q157" s="2573"/>
      <c r="R157" s="2539"/>
      <c r="S157" s="2574"/>
      <c r="T157" s="2575"/>
      <c r="U157" s="2540"/>
      <c r="V157" s="2082" t="s">
        <v>3086</v>
      </c>
      <c r="W157" s="1669">
        <v>2700000</v>
      </c>
      <c r="X157" s="1617" t="s">
        <v>3076</v>
      </c>
      <c r="Y157" s="1954">
        <v>20</v>
      </c>
      <c r="Z157" s="1620" t="s">
        <v>694</v>
      </c>
      <c r="AA157" s="2570"/>
      <c r="AB157" s="2566"/>
      <c r="AC157" s="2566"/>
      <c r="AD157" s="2566"/>
      <c r="AE157" s="2566"/>
      <c r="AF157" s="2566"/>
      <c r="AG157" s="2566"/>
      <c r="AH157" s="2566"/>
      <c r="AI157" s="2566"/>
      <c r="AJ157" s="2566"/>
      <c r="AK157" s="2566"/>
      <c r="AL157" s="2566"/>
      <c r="AM157" s="2566"/>
      <c r="AN157" s="2566"/>
      <c r="AO157" s="2566"/>
      <c r="AP157" s="2566"/>
      <c r="AQ157" s="2568"/>
      <c r="AR157" s="2558"/>
      <c r="AS157" s="2558"/>
      <c r="AT157" s="2559"/>
    </row>
    <row r="158" spans="1:46" ht="37.5" customHeight="1" x14ac:dyDescent="0.25">
      <c r="A158" s="1892"/>
      <c r="B158" s="2548"/>
      <c r="C158" s="1850"/>
      <c r="D158" s="1851"/>
      <c r="E158" s="2585"/>
      <c r="F158" s="2585"/>
      <c r="G158" s="2528"/>
      <c r="H158" s="2478"/>
      <c r="I158" s="2528"/>
      <c r="J158" s="2478"/>
      <c r="K158" s="2564"/>
      <c r="L158" s="2592"/>
      <c r="M158" s="2564"/>
      <c r="N158" s="2592"/>
      <c r="O158" s="2528"/>
      <c r="P158" s="2572"/>
      <c r="Q158" s="2573"/>
      <c r="R158" s="2539"/>
      <c r="S158" s="2574"/>
      <c r="T158" s="2575"/>
      <c r="U158" s="2540"/>
      <c r="V158" s="2083"/>
      <c r="W158" s="1669">
        <v>5000000</v>
      </c>
      <c r="X158" s="1617" t="s">
        <v>3087</v>
      </c>
      <c r="Y158" s="1853">
        <v>88</v>
      </c>
      <c r="Z158" s="1862" t="s">
        <v>2876</v>
      </c>
      <c r="AA158" s="2570"/>
      <c r="AB158" s="2566"/>
      <c r="AC158" s="2566"/>
      <c r="AD158" s="2566"/>
      <c r="AE158" s="2566"/>
      <c r="AF158" s="2566"/>
      <c r="AG158" s="2566"/>
      <c r="AH158" s="2566"/>
      <c r="AI158" s="2566"/>
      <c r="AJ158" s="2566"/>
      <c r="AK158" s="2566"/>
      <c r="AL158" s="2566"/>
      <c r="AM158" s="2566"/>
      <c r="AN158" s="2566"/>
      <c r="AO158" s="2566"/>
      <c r="AP158" s="2566"/>
      <c r="AQ158" s="2568"/>
      <c r="AR158" s="2558"/>
      <c r="AS158" s="2558"/>
      <c r="AT158" s="2559"/>
    </row>
    <row r="159" spans="1:46" ht="37.5" customHeight="1" x14ac:dyDescent="0.25">
      <c r="A159" s="1892"/>
      <c r="B159" s="2548"/>
      <c r="C159" s="1850"/>
      <c r="D159" s="1851"/>
      <c r="E159" s="2585"/>
      <c r="F159" s="2585"/>
      <c r="G159" s="2528"/>
      <c r="H159" s="2478"/>
      <c r="I159" s="2528"/>
      <c r="J159" s="2478"/>
      <c r="K159" s="2564"/>
      <c r="L159" s="2592"/>
      <c r="M159" s="2564"/>
      <c r="N159" s="2592"/>
      <c r="O159" s="2528"/>
      <c r="P159" s="2572"/>
      <c r="Q159" s="2573"/>
      <c r="R159" s="2539"/>
      <c r="S159" s="2574"/>
      <c r="T159" s="2575"/>
      <c r="U159" s="2540"/>
      <c r="V159" s="1612" t="s">
        <v>3088</v>
      </c>
      <c r="W159" s="1669">
        <v>50980000</v>
      </c>
      <c r="X159" s="1617" t="s">
        <v>3089</v>
      </c>
      <c r="Y159" s="1853">
        <v>88</v>
      </c>
      <c r="Z159" s="1862" t="s">
        <v>2876</v>
      </c>
      <c r="AA159" s="2570"/>
      <c r="AB159" s="2566"/>
      <c r="AC159" s="2566"/>
      <c r="AD159" s="2566"/>
      <c r="AE159" s="2566"/>
      <c r="AF159" s="2566"/>
      <c r="AG159" s="2566"/>
      <c r="AH159" s="2566"/>
      <c r="AI159" s="2566"/>
      <c r="AJ159" s="2566"/>
      <c r="AK159" s="2566"/>
      <c r="AL159" s="2566"/>
      <c r="AM159" s="2566"/>
      <c r="AN159" s="2566"/>
      <c r="AO159" s="2566"/>
      <c r="AP159" s="2566"/>
      <c r="AQ159" s="2568"/>
      <c r="AR159" s="2558"/>
      <c r="AS159" s="2558"/>
      <c r="AT159" s="2559"/>
    </row>
    <row r="160" spans="1:46" ht="57" customHeight="1" x14ac:dyDescent="0.25">
      <c r="A160" s="1892"/>
      <c r="B160" s="2548"/>
      <c r="C160" s="1850"/>
      <c r="D160" s="1851"/>
      <c r="E160" s="2585"/>
      <c r="F160" s="2585"/>
      <c r="G160" s="2528"/>
      <c r="H160" s="2478"/>
      <c r="I160" s="2528"/>
      <c r="J160" s="2478"/>
      <c r="K160" s="2564"/>
      <c r="L160" s="2592"/>
      <c r="M160" s="2564"/>
      <c r="N160" s="2592"/>
      <c r="O160" s="2528"/>
      <c r="P160" s="2572"/>
      <c r="Q160" s="2573"/>
      <c r="R160" s="2539"/>
      <c r="S160" s="2574"/>
      <c r="T160" s="2575"/>
      <c r="U160" s="2541"/>
      <c r="V160" s="2252" t="s">
        <v>3090</v>
      </c>
      <c r="W160" s="1669">
        <f>4200000-4200000</f>
        <v>0</v>
      </c>
      <c r="X160" s="1617" t="s">
        <v>3070</v>
      </c>
      <c r="Y160" s="1954">
        <v>20</v>
      </c>
      <c r="Z160" s="1620" t="s">
        <v>694</v>
      </c>
      <c r="AA160" s="2570"/>
      <c r="AB160" s="2566"/>
      <c r="AC160" s="2566"/>
      <c r="AD160" s="2566"/>
      <c r="AE160" s="2566"/>
      <c r="AF160" s="2566"/>
      <c r="AG160" s="2566"/>
      <c r="AH160" s="2566"/>
      <c r="AI160" s="2566"/>
      <c r="AJ160" s="2566"/>
      <c r="AK160" s="2566"/>
      <c r="AL160" s="2566"/>
      <c r="AM160" s="2566"/>
      <c r="AN160" s="2566"/>
      <c r="AO160" s="2566"/>
      <c r="AP160" s="2566"/>
      <c r="AQ160" s="2568"/>
      <c r="AR160" s="2558"/>
      <c r="AS160" s="2558"/>
      <c r="AT160" s="2559"/>
    </row>
    <row r="161" spans="1:46" ht="57" customHeight="1" x14ac:dyDescent="0.25">
      <c r="A161" s="1892"/>
      <c r="B161" s="2548"/>
      <c r="C161" s="1850"/>
      <c r="D161" s="1851"/>
      <c r="E161" s="2585"/>
      <c r="F161" s="2585"/>
      <c r="G161" s="2528"/>
      <c r="H161" s="2478"/>
      <c r="I161" s="2528"/>
      <c r="J161" s="2478"/>
      <c r="K161" s="2564"/>
      <c r="L161" s="2592"/>
      <c r="M161" s="2564"/>
      <c r="N161" s="2592"/>
      <c r="O161" s="2528"/>
      <c r="P161" s="2572"/>
      <c r="Q161" s="2573"/>
      <c r="R161" s="2539"/>
      <c r="S161" s="2574"/>
      <c r="T161" s="2575"/>
      <c r="U161" s="2541"/>
      <c r="V161" s="2082"/>
      <c r="W161" s="1669">
        <v>4200000</v>
      </c>
      <c r="X161" s="1617" t="s">
        <v>3075</v>
      </c>
      <c r="Y161" s="1950">
        <v>20</v>
      </c>
      <c r="Z161" s="1619" t="s">
        <v>694</v>
      </c>
      <c r="AA161" s="2570"/>
      <c r="AB161" s="2566"/>
      <c r="AC161" s="2566"/>
      <c r="AD161" s="2566"/>
      <c r="AE161" s="2566"/>
      <c r="AF161" s="2566"/>
      <c r="AG161" s="2566"/>
      <c r="AH161" s="2566"/>
      <c r="AI161" s="2566"/>
      <c r="AJ161" s="2566"/>
      <c r="AK161" s="2566"/>
      <c r="AL161" s="2566"/>
      <c r="AM161" s="2566"/>
      <c r="AN161" s="2566"/>
      <c r="AO161" s="2566"/>
      <c r="AP161" s="2566"/>
      <c r="AQ161" s="2568"/>
      <c r="AR161" s="2558"/>
      <c r="AS161" s="2558"/>
      <c r="AT161" s="2559"/>
    </row>
    <row r="162" spans="1:46" ht="57" customHeight="1" x14ac:dyDescent="0.25">
      <c r="A162" s="1892"/>
      <c r="B162" s="2548"/>
      <c r="C162" s="1850"/>
      <c r="D162" s="1851"/>
      <c r="E162" s="2585"/>
      <c r="F162" s="2585"/>
      <c r="G162" s="2528"/>
      <c r="H162" s="2478"/>
      <c r="I162" s="2528"/>
      <c r="J162" s="2478"/>
      <c r="K162" s="2564"/>
      <c r="L162" s="2592"/>
      <c r="M162" s="2564"/>
      <c r="N162" s="2592"/>
      <c r="O162" s="2528"/>
      <c r="P162" s="2572"/>
      <c r="Q162" s="2573"/>
      <c r="R162" s="2539"/>
      <c r="S162" s="2574"/>
      <c r="T162" s="2575"/>
      <c r="U162" s="2541"/>
      <c r="V162" s="2579"/>
      <c r="W162" s="1669">
        <f>6000000+7110000</f>
        <v>13110000</v>
      </c>
      <c r="X162" s="1617" t="s">
        <v>3073</v>
      </c>
      <c r="Y162" s="1853">
        <v>88</v>
      </c>
      <c r="Z162" s="1862" t="s">
        <v>2876</v>
      </c>
      <c r="AA162" s="2570"/>
      <c r="AB162" s="2566"/>
      <c r="AC162" s="2566"/>
      <c r="AD162" s="2566"/>
      <c r="AE162" s="2566"/>
      <c r="AF162" s="2566"/>
      <c r="AG162" s="2566"/>
      <c r="AH162" s="2566"/>
      <c r="AI162" s="2566"/>
      <c r="AJ162" s="2566"/>
      <c r="AK162" s="2566"/>
      <c r="AL162" s="2566"/>
      <c r="AM162" s="2566"/>
      <c r="AN162" s="2566"/>
      <c r="AO162" s="2566"/>
      <c r="AP162" s="2566"/>
      <c r="AQ162" s="2568"/>
      <c r="AR162" s="2558"/>
      <c r="AS162" s="2558"/>
      <c r="AT162" s="2559"/>
    </row>
    <row r="163" spans="1:46" ht="43.5" customHeight="1" x14ac:dyDescent="0.25">
      <c r="A163" s="1892"/>
      <c r="B163" s="2548"/>
      <c r="C163" s="1850"/>
      <c r="D163" s="1851"/>
      <c r="E163" s="2585"/>
      <c r="F163" s="2585"/>
      <c r="G163" s="2528"/>
      <c r="H163" s="2478"/>
      <c r="I163" s="2528"/>
      <c r="J163" s="2478"/>
      <c r="K163" s="2564"/>
      <c r="L163" s="2592"/>
      <c r="M163" s="2564"/>
      <c r="N163" s="2592"/>
      <c r="O163" s="2528"/>
      <c r="P163" s="2572"/>
      <c r="Q163" s="2573"/>
      <c r="R163" s="2539"/>
      <c r="S163" s="2574"/>
      <c r="T163" s="2575"/>
      <c r="U163" s="2541"/>
      <c r="V163" s="2081" t="s">
        <v>3091</v>
      </c>
      <c r="W163" s="1669">
        <f>5800000-5800000</f>
        <v>0</v>
      </c>
      <c r="X163" s="1617" t="s">
        <v>3070</v>
      </c>
      <c r="Y163" s="1955">
        <v>20</v>
      </c>
      <c r="Z163" s="1619" t="s">
        <v>694</v>
      </c>
      <c r="AA163" s="2570"/>
      <c r="AB163" s="2566"/>
      <c r="AC163" s="2566"/>
      <c r="AD163" s="2566"/>
      <c r="AE163" s="2566"/>
      <c r="AF163" s="2566"/>
      <c r="AG163" s="2566"/>
      <c r="AH163" s="2566"/>
      <c r="AI163" s="2566"/>
      <c r="AJ163" s="2566"/>
      <c r="AK163" s="2566"/>
      <c r="AL163" s="2566"/>
      <c r="AM163" s="2566"/>
      <c r="AN163" s="2566"/>
      <c r="AO163" s="2566"/>
      <c r="AP163" s="2566"/>
      <c r="AQ163" s="2568"/>
      <c r="AR163" s="2558"/>
      <c r="AS163" s="2558"/>
      <c r="AT163" s="2559"/>
    </row>
    <row r="164" spans="1:46" ht="43.5" customHeight="1" x14ac:dyDescent="0.25">
      <c r="A164" s="1892"/>
      <c r="B164" s="2548"/>
      <c r="C164" s="1850"/>
      <c r="D164" s="1851"/>
      <c r="E164" s="2585"/>
      <c r="F164" s="2585"/>
      <c r="G164" s="2528"/>
      <c r="H164" s="2478"/>
      <c r="I164" s="2528"/>
      <c r="J164" s="2478"/>
      <c r="K164" s="2564"/>
      <c r="L164" s="2592"/>
      <c r="M164" s="2564"/>
      <c r="N164" s="2592"/>
      <c r="O164" s="2528"/>
      <c r="P164" s="2572"/>
      <c r="Q164" s="2573"/>
      <c r="R164" s="2539"/>
      <c r="S164" s="2574"/>
      <c r="T164" s="2575"/>
      <c r="U164" s="2541"/>
      <c r="V164" s="2082"/>
      <c r="W164" s="1669">
        <v>5800000</v>
      </c>
      <c r="X164" s="1617" t="s">
        <v>3092</v>
      </c>
      <c r="Y164" s="1955">
        <v>20</v>
      </c>
      <c r="Z164" s="1619" t="s">
        <v>694</v>
      </c>
      <c r="AA164" s="2570"/>
      <c r="AB164" s="2566"/>
      <c r="AC164" s="2566"/>
      <c r="AD164" s="2566"/>
      <c r="AE164" s="2566"/>
      <c r="AF164" s="2566"/>
      <c r="AG164" s="2566"/>
      <c r="AH164" s="2566"/>
      <c r="AI164" s="2566"/>
      <c r="AJ164" s="2566"/>
      <c r="AK164" s="2566"/>
      <c r="AL164" s="2566"/>
      <c r="AM164" s="2566"/>
      <c r="AN164" s="2566"/>
      <c r="AO164" s="2566"/>
      <c r="AP164" s="2566"/>
      <c r="AQ164" s="2568"/>
      <c r="AR164" s="2558"/>
      <c r="AS164" s="2558"/>
      <c r="AT164" s="2559"/>
    </row>
    <row r="165" spans="1:46" ht="43.5" customHeight="1" x14ac:dyDescent="0.25">
      <c r="A165" s="1892"/>
      <c r="B165" s="2548"/>
      <c r="C165" s="1850"/>
      <c r="D165" s="1851"/>
      <c r="E165" s="2585"/>
      <c r="F165" s="2585"/>
      <c r="G165" s="2528"/>
      <c r="H165" s="2478"/>
      <c r="I165" s="2528"/>
      <c r="J165" s="2478"/>
      <c r="K165" s="2564"/>
      <c r="L165" s="2592"/>
      <c r="M165" s="2564"/>
      <c r="N165" s="2592"/>
      <c r="O165" s="2528"/>
      <c r="P165" s="2572"/>
      <c r="Q165" s="2573"/>
      <c r="R165" s="2539"/>
      <c r="S165" s="2574"/>
      <c r="T165" s="2575"/>
      <c r="U165" s="2541"/>
      <c r="V165" s="2082"/>
      <c r="W165" s="1669">
        <v>12500000</v>
      </c>
      <c r="X165" s="1617" t="s">
        <v>3076</v>
      </c>
      <c r="Y165" s="1955">
        <v>20</v>
      </c>
      <c r="Z165" s="1619" t="s">
        <v>694</v>
      </c>
      <c r="AA165" s="2570"/>
      <c r="AB165" s="2566"/>
      <c r="AC165" s="2566"/>
      <c r="AD165" s="2566"/>
      <c r="AE165" s="2566"/>
      <c r="AF165" s="2566"/>
      <c r="AG165" s="2566"/>
      <c r="AH165" s="2566"/>
      <c r="AI165" s="2566"/>
      <c r="AJ165" s="2566"/>
      <c r="AK165" s="2566"/>
      <c r="AL165" s="2566"/>
      <c r="AM165" s="2566"/>
      <c r="AN165" s="2566"/>
      <c r="AO165" s="2566"/>
      <c r="AP165" s="2566"/>
      <c r="AQ165" s="2568"/>
      <c r="AR165" s="2558"/>
      <c r="AS165" s="2558"/>
      <c r="AT165" s="2559"/>
    </row>
    <row r="166" spans="1:46" ht="42" customHeight="1" x14ac:dyDescent="0.25">
      <c r="A166" s="1892"/>
      <c r="B166" s="2548"/>
      <c r="C166" s="1850"/>
      <c r="D166" s="1851"/>
      <c r="E166" s="2585"/>
      <c r="F166" s="2585"/>
      <c r="G166" s="2528"/>
      <c r="H166" s="2478"/>
      <c r="I166" s="2528"/>
      <c r="J166" s="2478"/>
      <c r="K166" s="2564"/>
      <c r="L166" s="2592"/>
      <c r="M166" s="2564"/>
      <c r="N166" s="2592"/>
      <c r="O166" s="2528"/>
      <c r="P166" s="2572"/>
      <c r="Q166" s="2573"/>
      <c r="R166" s="2539"/>
      <c r="S166" s="2574"/>
      <c r="T166" s="2575"/>
      <c r="U166" s="2541"/>
      <c r="V166" s="2083"/>
      <c r="W166" s="1852">
        <v>15000000</v>
      </c>
      <c r="X166" s="1617" t="s">
        <v>3093</v>
      </c>
      <c r="Y166" s="1853">
        <v>88</v>
      </c>
      <c r="Z166" s="1862" t="s">
        <v>2876</v>
      </c>
      <c r="AA166" s="2570"/>
      <c r="AB166" s="2566"/>
      <c r="AC166" s="2566"/>
      <c r="AD166" s="2566"/>
      <c r="AE166" s="2566"/>
      <c r="AF166" s="2566"/>
      <c r="AG166" s="2566"/>
      <c r="AH166" s="2566"/>
      <c r="AI166" s="2566"/>
      <c r="AJ166" s="2566"/>
      <c r="AK166" s="2566"/>
      <c r="AL166" s="2566"/>
      <c r="AM166" s="2566"/>
      <c r="AN166" s="2566"/>
      <c r="AO166" s="2566"/>
      <c r="AP166" s="2566"/>
      <c r="AQ166" s="2568"/>
      <c r="AR166" s="2558"/>
      <c r="AS166" s="2558"/>
      <c r="AT166" s="2559"/>
    </row>
    <row r="167" spans="1:46" ht="71.25" customHeight="1" x14ac:dyDescent="0.25">
      <c r="A167" s="1892"/>
      <c r="B167" s="2548"/>
      <c r="C167" s="1850"/>
      <c r="D167" s="1851"/>
      <c r="E167" s="2585"/>
      <c r="F167" s="2585"/>
      <c r="G167" s="2476" t="s">
        <v>62</v>
      </c>
      <c r="H167" s="2477" t="s">
        <v>3094</v>
      </c>
      <c r="I167" s="2476">
        <v>4503016</v>
      </c>
      <c r="J167" s="2477" t="s">
        <v>3095</v>
      </c>
      <c r="K167" s="2590" t="s">
        <v>62</v>
      </c>
      <c r="L167" s="2592" t="s">
        <v>3096</v>
      </c>
      <c r="M167" s="2590">
        <v>450301600</v>
      </c>
      <c r="N167" s="2592" t="s">
        <v>3097</v>
      </c>
      <c r="O167" s="2528">
        <v>1</v>
      </c>
      <c r="P167" s="2572"/>
      <c r="Q167" s="2573"/>
      <c r="R167" s="2539">
        <f>SUM(W167:W173)/SUM(S135:S173)</f>
        <v>0.16900048374772575</v>
      </c>
      <c r="S167" s="2574"/>
      <c r="T167" s="2575"/>
      <c r="U167" s="2578" t="s">
        <v>3098</v>
      </c>
      <c r="V167" s="2252" t="s">
        <v>3099</v>
      </c>
      <c r="W167" s="1852">
        <v>9600000</v>
      </c>
      <c r="X167" s="1617" t="s">
        <v>3100</v>
      </c>
      <c r="Y167" s="1956">
        <v>20</v>
      </c>
      <c r="Z167" s="641" t="s">
        <v>694</v>
      </c>
      <c r="AA167" s="2570"/>
      <c r="AB167" s="2566"/>
      <c r="AC167" s="2566"/>
      <c r="AD167" s="2566"/>
      <c r="AE167" s="2566"/>
      <c r="AF167" s="2566"/>
      <c r="AG167" s="2566"/>
      <c r="AH167" s="2566"/>
      <c r="AI167" s="2566"/>
      <c r="AJ167" s="2566"/>
      <c r="AK167" s="2566"/>
      <c r="AL167" s="2566"/>
      <c r="AM167" s="2566"/>
      <c r="AN167" s="2566"/>
      <c r="AO167" s="2566"/>
      <c r="AP167" s="2566"/>
      <c r="AQ167" s="2568"/>
      <c r="AR167" s="2558"/>
      <c r="AS167" s="2558"/>
      <c r="AT167" s="2559"/>
    </row>
    <row r="168" spans="1:46" ht="48" customHeight="1" x14ac:dyDescent="0.25">
      <c r="A168" s="1892"/>
      <c r="B168" s="2548"/>
      <c r="C168" s="1850"/>
      <c r="D168" s="1851"/>
      <c r="E168" s="2585"/>
      <c r="F168" s="2585"/>
      <c r="G168" s="2476"/>
      <c r="H168" s="2478"/>
      <c r="I168" s="2476"/>
      <c r="J168" s="2478"/>
      <c r="K168" s="2591"/>
      <c r="L168" s="2592"/>
      <c r="M168" s="2591"/>
      <c r="N168" s="2592"/>
      <c r="O168" s="2528"/>
      <c r="P168" s="2572"/>
      <c r="Q168" s="2573"/>
      <c r="R168" s="2539"/>
      <c r="S168" s="2574"/>
      <c r="T168" s="2575"/>
      <c r="U168" s="2578"/>
      <c r="V168" s="2082"/>
      <c r="W168" s="1852">
        <f>6600000-6600000</f>
        <v>0</v>
      </c>
      <c r="X168" s="1617" t="s">
        <v>3101</v>
      </c>
      <c r="Y168" s="1957">
        <v>20</v>
      </c>
      <c r="Z168" s="670" t="s">
        <v>694</v>
      </c>
      <c r="AA168" s="2570"/>
      <c r="AB168" s="2566"/>
      <c r="AC168" s="2566"/>
      <c r="AD168" s="2566"/>
      <c r="AE168" s="2566"/>
      <c r="AF168" s="2566"/>
      <c r="AG168" s="2566"/>
      <c r="AH168" s="2566"/>
      <c r="AI168" s="2566"/>
      <c r="AJ168" s="2566"/>
      <c r="AK168" s="2566"/>
      <c r="AL168" s="2566"/>
      <c r="AM168" s="2566"/>
      <c r="AN168" s="2566"/>
      <c r="AO168" s="2566"/>
      <c r="AP168" s="2566"/>
      <c r="AQ168" s="2568"/>
      <c r="AR168" s="2558"/>
      <c r="AS168" s="2558"/>
      <c r="AT168" s="2559"/>
    </row>
    <row r="169" spans="1:46" ht="48" customHeight="1" x14ac:dyDescent="0.25">
      <c r="A169" s="1892"/>
      <c r="B169" s="2548"/>
      <c r="C169" s="1850"/>
      <c r="D169" s="1851"/>
      <c r="E169" s="2585"/>
      <c r="F169" s="2585"/>
      <c r="G169" s="2476"/>
      <c r="H169" s="2478"/>
      <c r="I169" s="2476"/>
      <c r="J169" s="2478"/>
      <c r="K169" s="2591"/>
      <c r="L169" s="2592"/>
      <c r="M169" s="2591"/>
      <c r="N169" s="2592"/>
      <c r="O169" s="2528"/>
      <c r="P169" s="2572"/>
      <c r="Q169" s="2573"/>
      <c r="R169" s="2539"/>
      <c r="S169" s="2574"/>
      <c r="T169" s="2576"/>
      <c r="U169" s="2578"/>
      <c r="V169" s="2082"/>
      <c r="W169" s="1852">
        <v>6600000</v>
      </c>
      <c r="X169" s="1617" t="s">
        <v>3102</v>
      </c>
      <c r="Y169" s="1958">
        <v>20</v>
      </c>
      <c r="Z169" s="670" t="s">
        <v>694</v>
      </c>
      <c r="AA169" s="2570"/>
      <c r="AB169" s="2566"/>
      <c r="AC169" s="2566"/>
      <c r="AD169" s="2566"/>
      <c r="AE169" s="2566"/>
      <c r="AF169" s="2566"/>
      <c r="AG169" s="2566"/>
      <c r="AH169" s="2566"/>
      <c r="AI169" s="2566"/>
      <c r="AJ169" s="2566"/>
      <c r="AK169" s="2566"/>
      <c r="AL169" s="2566"/>
      <c r="AM169" s="2566"/>
      <c r="AN169" s="2566"/>
      <c r="AO169" s="2566"/>
      <c r="AP169" s="2566"/>
      <c r="AQ169" s="2568"/>
      <c r="AR169" s="2558"/>
      <c r="AS169" s="2558"/>
      <c r="AT169" s="2559"/>
    </row>
    <row r="170" spans="1:46" ht="48" customHeight="1" x14ac:dyDescent="0.25">
      <c r="A170" s="1892"/>
      <c r="B170" s="2548"/>
      <c r="C170" s="1850"/>
      <c r="D170" s="1851"/>
      <c r="E170" s="2585"/>
      <c r="F170" s="2585"/>
      <c r="G170" s="2476"/>
      <c r="H170" s="2478"/>
      <c r="I170" s="2476"/>
      <c r="J170" s="2478"/>
      <c r="K170" s="2591"/>
      <c r="L170" s="2592"/>
      <c r="M170" s="2591"/>
      <c r="N170" s="2592"/>
      <c r="O170" s="2528"/>
      <c r="P170" s="2572"/>
      <c r="Q170" s="2573"/>
      <c r="R170" s="2539"/>
      <c r="S170" s="2574"/>
      <c r="T170" s="2576"/>
      <c r="U170" s="2578"/>
      <c r="V170" s="2083"/>
      <c r="W170" s="1852">
        <v>27000000</v>
      </c>
      <c r="X170" s="1617" t="s">
        <v>3103</v>
      </c>
      <c r="Y170" s="1853">
        <v>88</v>
      </c>
      <c r="Z170" s="1862" t="s">
        <v>2876</v>
      </c>
      <c r="AA170" s="2570"/>
      <c r="AB170" s="2566"/>
      <c r="AC170" s="2566"/>
      <c r="AD170" s="2566"/>
      <c r="AE170" s="2566"/>
      <c r="AF170" s="2566"/>
      <c r="AG170" s="2566"/>
      <c r="AH170" s="2566"/>
      <c r="AI170" s="2566"/>
      <c r="AJ170" s="2566"/>
      <c r="AK170" s="2566"/>
      <c r="AL170" s="2566"/>
      <c r="AM170" s="2566"/>
      <c r="AN170" s="2566"/>
      <c r="AO170" s="2566"/>
      <c r="AP170" s="2566"/>
      <c r="AQ170" s="2568"/>
      <c r="AR170" s="2558"/>
      <c r="AS170" s="2558"/>
      <c r="AT170" s="2559"/>
    </row>
    <row r="171" spans="1:46" ht="48" customHeight="1" x14ac:dyDescent="0.25">
      <c r="A171" s="1892"/>
      <c r="B171" s="2548"/>
      <c r="C171" s="1850"/>
      <c r="D171" s="1851"/>
      <c r="E171" s="2585"/>
      <c r="F171" s="2585"/>
      <c r="G171" s="2476"/>
      <c r="H171" s="2478"/>
      <c r="I171" s="2476"/>
      <c r="J171" s="2478"/>
      <c r="K171" s="2591"/>
      <c r="L171" s="2592"/>
      <c r="M171" s="2591"/>
      <c r="N171" s="2592"/>
      <c r="O171" s="2528"/>
      <c r="P171" s="2572"/>
      <c r="Q171" s="2573"/>
      <c r="R171" s="2539"/>
      <c r="S171" s="2574"/>
      <c r="T171" s="2576"/>
      <c r="U171" s="2578"/>
      <c r="V171" s="2252" t="s">
        <v>3104</v>
      </c>
      <c r="W171" s="1852">
        <f>21000000-7200000-13800000</f>
        <v>0</v>
      </c>
      <c r="X171" s="1617" t="s">
        <v>3101</v>
      </c>
      <c r="Y171" s="1957">
        <v>20</v>
      </c>
      <c r="Z171" s="670" t="s">
        <v>694</v>
      </c>
      <c r="AA171" s="2570"/>
      <c r="AB171" s="2566"/>
      <c r="AC171" s="2566"/>
      <c r="AD171" s="2566"/>
      <c r="AE171" s="2566"/>
      <c r="AF171" s="2566"/>
      <c r="AG171" s="2566"/>
      <c r="AH171" s="2566"/>
      <c r="AI171" s="2566"/>
      <c r="AJ171" s="2566"/>
      <c r="AK171" s="2566"/>
      <c r="AL171" s="2566"/>
      <c r="AM171" s="2566"/>
      <c r="AN171" s="2566"/>
      <c r="AO171" s="2566"/>
      <c r="AP171" s="2566"/>
      <c r="AQ171" s="2568"/>
      <c r="AR171" s="2558"/>
      <c r="AS171" s="2558"/>
      <c r="AT171" s="2559"/>
    </row>
    <row r="172" spans="1:46" ht="48" customHeight="1" x14ac:dyDescent="0.25">
      <c r="A172" s="1892"/>
      <c r="B172" s="2548"/>
      <c r="C172" s="1850"/>
      <c r="D172" s="1851"/>
      <c r="E172" s="2585"/>
      <c r="F172" s="2585"/>
      <c r="G172" s="2476"/>
      <c r="H172" s="2478"/>
      <c r="I172" s="2476"/>
      <c r="J172" s="2478"/>
      <c r="K172" s="2591"/>
      <c r="L172" s="2592"/>
      <c r="M172" s="2591"/>
      <c r="N172" s="2592"/>
      <c r="O172" s="2528"/>
      <c r="P172" s="2572"/>
      <c r="Q172" s="2573"/>
      <c r="R172" s="2539"/>
      <c r="S172" s="2574"/>
      <c r="T172" s="2576"/>
      <c r="U172" s="2578"/>
      <c r="V172" s="2082"/>
      <c r="W172" s="1852">
        <v>13800000</v>
      </c>
      <c r="X172" s="1617" t="s">
        <v>3102</v>
      </c>
      <c r="Y172" s="1957">
        <v>20</v>
      </c>
      <c r="Z172" s="670" t="s">
        <v>694</v>
      </c>
      <c r="AA172" s="2570"/>
      <c r="AB172" s="2566"/>
      <c r="AC172" s="2566"/>
      <c r="AD172" s="2566"/>
      <c r="AE172" s="2566"/>
      <c r="AF172" s="2566"/>
      <c r="AG172" s="2566"/>
      <c r="AH172" s="2566"/>
      <c r="AI172" s="2566"/>
      <c r="AJ172" s="2566"/>
      <c r="AK172" s="2566"/>
      <c r="AL172" s="2566"/>
      <c r="AM172" s="2566"/>
      <c r="AN172" s="2566"/>
      <c r="AO172" s="2566"/>
      <c r="AP172" s="2566"/>
      <c r="AQ172" s="2568"/>
      <c r="AR172" s="2558"/>
      <c r="AS172" s="2558"/>
      <c r="AT172" s="2559"/>
    </row>
    <row r="173" spans="1:46" ht="50.1" customHeight="1" x14ac:dyDescent="0.25">
      <c r="A173" s="1937"/>
      <c r="B173" s="2549"/>
      <c r="C173" s="1896"/>
      <c r="D173" s="1873"/>
      <c r="E173" s="2586"/>
      <c r="F173" s="2586"/>
      <c r="G173" s="2476"/>
      <c r="H173" s="2589"/>
      <c r="I173" s="2476"/>
      <c r="J173" s="2478"/>
      <c r="K173" s="2591"/>
      <c r="L173" s="2592"/>
      <c r="M173" s="2591"/>
      <c r="N173" s="2592"/>
      <c r="O173" s="2528"/>
      <c r="P173" s="2572"/>
      <c r="Q173" s="2573"/>
      <c r="R173" s="2539"/>
      <c r="S173" s="2574"/>
      <c r="T173" s="2576"/>
      <c r="U173" s="2578"/>
      <c r="V173" s="2083"/>
      <c r="W173" s="1852">
        <f>20505448+15000000</f>
        <v>35505448</v>
      </c>
      <c r="X173" s="1617" t="s">
        <v>3105</v>
      </c>
      <c r="Y173" s="1853">
        <v>88</v>
      </c>
      <c r="Z173" s="1862" t="s">
        <v>2876</v>
      </c>
      <c r="AA173" s="2571"/>
      <c r="AB173" s="2567"/>
      <c r="AC173" s="2567"/>
      <c r="AD173" s="2567"/>
      <c r="AE173" s="2567"/>
      <c r="AF173" s="2567"/>
      <c r="AG173" s="2567"/>
      <c r="AH173" s="2567"/>
      <c r="AI173" s="2567"/>
      <c r="AJ173" s="2567"/>
      <c r="AK173" s="2567"/>
      <c r="AL173" s="2567"/>
      <c r="AM173" s="2567"/>
      <c r="AN173" s="2567"/>
      <c r="AO173" s="2567"/>
      <c r="AP173" s="2567"/>
      <c r="AQ173" s="2568"/>
      <c r="AR173" s="2558"/>
      <c r="AS173" s="2558"/>
      <c r="AT173" s="2559"/>
    </row>
    <row r="174" spans="1:46" s="1891" customFormat="1" ht="27" customHeight="1" x14ac:dyDescent="0.25">
      <c r="A174" s="1247">
        <v>4</v>
      </c>
      <c r="B174" s="2542" t="s">
        <v>1736</v>
      </c>
      <c r="C174" s="2543"/>
      <c r="D174" s="2543"/>
      <c r="E174" s="2543"/>
      <c r="F174" s="2543"/>
      <c r="G174" s="2543"/>
      <c r="H174" s="2543"/>
      <c r="I174" s="1250"/>
      <c r="J174" s="1185"/>
      <c r="K174" s="1184"/>
      <c r="L174" s="1248"/>
      <c r="M174" s="1184"/>
      <c r="N174" s="1248"/>
      <c r="O174" s="1250"/>
      <c r="P174" s="1250"/>
      <c r="Q174" s="1248"/>
      <c r="R174" s="1250"/>
      <c r="S174" s="1959"/>
      <c r="T174" s="1185"/>
      <c r="U174" s="1185"/>
      <c r="V174" s="1185"/>
      <c r="W174" s="1930"/>
      <c r="X174" s="1931"/>
      <c r="Y174" s="1184"/>
      <c r="Z174" s="1185"/>
      <c r="AA174" s="1184"/>
      <c r="AB174" s="1184"/>
      <c r="AC174" s="1184"/>
      <c r="AD174" s="1184"/>
      <c r="AE174" s="1184"/>
      <c r="AF174" s="1184"/>
      <c r="AG174" s="1184"/>
      <c r="AH174" s="1184"/>
      <c r="AI174" s="1184"/>
      <c r="AJ174" s="1184"/>
      <c r="AK174" s="1184"/>
      <c r="AL174" s="1184"/>
      <c r="AM174" s="1184"/>
      <c r="AN174" s="1184"/>
      <c r="AO174" s="1184"/>
      <c r="AP174" s="1184"/>
      <c r="AQ174" s="2544"/>
      <c r="AR174" s="2544"/>
      <c r="AS174" s="2544"/>
      <c r="AT174" s="2544"/>
    </row>
    <row r="175" spans="1:46" s="1891" customFormat="1" ht="27" customHeight="1" x14ac:dyDescent="0.25">
      <c r="A175" s="1191"/>
      <c r="B175" s="382"/>
      <c r="C175" s="38">
        <v>45</v>
      </c>
      <c r="D175" s="2545" t="s">
        <v>60</v>
      </c>
      <c r="E175" s="2044"/>
      <c r="F175" s="2546"/>
      <c r="G175" s="2546"/>
      <c r="H175" s="2546"/>
      <c r="I175" s="1254"/>
      <c r="J175" s="1253"/>
      <c r="K175" s="1254"/>
      <c r="L175" s="1253"/>
      <c r="M175" s="1254"/>
      <c r="N175" s="1253"/>
      <c r="O175" s="1254"/>
      <c r="P175" s="1254"/>
      <c r="Q175" s="1193"/>
      <c r="R175" s="1194"/>
      <c r="S175" s="1932"/>
      <c r="T175" s="1193"/>
      <c r="U175" s="1193"/>
      <c r="V175" s="1193"/>
      <c r="W175" s="1933"/>
      <c r="X175" s="1934"/>
      <c r="Y175" s="1194"/>
      <c r="Z175" s="1193"/>
      <c r="AA175" s="1194"/>
      <c r="AB175" s="1194"/>
      <c r="AC175" s="1194"/>
      <c r="AD175" s="1194"/>
      <c r="AE175" s="1194"/>
      <c r="AF175" s="1194"/>
      <c r="AG175" s="1194"/>
      <c r="AH175" s="1194"/>
      <c r="AI175" s="1194"/>
      <c r="AJ175" s="1194"/>
      <c r="AK175" s="1194"/>
      <c r="AL175" s="1194"/>
      <c r="AM175" s="1194"/>
      <c r="AN175" s="1194"/>
      <c r="AO175" s="1194"/>
      <c r="AP175" s="1194"/>
      <c r="AQ175" s="2547"/>
      <c r="AR175" s="2547"/>
      <c r="AS175" s="2547"/>
      <c r="AT175" s="2547"/>
    </row>
    <row r="176" spans="1:46" ht="27" customHeight="1" x14ac:dyDescent="0.25">
      <c r="A176" s="1892"/>
      <c r="B176" s="2548"/>
      <c r="C176" s="1841"/>
      <c r="D176" s="1851"/>
      <c r="E176" s="1271">
        <v>4502</v>
      </c>
      <c r="F176" s="2550" t="s">
        <v>362</v>
      </c>
      <c r="G176" s="2551"/>
      <c r="H176" s="2551"/>
      <c r="I176" s="2551"/>
      <c r="J176" s="2551"/>
      <c r="K176" s="2551"/>
      <c r="L176" s="2551"/>
      <c r="M176" s="2551"/>
      <c r="N176" s="2551"/>
      <c r="O176" s="2551"/>
      <c r="P176" s="2551"/>
      <c r="Q176" s="1204"/>
      <c r="R176" s="1207"/>
      <c r="S176" s="1907"/>
      <c r="T176" s="1204"/>
      <c r="U176" s="1204"/>
      <c r="V176" s="1204"/>
      <c r="W176" s="1864"/>
      <c r="X176" s="1865"/>
      <c r="Y176" s="1207"/>
      <c r="Z176" s="1866"/>
      <c r="AA176" s="1207"/>
      <c r="AB176" s="1207"/>
      <c r="AC176" s="1207"/>
      <c r="AD176" s="1207"/>
      <c r="AE176" s="1207"/>
      <c r="AF176" s="1207"/>
      <c r="AG176" s="1207"/>
      <c r="AH176" s="1207"/>
      <c r="AI176" s="1207"/>
      <c r="AJ176" s="1207"/>
      <c r="AK176" s="1207"/>
      <c r="AL176" s="1207"/>
      <c r="AM176" s="1207"/>
      <c r="AN176" s="1207"/>
      <c r="AO176" s="1207"/>
      <c r="AP176" s="1207"/>
      <c r="AQ176" s="2552"/>
      <c r="AR176" s="2552"/>
      <c r="AS176" s="2552"/>
      <c r="AT176" s="2552"/>
    </row>
    <row r="177" spans="1:46" s="1891" customFormat="1" ht="32.1" customHeight="1" x14ac:dyDescent="0.25">
      <c r="A177" s="329"/>
      <c r="B177" s="2548"/>
      <c r="C177" s="1850"/>
      <c r="D177" s="1851"/>
      <c r="E177" s="2553"/>
      <c r="F177" s="2553"/>
      <c r="G177" s="2530">
        <v>4502024</v>
      </c>
      <c r="H177" s="2516" t="s">
        <v>1406</v>
      </c>
      <c r="I177" s="2530">
        <v>4502024</v>
      </c>
      <c r="J177" s="2516" t="s">
        <v>1406</v>
      </c>
      <c r="K177" s="2522">
        <v>450202400</v>
      </c>
      <c r="L177" s="2517" t="s">
        <v>3106</v>
      </c>
      <c r="M177" s="2522">
        <v>450202400</v>
      </c>
      <c r="N177" s="2517" t="s">
        <v>3106</v>
      </c>
      <c r="O177" s="2522">
        <v>10</v>
      </c>
      <c r="P177" s="2522" t="s">
        <v>3107</v>
      </c>
      <c r="Q177" s="2193" t="s">
        <v>1406</v>
      </c>
      <c r="R177" s="2524">
        <f>SUM(W177:W191)/S177</f>
        <v>1</v>
      </c>
      <c r="S177" s="2526">
        <f>SUM(W177:W191)</f>
        <v>89000000</v>
      </c>
      <c r="T177" s="2515" t="s">
        <v>3108</v>
      </c>
      <c r="U177" s="2193" t="s">
        <v>3109</v>
      </c>
      <c r="V177" s="1219" t="s">
        <v>3110</v>
      </c>
      <c r="W177" s="1669">
        <v>2000000</v>
      </c>
      <c r="X177" s="1617" t="s">
        <v>3111</v>
      </c>
      <c r="Y177" s="1925">
        <v>20</v>
      </c>
      <c r="Z177" s="1614" t="s">
        <v>694</v>
      </c>
      <c r="AA177" s="2518">
        <v>245646</v>
      </c>
      <c r="AB177" s="2518">
        <v>263994</v>
      </c>
      <c r="AC177" s="2518">
        <v>135592</v>
      </c>
      <c r="AD177" s="2518">
        <v>44252</v>
      </c>
      <c r="AE177" s="2518">
        <v>237257</v>
      </c>
      <c r="AF177" s="2518">
        <v>95539</v>
      </c>
      <c r="AG177" s="2518">
        <v>2883</v>
      </c>
      <c r="AH177" s="2518">
        <v>6058</v>
      </c>
      <c r="AI177" s="2518">
        <v>0</v>
      </c>
      <c r="AJ177" s="2518">
        <v>0</v>
      </c>
      <c r="AK177" s="2518">
        <v>0</v>
      </c>
      <c r="AL177" s="2518">
        <v>6058</v>
      </c>
      <c r="AM177" s="2518"/>
      <c r="AN177" s="2518">
        <v>42555</v>
      </c>
      <c r="AO177" s="2518">
        <v>43342</v>
      </c>
      <c r="AP177" s="2518">
        <f>AA177+AB177</f>
        <v>509640</v>
      </c>
      <c r="AQ177" s="2514" t="s">
        <v>2928</v>
      </c>
      <c r="AR177" s="2554">
        <v>44198</v>
      </c>
      <c r="AS177" s="2554">
        <v>44560</v>
      </c>
      <c r="AT177" s="2555" t="s">
        <v>2874</v>
      </c>
    </row>
    <row r="178" spans="1:46" s="1891" customFormat="1" ht="30" customHeight="1" x14ac:dyDescent="0.25">
      <c r="A178" s="329"/>
      <c r="B178" s="2548"/>
      <c r="C178" s="1850"/>
      <c r="D178" s="1851"/>
      <c r="E178" s="2553"/>
      <c r="F178" s="2553"/>
      <c r="G178" s="2531"/>
      <c r="H178" s="2516"/>
      <c r="I178" s="2531"/>
      <c r="J178" s="2516"/>
      <c r="K178" s="2522"/>
      <c r="L178" s="2517"/>
      <c r="M178" s="2522"/>
      <c r="N178" s="2517"/>
      <c r="O178" s="2522"/>
      <c r="P178" s="2522"/>
      <c r="Q178" s="2517"/>
      <c r="R178" s="2525"/>
      <c r="S178" s="2526"/>
      <c r="T178" s="2516"/>
      <c r="U178" s="2517"/>
      <c r="V178" s="1219" t="s">
        <v>3112</v>
      </c>
      <c r="W178" s="1669">
        <v>1000000</v>
      </c>
      <c r="X178" s="1617" t="s">
        <v>3113</v>
      </c>
      <c r="Y178" s="1925">
        <v>20</v>
      </c>
      <c r="Z178" s="1614" t="s">
        <v>694</v>
      </c>
      <c r="AA178" s="2519"/>
      <c r="AB178" s="2519"/>
      <c r="AC178" s="2519"/>
      <c r="AD178" s="2519"/>
      <c r="AE178" s="2519"/>
      <c r="AF178" s="2519"/>
      <c r="AG178" s="2519"/>
      <c r="AH178" s="2519"/>
      <c r="AI178" s="2519"/>
      <c r="AJ178" s="2519"/>
      <c r="AK178" s="2519"/>
      <c r="AL178" s="2519"/>
      <c r="AM178" s="2519"/>
      <c r="AN178" s="2519"/>
      <c r="AO178" s="2519"/>
      <c r="AP178" s="2519"/>
      <c r="AQ178" s="2514"/>
      <c r="AR178" s="2555"/>
      <c r="AS178" s="2555"/>
      <c r="AT178" s="2555"/>
    </row>
    <row r="179" spans="1:46" s="1891" customFormat="1" ht="53.1" customHeight="1" x14ac:dyDescent="0.25">
      <c r="A179" s="329"/>
      <c r="B179" s="2548"/>
      <c r="C179" s="1850"/>
      <c r="D179" s="1851"/>
      <c r="E179" s="2553"/>
      <c r="F179" s="2553"/>
      <c r="G179" s="2531"/>
      <c r="H179" s="2516"/>
      <c r="I179" s="2531"/>
      <c r="J179" s="2516"/>
      <c r="K179" s="2522"/>
      <c r="L179" s="2517"/>
      <c r="M179" s="2522"/>
      <c r="N179" s="2517"/>
      <c r="O179" s="2522"/>
      <c r="P179" s="2522"/>
      <c r="Q179" s="2517"/>
      <c r="R179" s="2525"/>
      <c r="S179" s="2526"/>
      <c r="T179" s="2516"/>
      <c r="U179" s="2517"/>
      <c r="V179" s="2556" t="s">
        <v>3114</v>
      </c>
      <c r="W179" s="1669">
        <v>13000000</v>
      </c>
      <c r="X179" s="1617" t="s">
        <v>3115</v>
      </c>
      <c r="Y179" s="1925">
        <v>20</v>
      </c>
      <c r="Z179" s="1614" t="s">
        <v>694</v>
      </c>
      <c r="AA179" s="2519"/>
      <c r="AB179" s="2519"/>
      <c r="AC179" s="2519"/>
      <c r="AD179" s="2519"/>
      <c r="AE179" s="2519"/>
      <c r="AF179" s="2519"/>
      <c r="AG179" s="2519"/>
      <c r="AH179" s="2519"/>
      <c r="AI179" s="2519"/>
      <c r="AJ179" s="2519"/>
      <c r="AK179" s="2519"/>
      <c r="AL179" s="2519"/>
      <c r="AM179" s="2519"/>
      <c r="AN179" s="2519"/>
      <c r="AO179" s="2519"/>
      <c r="AP179" s="2519"/>
      <c r="AQ179" s="2514"/>
      <c r="AR179" s="2555"/>
      <c r="AS179" s="2555"/>
      <c r="AT179" s="2555"/>
    </row>
    <row r="180" spans="1:46" s="1891" customFormat="1" ht="53.1" customHeight="1" x14ac:dyDescent="0.25">
      <c r="A180" s="329"/>
      <c r="B180" s="2548"/>
      <c r="C180" s="1850"/>
      <c r="D180" s="1851"/>
      <c r="E180" s="2553"/>
      <c r="F180" s="2553"/>
      <c r="G180" s="2531"/>
      <c r="H180" s="2516"/>
      <c r="I180" s="2531"/>
      <c r="J180" s="2516"/>
      <c r="K180" s="2522"/>
      <c r="L180" s="2517"/>
      <c r="M180" s="2522"/>
      <c r="N180" s="2517"/>
      <c r="O180" s="2522"/>
      <c r="P180" s="2522"/>
      <c r="Q180" s="2517"/>
      <c r="R180" s="2525"/>
      <c r="S180" s="2526"/>
      <c r="T180" s="2516"/>
      <c r="U180" s="2517"/>
      <c r="V180" s="2557"/>
      <c r="W180" s="1669">
        <v>14000000</v>
      </c>
      <c r="X180" s="1617" t="s">
        <v>3116</v>
      </c>
      <c r="Y180" s="1960">
        <v>88</v>
      </c>
      <c r="Z180" s="1614" t="s">
        <v>2876</v>
      </c>
      <c r="AA180" s="2519"/>
      <c r="AB180" s="2519"/>
      <c r="AC180" s="2519"/>
      <c r="AD180" s="2519"/>
      <c r="AE180" s="2519"/>
      <c r="AF180" s="2519"/>
      <c r="AG180" s="2519"/>
      <c r="AH180" s="2519"/>
      <c r="AI180" s="2519"/>
      <c r="AJ180" s="2519"/>
      <c r="AK180" s="2519"/>
      <c r="AL180" s="2519"/>
      <c r="AM180" s="2519"/>
      <c r="AN180" s="2519"/>
      <c r="AO180" s="2519"/>
      <c r="AP180" s="2519"/>
      <c r="AQ180" s="2514"/>
      <c r="AR180" s="2555"/>
      <c r="AS180" s="2555"/>
      <c r="AT180" s="2555"/>
    </row>
    <row r="181" spans="1:46" s="1891" customFormat="1" ht="45" customHeight="1" x14ac:dyDescent="0.25">
      <c r="A181" s="329"/>
      <c r="B181" s="2548"/>
      <c r="C181" s="1850"/>
      <c r="D181" s="1851"/>
      <c r="E181" s="2553"/>
      <c r="F181" s="2553"/>
      <c r="G181" s="2531"/>
      <c r="H181" s="2516"/>
      <c r="I181" s="2531"/>
      <c r="J181" s="2516"/>
      <c r="K181" s="2522"/>
      <c r="L181" s="2517"/>
      <c r="M181" s="2522"/>
      <c r="N181" s="2517"/>
      <c r="O181" s="2522"/>
      <c r="P181" s="2522"/>
      <c r="Q181" s="2517"/>
      <c r="R181" s="2525"/>
      <c r="S181" s="2526"/>
      <c r="T181" s="2516"/>
      <c r="U181" s="2517"/>
      <c r="V181" s="2556" t="s">
        <v>3117</v>
      </c>
      <c r="W181" s="1669">
        <v>5000000</v>
      </c>
      <c r="X181" s="1617" t="s">
        <v>3115</v>
      </c>
      <c r="Y181" s="1925">
        <v>20</v>
      </c>
      <c r="Z181" s="1614" t="s">
        <v>694</v>
      </c>
      <c r="AA181" s="2519"/>
      <c r="AB181" s="2519"/>
      <c r="AC181" s="2519"/>
      <c r="AD181" s="2519"/>
      <c r="AE181" s="2519"/>
      <c r="AF181" s="2519"/>
      <c r="AG181" s="2519"/>
      <c r="AH181" s="2519"/>
      <c r="AI181" s="2519"/>
      <c r="AJ181" s="2519"/>
      <c r="AK181" s="2519"/>
      <c r="AL181" s="2519"/>
      <c r="AM181" s="2519"/>
      <c r="AN181" s="2519"/>
      <c r="AO181" s="2519"/>
      <c r="AP181" s="2519"/>
      <c r="AQ181" s="2514"/>
      <c r="AR181" s="2555"/>
      <c r="AS181" s="2555"/>
      <c r="AT181" s="2555"/>
    </row>
    <row r="182" spans="1:46" s="1891" customFormat="1" ht="45" customHeight="1" x14ac:dyDescent="0.25">
      <c r="A182" s="329"/>
      <c r="B182" s="2548"/>
      <c r="C182" s="1850"/>
      <c r="D182" s="1851"/>
      <c r="E182" s="2553"/>
      <c r="F182" s="2553"/>
      <c r="G182" s="2531"/>
      <c r="H182" s="2516"/>
      <c r="I182" s="2531"/>
      <c r="J182" s="2516"/>
      <c r="K182" s="2522"/>
      <c r="L182" s="2517"/>
      <c r="M182" s="2522"/>
      <c r="N182" s="2517"/>
      <c r="O182" s="2522"/>
      <c r="P182" s="2522"/>
      <c r="Q182" s="2517"/>
      <c r="R182" s="2525"/>
      <c r="S182" s="2526"/>
      <c r="T182" s="2516"/>
      <c r="U182" s="2517"/>
      <c r="V182" s="2557"/>
      <c r="W182" s="1669">
        <v>5000000</v>
      </c>
      <c r="X182" s="1617" t="s">
        <v>3116</v>
      </c>
      <c r="Y182" s="1960">
        <v>88</v>
      </c>
      <c r="Z182" s="1614" t="s">
        <v>2876</v>
      </c>
      <c r="AA182" s="2519"/>
      <c r="AB182" s="2519"/>
      <c r="AC182" s="2519"/>
      <c r="AD182" s="2519"/>
      <c r="AE182" s="2519"/>
      <c r="AF182" s="2519"/>
      <c r="AG182" s="2519"/>
      <c r="AH182" s="2519"/>
      <c r="AI182" s="2519"/>
      <c r="AJ182" s="2519"/>
      <c r="AK182" s="2519"/>
      <c r="AL182" s="2519"/>
      <c r="AM182" s="2519"/>
      <c r="AN182" s="2519"/>
      <c r="AO182" s="2519"/>
      <c r="AP182" s="2519"/>
      <c r="AQ182" s="2514"/>
      <c r="AR182" s="2555"/>
      <c r="AS182" s="2555"/>
      <c r="AT182" s="2555"/>
    </row>
    <row r="183" spans="1:46" s="1891" customFormat="1" ht="53.1" customHeight="1" x14ac:dyDescent="0.25">
      <c r="A183" s="329"/>
      <c r="B183" s="2548"/>
      <c r="C183" s="1850"/>
      <c r="D183" s="1851"/>
      <c r="E183" s="2553"/>
      <c r="F183" s="2553"/>
      <c r="G183" s="2531"/>
      <c r="H183" s="2516"/>
      <c r="I183" s="2531"/>
      <c r="J183" s="2516"/>
      <c r="K183" s="2522"/>
      <c r="L183" s="2517"/>
      <c r="M183" s="2522"/>
      <c r="N183" s="2517"/>
      <c r="O183" s="2522"/>
      <c r="P183" s="2522"/>
      <c r="Q183" s="2517"/>
      <c r="R183" s="2525"/>
      <c r="S183" s="2526"/>
      <c r="T183" s="2516"/>
      <c r="U183" s="2517"/>
      <c r="V183" s="2556" t="s">
        <v>3118</v>
      </c>
      <c r="W183" s="1669">
        <v>9000000</v>
      </c>
      <c r="X183" s="1617" t="s">
        <v>3115</v>
      </c>
      <c r="Y183" s="1925">
        <v>20</v>
      </c>
      <c r="Z183" s="1614" t="s">
        <v>694</v>
      </c>
      <c r="AA183" s="2519"/>
      <c r="AB183" s="2519"/>
      <c r="AC183" s="2519"/>
      <c r="AD183" s="2519"/>
      <c r="AE183" s="2519"/>
      <c r="AF183" s="2519"/>
      <c r="AG183" s="2519"/>
      <c r="AH183" s="2519"/>
      <c r="AI183" s="2519"/>
      <c r="AJ183" s="2519"/>
      <c r="AK183" s="2519"/>
      <c r="AL183" s="2519"/>
      <c r="AM183" s="2519"/>
      <c r="AN183" s="2519"/>
      <c r="AO183" s="2519"/>
      <c r="AP183" s="2519"/>
      <c r="AQ183" s="2514"/>
      <c r="AR183" s="2555"/>
      <c r="AS183" s="2555"/>
      <c r="AT183" s="2555"/>
    </row>
    <row r="184" spans="1:46" s="1891" customFormat="1" ht="53.1" customHeight="1" x14ac:dyDescent="0.25">
      <c r="A184" s="329"/>
      <c r="B184" s="2548"/>
      <c r="C184" s="1850"/>
      <c r="D184" s="1851"/>
      <c r="E184" s="2553"/>
      <c r="F184" s="2553"/>
      <c r="G184" s="2531"/>
      <c r="H184" s="2516"/>
      <c r="I184" s="2531"/>
      <c r="J184" s="2516"/>
      <c r="K184" s="2522"/>
      <c r="L184" s="2517"/>
      <c r="M184" s="2522"/>
      <c r="N184" s="2517"/>
      <c r="O184" s="2522"/>
      <c r="P184" s="2522"/>
      <c r="Q184" s="2517"/>
      <c r="R184" s="2525"/>
      <c r="S184" s="2526"/>
      <c r="T184" s="2516"/>
      <c r="U184" s="2517"/>
      <c r="V184" s="2557"/>
      <c r="W184" s="1669">
        <v>5000000</v>
      </c>
      <c r="X184" s="1617" t="s">
        <v>3116</v>
      </c>
      <c r="Y184" s="1960">
        <v>88</v>
      </c>
      <c r="Z184" s="1614" t="s">
        <v>2876</v>
      </c>
      <c r="AA184" s="2519"/>
      <c r="AB184" s="2519"/>
      <c r="AC184" s="2519"/>
      <c r="AD184" s="2519"/>
      <c r="AE184" s="2519"/>
      <c r="AF184" s="2519"/>
      <c r="AG184" s="2519"/>
      <c r="AH184" s="2519"/>
      <c r="AI184" s="2519"/>
      <c r="AJ184" s="2519"/>
      <c r="AK184" s="2519"/>
      <c r="AL184" s="2519"/>
      <c r="AM184" s="2519"/>
      <c r="AN184" s="2519"/>
      <c r="AO184" s="2519"/>
      <c r="AP184" s="2519"/>
      <c r="AQ184" s="2514"/>
      <c r="AR184" s="2555"/>
      <c r="AS184" s="2555"/>
      <c r="AT184" s="2555"/>
    </row>
    <row r="185" spans="1:46" s="1891" customFormat="1" ht="58.5" customHeight="1" x14ac:dyDescent="0.25">
      <c r="A185" s="329"/>
      <c r="B185" s="2548"/>
      <c r="C185" s="1850"/>
      <c r="D185" s="1851"/>
      <c r="E185" s="2553"/>
      <c r="F185" s="2553"/>
      <c r="G185" s="2531"/>
      <c r="H185" s="2516"/>
      <c r="I185" s="2531"/>
      <c r="J185" s="2516"/>
      <c r="K185" s="2522"/>
      <c r="L185" s="2517"/>
      <c r="M185" s="2522"/>
      <c r="N185" s="2517"/>
      <c r="O185" s="2522"/>
      <c r="P185" s="2522"/>
      <c r="Q185" s="2517"/>
      <c r="R185" s="2525"/>
      <c r="S185" s="2526"/>
      <c r="T185" s="2516"/>
      <c r="U185" s="2517"/>
      <c r="V185" s="2556" t="s">
        <v>3119</v>
      </c>
      <c r="W185" s="1669">
        <v>8000000</v>
      </c>
      <c r="X185" s="1617" t="s">
        <v>3115</v>
      </c>
      <c r="Y185" s="1961">
        <v>20</v>
      </c>
      <c r="Z185" s="1614" t="s">
        <v>694</v>
      </c>
      <c r="AA185" s="2519"/>
      <c r="AB185" s="2519"/>
      <c r="AC185" s="2519"/>
      <c r="AD185" s="2519"/>
      <c r="AE185" s="2519"/>
      <c r="AF185" s="2519"/>
      <c r="AG185" s="2519"/>
      <c r="AH185" s="2519"/>
      <c r="AI185" s="2519"/>
      <c r="AJ185" s="2519"/>
      <c r="AK185" s="2519"/>
      <c r="AL185" s="2519"/>
      <c r="AM185" s="2519"/>
      <c r="AN185" s="2519"/>
      <c r="AO185" s="2519"/>
      <c r="AP185" s="2519"/>
      <c r="AQ185" s="2514"/>
      <c r="AR185" s="2555"/>
      <c r="AS185" s="2555"/>
      <c r="AT185" s="2555"/>
    </row>
    <row r="186" spans="1:46" s="1891" customFormat="1" ht="58.5" customHeight="1" x14ac:dyDescent="0.25">
      <c r="A186" s="329"/>
      <c r="B186" s="2548"/>
      <c r="C186" s="1850"/>
      <c r="D186" s="1851"/>
      <c r="E186" s="2553"/>
      <c r="F186" s="2553"/>
      <c r="G186" s="2531"/>
      <c r="H186" s="2516"/>
      <c r="I186" s="2531"/>
      <c r="J186" s="2516"/>
      <c r="K186" s="2522"/>
      <c r="L186" s="2517"/>
      <c r="M186" s="2522"/>
      <c r="N186" s="2517"/>
      <c r="O186" s="2522"/>
      <c r="P186" s="2522"/>
      <c r="Q186" s="2517"/>
      <c r="R186" s="2525"/>
      <c r="S186" s="2526"/>
      <c r="T186" s="2516"/>
      <c r="U186" s="2517"/>
      <c r="V186" s="2557"/>
      <c r="W186" s="1669">
        <v>5000000</v>
      </c>
      <c r="X186" s="1617" t="s">
        <v>3116</v>
      </c>
      <c r="Y186" s="1960">
        <v>88</v>
      </c>
      <c r="Z186" s="1614" t="s">
        <v>2876</v>
      </c>
      <c r="AA186" s="2519"/>
      <c r="AB186" s="2519"/>
      <c r="AC186" s="2519"/>
      <c r="AD186" s="2519"/>
      <c r="AE186" s="2519"/>
      <c r="AF186" s="2519"/>
      <c r="AG186" s="2519"/>
      <c r="AH186" s="2519"/>
      <c r="AI186" s="2519"/>
      <c r="AJ186" s="2519"/>
      <c r="AK186" s="2519"/>
      <c r="AL186" s="2519"/>
      <c r="AM186" s="2519"/>
      <c r="AN186" s="2519"/>
      <c r="AO186" s="2519"/>
      <c r="AP186" s="2519"/>
      <c r="AQ186" s="2514"/>
      <c r="AR186" s="2555"/>
      <c r="AS186" s="2555"/>
      <c r="AT186" s="2555"/>
    </row>
    <row r="187" spans="1:46" s="1891" customFormat="1" ht="61.5" customHeight="1" x14ac:dyDescent="0.25">
      <c r="A187" s="329"/>
      <c r="B187" s="2548"/>
      <c r="C187" s="1850"/>
      <c r="D187" s="1851"/>
      <c r="E187" s="2553"/>
      <c r="F187" s="2553"/>
      <c r="G187" s="2531"/>
      <c r="H187" s="2516"/>
      <c r="I187" s="2531"/>
      <c r="J187" s="2516"/>
      <c r="K187" s="2522"/>
      <c r="L187" s="2517"/>
      <c r="M187" s="2522"/>
      <c r="N187" s="2517"/>
      <c r="O187" s="2522"/>
      <c r="P187" s="2522"/>
      <c r="Q187" s="2517"/>
      <c r="R187" s="2525"/>
      <c r="S187" s="2526"/>
      <c r="T187" s="2516"/>
      <c r="U187" s="2517"/>
      <c r="V187" s="2556" t="s">
        <v>3120</v>
      </c>
      <c r="W187" s="1669">
        <v>9000000</v>
      </c>
      <c r="X187" s="1617" t="s">
        <v>3115</v>
      </c>
      <c r="Y187" s="1912">
        <v>20</v>
      </c>
      <c r="Z187" s="1614" t="s">
        <v>694</v>
      </c>
      <c r="AA187" s="2519"/>
      <c r="AB187" s="2519"/>
      <c r="AC187" s="2519"/>
      <c r="AD187" s="2519"/>
      <c r="AE187" s="2519"/>
      <c r="AF187" s="2519"/>
      <c r="AG187" s="2519"/>
      <c r="AH187" s="2519"/>
      <c r="AI187" s="2519"/>
      <c r="AJ187" s="2519"/>
      <c r="AK187" s="2519"/>
      <c r="AL187" s="2519"/>
      <c r="AM187" s="2519"/>
      <c r="AN187" s="2519"/>
      <c r="AO187" s="2519"/>
      <c r="AP187" s="2519"/>
      <c r="AQ187" s="2514"/>
      <c r="AR187" s="2555"/>
      <c r="AS187" s="2555"/>
      <c r="AT187" s="2555"/>
    </row>
    <row r="188" spans="1:46" s="1891" customFormat="1" ht="61.5" customHeight="1" x14ac:dyDescent="0.25">
      <c r="A188" s="329"/>
      <c r="B188" s="2548"/>
      <c r="C188" s="1850"/>
      <c r="D188" s="1851"/>
      <c r="E188" s="2553"/>
      <c r="F188" s="2553"/>
      <c r="G188" s="2531"/>
      <c r="H188" s="2516"/>
      <c r="I188" s="2531"/>
      <c r="J188" s="2516"/>
      <c r="K188" s="2522"/>
      <c r="L188" s="2517"/>
      <c r="M188" s="2522"/>
      <c r="N188" s="2517"/>
      <c r="O188" s="2522"/>
      <c r="P188" s="2522"/>
      <c r="Q188" s="2517"/>
      <c r="R188" s="2525"/>
      <c r="S188" s="2526"/>
      <c r="T188" s="2516"/>
      <c r="U188" s="2517"/>
      <c r="V188" s="2557"/>
      <c r="W188" s="1669">
        <v>10000000</v>
      </c>
      <c r="X188" s="1617" t="s">
        <v>3116</v>
      </c>
      <c r="Y188" s="1960">
        <v>88</v>
      </c>
      <c r="Z188" s="1614" t="s">
        <v>2876</v>
      </c>
      <c r="AA188" s="2519"/>
      <c r="AB188" s="2519"/>
      <c r="AC188" s="2519"/>
      <c r="AD188" s="2519"/>
      <c r="AE188" s="2519"/>
      <c r="AF188" s="2519"/>
      <c r="AG188" s="2519"/>
      <c r="AH188" s="2519"/>
      <c r="AI188" s="2519"/>
      <c r="AJ188" s="2519"/>
      <c r="AK188" s="2519"/>
      <c r="AL188" s="2519"/>
      <c r="AM188" s="2519"/>
      <c r="AN188" s="2519"/>
      <c r="AO188" s="2519"/>
      <c r="AP188" s="2519"/>
      <c r="AQ188" s="2514"/>
      <c r="AR188" s="2555"/>
      <c r="AS188" s="2555"/>
      <c r="AT188" s="2555"/>
    </row>
    <row r="189" spans="1:46" s="1891" customFormat="1" ht="35.25" customHeight="1" x14ac:dyDescent="0.25">
      <c r="A189" s="329"/>
      <c r="B189" s="2548"/>
      <c r="C189" s="1850"/>
      <c r="D189" s="1851"/>
      <c r="E189" s="2553"/>
      <c r="F189" s="2553"/>
      <c r="G189" s="2531"/>
      <c r="H189" s="2516"/>
      <c r="I189" s="2531"/>
      <c r="J189" s="2516"/>
      <c r="K189" s="2522"/>
      <c r="L189" s="2517"/>
      <c r="M189" s="2522"/>
      <c r="N189" s="2517"/>
      <c r="O189" s="2522"/>
      <c r="P189" s="2522"/>
      <c r="Q189" s="2517"/>
      <c r="R189" s="2525"/>
      <c r="S189" s="2526"/>
      <c r="T189" s="2516"/>
      <c r="U189" s="2517"/>
      <c r="V189" s="2556" t="s">
        <v>3121</v>
      </c>
      <c r="W189" s="1669">
        <v>1000000</v>
      </c>
      <c r="X189" s="1617" t="s">
        <v>3113</v>
      </c>
      <c r="Y189" s="2521">
        <v>20</v>
      </c>
      <c r="Z189" s="2190" t="s">
        <v>694</v>
      </c>
      <c r="AA189" s="2519"/>
      <c r="AB189" s="2519"/>
      <c r="AC189" s="2519"/>
      <c r="AD189" s="2519"/>
      <c r="AE189" s="2519"/>
      <c r="AF189" s="2519"/>
      <c r="AG189" s="2519"/>
      <c r="AH189" s="2519"/>
      <c r="AI189" s="2519"/>
      <c r="AJ189" s="2519"/>
      <c r="AK189" s="2519"/>
      <c r="AL189" s="2519"/>
      <c r="AM189" s="2519"/>
      <c r="AN189" s="2519"/>
      <c r="AO189" s="2519"/>
      <c r="AP189" s="2519"/>
      <c r="AQ189" s="2514"/>
      <c r="AR189" s="2555"/>
      <c r="AS189" s="2555"/>
      <c r="AT189" s="2555"/>
    </row>
    <row r="190" spans="1:46" s="1891" customFormat="1" ht="35.25" customHeight="1" x14ac:dyDescent="0.25">
      <c r="A190" s="329"/>
      <c r="B190" s="2548"/>
      <c r="C190" s="1850"/>
      <c r="D190" s="1851"/>
      <c r="E190" s="2553"/>
      <c r="F190" s="2553"/>
      <c r="G190" s="2531"/>
      <c r="H190" s="2516"/>
      <c r="I190" s="2531"/>
      <c r="J190" s="2516"/>
      <c r="K190" s="2522"/>
      <c r="L190" s="2517"/>
      <c r="M190" s="2522"/>
      <c r="N190" s="2517"/>
      <c r="O190" s="2522"/>
      <c r="P190" s="2522"/>
      <c r="Q190" s="2517"/>
      <c r="R190" s="2525"/>
      <c r="S190" s="2527"/>
      <c r="T190" s="2516"/>
      <c r="U190" s="2517"/>
      <c r="V190" s="2224"/>
      <c r="W190" s="1669">
        <v>1000000</v>
      </c>
      <c r="X190" s="1617" t="s">
        <v>3111</v>
      </c>
      <c r="Y190" s="2521"/>
      <c r="Z190" s="2190"/>
      <c r="AA190" s="2519"/>
      <c r="AB190" s="2519"/>
      <c r="AC190" s="2519"/>
      <c r="AD190" s="2519"/>
      <c r="AE190" s="2519"/>
      <c r="AF190" s="2519"/>
      <c r="AG190" s="2519"/>
      <c r="AH190" s="2519"/>
      <c r="AI190" s="2519"/>
      <c r="AJ190" s="2519"/>
      <c r="AK190" s="2519"/>
      <c r="AL190" s="2519"/>
      <c r="AM190" s="2519"/>
      <c r="AN190" s="2519"/>
      <c r="AO190" s="2519"/>
      <c r="AP190" s="2519"/>
      <c r="AQ190" s="2514"/>
      <c r="AR190" s="2555"/>
      <c r="AS190" s="2555"/>
      <c r="AT190" s="2555"/>
    </row>
    <row r="191" spans="1:46" s="1891" customFormat="1" ht="48.95" customHeight="1" x14ac:dyDescent="0.25">
      <c r="A191" s="329"/>
      <c r="B191" s="2548"/>
      <c r="C191" s="1850"/>
      <c r="D191" s="1851"/>
      <c r="E191" s="2553"/>
      <c r="F191" s="2553"/>
      <c r="G191" s="2531"/>
      <c r="H191" s="2529"/>
      <c r="I191" s="2531"/>
      <c r="J191" s="2529"/>
      <c r="K191" s="2523"/>
      <c r="L191" s="2194"/>
      <c r="M191" s="2523"/>
      <c r="N191" s="2194"/>
      <c r="O191" s="2523"/>
      <c r="P191" s="2523"/>
      <c r="Q191" s="2194"/>
      <c r="R191" s="2525"/>
      <c r="S191" s="2527"/>
      <c r="T191" s="2516"/>
      <c r="U191" s="2517"/>
      <c r="V191" s="2557"/>
      <c r="W191" s="1669">
        <v>1000000</v>
      </c>
      <c r="X191" s="1617" t="s">
        <v>3115</v>
      </c>
      <c r="Y191" s="2521"/>
      <c r="Z191" s="2190"/>
      <c r="AA191" s="2520"/>
      <c r="AB191" s="2520"/>
      <c r="AC191" s="2520"/>
      <c r="AD191" s="2520"/>
      <c r="AE191" s="2520"/>
      <c r="AF191" s="2520"/>
      <c r="AG191" s="2520"/>
      <c r="AH191" s="2520"/>
      <c r="AI191" s="2520"/>
      <c r="AJ191" s="2520"/>
      <c r="AK191" s="2520"/>
      <c r="AL191" s="2520"/>
      <c r="AM191" s="2520"/>
      <c r="AN191" s="2520"/>
      <c r="AO191" s="2520"/>
      <c r="AP191" s="2520"/>
      <c r="AQ191" s="2514"/>
      <c r="AR191" s="2555"/>
      <c r="AS191" s="2555"/>
      <c r="AT191" s="2555"/>
    </row>
    <row r="192" spans="1:46" ht="75" customHeight="1" x14ac:dyDescent="0.25">
      <c r="A192" s="1892"/>
      <c r="B192" s="2548"/>
      <c r="C192" s="1850"/>
      <c r="D192" s="1851"/>
      <c r="E192" s="2553"/>
      <c r="F192" s="2553"/>
      <c r="G192" s="2528">
        <v>4502001</v>
      </c>
      <c r="H192" s="2477" t="s">
        <v>123</v>
      </c>
      <c r="I192" s="2528">
        <v>4502001</v>
      </c>
      <c r="J192" s="2477" t="s">
        <v>123</v>
      </c>
      <c r="K192" s="2496">
        <v>450200100</v>
      </c>
      <c r="L192" s="2466" t="s">
        <v>3122</v>
      </c>
      <c r="M192" s="2496">
        <v>450200100</v>
      </c>
      <c r="N192" s="2466" t="s">
        <v>125</v>
      </c>
      <c r="O192" s="2464">
        <v>3</v>
      </c>
      <c r="P192" s="2464" t="s">
        <v>3123</v>
      </c>
      <c r="Q192" s="2480" t="s">
        <v>3124</v>
      </c>
      <c r="R192" s="2482">
        <f>SUM(W192:W207)/S192</f>
        <v>0.45124593237818855</v>
      </c>
      <c r="S192" s="2507">
        <f>SUM(W192:W225)</f>
        <v>343493401</v>
      </c>
      <c r="T192" s="2509" t="s">
        <v>3125</v>
      </c>
      <c r="U192" s="2472" t="s">
        <v>3126</v>
      </c>
      <c r="V192" s="2474" t="s">
        <v>3127</v>
      </c>
      <c r="W192" s="1852">
        <v>38000000</v>
      </c>
      <c r="X192" s="1617" t="s">
        <v>3128</v>
      </c>
      <c r="Y192" s="1962">
        <v>20</v>
      </c>
      <c r="Z192" s="1622" t="s">
        <v>694</v>
      </c>
      <c r="AA192" s="2499">
        <v>291786</v>
      </c>
      <c r="AB192" s="2499">
        <v>270331</v>
      </c>
      <c r="AC192" s="2499">
        <v>102045</v>
      </c>
      <c r="AD192" s="2499">
        <v>39183</v>
      </c>
      <c r="AE192" s="2499">
        <v>310195</v>
      </c>
      <c r="AF192" s="2499">
        <v>110694</v>
      </c>
      <c r="AG192" s="2499">
        <v>2145</v>
      </c>
      <c r="AH192" s="2499">
        <v>12718</v>
      </c>
      <c r="AI192" s="2499">
        <v>26</v>
      </c>
      <c r="AJ192" s="2499">
        <v>37</v>
      </c>
      <c r="AK192" s="2499">
        <v>0</v>
      </c>
      <c r="AL192" s="2499">
        <v>0</v>
      </c>
      <c r="AM192" s="2499">
        <v>44350</v>
      </c>
      <c r="AN192" s="2499">
        <v>21944</v>
      </c>
      <c r="AO192" s="2499">
        <v>75687</v>
      </c>
      <c r="AP192" s="2502">
        <f>+AA192+AB192</f>
        <v>562117</v>
      </c>
      <c r="AQ192" s="2345" t="s">
        <v>2873</v>
      </c>
      <c r="AR192" s="2505">
        <v>44198</v>
      </c>
      <c r="AS192" s="2505">
        <v>44560</v>
      </c>
      <c r="AT192" s="2506" t="s">
        <v>2874</v>
      </c>
    </row>
    <row r="193" spans="1:46" ht="75" customHeight="1" x14ac:dyDescent="0.25">
      <c r="A193" s="1892"/>
      <c r="B193" s="2548"/>
      <c r="C193" s="1850"/>
      <c r="D193" s="1851"/>
      <c r="E193" s="2553"/>
      <c r="F193" s="2553"/>
      <c r="G193" s="2528"/>
      <c r="H193" s="2478"/>
      <c r="I193" s="2528"/>
      <c r="J193" s="2478"/>
      <c r="K193" s="2497"/>
      <c r="L193" s="2467"/>
      <c r="M193" s="2497"/>
      <c r="N193" s="2467"/>
      <c r="O193" s="2465"/>
      <c r="P193" s="2465"/>
      <c r="Q193" s="2481"/>
      <c r="R193" s="2482"/>
      <c r="S193" s="2507"/>
      <c r="T193" s="2510"/>
      <c r="U193" s="2473"/>
      <c r="V193" s="2475"/>
      <c r="W193" s="1852">
        <v>15000000</v>
      </c>
      <c r="X193" s="1617" t="s">
        <v>3129</v>
      </c>
      <c r="Y193" s="1962">
        <v>88</v>
      </c>
      <c r="Z193" s="1614" t="s">
        <v>2876</v>
      </c>
      <c r="AA193" s="2500"/>
      <c r="AB193" s="2500"/>
      <c r="AC193" s="2500"/>
      <c r="AD193" s="2500"/>
      <c r="AE193" s="2500"/>
      <c r="AF193" s="2500"/>
      <c r="AG193" s="2500"/>
      <c r="AH193" s="2500"/>
      <c r="AI193" s="2500"/>
      <c r="AJ193" s="2500"/>
      <c r="AK193" s="2500"/>
      <c r="AL193" s="2500"/>
      <c r="AM193" s="2500"/>
      <c r="AN193" s="2500"/>
      <c r="AO193" s="2500"/>
      <c r="AP193" s="2503"/>
      <c r="AQ193" s="2345"/>
      <c r="AR193" s="2506"/>
      <c r="AS193" s="2506"/>
      <c r="AT193" s="2506"/>
    </row>
    <row r="194" spans="1:46" ht="62.25" customHeight="1" x14ac:dyDescent="0.25">
      <c r="A194" s="1892"/>
      <c r="B194" s="2548"/>
      <c r="C194" s="1850"/>
      <c r="D194" s="1851"/>
      <c r="E194" s="2553"/>
      <c r="F194" s="2553"/>
      <c r="G194" s="2528"/>
      <c r="H194" s="2478"/>
      <c r="I194" s="2528"/>
      <c r="J194" s="2478"/>
      <c r="K194" s="2497"/>
      <c r="L194" s="2467"/>
      <c r="M194" s="2497"/>
      <c r="N194" s="2467"/>
      <c r="O194" s="2465"/>
      <c r="P194" s="2465"/>
      <c r="Q194" s="2481"/>
      <c r="R194" s="2482"/>
      <c r="S194" s="2507"/>
      <c r="T194" s="2510"/>
      <c r="U194" s="2473"/>
      <c r="V194" s="2491" t="s">
        <v>3130</v>
      </c>
      <c r="W194" s="1852">
        <v>2000000</v>
      </c>
      <c r="X194" s="1617" t="s">
        <v>3131</v>
      </c>
      <c r="Y194" s="2489">
        <v>20</v>
      </c>
      <c r="Z194" s="2513" t="s">
        <v>694</v>
      </c>
      <c r="AA194" s="2500"/>
      <c r="AB194" s="2500"/>
      <c r="AC194" s="2500"/>
      <c r="AD194" s="2500"/>
      <c r="AE194" s="2500"/>
      <c r="AF194" s="2500"/>
      <c r="AG194" s="2500"/>
      <c r="AH194" s="2500"/>
      <c r="AI194" s="2500"/>
      <c r="AJ194" s="2500"/>
      <c r="AK194" s="2500"/>
      <c r="AL194" s="2500"/>
      <c r="AM194" s="2500"/>
      <c r="AN194" s="2500"/>
      <c r="AO194" s="2500"/>
      <c r="AP194" s="2503"/>
      <c r="AQ194" s="2345"/>
      <c r="AR194" s="2506"/>
      <c r="AS194" s="2506"/>
      <c r="AT194" s="2506"/>
    </row>
    <row r="195" spans="1:46" ht="62.25" customHeight="1" x14ac:dyDescent="0.25">
      <c r="A195" s="1892"/>
      <c r="B195" s="2548"/>
      <c r="C195" s="1850"/>
      <c r="D195" s="1851"/>
      <c r="E195" s="2553"/>
      <c r="F195" s="2553"/>
      <c r="G195" s="2528"/>
      <c r="H195" s="2478"/>
      <c r="I195" s="2528"/>
      <c r="J195" s="2478"/>
      <c r="K195" s="2497"/>
      <c r="L195" s="2467"/>
      <c r="M195" s="2497"/>
      <c r="N195" s="2467"/>
      <c r="O195" s="2465"/>
      <c r="P195" s="2465"/>
      <c r="Q195" s="2481"/>
      <c r="R195" s="2482"/>
      <c r="S195" s="2507"/>
      <c r="T195" s="2510"/>
      <c r="U195" s="2473"/>
      <c r="V195" s="2512"/>
      <c r="W195" s="1852">
        <v>18000000</v>
      </c>
      <c r="X195" s="1617" t="s">
        <v>3128</v>
      </c>
      <c r="Y195" s="2489"/>
      <c r="Z195" s="2513"/>
      <c r="AA195" s="2500"/>
      <c r="AB195" s="2500"/>
      <c r="AC195" s="2500"/>
      <c r="AD195" s="2500"/>
      <c r="AE195" s="2500"/>
      <c r="AF195" s="2500"/>
      <c r="AG195" s="2500"/>
      <c r="AH195" s="2500"/>
      <c r="AI195" s="2500"/>
      <c r="AJ195" s="2500"/>
      <c r="AK195" s="2500"/>
      <c r="AL195" s="2500"/>
      <c r="AM195" s="2500"/>
      <c r="AN195" s="2500"/>
      <c r="AO195" s="2500"/>
      <c r="AP195" s="2503"/>
      <c r="AQ195" s="2345"/>
      <c r="AR195" s="2506"/>
      <c r="AS195" s="2506"/>
      <c r="AT195" s="2506"/>
    </row>
    <row r="196" spans="1:46" ht="51" customHeight="1" x14ac:dyDescent="0.25">
      <c r="A196" s="1892"/>
      <c r="B196" s="2548"/>
      <c r="C196" s="1850"/>
      <c r="D196" s="1851"/>
      <c r="E196" s="2553"/>
      <c r="F196" s="2553"/>
      <c r="G196" s="2528"/>
      <c r="H196" s="2478"/>
      <c r="I196" s="2528"/>
      <c r="J196" s="2478"/>
      <c r="K196" s="2497"/>
      <c r="L196" s="2467"/>
      <c r="M196" s="2497"/>
      <c r="N196" s="2467"/>
      <c r="O196" s="2465"/>
      <c r="P196" s="2465"/>
      <c r="Q196" s="2481"/>
      <c r="R196" s="2482"/>
      <c r="S196" s="2507"/>
      <c r="T196" s="2510"/>
      <c r="U196" s="2473"/>
      <c r="V196" s="1857" t="s">
        <v>3132</v>
      </c>
      <c r="W196" s="1852">
        <v>8000000</v>
      </c>
      <c r="X196" s="1617" t="s">
        <v>3133</v>
      </c>
      <c r="Y196" s="1962">
        <v>20</v>
      </c>
      <c r="Z196" s="1622" t="s">
        <v>694</v>
      </c>
      <c r="AA196" s="2500"/>
      <c r="AB196" s="2500"/>
      <c r="AC196" s="2500"/>
      <c r="AD196" s="2500"/>
      <c r="AE196" s="2500"/>
      <c r="AF196" s="2500"/>
      <c r="AG196" s="2500"/>
      <c r="AH196" s="2500"/>
      <c r="AI196" s="2500"/>
      <c r="AJ196" s="2500"/>
      <c r="AK196" s="2500"/>
      <c r="AL196" s="2500"/>
      <c r="AM196" s="2500"/>
      <c r="AN196" s="2500"/>
      <c r="AO196" s="2500"/>
      <c r="AP196" s="2503"/>
      <c r="AQ196" s="2345"/>
      <c r="AR196" s="2506"/>
      <c r="AS196" s="2506"/>
      <c r="AT196" s="2506"/>
    </row>
    <row r="197" spans="1:46" ht="75.75" customHeight="1" x14ac:dyDescent="0.25">
      <c r="A197" s="1892"/>
      <c r="B197" s="2548"/>
      <c r="C197" s="1850"/>
      <c r="D197" s="1851"/>
      <c r="E197" s="2553"/>
      <c r="F197" s="2553"/>
      <c r="G197" s="2528"/>
      <c r="H197" s="2478"/>
      <c r="I197" s="2528"/>
      <c r="J197" s="2478"/>
      <c r="K197" s="2497"/>
      <c r="L197" s="2467"/>
      <c r="M197" s="2497"/>
      <c r="N197" s="2467"/>
      <c r="O197" s="2465"/>
      <c r="P197" s="2465"/>
      <c r="Q197" s="2481"/>
      <c r="R197" s="2482"/>
      <c r="S197" s="2507"/>
      <c r="T197" s="2510"/>
      <c r="U197" s="2473"/>
      <c r="V197" s="1857" t="s">
        <v>3134</v>
      </c>
      <c r="W197" s="1852">
        <v>10000000</v>
      </c>
      <c r="X197" s="1617" t="s">
        <v>3128</v>
      </c>
      <c r="Y197" s="1962">
        <v>20</v>
      </c>
      <c r="Z197" s="1622" t="s">
        <v>694</v>
      </c>
      <c r="AA197" s="2500"/>
      <c r="AB197" s="2500"/>
      <c r="AC197" s="2500"/>
      <c r="AD197" s="2500"/>
      <c r="AE197" s="2500"/>
      <c r="AF197" s="2500"/>
      <c r="AG197" s="2500"/>
      <c r="AH197" s="2500"/>
      <c r="AI197" s="2500"/>
      <c r="AJ197" s="2500"/>
      <c r="AK197" s="2500"/>
      <c r="AL197" s="2500"/>
      <c r="AM197" s="2500"/>
      <c r="AN197" s="2500"/>
      <c r="AO197" s="2500"/>
      <c r="AP197" s="2503"/>
      <c r="AQ197" s="2345"/>
      <c r="AR197" s="2506"/>
      <c r="AS197" s="2506"/>
      <c r="AT197" s="2506"/>
    </row>
    <row r="198" spans="1:46" ht="71.25" customHeight="1" x14ac:dyDescent="0.25">
      <c r="A198" s="1892"/>
      <c r="B198" s="2548"/>
      <c r="C198" s="1850"/>
      <c r="D198" s="1851"/>
      <c r="E198" s="2553"/>
      <c r="F198" s="2553"/>
      <c r="G198" s="2528"/>
      <c r="H198" s="2478"/>
      <c r="I198" s="2528"/>
      <c r="J198" s="2478"/>
      <c r="K198" s="2497"/>
      <c r="L198" s="2467"/>
      <c r="M198" s="2497"/>
      <c r="N198" s="2467"/>
      <c r="O198" s="2465"/>
      <c r="P198" s="2465"/>
      <c r="Q198" s="2481"/>
      <c r="R198" s="2482"/>
      <c r="S198" s="2507"/>
      <c r="T198" s="2510"/>
      <c r="U198" s="2473"/>
      <c r="V198" s="1963" t="s">
        <v>3135</v>
      </c>
      <c r="W198" s="1852">
        <v>5000000</v>
      </c>
      <c r="X198" s="1617" t="s">
        <v>3128</v>
      </c>
      <c r="Y198" s="1962">
        <v>20</v>
      </c>
      <c r="Z198" s="1622" t="s">
        <v>694</v>
      </c>
      <c r="AA198" s="2500"/>
      <c r="AB198" s="2500"/>
      <c r="AC198" s="2500"/>
      <c r="AD198" s="2500"/>
      <c r="AE198" s="2500"/>
      <c r="AF198" s="2500"/>
      <c r="AG198" s="2500"/>
      <c r="AH198" s="2500"/>
      <c r="AI198" s="2500"/>
      <c r="AJ198" s="2500"/>
      <c r="AK198" s="2500"/>
      <c r="AL198" s="2500"/>
      <c r="AM198" s="2500"/>
      <c r="AN198" s="2500"/>
      <c r="AO198" s="2500"/>
      <c r="AP198" s="2503"/>
      <c r="AQ198" s="2345"/>
      <c r="AR198" s="2506"/>
      <c r="AS198" s="2506"/>
      <c r="AT198" s="2506"/>
    </row>
    <row r="199" spans="1:46" ht="57" customHeight="1" x14ac:dyDescent="0.25">
      <c r="A199" s="1892"/>
      <c r="B199" s="2548"/>
      <c r="C199" s="1850"/>
      <c r="D199" s="1851"/>
      <c r="E199" s="2553"/>
      <c r="F199" s="2553"/>
      <c r="G199" s="2528"/>
      <c r="H199" s="2478"/>
      <c r="I199" s="2528"/>
      <c r="J199" s="2478"/>
      <c r="K199" s="2497"/>
      <c r="L199" s="2467"/>
      <c r="M199" s="2497"/>
      <c r="N199" s="2467"/>
      <c r="O199" s="2465"/>
      <c r="P199" s="2465"/>
      <c r="Q199" s="2481"/>
      <c r="R199" s="2482"/>
      <c r="S199" s="2507"/>
      <c r="T199" s="2510"/>
      <c r="U199" s="2473"/>
      <c r="V199" s="2474" t="s">
        <v>3136</v>
      </c>
      <c r="W199" s="1852">
        <f>5000000-3000000</f>
        <v>2000000</v>
      </c>
      <c r="X199" s="1617" t="s">
        <v>3137</v>
      </c>
      <c r="Y199" s="1962">
        <v>20</v>
      </c>
      <c r="Z199" s="1622" t="s">
        <v>694</v>
      </c>
      <c r="AA199" s="2500"/>
      <c r="AB199" s="2500"/>
      <c r="AC199" s="2500"/>
      <c r="AD199" s="2500"/>
      <c r="AE199" s="2500"/>
      <c r="AF199" s="2500"/>
      <c r="AG199" s="2500"/>
      <c r="AH199" s="2500"/>
      <c r="AI199" s="2500"/>
      <c r="AJ199" s="2500"/>
      <c r="AK199" s="2500"/>
      <c r="AL199" s="2500"/>
      <c r="AM199" s="2500"/>
      <c r="AN199" s="2500"/>
      <c r="AO199" s="2500"/>
      <c r="AP199" s="2503"/>
      <c r="AQ199" s="2345"/>
      <c r="AR199" s="2506"/>
      <c r="AS199" s="2506"/>
      <c r="AT199" s="2506"/>
    </row>
    <row r="200" spans="1:46" ht="57" customHeight="1" x14ac:dyDescent="0.25">
      <c r="A200" s="1892"/>
      <c r="B200" s="2548"/>
      <c r="C200" s="1850"/>
      <c r="D200" s="1851"/>
      <c r="E200" s="2553"/>
      <c r="F200" s="2553"/>
      <c r="G200" s="2528"/>
      <c r="H200" s="2478"/>
      <c r="I200" s="2528"/>
      <c r="J200" s="2478"/>
      <c r="K200" s="2497"/>
      <c r="L200" s="2467"/>
      <c r="M200" s="2497"/>
      <c r="N200" s="2467"/>
      <c r="O200" s="2465"/>
      <c r="P200" s="2465"/>
      <c r="Q200" s="2481"/>
      <c r="R200" s="2482"/>
      <c r="S200" s="2507"/>
      <c r="T200" s="2510"/>
      <c r="U200" s="2473"/>
      <c r="V200" s="2475"/>
      <c r="W200" s="1852">
        <v>3000000</v>
      </c>
      <c r="X200" s="1617" t="s">
        <v>3138</v>
      </c>
      <c r="Y200" s="1962">
        <v>20</v>
      </c>
      <c r="Z200" s="1622" t="s">
        <v>694</v>
      </c>
      <c r="AA200" s="2500"/>
      <c r="AB200" s="2500"/>
      <c r="AC200" s="2500"/>
      <c r="AD200" s="2500"/>
      <c r="AE200" s="2500"/>
      <c r="AF200" s="2500"/>
      <c r="AG200" s="2500"/>
      <c r="AH200" s="2500"/>
      <c r="AI200" s="2500"/>
      <c r="AJ200" s="2500"/>
      <c r="AK200" s="2500"/>
      <c r="AL200" s="2500"/>
      <c r="AM200" s="2500"/>
      <c r="AN200" s="2500"/>
      <c r="AO200" s="2500"/>
      <c r="AP200" s="2503"/>
      <c r="AQ200" s="2345"/>
      <c r="AR200" s="2506"/>
      <c r="AS200" s="2506"/>
      <c r="AT200" s="2506"/>
    </row>
    <row r="201" spans="1:46" ht="31.5" customHeight="1" x14ac:dyDescent="0.25">
      <c r="A201" s="1892"/>
      <c r="B201" s="2548"/>
      <c r="C201" s="1850"/>
      <c r="D201" s="1851"/>
      <c r="E201" s="2553"/>
      <c r="F201" s="2553"/>
      <c r="G201" s="2528"/>
      <c r="H201" s="2478"/>
      <c r="I201" s="2528"/>
      <c r="J201" s="2478"/>
      <c r="K201" s="2497"/>
      <c r="L201" s="2467"/>
      <c r="M201" s="2497"/>
      <c r="N201" s="2467"/>
      <c r="O201" s="2465"/>
      <c r="P201" s="2465"/>
      <c r="Q201" s="2481"/>
      <c r="R201" s="2482"/>
      <c r="S201" s="2507"/>
      <c r="T201" s="2510"/>
      <c r="U201" s="2473"/>
      <c r="V201" s="2474" t="s">
        <v>3139</v>
      </c>
      <c r="W201" s="1852">
        <v>5000000</v>
      </c>
      <c r="X201" s="1617" t="s">
        <v>3128</v>
      </c>
      <c r="Y201" s="1962">
        <v>20</v>
      </c>
      <c r="Z201" s="1622" t="s">
        <v>694</v>
      </c>
      <c r="AA201" s="2500"/>
      <c r="AB201" s="2500"/>
      <c r="AC201" s="2500"/>
      <c r="AD201" s="2500"/>
      <c r="AE201" s="2500"/>
      <c r="AF201" s="2500"/>
      <c r="AG201" s="2500"/>
      <c r="AH201" s="2500"/>
      <c r="AI201" s="2500"/>
      <c r="AJ201" s="2500"/>
      <c r="AK201" s="2500"/>
      <c r="AL201" s="2500"/>
      <c r="AM201" s="2500"/>
      <c r="AN201" s="2500"/>
      <c r="AO201" s="2500"/>
      <c r="AP201" s="2503"/>
      <c r="AQ201" s="2345"/>
      <c r="AR201" s="2506"/>
      <c r="AS201" s="2506"/>
      <c r="AT201" s="2506"/>
    </row>
    <row r="202" spans="1:46" ht="34.5" customHeight="1" x14ac:dyDescent="0.25">
      <c r="A202" s="1892"/>
      <c r="B202" s="2548"/>
      <c r="C202" s="1850"/>
      <c r="D202" s="1851"/>
      <c r="E202" s="2553"/>
      <c r="F202" s="2553"/>
      <c r="G202" s="2528"/>
      <c r="H202" s="2478"/>
      <c r="I202" s="2528"/>
      <c r="J202" s="2478"/>
      <c r="K202" s="2497"/>
      <c r="L202" s="2467"/>
      <c r="M202" s="2497"/>
      <c r="N202" s="2467"/>
      <c r="O202" s="2465"/>
      <c r="P202" s="2465"/>
      <c r="Q202" s="2481"/>
      <c r="R202" s="2482"/>
      <c r="S202" s="2507"/>
      <c r="T202" s="2510"/>
      <c r="U202" s="2473"/>
      <c r="V202" s="2475"/>
      <c r="W202" s="1852">
        <v>5000000</v>
      </c>
      <c r="X202" s="1617" t="s">
        <v>3138</v>
      </c>
      <c r="Y202" s="1962"/>
      <c r="Z202" s="1622"/>
      <c r="AA202" s="2500"/>
      <c r="AB202" s="2500"/>
      <c r="AC202" s="2500"/>
      <c r="AD202" s="2500"/>
      <c r="AE202" s="2500"/>
      <c r="AF202" s="2500"/>
      <c r="AG202" s="2500"/>
      <c r="AH202" s="2500"/>
      <c r="AI202" s="2500"/>
      <c r="AJ202" s="2500"/>
      <c r="AK202" s="2500"/>
      <c r="AL202" s="2500"/>
      <c r="AM202" s="2500"/>
      <c r="AN202" s="2500"/>
      <c r="AO202" s="2500"/>
      <c r="AP202" s="2503"/>
      <c r="AQ202" s="2345"/>
      <c r="AR202" s="2506"/>
      <c r="AS202" s="2506"/>
      <c r="AT202" s="2506"/>
    </row>
    <row r="203" spans="1:46" ht="57" customHeight="1" x14ac:dyDescent="0.25">
      <c r="A203" s="1892"/>
      <c r="B203" s="2548"/>
      <c r="C203" s="1850"/>
      <c r="D203" s="1851"/>
      <c r="E203" s="2553"/>
      <c r="F203" s="2553"/>
      <c r="G203" s="2528"/>
      <c r="H203" s="2478"/>
      <c r="I203" s="2528"/>
      <c r="J203" s="2478"/>
      <c r="K203" s="2497"/>
      <c r="L203" s="2467"/>
      <c r="M203" s="2497"/>
      <c r="N203" s="2467"/>
      <c r="O203" s="2465"/>
      <c r="P203" s="2465"/>
      <c r="Q203" s="2481"/>
      <c r="R203" s="2482"/>
      <c r="S203" s="2507"/>
      <c r="T203" s="2510"/>
      <c r="U203" s="2473"/>
      <c r="V203" s="2474" t="s">
        <v>3140</v>
      </c>
      <c r="W203" s="1852">
        <v>4000000</v>
      </c>
      <c r="X203" s="1617" t="s">
        <v>3128</v>
      </c>
      <c r="Y203" s="1962">
        <v>20</v>
      </c>
      <c r="Z203" s="1622" t="s">
        <v>694</v>
      </c>
      <c r="AA203" s="2500"/>
      <c r="AB203" s="2500"/>
      <c r="AC203" s="2500"/>
      <c r="AD203" s="2500"/>
      <c r="AE203" s="2500"/>
      <c r="AF203" s="2500"/>
      <c r="AG203" s="2500"/>
      <c r="AH203" s="2500"/>
      <c r="AI203" s="2500"/>
      <c r="AJ203" s="2500"/>
      <c r="AK203" s="2500"/>
      <c r="AL203" s="2500"/>
      <c r="AM203" s="2500"/>
      <c r="AN203" s="2500"/>
      <c r="AO203" s="2500"/>
      <c r="AP203" s="2503"/>
      <c r="AQ203" s="2345"/>
      <c r="AR203" s="2506"/>
      <c r="AS203" s="2506"/>
      <c r="AT203" s="2506"/>
    </row>
    <row r="204" spans="1:46" ht="57" customHeight="1" x14ac:dyDescent="0.25">
      <c r="A204" s="1892"/>
      <c r="B204" s="2548"/>
      <c r="C204" s="1850"/>
      <c r="D204" s="1851"/>
      <c r="E204" s="2553"/>
      <c r="F204" s="2553"/>
      <c r="G204" s="2528"/>
      <c r="H204" s="2478"/>
      <c r="I204" s="2528"/>
      <c r="J204" s="2478"/>
      <c r="K204" s="2497"/>
      <c r="L204" s="2467"/>
      <c r="M204" s="2497"/>
      <c r="N204" s="2467"/>
      <c r="O204" s="2465"/>
      <c r="P204" s="2465"/>
      <c r="Q204" s="2481"/>
      <c r="R204" s="2482"/>
      <c r="S204" s="2507"/>
      <c r="T204" s="2510"/>
      <c r="U204" s="2473"/>
      <c r="V204" s="2475"/>
      <c r="W204" s="1852">
        <v>10000000</v>
      </c>
      <c r="X204" s="1617" t="s">
        <v>3141</v>
      </c>
      <c r="Y204" s="1962">
        <v>88</v>
      </c>
      <c r="Z204" s="1622" t="s">
        <v>2876</v>
      </c>
      <c r="AA204" s="2500"/>
      <c r="AB204" s="2500"/>
      <c r="AC204" s="2500"/>
      <c r="AD204" s="2500"/>
      <c r="AE204" s="2500"/>
      <c r="AF204" s="2500"/>
      <c r="AG204" s="2500"/>
      <c r="AH204" s="2500"/>
      <c r="AI204" s="2500"/>
      <c r="AJ204" s="2500"/>
      <c r="AK204" s="2500"/>
      <c r="AL204" s="2500"/>
      <c r="AM204" s="2500"/>
      <c r="AN204" s="2500"/>
      <c r="AO204" s="2500"/>
      <c r="AP204" s="2503"/>
      <c r="AQ204" s="2345"/>
      <c r="AR204" s="2506"/>
      <c r="AS204" s="2506"/>
      <c r="AT204" s="2506"/>
    </row>
    <row r="205" spans="1:46" ht="30" x14ac:dyDescent="0.25">
      <c r="A205" s="1892"/>
      <c r="B205" s="2548"/>
      <c r="C205" s="1850"/>
      <c r="D205" s="1851"/>
      <c r="E205" s="2553"/>
      <c r="F205" s="2553"/>
      <c r="G205" s="2528"/>
      <c r="H205" s="2478"/>
      <c r="I205" s="2528"/>
      <c r="J205" s="2478"/>
      <c r="K205" s="2497"/>
      <c r="L205" s="2467"/>
      <c r="M205" s="2497"/>
      <c r="N205" s="2467"/>
      <c r="O205" s="2465"/>
      <c r="P205" s="2465"/>
      <c r="Q205" s="2481"/>
      <c r="R205" s="2482"/>
      <c r="S205" s="2507"/>
      <c r="T205" s="2510"/>
      <c r="U205" s="2473"/>
      <c r="V205" s="1857" t="s">
        <v>3142</v>
      </c>
      <c r="W205" s="1852">
        <v>10000000</v>
      </c>
      <c r="X205" s="1617" t="s">
        <v>3128</v>
      </c>
      <c r="Y205" s="1962">
        <v>20</v>
      </c>
      <c r="Z205" s="1622" t="s">
        <v>694</v>
      </c>
      <c r="AA205" s="2500"/>
      <c r="AB205" s="2500"/>
      <c r="AC205" s="2500"/>
      <c r="AD205" s="2500"/>
      <c r="AE205" s="2500"/>
      <c r="AF205" s="2500"/>
      <c r="AG205" s="2500"/>
      <c r="AH205" s="2500"/>
      <c r="AI205" s="2500"/>
      <c r="AJ205" s="2500"/>
      <c r="AK205" s="2500"/>
      <c r="AL205" s="2500"/>
      <c r="AM205" s="2500"/>
      <c r="AN205" s="2500"/>
      <c r="AO205" s="2500"/>
      <c r="AP205" s="2503"/>
      <c r="AQ205" s="2345"/>
      <c r="AR205" s="2506"/>
      <c r="AS205" s="2506"/>
      <c r="AT205" s="2506"/>
    </row>
    <row r="206" spans="1:46" ht="60" x14ac:dyDescent="0.25">
      <c r="A206" s="1892"/>
      <c r="B206" s="2548"/>
      <c r="C206" s="1850"/>
      <c r="D206" s="1851"/>
      <c r="E206" s="2553"/>
      <c r="F206" s="2553"/>
      <c r="G206" s="2528"/>
      <c r="H206" s="2478"/>
      <c r="I206" s="2528"/>
      <c r="J206" s="2478"/>
      <c r="K206" s="2497"/>
      <c r="L206" s="2467"/>
      <c r="M206" s="2497"/>
      <c r="N206" s="2467"/>
      <c r="O206" s="2465"/>
      <c r="P206" s="2465"/>
      <c r="Q206" s="2481"/>
      <c r="R206" s="2482"/>
      <c r="S206" s="2507"/>
      <c r="T206" s="2510"/>
      <c r="U206" s="2473"/>
      <c r="V206" s="1857" t="s">
        <v>3143</v>
      </c>
      <c r="W206" s="1852">
        <v>10000000</v>
      </c>
      <c r="X206" s="1617" t="s">
        <v>3131</v>
      </c>
      <c r="Y206" s="1964">
        <v>20</v>
      </c>
      <c r="Z206" s="1622" t="s">
        <v>694</v>
      </c>
      <c r="AA206" s="2500"/>
      <c r="AB206" s="2500"/>
      <c r="AC206" s="2500"/>
      <c r="AD206" s="2500"/>
      <c r="AE206" s="2500"/>
      <c r="AF206" s="2500"/>
      <c r="AG206" s="2500"/>
      <c r="AH206" s="2500"/>
      <c r="AI206" s="2500"/>
      <c r="AJ206" s="2500"/>
      <c r="AK206" s="2500"/>
      <c r="AL206" s="2500"/>
      <c r="AM206" s="2500"/>
      <c r="AN206" s="2500"/>
      <c r="AO206" s="2500"/>
      <c r="AP206" s="2503"/>
      <c r="AQ206" s="2345"/>
      <c r="AR206" s="2506"/>
      <c r="AS206" s="2506"/>
      <c r="AT206" s="2506"/>
    </row>
    <row r="207" spans="1:46" ht="30" x14ac:dyDescent="0.25">
      <c r="A207" s="1892"/>
      <c r="B207" s="2548"/>
      <c r="C207" s="1850"/>
      <c r="D207" s="1851"/>
      <c r="E207" s="2553"/>
      <c r="F207" s="2553"/>
      <c r="G207" s="2528"/>
      <c r="H207" s="2494"/>
      <c r="I207" s="2528"/>
      <c r="J207" s="2494"/>
      <c r="K207" s="2498"/>
      <c r="L207" s="2495"/>
      <c r="M207" s="2498"/>
      <c r="N207" s="2495"/>
      <c r="O207" s="2479"/>
      <c r="P207" s="2465"/>
      <c r="Q207" s="2481"/>
      <c r="R207" s="2482"/>
      <c r="S207" s="2507"/>
      <c r="T207" s="2510"/>
      <c r="U207" s="2473"/>
      <c r="V207" s="1857" t="s">
        <v>3144</v>
      </c>
      <c r="W207" s="1852">
        <v>10000000</v>
      </c>
      <c r="X207" s="1617" t="s">
        <v>3128</v>
      </c>
      <c r="Y207" s="1962">
        <v>20</v>
      </c>
      <c r="Z207" s="1622" t="s">
        <v>694</v>
      </c>
      <c r="AA207" s="2500"/>
      <c r="AB207" s="2500"/>
      <c r="AC207" s="2500"/>
      <c r="AD207" s="2500"/>
      <c r="AE207" s="2500"/>
      <c r="AF207" s="2500"/>
      <c r="AG207" s="2500"/>
      <c r="AH207" s="2500"/>
      <c r="AI207" s="2500"/>
      <c r="AJ207" s="2500"/>
      <c r="AK207" s="2500"/>
      <c r="AL207" s="2500"/>
      <c r="AM207" s="2500"/>
      <c r="AN207" s="2500"/>
      <c r="AO207" s="2500"/>
      <c r="AP207" s="2503"/>
      <c r="AQ207" s="2345"/>
      <c r="AR207" s="2506"/>
      <c r="AS207" s="2506"/>
      <c r="AT207" s="2506"/>
    </row>
    <row r="208" spans="1:46" ht="42.75" customHeight="1" x14ac:dyDescent="0.25">
      <c r="A208" s="1892"/>
      <c r="B208" s="2548"/>
      <c r="C208" s="1850"/>
      <c r="D208" s="1851"/>
      <c r="E208" s="2553"/>
      <c r="F208" s="2553"/>
      <c r="G208" s="2476" t="s">
        <v>62</v>
      </c>
      <c r="H208" s="2477" t="s">
        <v>3145</v>
      </c>
      <c r="I208" s="2476">
        <v>4502001</v>
      </c>
      <c r="J208" s="2477" t="s">
        <v>123</v>
      </c>
      <c r="K208" s="2476" t="s">
        <v>62</v>
      </c>
      <c r="L208" s="2466" t="s">
        <v>3146</v>
      </c>
      <c r="M208" s="2464">
        <v>450200111</v>
      </c>
      <c r="N208" s="2466" t="s">
        <v>3147</v>
      </c>
      <c r="O208" s="2464">
        <v>1</v>
      </c>
      <c r="P208" s="2465"/>
      <c r="Q208" s="2481"/>
      <c r="R208" s="2493">
        <f>SUM(W208:W212)/S192</f>
        <v>0.21252227782972752</v>
      </c>
      <c r="S208" s="2508"/>
      <c r="T208" s="2510"/>
      <c r="U208" s="2473"/>
      <c r="V208" s="1857" t="s">
        <v>3148</v>
      </c>
      <c r="W208" s="1852">
        <v>30000000</v>
      </c>
      <c r="X208" s="1617" t="s">
        <v>3149</v>
      </c>
      <c r="Y208" s="1962">
        <v>20</v>
      </c>
      <c r="Z208" s="1622" t="s">
        <v>694</v>
      </c>
      <c r="AA208" s="2500"/>
      <c r="AB208" s="2500"/>
      <c r="AC208" s="2500"/>
      <c r="AD208" s="2500"/>
      <c r="AE208" s="2500"/>
      <c r="AF208" s="2500"/>
      <c r="AG208" s="2500"/>
      <c r="AH208" s="2500"/>
      <c r="AI208" s="2500"/>
      <c r="AJ208" s="2500"/>
      <c r="AK208" s="2500"/>
      <c r="AL208" s="2500"/>
      <c r="AM208" s="2500"/>
      <c r="AN208" s="2500"/>
      <c r="AO208" s="2500"/>
      <c r="AP208" s="2503"/>
      <c r="AQ208" s="2345"/>
      <c r="AR208" s="2506"/>
      <c r="AS208" s="2506"/>
      <c r="AT208" s="2506"/>
    </row>
    <row r="209" spans="1:46" ht="45" x14ac:dyDescent="0.25">
      <c r="A209" s="1892"/>
      <c r="B209" s="2548"/>
      <c r="C209" s="1850"/>
      <c r="D209" s="1851"/>
      <c r="E209" s="2553"/>
      <c r="F209" s="2553"/>
      <c r="G209" s="2476"/>
      <c r="H209" s="2478"/>
      <c r="I209" s="2476"/>
      <c r="J209" s="2478"/>
      <c r="K209" s="2476"/>
      <c r="L209" s="2467"/>
      <c r="M209" s="2465"/>
      <c r="N209" s="2467"/>
      <c r="O209" s="2465"/>
      <c r="P209" s="2465"/>
      <c r="Q209" s="2481"/>
      <c r="R209" s="2470"/>
      <c r="S209" s="2508"/>
      <c r="T209" s="2510"/>
      <c r="U209" s="2473"/>
      <c r="V209" s="1857" t="s">
        <v>3150</v>
      </c>
      <c r="W209" s="1852">
        <v>30000000</v>
      </c>
      <c r="X209" s="1617" t="s">
        <v>3149</v>
      </c>
      <c r="Y209" s="1962">
        <v>20</v>
      </c>
      <c r="Z209" s="1622" t="s">
        <v>694</v>
      </c>
      <c r="AA209" s="2500"/>
      <c r="AB209" s="2500"/>
      <c r="AC209" s="2500"/>
      <c r="AD209" s="2500"/>
      <c r="AE209" s="2500"/>
      <c r="AF209" s="2500"/>
      <c r="AG209" s="2500"/>
      <c r="AH209" s="2500"/>
      <c r="AI209" s="2500"/>
      <c r="AJ209" s="2500"/>
      <c r="AK209" s="2500"/>
      <c r="AL209" s="2500"/>
      <c r="AM209" s="2500"/>
      <c r="AN209" s="2500"/>
      <c r="AO209" s="2500"/>
      <c r="AP209" s="2503"/>
      <c r="AQ209" s="2345"/>
      <c r="AR209" s="2506"/>
      <c r="AS209" s="2506"/>
      <c r="AT209" s="2506"/>
    </row>
    <row r="210" spans="1:46" ht="40.5" customHeight="1" x14ac:dyDescent="0.25">
      <c r="A210" s="1892"/>
      <c r="B210" s="2548"/>
      <c r="C210" s="1850"/>
      <c r="D210" s="1851"/>
      <c r="E210" s="2553"/>
      <c r="F210" s="2553"/>
      <c r="G210" s="2476"/>
      <c r="H210" s="2478"/>
      <c r="I210" s="2476"/>
      <c r="J210" s="2478"/>
      <c r="K210" s="2476"/>
      <c r="L210" s="2467"/>
      <c r="M210" s="2465"/>
      <c r="N210" s="2467"/>
      <c r="O210" s="2465"/>
      <c r="P210" s="2465"/>
      <c r="Q210" s="2481"/>
      <c r="R210" s="2470"/>
      <c r="S210" s="2508"/>
      <c r="T210" s="2510"/>
      <c r="U210" s="2473"/>
      <c r="V210" s="2491" t="s">
        <v>3151</v>
      </c>
      <c r="W210" s="1852">
        <f>5000000-3000000</f>
        <v>2000000</v>
      </c>
      <c r="X210" s="1617" t="s">
        <v>3149</v>
      </c>
      <c r="Y210" s="2489">
        <v>20</v>
      </c>
      <c r="Z210" s="2513" t="s">
        <v>694</v>
      </c>
      <c r="AA210" s="2500"/>
      <c r="AB210" s="2500"/>
      <c r="AC210" s="2500"/>
      <c r="AD210" s="2500"/>
      <c r="AE210" s="2500"/>
      <c r="AF210" s="2500"/>
      <c r="AG210" s="2500"/>
      <c r="AH210" s="2500"/>
      <c r="AI210" s="2500"/>
      <c r="AJ210" s="2500"/>
      <c r="AK210" s="2500"/>
      <c r="AL210" s="2500"/>
      <c r="AM210" s="2500"/>
      <c r="AN210" s="2500"/>
      <c r="AO210" s="2500"/>
      <c r="AP210" s="2503"/>
      <c r="AQ210" s="2345"/>
      <c r="AR210" s="2506"/>
      <c r="AS210" s="2506"/>
      <c r="AT210" s="2506"/>
    </row>
    <row r="211" spans="1:46" ht="50.25" customHeight="1" x14ac:dyDescent="0.25">
      <c r="A211" s="1892"/>
      <c r="B211" s="2548"/>
      <c r="C211" s="1850"/>
      <c r="D211" s="1851"/>
      <c r="E211" s="2553"/>
      <c r="F211" s="2553"/>
      <c r="G211" s="2476"/>
      <c r="H211" s="2478"/>
      <c r="I211" s="2476"/>
      <c r="J211" s="2478"/>
      <c r="K211" s="2476"/>
      <c r="L211" s="2467"/>
      <c r="M211" s="2465"/>
      <c r="N211" s="2467"/>
      <c r="O211" s="2465"/>
      <c r="P211" s="2465"/>
      <c r="Q211" s="2481"/>
      <c r="R211" s="2471"/>
      <c r="S211" s="2508"/>
      <c r="T211" s="2510"/>
      <c r="U211" s="2473"/>
      <c r="V211" s="2492"/>
      <c r="W211" s="1852">
        <v>5000000</v>
      </c>
      <c r="X211" s="1617" t="s">
        <v>3152</v>
      </c>
      <c r="Y211" s="2489"/>
      <c r="Z211" s="2513"/>
      <c r="AA211" s="2500"/>
      <c r="AB211" s="2500"/>
      <c r="AC211" s="2500"/>
      <c r="AD211" s="2500"/>
      <c r="AE211" s="2500"/>
      <c r="AF211" s="2500"/>
      <c r="AG211" s="2500"/>
      <c r="AH211" s="2500"/>
      <c r="AI211" s="2500"/>
      <c r="AJ211" s="2500"/>
      <c r="AK211" s="2500"/>
      <c r="AL211" s="2500"/>
      <c r="AM211" s="2500"/>
      <c r="AN211" s="2500"/>
      <c r="AO211" s="2500"/>
      <c r="AP211" s="2503"/>
      <c r="AQ211" s="2345"/>
      <c r="AR211" s="2506"/>
      <c r="AS211" s="2506"/>
      <c r="AT211" s="2506"/>
    </row>
    <row r="212" spans="1:46" ht="45" customHeight="1" x14ac:dyDescent="0.25">
      <c r="A212" s="1892"/>
      <c r="B212" s="2548"/>
      <c r="C212" s="1850"/>
      <c r="D212" s="1851"/>
      <c r="E212" s="2553"/>
      <c r="F212" s="2553"/>
      <c r="G212" s="2476"/>
      <c r="H212" s="2494"/>
      <c r="I212" s="2476"/>
      <c r="J212" s="2494"/>
      <c r="K212" s="2476"/>
      <c r="L212" s="2495"/>
      <c r="M212" s="2479"/>
      <c r="N212" s="2495"/>
      <c r="O212" s="2479"/>
      <c r="P212" s="2465"/>
      <c r="Q212" s="2481"/>
      <c r="R212" s="2471"/>
      <c r="S212" s="2508"/>
      <c r="T212" s="2510"/>
      <c r="U212" s="2473"/>
      <c r="V212" s="2492"/>
      <c r="W212" s="1852">
        <f>3000000+3000000</f>
        <v>6000000</v>
      </c>
      <c r="X212" s="1617" t="s">
        <v>3153</v>
      </c>
      <c r="Y212" s="2489"/>
      <c r="Z212" s="2513"/>
      <c r="AA212" s="2500"/>
      <c r="AB212" s="2500"/>
      <c r="AC212" s="2500"/>
      <c r="AD212" s="2500"/>
      <c r="AE212" s="2500"/>
      <c r="AF212" s="2500"/>
      <c r="AG212" s="2500"/>
      <c r="AH212" s="2500"/>
      <c r="AI212" s="2500"/>
      <c r="AJ212" s="2500"/>
      <c r="AK212" s="2500"/>
      <c r="AL212" s="2500"/>
      <c r="AM212" s="2500"/>
      <c r="AN212" s="2500"/>
      <c r="AO212" s="2500"/>
      <c r="AP212" s="2503"/>
      <c r="AQ212" s="2345"/>
      <c r="AR212" s="2506"/>
      <c r="AS212" s="2506"/>
      <c r="AT212" s="2506"/>
    </row>
    <row r="213" spans="1:46" ht="42.75" customHeight="1" x14ac:dyDescent="0.25">
      <c r="A213" s="1892"/>
      <c r="B213" s="2548"/>
      <c r="C213" s="1850"/>
      <c r="D213" s="1851"/>
      <c r="E213" s="2553"/>
      <c r="F213" s="2553"/>
      <c r="G213" s="2101" t="s">
        <v>62</v>
      </c>
      <c r="H213" s="2533" t="s">
        <v>3154</v>
      </c>
      <c r="I213" s="2101">
        <v>452001</v>
      </c>
      <c r="J213" s="2535" t="s">
        <v>3155</v>
      </c>
      <c r="K213" s="2538" t="s">
        <v>62</v>
      </c>
      <c r="L213" s="2466" t="s">
        <v>3156</v>
      </c>
      <c r="M213" s="2464">
        <v>45200109</v>
      </c>
      <c r="N213" s="2466" t="s">
        <v>3157</v>
      </c>
      <c r="O213" s="2464">
        <v>12</v>
      </c>
      <c r="P213" s="2465"/>
      <c r="Q213" s="2481"/>
      <c r="R213" s="2483">
        <f>SUM(W213:W221)/SUM(S192:S225)</f>
        <v>0.20638941183036003</v>
      </c>
      <c r="S213" s="2508"/>
      <c r="T213" s="2510"/>
      <c r="U213" s="2511"/>
      <c r="V213" s="2486" t="s">
        <v>3158</v>
      </c>
      <c r="W213" s="1669">
        <v>15000000</v>
      </c>
      <c r="X213" s="1617" t="s">
        <v>3159</v>
      </c>
      <c r="Y213" s="1962">
        <v>20</v>
      </c>
      <c r="Z213" s="1622" t="s">
        <v>694</v>
      </c>
      <c r="AA213" s="2500"/>
      <c r="AB213" s="2500"/>
      <c r="AC213" s="2500"/>
      <c r="AD213" s="2500"/>
      <c r="AE213" s="2500"/>
      <c r="AF213" s="2500"/>
      <c r="AG213" s="2500"/>
      <c r="AH213" s="2500"/>
      <c r="AI213" s="2500"/>
      <c r="AJ213" s="2500"/>
      <c r="AK213" s="2500"/>
      <c r="AL213" s="2500"/>
      <c r="AM213" s="2500"/>
      <c r="AN213" s="2500"/>
      <c r="AO213" s="2500"/>
      <c r="AP213" s="2503"/>
      <c r="AQ213" s="2345"/>
      <c r="AR213" s="2506"/>
      <c r="AS213" s="2506"/>
      <c r="AT213" s="2506"/>
    </row>
    <row r="214" spans="1:46" ht="42.75" customHeight="1" x14ac:dyDescent="0.25">
      <c r="A214" s="1892"/>
      <c r="B214" s="2548"/>
      <c r="C214" s="1850"/>
      <c r="D214" s="1851"/>
      <c r="E214" s="2553"/>
      <c r="F214" s="2553"/>
      <c r="G214" s="2102"/>
      <c r="H214" s="2473"/>
      <c r="I214" s="2102"/>
      <c r="J214" s="2536"/>
      <c r="K214" s="2465"/>
      <c r="L214" s="2467"/>
      <c r="M214" s="2465"/>
      <c r="N214" s="2467"/>
      <c r="O214" s="2465"/>
      <c r="P214" s="2465"/>
      <c r="Q214" s="2481"/>
      <c r="R214" s="2484"/>
      <c r="S214" s="2508"/>
      <c r="T214" s="2510"/>
      <c r="U214" s="2511"/>
      <c r="V214" s="2486"/>
      <c r="W214" s="1669">
        <v>16000000</v>
      </c>
      <c r="X214" s="1617" t="s">
        <v>3160</v>
      </c>
      <c r="Y214" s="1962">
        <v>88</v>
      </c>
      <c r="Z214" s="1622" t="s">
        <v>2876</v>
      </c>
      <c r="AA214" s="2500"/>
      <c r="AB214" s="2500"/>
      <c r="AC214" s="2500"/>
      <c r="AD214" s="2500"/>
      <c r="AE214" s="2500"/>
      <c r="AF214" s="2500"/>
      <c r="AG214" s="2500"/>
      <c r="AH214" s="2500"/>
      <c r="AI214" s="2500"/>
      <c r="AJ214" s="2500"/>
      <c r="AK214" s="2500"/>
      <c r="AL214" s="2500"/>
      <c r="AM214" s="2500"/>
      <c r="AN214" s="2500"/>
      <c r="AO214" s="2500"/>
      <c r="AP214" s="2503"/>
      <c r="AQ214" s="2345"/>
      <c r="AR214" s="2506"/>
      <c r="AS214" s="2506"/>
      <c r="AT214" s="2506"/>
    </row>
    <row r="215" spans="1:46" ht="30.75" customHeight="1" x14ac:dyDescent="0.25">
      <c r="A215" s="1892"/>
      <c r="B215" s="2548"/>
      <c r="C215" s="1850"/>
      <c r="D215" s="1851"/>
      <c r="E215" s="2553"/>
      <c r="F215" s="2553"/>
      <c r="G215" s="2102"/>
      <c r="H215" s="2473"/>
      <c r="I215" s="2102"/>
      <c r="J215" s="2536"/>
      <c r="K215" s="2465"/>
      <c r="L215" s="2467"/>
      <c r="M215" s="2465"/>
      <c r="N215" s="2467"/>
      <c r="O215" s="2465"/>
      <c r="P215" s="2465"/>
      <c r="Q215" s="2481"/>
      <c r="R215" s="2484"/>
      <c r="S215" s="2508"/>
      <c r="T215" s="2510"/>
      <c r="U215" s="2473"/>
      <c r="V215" s="2487" t="s">
        <v>3161</v>
      </c>
      <c r="W215" s="1669">
        <v>1000000</v>
      </c>
      <c r="X215" s="1617" t="s">
        <v>3162</v>
      </c>
      <c r="Y215" s="2489">
        <v>20</v>
      </c>
      <c r="Z215" s="2513" t="s">
        <v>694</v>
      </c>
      <c r="AA215" s="2500"/>
      <c r="AB215" s="2500"/>
      <c r="AC215" s="2500"/>
      <c r="AD215" s="2500"/>
      <c r="AE215" s="2500"/>
      <c r="AF215" s="2500"/>
      <c r="AG215" s="2500"/>
      <c r="AH215" s="2500"/>
      <c r="AI215" s="2500"/>
      <c r="AJ215" s="2500"/>
      <c r="AK215" s="2500"/>
      <c r="AL215" s="2500"/>
      <c r="AM215" s="2500"/>
      <c r="AN215" s="2500"/>
      <c r="AO215" s="2500"/>
      <c r="AP215" s="2503"/>
      <c r="AQ215" s="2345"/>
      <c r="AR215" s="2506"/>
      <c r="AS215" s="2506"/>
      <c r="AT215" s="2506"/>
    </row>
    <row r="216" spans="1:46" ht="43.5" customHeight="1" x14ac:dyDescent="0.25">
      <c r="A216" s="1892"/>
      <c r="B216" s="2548"/>
      <c r="C216" s="1850"/>
      <c r="D216" s="1851"/>
      <c r="E216" s="2553"/>
      <c r="F216" s="2553"/>
      <c r="G216" s="2102"/>
      <c r="H216" s="2473"/>
      <c r="I216" s="2102"/>
      <c r="J216" s="2536"/>
      <c r="K216" s="2465"/>
      <c r="L216" s="2467"/>
      <c r="M216" s="2465"/>
      <c r="N216" s="2467"/>
      <c r="O216" s="2465"/>
      <c r="P216" s="2465"/>
      <c r="Q216" s="2481"/>
      <c r="R216" s="2484"/>
      <c r="S216" s="2508"/>
      <c r="T216" s="2510"/>
      <c r="U216" s="2473"/>
      <c r="V216" s="2488"/>
      <c r="W216" s="1669">
        <v>1000000</v>
      </c>
      <c r="X216" s="1617" t="s">
        <v>3159</v>
      </c>
      <c r="Y216" s="2489"/>
      <c r="Z216" s="2513"/>
      <c r="AA216" s="2500"/>
      <c r="AB216" s="2500"/>
      <c r="AC216" s="2500"/>
      <c r="AD216" s="2500"/>
      <c r="AE216" s="2500"/>
      <c r="AF216" s="2500"/>
      <c r="AG216" s="2500"/>
      <c r="AH216" s="2500"/>
      <c r="AI216" s="2500"/>
      <c r="AJ216" s="2500"/>
      <c r="AK216" s="2500"/>
      <c r="AL216" s="2500"/>
      <c r="AM216" s="2500"/>
      <c r="AN216" s="2500"/>
      <c r="AO216" s="2500"/>
      <c r="AP216" s="2503"/>
      <c r="AQ216" s="2345"/>
      <c r="AR216" s="2506"/>
      <c r="AS216" s="2506"/>
      <c r="AT216" s="2506"/>
    </row>
    <row r="217" spans="1:46" ht="42" customHeight="1" x14ac:dyDescent="0.25">
      <c r="A217" s="1892"/>
      <c r="B217" s="2548"/>
      <c r="C217" s="1850"/>
      <c r="D217" s="1851"/>
      <c r="E217" s="2553"/>
      <c r="F217" s="2553"/>
      <c r="G217" s="2102"/>
      <c r="H217" s="2473"/>
      <c r="I217" s="2102"/>
      <c r="J217" s="2536"/>
      <c r="K217" s="2465"/>
      <c r="L217" s="2467"/>
      <c r="M217" s="2465"/>
      <c r="N217" s="2467"/>
      <c r="O217" s="2465"/>
      <c r="P217" s="2465"/>
      <c r="Q217" s="2481"/>
      <c r="R217" s="2484"/>
      <c r="S217" s="2508"/>
      <c r="T217" s="2510"/>
      <c r="U217" s="2473"/>
      <c r="V217" s="1965" t="s">
        <v>3163</v>
      </c>
      <c r="W217" s="1669">
        <v>7500000</v>
      </c>
      <c r="X217" s="1617" t="s">
        <v>3159</v>
      </c>
      <c r="Y217" s="1966">
        <v>20</v>
      </c>
      <c r="Z217" s="1622" t="s">
        <v>694</v>
      </c>
      <c r="AA217" s="2500"/>
      <c r="AB217" s="2500"/>
      <c r="AC217" s="2500"/>
      <c r="AD217" s="2500"/>
      <c r="AE217" s="2500"/>
      <c r="AF217" s="2500"/>
      <c r="AG217" s="2500"/>
      <c r="AH217" s="2500"/>
      <c r="AI217" s="2500"/>
      <c r="AJ217" s="2500"/>
      <c r="AK217" s="2500"/>
      <c r="AL217" s="2500"/>
      <c r="AM217" s="2500"/>
      <c r="AN217" s="2500"/>
      <c r="AO217" s="2500"/>
      <c r="AP217" s="2503"/>
      <c r="AQ217" s="2345"/>
      <c r="AR217" s="2506"/>
      <c r="AS217" s="2506"/>
      <c r="AT217" s="2506"/>
    </row>
    <row r="218" spans="1:46" ht="42.75" customHeight="1" x14ac:dyDescent="0.25">
      <c r="A218" s="1892"/>
      <c r="B218" s="2548"/>
      <c r="C218" s="1850"/>
      <c r="D218" s="1851"/>
      <c r="E218" s="2553"/>
      <c r="F218" s="2553"/>
      <c r="G218" s="2102"/>
      <c r="H218" s="2473"/>
      <c r="I218" s="2102"/>
      <c r="J218" s="2536"/>
      <c r="K218" s="2465"/>
      <c r="L218" s="2467"/>
      <c r="M218" s="2465"/>
      <c r="N218" s="2467"/>
      <c r="O218" s="2465"/>
      <c r="P218" s="2465"/>
      <c r="Q218" s="2481"/>
      <c r="R218" s="2484"/>
      <c r="S218" s="2508"/>
      <c r="T218" s="2510"/>
      <c r="U218" s="2473"/>
      <c r="V218" s="1965" t="s">
        <v>3164</v>
      </c>
      <c r="W218" s="1669">
        <v>500000</v>
      </c>
      <c r="X218" s="1617" t="s">
        <v>3159</v>
      </c>
      <c r="Y218" s="1967">
        <v>20</v>
      </c>
      <c r="Z218" s="1622" t="s">
        <v>694</v>
      </c>
      <c r="AA218" s="2500"/>
      <c r="AB218" s="2500"/>
      <c r="AC218" s="2500"/>
      <c r="AD218" s="2500"/>
      <c r="AE218" s="2500"/>
      <c r="AF218" s="2500"/>
      <c r="AG218" s="2500"/>
      <c r="AH218" s="2500"/>
      <c r="AI218" s="2500"/>
      <c r="AJ218" s="2500"/>
      <c r="AK218" s="2500"/>
      <c r="AL218" s="2500"/>
      <c r="AM218" s="2500"/>
      <c r="AN218" s="2500"/>
      <c r="AO218" s="2500"/>
      <c r="AP218" s="2503"/>
      <c r="AQ218" s="2345"/>
      <c r="AR218" s="2506"/>
      <c r="AS218" s="2506"/>
      <c r="AT218" s="2506"/>
    </row>
    <row r="219" spans="1:46" ht="57" customHeight="1" x14ac:dyDescent="0.25">
      <c r="A219" s="1892"/>
      <c r="B219" s="2548"/>
      <c r="C219" s="1850"/>
      <c r="D219" s="1851"/>
      <c r="E219" s="2553"/>
      <c r="F219" s="2553"/>
      <c r="G219" s="2102"/>
      <c r="H219" s="2473"/>
      <c r="I219" s="2102"/>
      <c r="J219" s="2536"/>
      <c r="K219" s="2465"/>
      <c r="L219" s="2467"/>
      <c r="M219" s="2465"/>
      <c r="N219" s="2467"/>
      <c r="O219" s="2465"/>
      <c r="P219" s="2465"/>
      <c r="Q219" s="2481"/>
      <c r="R219" s="2484"/>
      <c r="S219" s="2508"/>
      <c r="T219" s="2510"/>
      <c r="U219" s="2473"/>
      <c r="V219" s="2474" t="s">
        <v>3165</v>
      </c>
      <c r="W219" s="1669">
        <f>10000000-2000000</f>
        <v>8000000</v>
      </c>
      <c r="X219" s="1617" t="s">
        <v>3159</v>
      </c>
      <c r="Y219" s="1967">
        <v>20</v>
      </c>
      <c r="Z219" s="1622" t="s">
        <v>694</v>
      </c>
      <c r="AA219" s="2500"/>
      <c r="AB219" s="2500"/>
      <c r="AC219" s="2500"/>
      <c r="AD219" s="2500"/>
      <c r="AE219" s="2500"/>
      <c r="AF219" s="2500"/>
      <c r="AG219" s="2500"/>
      <c r="AH219" s="2500"/>
      <c r="AI219" s="2500"/>
      <c r="AJ219" s="2500"/>
      <c r="AK219" s="2500"/>
      <c r="AL219" s="2500"/>
      <c r="AM219" s="2500"/>
      <c r="AN219" s="2500"/>
      <c r="AO219" s="2500"/>
      <c r="AP219" s="2503"/>
      <c r="AQ219" s="2345"/>
      <c r="AR219" s="2506"/>
      <c r="AS219" s="2506"/>
      <c r="AT219" s="2506"/>
    </row>
    <row r="220" spans="1:46" ht="57" customHeight="1" x14ac:dyDescent="0.25">
      <c r="A220" s="1892"/>
      <c r="B220" s="2548"/>
      <c r="C220" s="1850"/>
      <c r="D220" s="1851"/>
      <c r="E220" s="2553"/>
      <c r="F220" s="2553"/>
      <c r="G220" s="2102"/>
      <c r="H220" s="2473"/>
      <c r="I220" s="2102"/>
      <c r="J220" s="2536"/>
      <c r="K220" s="2465"/>
      <c r="L220" s="2467"/>
      <c r="M220" s="2465"/>
      <c r="N220" s="2467"/>
      <c r="O220" s="2465"/>
      <c r="P220" s="2465"/>
      <c r="Q220" s="2481"/>
      <c r="R220" s="2484"/>
      <c r="S220" s="2508"/>
      <c r="T220" s="2510"/>
      <c r="U220" s="1968"/>
      <c r="V220" s="2490"/>
      <c r="W220" s="1669">
        <v>2000000</v>
      </c>
      <c r="X220" s="1617" t="s">
        <v>3162</v>
      </c>
      <c r="Y220" s="1967">
        <v>20</v>
      </c>
      <c r="Z220" s="1622" t="s">
        <v>694</v>
      </c>
      <c r="AA220" s="2500"/>
      <c r="AB220" s="2500"/>
      <c r="AC220" s="2500"/>
      <c r="AD220" s="2500"/>
      <c r="AE220" s="2500"/>
      <c r="AF220" s="2500"/>
      <c r="AG220" s="2500"/>
      <c r="AH220" s="2500"/>
      <c r="AI220" s="2500"/>
      <c r="AJ220" s="2500"/>
      <c r="AK220" s="2500"/>
      <c r="AL220" s="2500"/>
      <c r="AM220" s="2500"/>
      <c r="AN220" s="2500"/>
      <c r="AO220" s="2500"/>
      <c r="AP220" s="2503"/>
      <c r="AQ220" s="2345"/>
      <c r="AR220" s="2506"/>
      <c r="AS220" s="2506"/>
      <c r="AT220" s="2506"/>
    </row>
    <row r="221" spans="1:46" ht="45" customHeight="1" x14ac:dyDescent="0.25">
      <c r="A221" s="1892"/>
      <c r="B221" s="2548"/>
      <c r="C221" s="1850"/>
      <c r="D221" s="1851"/>
      <c r="E221" s="2553"/>
      <c r="F221" s="2553"/>
      <c r="G221" s="2532"/>
      <c r="H221" s="2534"/>
      <c r="I221" s="2532"/>
      <c r="J221" s="2537"/>
      <c r="K221" s="2479"/>
      <c r="L221" s="2495"/>
      <c r="M221" s="2479"/>
      <c r="N221" s="2495"/>
      <c r="O221" s="2479"/>
      <c r="P221" s="2465"/>
      <c r="Q221" s="2481"/>
      <c r="R221" s="2485"/>
      <c r="S221" s="2508"/>
      <c r="T221" s="2510"/>
      <c r="U221" s="1968"/>
      <c r="V221" s="2475"/>
      <c r="W221" s="1669">
        <v>19893401</v>
      </c>
      <c r="X221" s="1617" t="s">
        <v>3166</v>
      </c>
      <c r="Y221" s="1962">
        <v>88</v>
      </c>
      <c r="Z221" s="1622" t="s">
        <v>2876</v>
      </c>
      <c r="AA221" s="2500"/>
      <c r="AB221" s="2500"/>
      <c r="AC221" s="2500"/>
      <c r="AD221" s="2500"/>
      <c r="AE221" s="2500"/>
      <c r="AF221" s="2500"/>
      <c r="AG221" s="2500"/>
      <c r="AH221" s="2500"/>
      <c r="AI221" s="2500"/>
      <c r="AJ221" s="2500"/>
      <c r="AK221" s="2500"/>
      <c r="AL221" s="2500"/>
      <c r="AM221" s="2500"/>
      <c r="AN221" s="2500"/>
      <c r="AO221" s="2500"/>
      <c r="AP221" s="2503"/>
      <c r="AQ221" s="2345"/>
      <c r="AR221" s="2506"/>
      <c r="AS221" s="2506"/>
      <c r="AT221" s="2506"/>
    </row>
    <row r="222" spans="1:46" ht="42.75" customHeight="1" x14ac:dyDescent="0.25">
      <c r="A222" s="1892"/>
      <c r="B222" s="2548"/>
      <c r="C222" s="1850"/>
      <c r="D222" s="1851"/>
      <c r="E222" s="2553"/>
      <c r="F222" s="2553"/>
      <c r="G222" s="2476" t="s">
        <v>62</v>
      </c>
      <c r="H222" s="2477" t="s">
        <v>3167</v>
      </c>
      <c r="I222" s="2476">
        <v>4502035</v>
      </c>
      <c r="J222" s="2477" t="s">
        <v>1427</v>
      </c>
      <c r="K222" s="2476" t="s">
        <v>62</v>
      </c>
      <c r="L222" s="2466" t="s">
        <v>3168</v>
      </c>
      <c r="M222" s="2464">
        <v>450203501</v>
      </c>
      <c r="N222" s="2466" t="s">
        <v>3169</v>
      </c>
      <c r="O222" s="2468">
        <v>0.4</v>
      </c>
      <c r="P222" s="2465"/>
      <c r="Q222" s="2481"/>
      <c r="R222" s="2470">
        <f>SUM(W222:W225)/SUM(S192:S225)</f>
        <v>0.12984237796172393</v>
      </c>
      <c r="S222" s="2508"/>
      <c r="T222" s="2510"/>
      <c r="U222" s="2472" t="s">
        <v>3170</v>
      </c>
      <c r="V222" s="2474" t="s">
        <v>3171</v>
      </c>
      <c r="W222" s="1852">
        <v>13000000</v>
      </c>
      <c r="X222" s="1617" t="s">
        <v>3172</v>
      </c>
      <c r="Y222" s="1967">
        <v>20</v>
      </c>
      <c r="Z222" s="1622" t="s">
        <v>694</v>
      </c>
      <c r="AA222" s="2500"/>
      <c r="AB222" s="2500"/>
      <c r="AC222" s="2500"/>
      <c r="AD222" s="2500"/>
      <c r="AE222" s="2500"/>
      <c r="AF222" s="2500"/>
      <c r="AG222" s="2500"/>
      <c r="AH222" s="2500"/>
      <c r="AI222" s="2500"/>
      <c r="AJ222" s="2500"/>
      <c r="AK222" s="2500"/>
      <c r="AL222" s="2500"/>
      <c r="AM222" s="2500"/>
      <c r="AN222" s="2500"/>
      <c r="AO222" s="2500"/>
      <c r="AP222" s="2503"/>
      <c r="AQ222" s="2345"/>
      <c r="AR222" s="2506"/>
      <c r="AS222" s="2506"/>
      <c r="AT222" s="2506"/>
    </row>
    <row r="223" spans="1:46" ht="42.75" customHeight="1" x14ac:dyDescent="0.25">
      <c r="A223" s="1892"/>
      <c r="B223" s="2548"/>
      <c r="C223" s="1850"/>
      <c r="D223" s="1851"/>
      <c r="E223" s="2553"/>
      <c r="F223" s="2553"/>
      <c r="G223" s="2476"/>
      <c r="H223" s="2478"/>
      <c r="I223" s="2476"/>
      <c r="J223" s="2478"/>
      <c r="K223" s="2476"/>
      <c r="L223" s="2467"/>
      <c r="M223" s="2465"/>
      <c r="N223" s="2467"/>
      <c r="O223" s="2469"/>
      <c r="P223" s="2465"/>
      <c r="Q223" s="2481"/>
      <c r="R223" s="2470"/>
      <c r="S223" s="2508"/>
      <c r="T223" s="2510"/>
      <c r="U223" s="2473"/>
      <c r="V223" s="2475"/>
      <c r="W223" s="1852">
        <v>19600000</v>
      </c>
      <c r="X223" s="1617" t="s">
        <v>3173</v>
      </c>
      <c r="Y223" s="1962">
        <v>88</v>
      </c>
      <c r="Z223" s="1622" t="s">
        <v>2876</v>
      </c>
      <c r="AA223" s="2500"/>
      <c r="AB223" s="2500"/>
      <c r="AC223" s="2500"/>
      <c r="AD223" s="2500"/>
      <c r="AE223" s="2500"/>
      <c r="AF223" s="2500"/>
      <c r="AG223" s="2500"/>
      <c r="AH223" s="2500"/>
      <c r="AI223" s="2500"/>
      <c r="AJ223" s="2500"/>
      <c r="AK223" s="2500"/>
      <c r="AL223" s="2500"/>
      <c r="AM223" s="2500"/>
      <c r="AN223" s="2500"/>
      <c r="AO223" s="2500"/>
      <c r="AP223" s="2503"/>
      <c r="AQ223" s="2345"/>
      <c r="AR223" s="2506"/>
      <c r="AS223" s="2506"/>
      <c r="AT223" s="2506"/>
    </row>
    <row r="224" spans="1:46" ht="50.25" customHeight="1" x14ac:dyDescent="0.25">
      <c r="A224" s="1892"/>
      <c r="B224" s="2548"/>
      <c r="C224" s="1850"/>
      <c r="D224" s="1851"/>
      <c r="E224" s="2553"/>
      <c r="F224" s="2553"/>
      <c r="G224" s="2476"/>
      <c r="H224" s="2478"/>
      <c r="I224" s="2476"/>
      <c r="J224" s="2478"/>
      <c r="K224" s="2476"/>
      <c r="L224" s="2467"/>
      <c r="M224" s="2465"/>
      <c r="N224" s="2467"/>
      <c r="O224" s="2469"/>
      <c r="P224" s="2465"/>
      <c r="Q224" s="2481"/>
      <c r="R224" s="2470"/>
      <c r="S224" s="2508"/>
      <c r="T224" s="2510"/>
      <c r="U224" s="2473"/>
      <c r="V224" s="1857" t="s">
        <v>3174</v>
      </c>
      <c r="W224" s="1852">
        <v>2000000</v>
      </c>
      <c r="X224" s="1617" t="s">
        <v>3175</v>
      </c>
      <c r="Y224" s="1967">
        <v>20</v>
      </c>
      <c r="Z224" s="1622" t="s">
        <v>694</v>
      </c>
      <c r="AA224" s="2500"/>
      <c r="AB224" s="2500"/>
      <c r="AC224" s="2500"/>
      <c r="AD224" s="2500"/>
      <c r="AE224" s="2500"/>
      <c r="AF224" s="2500"/>
      <c r="AG224" s="2500"/>
      <c r="AH224" s="2500"/>
      <c r="AI224" s="2500"/>
      <c r="AJ224" s="2500"/>
      <c r="AK224" s="2500"/>
      <c r="AL224" s="2500"/>
      <c r="AM224" s="2500"/>
      <c r="AN224" s="2500"/>
      <c r="AO224" s="2500"/>
      <c r="AP224" s="2503"/>
      <c r="AQ224" s="2345"/>
      <c r="AR224" s="2506"/>
      <c r="AS224" s="2506"/>
      <c r="AT224" s="2506"/>
    </row>
    <row r="225" spans="1:46" ht="73.5" customHeight="1" x14ac:dyDescent="0.25">
      <c r="A225" s="1937"/>
      <c r="B225" s="2549"/>
      <c r="C225" s="1896"/>
      <c r="D225" s="1911"/>
      <c r="E225" s="2553"/>
      <c r="F225" s="2553"/>
      <c r="G225" s="2101"/>
      <c r="H225" s="2478"/>
      <c r="I225" s="2101"/>
      <c r="J225" s="2478"/>
      <c r="K225" s="2101"/>
      <c r="L225" s="2467"/>
      <c r="M225" s="2465"/>
      <c r="N225" s="2467"/>
      <c r="O225" s="2469"/>
      <c r="P225" s="2465"/>
      <c r="Q225" s="2481"/>
      <c r="R225" s="2471"/>
      <c r="S225" s="2508"/>
      <c r="T225" s="2510"/>
      <c r="U225" s="2473"/>
      <c r="V225" s="1857" t="s">
        <v>3176</v>
      </c>
      <c r="W225" s="1852">
        <v>10000000</v>
      </c>
      <c r="X225" s="1617" t="s">
        <v>3172</v>
      </c>
      <c r="Y225" s="1967">
        <v>20</v>
      </c>
      <c r="Z225" s="1622" t="s">
        <v>694</v>
      </c>
      <c r="AA225" s="2501"/>
      <c r="AB225" s="2501"/>
      <c r="AC225" s="2501"/>
      <c r="AD225" s="2501"/>
      <c r="AE225" s="2501"/>
      <c r="AF225" s="2501"/>
      <c r="AG225" s="2501"/>
      <c r="AH225" s="2501"/>
      <c r="AI225" s="2501"/>
      <c r="AJ225" s="2501"/>
      <c r="AK225" s="2501"/>
      <c r="AL225" s="2501"/>
      <c r="AM225" s="2501"/>
      <c r="AN225" s="2501"/>
      <c r="AO225" s="2501"/>
      <c r="AP225" s="2504"/>
      <c r="AQ225" s="2345"/>
      <c r="AR225" s="2506"/>
      <c r="AS225" s="2506"/>
      <c r="AT225" s="2506"/>
    </row>
    <row r="226" spans="1:46" ht="27" customHeight="1" x14ac:dyDescent="0.25">
      <c r="A226" s="1969"/>
      <c r="B226" s="1970"/>
      <c r="C226" s="1970"/>
      <c r="D226" s="1970"/>
      <c r="E226" s="1970"/>
      <c r="F226" s="1970"/>
      <c r="G226" s="1970"/>
      <c r="H226" s="1971"/>
      <c r="I226" s="1970"/>
      <c r="J226" s="1971"/>
      <c r="K226" s="1970"/>
      <c r="L226" s="1971"/>
      <c r="M226" s="1970"/>
      <c r="N226" s="1971"/>
      <c r="O226" s="1970"/>
      <c r="P226" s="1970"/>
      <c r="Q226" s="1971"/>
      <c r="R226" s="1972"/>
      <c r="S226" s="1973">
        <f>SUM(S9:S225)</f>
        <v>6632641520.3299999</v>
      </c>
      <c r="T226" s="1974"/>
      <c r="U226" s="1975"/>
      <c r="V226" s="1976" t="s">
        <v>113</v>
      </c>
      <c r="W226" s="1698">
        <f>SUM(W9:W225)</f>
        <v>6632641520.3299999</v>
      </c>
      <c r="X226" s="1977"/>
      <c r="Y226" s="1978"/>
      <c r="Z226" s="1979"/>
      <c r="AA226" s="1980"/>
      <c r="AB226" s="1980"/>
      <c r="AC226" s="1980"/>
      <c r="AD226" s="1980"/>
      <c r="AE226" s="1980"/>
      <c r="AF226" s="1980"/>
      <c r="AG226" s="1980"/>
      <c r="AH226" s="1980"/>
      <c r="AI226" s="1980"/>
      <c r="AJ226" s="1980"/>
      <c r="AK226" s="1980"/>
      <c r="AL226" s="1980"/>
      <c r="AM226" s="1980"/>
      <c r="AN226" s="1980"/>
      <c r="AO226" s="1980"/>
      <c r="AP226" s="1980"/>
      <c r="AQ226" s="1981"/>
      <c r="AR226" s="1981"/>
      <c r="AS226" s="1981"/>
      <c r="AT226" s="1981"/>
    </row>
  </sheetData>
  <sheetProtection algorithmName="SHA-512" hashValue="fkTaGLYXOT7cfp/q0lUFkp74ugCJ52adPAsVYtzbrJ7RI5DncGxkkX3+XPo7Y0j8ZPpwP0ssHhcFklBjeRL+cA==" saltValue="Wh8+rdQGbUfyA5ySUhOmpA==" spinCount="100000" sheet="1" objects="1" scenarios="1"/>
  <mergeCells count="681">
    <mergeCell ref="A1:AR4"/>
    <mergeCell ref="A5:O6"/>
    <mergeCell ref="P5:AT5"/>
    <mergeCell ref="AA6:AP6"/>
    <mergeCell ref="A7:B7"/>
    <mergeCell ref="C7:D7"/>
    <mergeCell ref="E7:F7"/>
    <mergeCell ref="G7:J7"/>
    <mergeCell ref="K7:N7"/>
    <mergeCell ref="O7:W7"/>
    <mergeCell ref="AR7:AR8"/>
    <mergeCell ref="AS7:AS8"/>
    <mergeCell ref="AT7:AT8"/>
    <mergeCell ref="AC7:AF7"/>
    <mergeCell ref="AG7:AL7"/>
    <mergeCell ref="AM7:AO7"/>
    <mergeCell ref="AP7:AP8"/>
    <mergeCell ref="B9:F9"/>
    <mergeCell ref="D10:I10"/>
    <mergeCell ref="A11:A30"/>
    <mergeCell ref="B11:B30"/>
    <mergeCell ref="F11:P11"/>
    <mergeCell ref="E12:E20"/>
    <mergeCell ref="F12:F20"/>
    <mergeCell ref="X7:Z7"/>
    <mergeCell ref="AA7:AB7"/>
    <mergeCell ref="M12:M20"/>
    <mergeCell ref="N12:N20"/>
    <mergeCell ref="O12:O20"/>
    <mergeCell ref="P12:P20"/>
    <mergeCell ref="Q12:Q20"/>
    <mergeCell ref="R12:R20"/>
    <mergeCell ref="G12:G20"/>
    <mergeCell ref="H12:H20"/>
    <mergeCell ref="I12:I20"/>
    <mergeCell ref="J12:J20"/>
    <mergeCell ref="K12:K20"/>
    <mergeCell ref="L12:L20"/>
    <mergeCell ref="M22:M24"/>
    <mergeCell ref="N22:N24"/>
    <mergeCell ref="O22:O24"/>
    <mergeCell ref="AC12:AC20"/>
    <mergeCell ref="AD12:AD20"/>
    <mergeCell ref="AE12:AE20"/>
    <mergeCell ref="AF12:AF20"/>
    <mergeCell ref="AG12:AG20"/>
    <mergeCell ref="AH12:AH20"/>
    <mergeCell ref="S12:S20"/>
    <mergeCell ref="T12:T20"/>
    <mergeCell ref="U12:U20"/>
    <mergeCell ref="V12:V13"/>
    <mergeCell ref="AA12:AA20"/>
    <mergeCell ref="AB12:AB20"/>
    <mergeCell ref="V15:V16"/>
    <mergeCell ref="AO12:AO20"/>
    <mergeCell ref="AP12:AP20"/>
    <mergeCell ref="AQ12:AQ20"/>
    <mergeCell ref="AR12:AR20"/>
    <mergeCell ref="AS12:AS20"/>
    <mergeCell ref="AT12:AT20"/>
    <mergeCell ref="AI12:AI20"/>
    <mergeCell ref="AJ12:AJ20"/>
    <mergeCell ref="AK12:AK20"/>
    <mergeCell ref="AL12:AL20"/>
    <mergeCell ref="AM12:AM20"/>
    <mergeCell ref="AN12:AN20"/>
    <mergeCell ref="P22:P24"/>
    <mergeCell ref="Q22:Q24"/>
    <mergeCell ref="R22:R24"/>
    <mergeCell ref="F21:N21"/>
    <mergeCell ref="AQ21:AT21"/>
    <mergeCell ref="E22:E24"/>
    <mergeCell ref="F22:F24"/>
    <mergeCell ref="G22:G24"/>
    <mergeCell ref="H22:H24"/>
    <mergeCell ref="I22:I24"/>
    <mergeCell ref="J22:J24"/>
    <mergeCell ref="K22:K24"/>
    <mergeCell ref="L22:L24"/>
    <mergeCell ref="AC22:AC24"/>
    <mergeCell ref="AD22:AD24"/>
    <mergeCell ref="AE22:AE24"/>
    <mergeCell ref="AF22:AF24"/>
    <mergeCell ref="AG22:AG24"/>
    <mergeCell ref="AH22:AH24"/>
    <mergeCell ref="S22:S24"/>
    <mergeCell ref="T22:T24"/>
    <mergeCell ref="U22:U24"/>
    <mergeCell ref="V22:V23"/>
    <mergeCell ref="AA22:AA24"/>
    <mergeCell ref="AB22:AB24"/>
    <mergeCell ref="AO22:AO24"/>
    <mergeCell ref="AP22:AP24"/>
    <mergeCell ref="AQ22:AQ24"/>
    <mergeCell ref="AR22:AR24"/>
    <mergeCell ref="AS22:AS24"/>
    <mergeCell ref="AT22:AT24"/>
    <mergeCell ref="AI22:AI24"/>
    <mergeCell ref="AJ22:AJ24"/>
    <mergeCell ref="AK22:AK24"/>
    <mergeCell ref="AL22:AL24"/>
    <mergeCell ref="AM22:AM24"/>
    <mergeCell ref="AN22:AN24"/>
    <mergeCell ref="F25:N25"/>
    <mergeCell ref="AQ25:AT25"/>
    <mergeCell ref="E26:E30"/>
    <mergeCell ref="F26:F30"/>
    <mergeCell ref="G26:G30"/>
    <mergeCell ref="H26:H30"/>
    <mergeCell ref="I26:I30"/>
    <mergeCell ref="J26:J30"/>
    <mergeCell ref="K26:K30"/>
    <mergeCell ref="L26:L30"/>
    <mergeCell ref="S26:S30"/>
    <mergeCell ref="T26:T30"/>
    <mergeCell ref="U26:U30"/>
    <mergeCell ref="AA26:AA30"/>
    <mergeCell ref="AB26:AB30"/>
    <mergeCell ref="AC26:AC30"/>
    <mergeCell ref="M26:M30"/>
    <mergeCell ref="N26:N30"/>
    <mergeCell ref="O26:O30"/>
    <mergeCell ref="P26:P30"/>
    <mergeCell ref="Q26:Q30"/>
    <mergeCell ref="R26:R30"/>
    <mergeCell ref="AP26:AP30"/>
    <mergeCell ref="AQ26:AQ30"/>
    <mergeCell ref="AR26:AR30"/>
    <mergeCell ref="AS26:AS30"/>
    <mergeCell ref="AT26:AT30"/>
    <mergeCell ref="V27:V29"/>
    <mergeCell ref="Y27:Y29"/>
    <mergeCell ref="Z27:Z29"/>
    <mergeCell ref="AJ26:AJ30"/>
    <mergeCell ref="AK26:AK30"/>
    <mergeCell ref="AL26:AL30"/>
    <mergeCell ref="AM26:AM30"/>
    <mergeCell ref="AN26:AN30"/>
    <mergeCell ref="AO26:AO30"/>
    <mergeCell ref="AD26:AD30"/>
    <mergeCell ref="AE26:AE30"/>
    <mergeCell ref="AF26:AF30"/>
    <mergeCell ref="AG26:AG30"/>
    <mergeCell ref="AH26:AH30"/>
    <mergeCell ref="AI26:AI30"/>
    <mergeCell ref="D31:G31"/>
    <mergeCell ref="AQ31:AT31"/>
    <mergeCell ref="F32:N32"/>
    <mergeCell ref="AQ32:AT32"/>
    <mergeCell ref="E33:E38"/>
    <mergeCell ref="F33:F38"/>
    <mergeCell ref="G33:G38"/>
    <mergeCell ref="H33:H38"/>
    <mergeCell ref="I33:I38"/>
    <mergeCell ref="J33:J38"/>
    <mergeCell ref="Q33:Q38"/>
    <mergeCell ref="R33:R38"/>
    <mergeCell ref="S33:S38"/>
    <mergeCell ref="T33:T38"/>
    <mergeCell ref="U33:U38"/>
    <mergeCell ref="V33:V34"/>
    <mergeCell ref="K33:K38"/>
    <mergeCell ref="L33:L38"/>
    <mergeCell ref="M33:M38"/>
    <mergeCell ref="N33:N38"/>
    <mergeCell ref="O33:O38"/>
    <mergeCell ref="P33:P38"/>
    <mergeCell ref="AS33:AS38"/>
    <mergeCell ref="AT33:AT38"/>
    <mergeCell ref="V35:V36"/>
    <mergeCell ref="V37:V38"/>
    <mergeCell ref="D39:I39"/>
    <mergeCell ref="AQ39:AT39"/>
    <mergeCell ref="AM33:AM38"/>
    <mergeCell ref="AN33:AN38"/>
    <mergeCell ref="AO33:AO38"/>
    <mergeCell ref="AP33:AP38"/>
    <mergeCell ref="AQ33:AQ38"/>
    <mergeCell ref="AR33:AR38"/>
    <mergeCell ref="AG33:AG38"/>
    <mergeCell ref="AH33:AH38"/>
    <mergeCell ref="AI33:AI38"/>
    <mergeCell ref="AJ33:AJ38"/>
    <mergeCell ref="AK33:AK38"/>
    <mergeCell ref="AL33:AL38"/>
    <mergeCell ref="AA33:AA38"/>
    <mergeCell ref="AB33:AB38"/>
    <mergeCell ref="AC33:AC38"/>
    <mergeCell ref="AD33:AD38"/>
    <mergeCell ref="AE33:AE38"/>
    <mergeCell ref="AF33:AF38"/>
    <mergeCell ref="A40:A100"/>
    <mergeCell ref="F40:M40"/>
    <mergeCell ref="AQ40:AT40"/>
    <mergeCell ref="E41:E89"/>
    <mergeCell ref="F41:F89"/>
    <mergeCell ref="G41:G60"/>
    <mergeCell ref="H41:H60"/>
    <mergeCell ref="I41:I60"/>
    <mergeCell ref="J41:J60"/>
    <mergeCell ref="K41:K60"/>
    <mergeCell ref="L41:L60"/>
    <mergeCell ref="M41:M60"/>
    <mergeCell ref="N41:N60"/>
    <mergeCell ref="O41:O60"/>
    <mergeCell ref="P41:P89"/>
    <mergeCell ref="Q41:Q89"/>
    <mergeCell ref="M61:M66"/>
    <mergeCell ref="N61:N66"/>
    <mergeCell ref="O61:O66"/>
    <mergeCell ref="M67:M75"/>
    <mergeCell ref="R41:R60"/>
    <mergeCell ref="S41:S89"/>
    <mergeCell ref="T41:T89"/>
    <mergeCell ref="U41:U60"/>
    <mergeCell ref="V41:V42"/>
    <mergeCell ref="AA41:AA89"/>
    <mergeCell ref="R61:R66"/>
    <mergeCell ref="U61:U66"/>
    <mergeCell ref="V63:V64"/>
    <mergeCell ref="AJ41:AJ89"/>
    <mergeCell ref="AK41:AK89"/>
    <mergeCell ref="AL41:AL89"/>
    <mergeCell ref="AM41:AM89"/>
    <mergeCell ref="AB41:AB89"/>
    <mergeCell ref="AC41:AC89"/>
    <mergeCell ref="AD41:AD89"/>
    <mergeCell ref="AE41:AE89"/>
    <mergeCell ref="AF41:AF89"/>
    <mergeCell ref="AG41:AG89"/>
    <mergeCell ref="G61:G66"/>
    <mergeCell ref="H61:H66"/>
    <mergeCell ref="I61:I66"/>
    <mergeCell ref="J61:J66"/>
    <mergeCell ref="K61:K66"/>
    <mergeCell ref="L61:L66"/>
    <mergeCell ref="AT41:AT89"/>
    <mergeCell ref="V43:V44"/>
    <mergeCell ref="V45:V46"/>
    <mergeCell ref="V47:V50"/>
    <mergeCell ref="V51:V52"/>
    <mergeCell ref="V53:V54"/>
    <mergeCell ref="V55:V56"/>
    <mergeCell ref="V57:V58"/>
    <mergeCell ref="V59:V60"/>
    <mergeCell ref="V61:V62"/>
    <mergeCell ref="AN41:AN89"/>
    <mergeCell ref="AO41:AO89"/>
    <mergeCell ref="AP41:AP89"/>
    <mergeCell ref="AQ41:AQ89"/>
    <mergeCell ref="AR41:AR89"/>
    <mergeCell ref="AS41:AS89"/>
    <mergeCell ref="AH41:AH89"/>
    <mergeCell ref="AI41:AI89"/>
    <mergeCell ref="N67:N75"/>
    <mergeCell ref="O67:O75"/>
    <mergeCell ref="R67:R75"/>
    <mergeCell ref="U67:U75"/>
    <mergeCell ref="V69:V71"/>
    <mergeCell ref="V73:V74"/>
    <mergeCell ref="G67:G75"/>
    <mergeCell ref="H67:H75"/>
    <mergeCell ref="I67:I75"/>
    <mergeCell ref="J67:J75"/>
    <mergeCell ref="K67:K75"/>
    <mergeCell ref="L67:L75"/>
    <mergeCell ref="M76:M81"/>
    <mergeCell ref="N76:N81"/>
    <mergeCell ref="O76:O81"/>
    <mergeCell ref="R76:R81"/>
    <mergeCell ref="U76:U81"/>
    <mergeCell ref="V76:V81"/>
    <mergeCell ref="G76:G81"/>
    <mergeCell ref="H76:H81"/>
    <mergeCell ref="I76:I81"/>
    <mergeCell ref="J76:J81"/>
    <mergeCell ref="K76:K81"/>
    <mergeCell ref="L76:L81"/>
    <mergeCell ref="M82:M89"/>
    <mergeCell ref="N82:N89"/>
    <mergeCell ref="O82:O89"/>
    <mergeCell ref="R82:R89"/>
    <mergeCell ref="U82:U89"/>
    <mergeCell ref="V82:V83"/>
    <mergeCell ref="V84:V85"/>
    <mergeCell ref="V87:V89"/>
    <mergeCell ref="G82:G89"/>
    <mergeCell ref="H82:H89"/>
    <mergeCell ref="I82:I89"/>
    <mergeCell ref="J82:J89"/>
    <mergeCell ref="K82:K89"/>
    <mergeCell ref="L82:L89"/>
    <mergeCell ref="M91:M100"/>
    <mergeCell ref="N91:N100"/>
    <mergeCell ref="O91:O100"/>
    <mergeCell ref="P91:P100"/>
    <mergeCell ref="Q91:Q100"/>
    <mergeCell ref="R91:R100"/>
    <mergeCell ref="F90:P90"/>
    <mergeCell ref="AQ90:AT90"/>
    <mergeCell ref="E91:E100"/>
    <mergeCell ref="F91:F100"/>
    <mergeCell ref="G91:G100"/>
    <mergeCell ref="H91:H100"/>
    <mergeCell ref="I91:I100"/>
    <mergeCell ref="J91:J100"/>
    <mergeCell ref="K91:K100"/>
    <mergeCell ref="L91:L100"/>
    <mergeCell ref="AC91:AC100"/>
    <mergeCell ref="AD91:AD100"/>
    <mergeCell ref="AE91:AE100"/>
    <mergeCell ref="AF91:AF100"/>
    <mergeCell ref="AG91:AG100"/>
    <mergeCell ref="AH91:AH100"/>
    <mergeCell ref="S91:S100"/>
    <mergeCell ref="T91:T100"/>
    <mergeCell ref="U91:U100"/>
    <mergeCell ref="V91:V93"/>
    <mergeCell ref="AA91:AA100"/>
    <mergeCell ref="AB91:AB100"/>
    <mergeCell ref="V94:V98"/>
    <mergeCell ref="V99:V100"/>
    <mergeCell ref="AO91:AO100"/>
    <mergeCell ref="AP91:AP100"/>
    <mergeCell ref="AQ91:AQ100"/>
    <mergeCell ref="AR91:AR100"/>
    <mergeCell ref="AS91:AS100"/>
    <mergeCell ref="AT91:AT100"/>
    <mergeCell ref="AI91:AI100"/>
    <mergeCell ref="AJ91:AJ100"/>
    <mergeCell ref="AK91:AK100"/>
    <mergeCell ref="AL91:AL100"/>
    <mergeCell ref="AM91:AM100"/>
    <mergeCell ref="AN91:AN100"/>
    <mergeCell ref="D101:H101"/>
    <mergeCell ref="AQ101:AT101"/>
    <mergeCell ref="A102:A125"/>
    <mergeCell ref="B102:B125"/>
    <mergeCell ref="F102:N102"/>
    <mergeCell ref="AQ102:AT102"/>
    <mergeCell ref="E103:E121"/>
    <mergeCell ref="F103:F121"/>
    <mergeCell ref="G103:G121"/>
    <mergeCell ref="H103:H121"/>
    <mergeCell ref="AT103:AT121"/>
    <mergeCell ref="V106:V107"/>
    <mergeCell ref="V108:V109"/>
    <mergeCell ref="V112:V113"/>
    <mergeCell ref="Y112:Y113"/>
    <mergeCell ref="Z112:Z113"/>
    <mergeCell ref="V116:V118"/>
    <mergeCell ref="AK103:AK121"/>
    <mergeCell ref="AL103:AL121"/>
    <mergeCell ref="AM103:AM121"/>
    <mergeCell ref="AN103:AN121"/>
    <mergeCell ref="AO103:AO121"/>
    <mergeCell ref="AP103:AP121"/>
    <mergeCell ref="AE103:AE121"/>
    <mergeCell ref="AF103:AF121"/>
    <mergeCell ref="AG103:AG121"/>
    <mergeCell ref="AH103:AH121"/>
    <mergeCell ref="AI103:AI121"/>
    <mergeCell ref="AJ103:AJ121"/>
    <mergeCell ref="V103:V104"/>
    <mergeCell ref="AA103:AA121"/>
    <mergeCell ref="AB103:AB121"/>
    <mergeCell ref="AC103:AC121"/>
    <mergeCell ref="AD103:AD121"/>
    <mergeCell ref="E122:E125"/>
    <mergeCell ref="F122:F125"/>
    <mergeCell ref="G122:G125"/>
    <mergeCell ref="H122:H125"/>
    <mergeCell ref="I122:I125"/>
    <mergeCell ref="J122:J125"/>
    <mergeCell ref="AQ103:AQ121"/>
    <mergeCell ref="AR103:AR121"/>
    <mergeCell ref="AS103:AS121"/>
    <mergeCell ref="U103:U121"/>
    <mergeCell ref="V120:V121"/>
    <mergeCell ref="O103:O121"/>
    <mergeCell ref="P103:P121"/>
    <mergeCell ref="Q103:Q121"/>
    <mergeCell ref="R103:R121"/>
    <mergeCell ref="S103:S121"/>
    <mergeCell ref="T103:T121"/>
    <mergeCell ref="I103:I121"/>
    <mergeCell ref="J103:J121"/>
    <mergeCell ref="K103:K121"/>
    <mergeCell ref="L103:L121"/>
    <mergeCell ref="M103:M121"/>
    <mergeCell ref="N103:N121"/>
    <mergeCell ref="AF122:AF125"/>
    <mergeCell ref="Q122:Q125"/>
    <mergeCell ref="R122:R125"/>
    <mergeCell ref="S122:S125"/>
    <mergeCell ref="T122:T125"/>
    <mergeCell ref="U122:U125"/>
    <mergeCell ref="V122:V123"/>
    <mergeCell ref="K122:K125"/>
    <mergeCell ref="L122:L125"/>
    <mergeCell ref="M122:M125"/>
    <mergeCell ref="N122:N125"/>
    <mergeCell ref="O122:O125"/>
    <mergeCell ref="P122:P125"/>
    <mergeCell ref="AS122:AS125"/>
    <mergeCell ref="AT122:AT125"/>
    <mergeCell ref="V124:V125"/>
    <mergeCell ref="Y124:Y125"/>
    <mergeCell ref="Z124:Z125"/>
    <mergeCell ref="B126:H126"/>
    <mergeCell ref="AQ126:AT126"/>
    <mergeCell ref="AM122:AM125"/>
    <mergeCell ref="AN122:AN125"/>
    <mergeCell ref="AO122:AO125"/>
    <mergeCell ref="AP122:AP125"/>
    <mergeCell ref="AQ122:AQ125"/>
    <mergeCell ref="AR122:AR125"/>
    <mergeCell ref="AG122:AG125"/>
    <mergeCell ref="AH122:AH125"/>
    <mergeCell ref="AI122:AI125"/>
    <mergeCell ref="AJ122:AJ125"/>
    <mergeCell ref="AK122:AK125"/>
    <mergeCell ref="AL122:AL125"/>
    <mergeCell ref="AA122:AA125"/>
    <mergeCell ref="AB122:AB125"/>
    <mergeCell ref="AC122:AC125"/>
    <mergeCell ref="AD122:AD125"/>
    <mergeCell ref="AE122:AE125"/>
    <mergeCell ref="D127:I127"/>
    <mergeCell ref="AQ127:AT127"/>
    <mergeCell ref="F128:Q128"/>
    <mergeCell ref="AQ128:AT128"/>
    <mergeCell ref="E129:E132"/>
    <mergeCell ref="F129:F132"/>
    <mergeCell ref="G129:G132"/>
    <mergeCell ref="H129:H132"/>
    <mergeCell ref="I129:I132"/>
    <mergeCell ref="J129:J132"/>
    <mergeCell ref="AF129:AF132"/>
    <mergeCell ref="Q129:Q132"/>
    <mergeCell ref="R129:R132"/>
    <mergeCell ref="S129:S132"/>
    <mergeCell ref="T129:T132"/>
    <mergeCell ref="U129:U132"/>
    <mergeCell ref="V129:V130"/>
    <mergeCell ref="K129:K132"/>
    <mergeCell ref="L129:L132"/>
    <mergeCell ref="M129:M132"/>
    <mergeCell ref="N129:N132"/>
    <mergeCell ref="O129:O132"/>
    <mergeCell ref="P129:P132"/>
    <mergeCell ref="AS129:AS132"/>
    <mergeCell ref="AT129:AT132"/>
    <mergeCell ref="V131:V132"/>
    <mergeCell ref="D133:H133"/>
    <mergeCell ref="AQ133:AT133"/>
    <mergeCell ref="F134:M134"/>
    <mergeCell ref="AQ134:AT134"/>
    <mergeCell ref="AM129:AM132"/>
    <mergeCell ref="AN129:AN132"/>
    <mergeCell ref="AO129:AO132"/>
    <mergeCell ref="AP129:AP132"/>
    <mergeCell ref="AQ129:AQ132"/>
    <mergeCell ref="AR129:AR132"/>
    <mergeCell ref="AG129:AG132"/>
    <mergeCell ref="AH129:AH132"/>
    <mergeCell ref="AI129:AI132"/>
    <mergeCell ref="AJ129:AJ132"/>
    <mergeCell ref="AK129:AK132"/>
    <mergeCell ref="AL129:AL132"/>
    <mergeCell ref="AA129:AA132"/>
    <mergeCell ref="AB129:AB132"/>
    <mergeCell ref="AC129:AC132"/>
    <mergeCell ref="AD129:AD132"/>
    <mergeCell ref="AE129:AE132"/>
    <mergeCell ref="B135:B173"/>
    <mergeCell ref="E135:E173"/>
    <mergeCell ref="F135:F173"/>
    <mergeCell ref="G135:G141"/>
    <mergeCell ref="H135:H141"/>
    <mergeCell ref="I135:I141"/>
    <mergeCell ref="G167:G173"/>
    <mergeCell ref="H167:H173"/>
    <mergeCell ref="I167:I173"/>
    <mergeCell ref="U167:U173"/>
    <mergeCell ref="V167:V170"/>
    <mergeCell ref="V171:V173"/>
    <mergeCell ref="V157:V158"/>
    <mergeCell ref="V160:V162"/>
    <mergeCell ref="V163:V166"/>
    <mergeCell ref="J135:J141"/>
    <mergeCell ref="K135:K141"/>
    <mergeCell ref="L135:L141"/>
    <mergeCell ref="M135:M141"/>
    <mergeCell ref="N135:N141"/>
    <mergeCell ref="O135:O141"/>
    <mergeCell ref="J167:J173"/>
    <mergeCell ref="K167:K173"/>
    <mergeCell ref="L167:L173"/>
    <mergeCell ref="M167:M173"/>
    <mergeCell ref="L142:L166"/>
    <mergeCell ref="M142:M166"/>
    <mergeCell ref="N167:N173"/>
    <mergeCell ref="O167:O173"/>
    <mergeCell ref="N142:N166"/>
    <mergeCell ref="AR135:AR173"/>
    <mergeCell ref="AS135:AS173"/>
    <mergeCell ref="AT135:AT173"/>
    <mergeCell ref="V137:V138"/>
    <mergeCell ref="V139:V141"/>
    <mergeCell ref="G142:G166"/>
    <mergeCell ref="H142:H166"/>
    <mergeCell ref="I142:I166"/>
    <mergeCell ref="J142:J166"/>
    <mergeCell ref="K142:K166"/>
    <mergeCell ref="AL135:AL173"/>
    <mergeCell ref="AM135:AM173"/>
    <mergeCell ref="AN135:AN173"/>
    <mergeCell ref="AO135:AO173"/>
    <mergeCell ref="AP135:AP173"/>
    <mergeCell ref="AQ135:AQ173"/>
    <mergeCell ref="AF135:AF173"/>
    <mergeCell ref="AG135:AG173"/>
    <mergeCell ref="AH135:AH173"/>
    <mergeCell ref="AI135:AI173"/>
    <mergeCell ref="AJ135:AJ173"/>
    <mergeCell ref="AK135:AK173"/>
    <mergeCell ref="V135:V136"/>
    <mergeCell ref="AA135:AA173"/>
    <mergeCell ref="AQ174:AT174"/>
    <mergeCell ref="D175:H175"/>
    <mergeCell ref="AQ175:AT175"/>
    <mergeCell ref="B176:B225"/>
    <mergeCell ref="F176:P176"/>
    <mergeCell ref="AQ176:AT176"/>
    <mergeCell ref="E177:E225"/>
    <mergeCell ref="F177:F225"/>
    <mergeCell ref="G177:G191"/>
    <mergeCell ref="AR177:AR191"/>
    <mergeCell ref="AS177:AS191"/>
    <mergeCell ref="AT177:AT191"/>
    <mergeCell ref="V179:V180"/>
    <mergeCell ref="V181:V182"/>
    <mergeCell ref="V183:V184"/>
    <mergeCell ref="V185:V186"/>
    <mergeCell ref="V187:V188"/>
    <mergeCell ref="V189:V191"/>
    <mergeCell ref="AH177:AH191"/>
    <mergeCell ref="AI177:AI191"/>
    <mergeCell ref="AJ177:AJ191"/>
    <mergeCell ref="O142:O166"/>
    <mergeCell ref="R142:R166"/>
    <mergeCell ref="U142:U166"/>
    <mergeCell ref="L177:L191"/>
    <mergeCell ref="M177:M191"/>
    <mergeCell ref="B174:H174"/>
    <mergeCell ref="AB135:AB173"/>
    <mergeCell ref="AC135:AC173"/>
    <mergeCell ref="AD135:AD173"/>
    <mergeCell ref="AE135:AE173"/>
    <mergeCell ref="V142:V143"/>
    <mergeCell ref="V145:V148"/>
    <mergeCell ref="V149:V150"/>
    <mergeCell ref="V151:V155"/>
    <mergeCell ref="P135:P173"/>
    <mergeCell ref="Q135:Q173"/>
    <mergeCell ref="R135:R141"/>
    <mergeCell ref="S135:S173"/>
    <mergeCell ref="T135:T173"/>
    <mergeCell ref="U135:U141"/>
    <mergeCell ref="R167:R173"/>
    <mergeCell ref="N213:N221"/>
    <mergeCell ref="O213:O221"/>
    <mergeCell ref="G192:G207"/>
    <mergeCell ref="H192:H207"/>
    <mergeCell ref="I192:I207"/>
    <mergeCell ref="J192:J207"/>
    <mergeCell ref="K192:K207"/>
    <mergeCell ref="L192:L207"/>
    <mergeCell ref="H177:H191"/>
    <mergeCell ref="I177:I191"/>
    <mergeCell ref="J177:J191"/>
    <mergeCell ref="K177:K191"/>
    <mergeCell ref="G213:G221"/>
    <mergeCell ref="H213:H221"/>
    <mergeCell ref="I213:I221"/>
    <mergeCell ref="J213:J221"/>
    <mergeCell ref="K213:K221"/>
    <mergeCell ref="L213:L221"/>
    <mergeCell ref="M213:M221"/>
    <mergeCell ref="G208:G212"/>
    <mergeCell ref="AQ177:AQ191"/>
    <mergeCell ref="T177:T191"/>
    <mergeCell ref="U177:U191"/>
    <mergeCell ref="AD177:AD191"/>
    <mergeCell ref="Y189:Y191"/>
    <mergeCell ref="Z189:Z191"/>
    <mergeCell ref="N177:N191"/>
    <mergeCell ref="O177:O191"/>
    <mergeCell ref="P177:P191"/>
    <mergeCell ref="Q177:Q191"/>
    <mergeCell ref="R177:R191"/>
    <mergeCell ref="S177:S191"/>
    <mergeCell ref="AA177:AA191"/>
    <mergeCell ref="AB177:AB191"/>
    <mergeCell ref="AC177:AC191"/>
    <mergeCell ref="AK177:AK191"/>
    <mergeCell ref="AL177:AL191"/>
    <mergeCell ref="AM177:AM191"/>
    <mergeCell ref="AN177:AN191"/>
    <mergeCell ref="AO177:AO191"/>
    <mergeCell ref="AP177:AP191"/>
    <mergeCell ref="AE177:AE191"/>
    <mergeCell ref="AF177:AF191"/>
    <mergeCell ref="AG177:AG191"/>
    <mergeCell ref="AD192:AD225"/>
    <mergeCell ref="AE192:AE225"/>
    <mergeCell ref="AF192:AF225"/>
    <mergeCell ref="AG192:AG225"/>
    <mergeCell ref="AH192:AH225"/>
    <mergeCell ref="S192:S225"/>
    <mergeCell ref="T192:T225"/>
    <mergeCell ref="U192:U219"/>
    <mergeCell ref="V192:V193"/>
    <mergeCell ref="AA192:AA225"/>
    <mergeCell ref="AB192:AB225"/>
    <mergeCell ref="V194:V195"/>
    <mergeCell ref="Y194:Y195"/>
    <mergeCell ref="Z194:Z195"/>
    <mergeCell ref="V199:V200"/>
    <mergeCell ref="V201:V202"/>
    <mergeCell ref="V203:V204"/>
    <mergeCell ref="Z215:Z216"/>
    <mergeCell ref="Z210:Z212"/>
    <mergeCell ref="AC192:AC225"/>
    <mergeCell ref="AO192:AO225"/>
    <mergeCell ref="AP192:AP225"/>
    <mergeCell ref="AQ192:AQ225"/>
    <mergeCell ref="AR192:AR225"/>
    <mergeCell ref="AS192:AS225"/>
    <mergeCell ref="AT192:AT225"/>
    <mergeCell ref="AI192:AI225"/>
    <mergeCell ref="AJ192:AJ225"/>
    <mergeCell ref="AK192:AK225"/>
    <mergeCell ref="AL192:AL225"/>
    <mergeCell ref="AM192:AM225"/>
    <mergeCell ref="AN192:AN225"/>
    <mergeCell ref="H208:H212"/>
    <mergeCell ref="I208:I212"/>
    <mergeCell ref="J208:J212"/>
    <mergeCell ref="K208:K212"/>
    <mergeCell ref="L208:L212"/>
    <mergeCell ref="M208:M212"/>
    <mergeCell ref="N208:N212"/>
    <mergeCell ref="M192:M207"/>
    <mergeCell ref="N192:N207"/>
    <mergeCell ref="O192:O207"/>
    <mergeCell ref="P192:P225"/>
    <mergeCell ref="Q192:Q225"/>
    <mergeCell ref="R192:R207"/>
    <mergeCell ref="O208:O212"/>
    <mergeCell ref="R213:R221"/>
    <mergeCell ref="V213:V214"/>
    <mergeCell ref="V215:V216"/>
    <mergeCell ref="Y215:Y216"/>
    <mergeCell ref="V219:V221"/>
    <mergeCell ref="V210:V212"/>
    <mergeCell ref="Y210:Y212"/>
    <mergeCell ref="R208:R212"/>
    <mergeCell ref="M222:M225"/>
    <mergeCell ref="N222:N225"/>
    <mergeCell ref="O222:O225"/>
    <mergeCell ref="R222:R225"/>
    <mergeCell ref="U222:U225"/>
    <mergeCell ref="V222:V223"/>
    <mergeCell ref="G222:G225"/>
    <mergeCell ref="H222:H225"/>
    <mergeCell ref="I222:I225"/>
    <mergeCell ref="J222:J225"/>
    <mergeCell ref="K222:K225"/>
    <mergeCell ref="L222:L225"/>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54"/>
  <sheetViews>
    <sheetView showGridLines="0" topLeftCell="D1" zoomScale="70" zoomScaleNormal="70" workbookViewId="0">
      <selection activeCell="G15" sqref="G15:G28"/>
    </sheetView>
  </sheetViews>
  <sheetFormatPr baseColWidth="10" defaultColWidth="11.42578125" defaultRowHeight="27" customHeight="1" x14ac:dyDescent="0.25"/>
  <cols>
    <col min="1" max="1" width="14.140625" style="130" customWidth="1"/>
    <col min="2" max="2" width="14.28515625" style="4" customWidth="1"/>
    <col min="3" max="3" width="13.42578125" style="4" customWidth="1"/>
    <col min="4" max="4" width="12.7109375" style="4" customWidth="1"/>
    <col min="5" max="5" width="11.85546875" style="4" customWidth="1"/>
    <col min="6" max="6" width="14.5703125" style="4" customWidth="1"/>
    <col min="7" max="7" width="14.140625" style="4" customWidth="1"/>
    <col min="8" max="8" width="26" style="3" customWidth="1"/>
    <col min="9" max="9" width="25.5703125" style="3" customWidth="1"/>
    <col min="10" max="10" width="24.5703125" style="3" customWidth="1"/>
    <col min="11" max="11" width="15.85546875" style="3" customWidth="1"/>
    <col min="12" max="14" width="25" style="3" customWidth="1"/>
    <col min="15" max="15" width="17.7109375" style="3" customWidth="1"/>
    <col min="16" max="16" width="19" style="3" customWidth="1"/>
    <col min="17" max="17" width="32.7109375" style="3" customWidth="1"/>
    <col min="18" max="18" width="15.140625" style="134" customWidth="1"/>
    <col min="19" max="19" width="24.85546875" style="143" customWidth="1"/>
    <col min="20" max="20" width="32.28515625" style="3" customWidth="1"/>
    <col min="21" max="21" width="34.140625" style="3" customWidth="1"/>
    <col min="22" max="22" width="50.85546875" style="3" customWidth="1"/>
    <col min="23" max="23" width="26.7109375" style="283" customWidth="1"/>
    <col min="24" max="24" width="50.42578125" style="283" customWidth="1"/>
    <col min="25" max="25" width="11.7109375" style="137" customWidth="1"/>
    <col min="26" max="26" width="24.5703125" style="3" customWidth="1"/>
    <col min="27" max="27" width="11.85546875" style="4" customWidth="1"/>
    <col min="28" max="28" width="11.7109375" style="4" customWidth="1"/>
    <col min="29" max="29" width="8.7109375" style="4" customWidth="1"/>
    <col min="30" max="30" width="8.140625" style="4" customWidth="1"/>
    <col min="31" max="31" width="9.28515625" style="4" customWidth="1"/>
    <col min="32" max="32" width="9.85546875" style="4" customWidth="1"/>
    <col min="33" max="33" width="9" style="4" customWidth="1"/>
    <col min="34" max="34" width="8.85546875" style="4" customWidth="1"/>
    <col min="35" max="35" width="6.5703125" style="4" customWidth="1"/>
    <col min="36" max="36" width="7.7109375" style="4" customWidth="1"/>
    <col min="37" max="38" width="5.85546875" style="4" customWidth="1"/>
    <col min="39" max="39" width="8.28515625" style="4" customWidth="1"/>
    <col min="40" max="40" width="8.42578125" style="4" customWidth="1"/>
    <col min="41" max="41" width="7.5703125" style="4" customWidth="1"/>
    <col min="42" max="42" width="9.5703125" style="4" customWidth="1"/>
    <col min="43" max="43" width="23.5703125" style="139" customWidth="1"/>
    <col min="44" max="44" width="24" style="139" customWidth="1"/>
    <col min="45" max="45" width="26" style="4" customWidth="1"/>
    <col min="46" max="16384" width="11.42578125" style="4"/>
  </cols>
  <sheetData>
    <row r="1" spans="1:65" ht="28.5" customHeight="1" x14ac:dyDescent="0.25">
      <c r="A1" s="2953" t="s">
        <v>1458</v>
      </c>
      <c r="B1" s="2020"/>
      <c r="C1" s="2020"/>
      <c r="D1" s="2020"/>
      <c r="E1" s="2020"/>
      <c r="F1" s="2020"/>
      <c r="G1" s="2020"/>
      <c r="H1" s="2020"/>
      <c r="I1" s="2020"/>
      <c r="J1" s="2020"/>
      <c r="K1" s="2020"/>
      <c r="L1" s="2020"/>
      <c r="M1" s="2020"/>
      <c r="N1" s="2020"/>
      <c r="O1" s="2020"/>
      <c r="P1" s="2020"/>
      <c r="Q1" s="2020"/>
      <c r="R1" s="2020"/>
      <c r="S1" s="2020"/>
      <c r="T1" s="2020"/>
      <c r="U1" s="2020"/>
      <c r="V1" s="2020"/>
      <c r="W1" s="2020"/>
      <c r="X1" s="2020"/>
      <c r="Y1" s="2020"/>
      <c r="Z1" s="2020"/>
      <c r="AA1" s="2020"/>
      <c r="AB1" s="2020"/>
      <c r="AC1" s="2020"/>
      <c r="AD1" s="2020"/>
      <c r="AE1" s="2020"/>
      <c r="AF1" s="2020"/>
      <c r="AG1" s="2020"/>
      <c r="AH1" s="2020"/>
      <c r="AI1" s="2020"/>
      <c r="AJ1" s="2020"/>
      <c r="AK1" s="2020"/>
      <c r="AL1" s="2020"/>
      <c r="AM1" s="2020"/>
      <c r="AN1" s="2020"/>
      <c r="AO1" s="2020"/>
      <c r="AP1" s="2020"/>
      <c r="AQ1" s="2445"/>
      <c r="AR1" s="969" t="s">
        <v>1</v>
      </c>
      <c r="AS1" s="969" t="s">
        <v>983</v>
      </c>
      <c r="AT1" s="3"/>
      <c r="AU1" s="3"/>
      <c r="AV1" s="3"/>
      <c r="AW1" s="3"/>
      <c r="AX1" s="3"/>
      <c r="AY1" s="3"/>
      <c r="AZ1" s="3"/>
      <c r="BA1" s="3"/>
      <c r="BB1" s="3"/>
      <c r="BC1" s="3"/>
      <c r="BD1" s="3"/>
      <c r="BE1" s="3"/>
      <c r="BF1" s="3"/>
      <c r="BG1" s="3"/>
      <c r="BH1" s="3"/>
      <c r="BI1" s="3"/>
      <c r="BJ1" s="3"/>
      <c r="BK1" s="3"/>
      <c r="BL1" s="3"/>
      <c r="BM1" s="3"/>
    </row>
    <row r="2" spans="1:65" ht="27.75" customHeight="1" x14ac:dyDescent="0.25">
      <c r="A2" s="2022"/>
      <c r="B2" s="2016"/>
      <c r="C2" s="2016"/>
      <c r="D2" s="2016"/>
      <c r="E2" s="2016"/>
      <c r="F2" s="2016"/>
      <c r="G2" s="2016"/>
      <c r="H2" s="2016"/>
      <c r="I2" s="2016"/>
      <c r="J2" s="2016"/>
      <c r="K2" s="2016"/>
      <c r="L2" s="2016"/>
      <c r="M2" s="2016"/>
      <c r="N2" s="2016"/>
      <c r="O2" s="2016"/>
      <c r="P2" s="2016"/>
      <c r="Q2" s="2016"/>
      <c r="R2" s="2016"/>
      <c r="S2" s="2016"/>
      <c r="T2" s="2016"/>
      <c r="U2" s="2016"/>
      <c r="V2" s="2016"/>
      <c r="W2" s="2016"/>
      <c r="X2" s="2016"/>
      <c r="Y2" s="2016"/>
      <c r="Z2" s="2016"/>
      <c r="AA2" s="2016"/>
      <c r="AB2" s="2016"/>
      <c r="AC2" s="2016"/>
      <c r="AD2" s="2016"/>
      <c r="AE2" s="2016"/>
      <c r="AF2" s="2016"/>
      <c r="AG2" s="2016"/>
      <c r="AH2" s="2016"/>
      <c r="AI2" s="2016"/>
      <c r="AJ2" s="2016"/>
      <c r="AK2" s="2016"/>
      <c r="AL2" s="2016"/>
      <c r="AM2" s="2016"/>
      <c r="AN2" s="2016"/>
      <c r="AO2" s="2016"/>
      <c r="AP2" s="2016"/>
      <c r="AQ2" s="2017"/>
      <c r="AR2" s="969" t="s">
        <v>3</v>
      </c>
      <c r="AS2" s="970" t="s">
        <v>984</v>
      </c>
      <c r="AT2" s="3"/>
      <c r="AU2" s="3"/>
      <c r="AV2" s="3"/>
      <c r="AW2" s="3"/>
      <c r="AX2" s="3"/>
      <c r="AY2" s="3"/>
      <c r="AZ2" s="3"/>
      <c r="BA2" s="3"/>
      <c r="BB2" s="3"/>
      <c r="BC2" s="3"/>
      <c r="BD2" s="3"/>
      <c r="BE2" s="3"/>
      <c r="BF2" s="3"/>
      <c r="BG2" s="3"/>
      <c r="BH2" s="3"/>
      <c r="BI2" s="3"/>
      <c r="BJ2" s="3"/>
      <c r="BK2" s="3"/>
      <c r="BL2" s="3"/>
      <c r="BM2" s="3"/>
    </row>
    <row r="3" spans="1:65" ht="18" customHeight="1" x14ac:dyDescent="0.25">
      <c r="A3" s="2022"/>
      <c r="B3" s="2016"/>
      <c r="C3" s="2016"/>
      <c r="D3" s="2016"/>
      <c r="E3" s="2016"/>
      <c r="F3" s="2016"/>
      <c r="G3" s="2016"/>
      <c r="H3" s="2016"/>
      <c r="I3" s="2016"/>
      <c r="J3" s="2016"/>
      <c r="K3" s="2016"/>
      <c r="L3" s="2016"/>
      <c r="M3" s="2016"/>
      <c r="N3" s="2016"/>
      <c r="O3" s="2016"/>
      <c r="P3" s="2016"/>
      <c r="Q3" s="2016"/>
      <c r="R3" s="2016"/>
      <c r="S3" s="2016"/>
      <c r="T3" s="2016"/>
      <c r="U3" s="2016"/>
      <c r="V3" s="2016"/>
      <c r="W3" s="2016"/>
      <c r="X3" s="2016"/>
      <c r="Y3" s="2016"/>
      <c r="Z3" s="2016"/>
      <c r="AA3" s="2016"/>
      <c r="AB3" s="2016"/>
      <c r="AC3" s="2016"/>
      <c r="AD3" s="2016"/>
      <c r="AE3" s="2016"/>
      <c r="AF3" s="2016"/>
      <c r="AG3" s="2016"/>
      <c r="AH3" s="2016"/>
      <c r="AI3" s="2016"/>
      <c r="AJ3" s="2016"/>
      <c r="AK3" s="2016"/>
      <c r="AL3" s="2016"/>
      <c r="AM3" s="2016"/>
      <c r="AN3" s="2016"/>
      <c r="AO3" s="2016"/>
      <c r="AP3" s="2016"/>
      <c r="AQ3" s="2017"/>
      <c r="AR3" s="969" t="s">
        <v>4</v>
      </c>
      <c r="AS3" s="971">
        <v>44266</v>
      </c>
      <c r="AT3" s="3"/>
      <c r="AU3" s="3"/>
      <c r="AV3" s="3"/>
      <c r="AW3" s="3"/>
      <c r="AX3" s="3"/>
      <c r="AY3" s="3"/>
      <c r="AZ3" s="3"/>
      <c r="BA3" s="3"/>
      <c r="BB3" s="3"/>
      <c r="BC3" s="3"/>
      <c r="BD3" s="3"/>
      <c r="BE3" s="3"/>
      <c r="BF3" s="3"/>
      <c r="BG3" s="3"/>
      <c r="BH3" s="3"/>
      <c r="BI3" s="3"/>
      <c r="BJ3" s="3"/>
      <c r="BK3" s="3"/>
      <c r="BL3" s="3"/>
      <c r="BM3" s="3"/>
    </row>
    <row r="4" spans="1:65" ht="24" customHeight="1" x14ac:dyDescent="0.25">
      <c r="A4" s="2209"/>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969" t="s">
        <v>5</v>
      </c>
      <c r="AS4" s="972" t="s">
        <v>114</v>
      </c>
      <c r="AT4" s="3"/>
      <c r="AU4" s="3"/>
      <c r="AV4" s="3"/>
      <c r="AW4" s="3"/>
      <c r="AX4" s="3"/>
      <c r="AY4" s="3"/>
      <c r="AZ4" s="3"/>
      <c r="BA4" s="3"/>
      <c r="BB4" s="3"/>
      <c r="BC4" s="3"/>
      <c r="BD4" s="3"/>
      <c r="BE4" s="3"/>
      <c r="BF4" s="3"/>
      <c r="BG4" s="3"/>
      <c r="BH4" s="3"/>
      <c r="BI4" s="3"/>
      <c r="BJ4" s="3"/>
      <c r="BK4" s="3"/>
      <c r="BL4" s="3"/>
      <c r="BM4" s="3"/>
    </row>
    <row r="5" spans="1:65" ht="21" customHeight="1" x14ac:dyDescent="0.25">
      <c r="A5" s="2954" t="s">
        <v>1459</v>
      </c>
      <c r="B5" s="2954"/>
      <c r="C5" s="2954"/>
      <c r="D5" s="2954"/>
      <c r="E5" s="2954"/>
      <c r="F5" s="2954"/>
      <c r="G5" s="2954"/>
      <c r="H5" s="2954"/>
      <c r="I5" s="2954"/>
      <c r="J5" s="2954"/>
      <c r="K5" s="2954"/>
      <c r="L5" s="2954"/>
      <c r="M5" s="2954"/>
      <c r="N5" s="2954"/>
      <c r="O5" s="2954"/>
      <c r="P5" s="726"/>
      <c r="Q5" s="726"/>
      <c r="R5" s="726"/>
      <c r="S5" s="726"/>
      <c r="T5" s="726"/>
      <c r="U5" s="726"/>
      <c r="V5" s="726"/>
      <c r="W5" s="726"/>
      <c r="X5" s="726"/>
      <c r="Y5" s="726"/>
      <c r="Z5" s="726"/>
      <c r="AA5" s="739"/>
      <c r="AB5" s="740"/>
      <c r="AC5" s="740"/>
      <c r="AD5" s="740"/>
      <c r="AE5" s="740"/>
      <c r="AF5" s="740"/>
      <c r="AG5" s="740"/>
      <c r="AH5" s="740"/>
      <c r="AI5" s="740"/>
      <c r="AJ5" s="740"/>
      <c r="AK5" s="740"/>
      <c r="AL5" s="740"/>
      <c r="AM5" s="740"/>
      <c r="AN5" s="740"/>
      <c r="AO5" s="740"/>
      <c r="AP5" s="740"/>
      <c r="AQ5" s="740"/>
      <c r="AR5" s="740"/>
      <c r="AS5" s="741"/>
      <c r="AT5" s="3"/>
      <c r="AU5" s="3"/>
      <c r="AV5" s="3"/>
      <c r="AW5" s="3"/>
      <c r="AX5" s="3"/>
      <c r="AY5" s="3"/>
      <c r="AZ5" s="3"/>
      <c r="BA5" s="3"/>
      <c r="BB5" s="3"/>
      <c r="BC5" s="3"/>
      <c r="BD5" s="3"/>
      <c r="BE5" s="3"/>
      <c r="BF5" s="3"/>
      <c r="BG5" s="3"/>
      <c r="BH5" s="3"/>
      <c r="BI5" s="3"/>
      <c r="BJ5" s="3"/>
      <c r="BK5" s="3"/>
      <c r="BL5" s="3"/>
      <c r="BM5" s="3"/>
    </row>
    <row r="6" spans="1:65" ht="21" customHeight="1" x14ac:dyDescent="0.25">
      <c r="A6" s="2955"/>
      <c r="B6" s="2955"/>
      <c r="C6" s="2955"/>
      <c r="D6" s="2955"/>
      <c r="E6" s="2955"/>
      <c r="F6" s="2955"/>
      <c r="G6" s="2955"/>
      <c r="H6" s="2955"/>
      <c r="I6" s="2955"/>
      <c r="J6" s="2955"/>
      <c r="K6" s="2955"/>
      <c r="L6" s="2955"/>
      <c r="M6" s="2955"/>
      <c r="N6" s="2955"/>
      <c r="O6" s="2956"/>
      <c r="P6" s="727"/>
      <c r="Q6" s="727"/>
      <c r="R6" s="727"/>
      <c r="S6" s="727"/>
      <c r="T6" s="727"/>
      <c r="U6" s="727"/>
      <c r="V6" s="727"/>
      <c r="W6" s="973"/>
      <c r="X6" s="973"/>
      <c r="Y6" s="727"/>
      <c r="Z6" s="727"/>
      <c r="AA6" s="2957" t="s">
        <v>8</v>
      </c>
      <c r="AB6" s="2957"/>
      <c r="AC6" s="2957"/>
      <c r="AD6" s="2957"/>
      <c r="AE6" s="2957"/>
      <c r="AF6" s="2957"/>
      <c r="AG6" s="2957"/>
      <c r="AH6" s="2957"/>
      <c r="AI6" s="2957"/>
      <c r="AJ6" s="2957"/>
      <c r="AK6" s="2957"/>
      <c r="AL6" s="2957"/>
      <c r="AM6" s="2957"/>
      <c r="AN6" s="2957"/>
      <c r="AO6" s="2957"/>
      <c r="AP6" s="2957"/>
      <c r="AQ6" s="727"/>
      <c r="AR6" s="727"/>
      <c r="AS6" s="728"/>
      <c r="AT6" s="3"/>
      <c r="AU6" s="3"/>
      <c r="AV6" s="3"/>
      <c r="AW6" s="3"/>
      <c r="AX6" s="3"/>
      <c r="AY6" s="3"/>
      <c r="AZ6" s="3"/>
      <c r="BA6" s="3"/>
      <c r="BB6" s="3"/>
      <c r="BC6" s="3"/>
      <c r="BD6" s="3"/>
      <c r="BE6" s="3"/>
      <c r="BF6" s="3"/>
      <c r="BG6" s="3"/>
      <c r="BH6" s="3"/>
      <c r="BI6" s="3"/>
      <c r="BJ6" s="3"/>
      <c r="BK6" s="3"/>
      <c r="BL6" s="3"/>
      <c r="BM6" s="3"/>
    </row>
    <row r="7" spans="1:65" ht="28.5" customHeight="1" x14ac:dyDescent="0.25">
      <c r="A7" s="2025" t="s">
        <v>9</v>
      </c>
      <c r="B7" s="2210"/>
      <c r="C7" s="2024" t="s">
        <v>10</v>
      </c>
      <c r="D7" s="2210"/>
      <c r="E7" s="2024" t="s">
        <v>11</v>
      </c>
      <c r="F7" s="2210"/>
      <c r="G7" s="2024" t="s">
        <v>12</v>
      </c>
      <c r="H7" s="2025"/>
      <c r="I7" s="2025"/>
      <c r="J7" s="2025"/>
      <c r="K7" s="2024" t="s">
        <v>13</v>
      </c>
      <c r="L7" s="2025"/>
      <c r="M7" s="2025"/>
      <c r="N7" s="2210"/>
      <c r="O7" s="2958" t="s">
        <v>14</v>
      </c>
      <c r="P7" s="2959"/>
      <c r="Q7" s="2959"/>
      <c r="R7" s="2959"/>
      <c r="S7" s="2959"/>
      <c r="T7" s="2959"/>
      <c r="U7" s="2959"/>
      <c r="V7" s="2959"/>
      <c r="W7" s="2959"/>
      <c r="X7" s="2211" t="s">
        <v>15</v>
      </c>
      <c r="Y7" s="2960"/>
      <c r="Z7" s="2961"/>
      <c r="AA7" s="736" t="s">
        <v>16</v>
      </c>
      <c r="AB7" s="736"/>
      <c r="AC7" s="2047" t="s">
        <v>17</v>
      </c>
      <c r="AD7" s="2048"/>
      <c r="AE7" s="2933"/>
      <c r="AF7" s="2216" t="s">
        <v>18</v>
      </c>
      <c r="AG7" s="2217"/>
      <c r="AH7" s="2217"/>
      <c r="AI7" s="2217"/>
      <c r="AJ7" s="2217"/>
      <c r="AK7" s="2217"/>
      <c r="AL7" s="2934"/>
      <c r="AM7" s="2047" t="s">
        <v>19</v>
      </c>
      <c r="AN7" s="2048"/>
      <c r="AO7" s="2933"/>
      <c r="AP7" s="2935" t="s">
        <v>20</v>
      </c>
      <c r="AQ7" s="2937" t="s">
        <v>1460</v>
      </c>
      <c r="AR7" s="2937" t="s">
        <v>1461</v>
      </c>
      <c r="AS7" s="2038" t="s">
        <v>23</v>
      </c>
      <c r="AT7" s="3"/>
      <c r="AU7" s="3"/>
      <c r="AV7" s="3"/>
      <c r="AW7" s="3"/>
      <c r="AX7" s="3"/>
      <c r="AY7" s="3"/>
      <c r="AZ7" s="3"/>
      <c r="BA7" s="3"/>
      <c r="BB7" s="3"/>
      <c r="BC7" s="3"/>
      <c r="BD7" s="3"/>
      <c r="BE7" s="3"/>
      <c r="BF7" s="3"/>
      <c r="BG7" s="3"/>
      <c r="BH7" s="3"/>
      <c r="BI7" s="3"/>
      <c r="BJ7" s="3"/>
      <c r="BK7" s="3"/>
      <c r="BL7" s="3"/>
      <c r="BM7" s="3"/>
    </row>
    <row r="8" spans="1:65" ht="122.25" customHeight="1" x14ac:dyDescent="0.25">
      <c r="A8" s="737" t="s">
        <v>24</v>
      </c>
      <c r="B8" s="20" t="s">
        <v>25</v>
      </c>
      <c r="C8" s="737" t="s">
        <v>24</v>
      </c>
      <c r="D8" s="20" t="s">
        <v>25</v>
      </c>
      <c r="E8" s="20" t="s">
        <v>24</v>
      </c>
      <c r="F8" s="20" t="s">
        <v>25</v>
      </c>
      <c r="G8" s="20" t="s">
        <v>26</v>
      </c>
      <c r="H8" s="20" t="s">
        <v>27</v>
      </c>
      <c r="I8" s="20" t="s">
        <v>28</v>
      </c>
      <c r="J8" s="20" t="s">
        <v>117</v>
      </c>
      <c r="K8" s="20" t="s">
        <v>26</v>
      </c>
      <c r="L8" s="20" t="s">
        <v>30</v>
      </c>
      <c r="M8" s="20" t="s">
        <v>31</v>
      </c>
      <c r="N8" s="20" t="s">
        <v>32</v>
      </c>
      <c r="O8" s="974" t="s">
        <v>1462</v>
      </c>
      <c r="P8" s="975" t="s">
        <v>34</v>
      </c>
      <c r="Q8" s="976" t="s">
        <v>35</v>
      </c>
      <c r="R8" s="977" t="s">
        <v>36</v>
      </c>
      <c r="S8" s="978" t="s">
        <v>37</v>
      </c>
      <c r="T8" s="976" t="s">
        <v>38</v>
      </c>
      <c r="U8" s="976" t="s">
        <v>39</v>
      </c>
      <c r="V8" s="976" t="s">
        <v>40</v>
      </c>
      <c r="W8" s="979" t="s">
        <v>1463</v>
      </c>
      <c r="X8" s="980" t="s">
        <v>1028</v>
      </c>
      <c r="Y8" s="737" t="s">
        <v>43</v>
      </c>
      <c r="Z8" s="20" t="s">
        <v>25</v>
      </c>
      <c r="AA8" s="772" t="s">
        <v>44</v>
      </c>
      <c r="AB8" s="773" t="s">
        <v>45</v>
      </c>
      <c r="AC8" s="774" t="s">
        <v>46</v>
      </c>
      <c r="AD8" s="774" t="s">
        <v>47</v>
      </c>
      <c r="AE8" s="774" t="s">
        <v>283</v>
      </c>
      <c r="AF8" s="774" t="s">
        <v>49</v>
      </c>
      <c r="AG8" s="774" t="s">
        <v>50</v>
      </c>
      <c r="AH8" s="774" t="s">
        <v>51</v>
      </c>
      <c r="AI8" s="774" t="s">
        <v>52</v>
      </c>
      <c r="AJ8" s="774" t="s">
        <v>53</v>
      </c>
      <c r="AK8" s="774" t="s">
        <v>54</v>
      </c>
      <c r="AL8" s="774" t="s">
        <v>55</v>
      </c>
      <c r="AM8" s="774" t="s">
        <v>56</v>
      </c>
      <c r="AN8" s="774" t="s">
        <v>57</v>
      </c>
      <c r="AO8" s="774" t="s">
        <v>58</v>
      </c>
      <c r="AP8" s="2936"/>
      <c r="AQ8" s="2938"/>
      <c r="AR8" s="2938"/>
      <c r="AS8" s="2039"/>
      <c r="AT8" s="3"/>
      <c r="AU8" s="3"/>
      <c r="AV8" s="3"/>
      <c r="AW8" s="3"/>
      <c r="AX8" s="3"/>
      <c r="AY8" s="3"/>
      <c r="AZ8" s="3"/>
      <c r="BA8" s="3"/>
      <c r="BB8" s="3"/>
      <c r="BC8" s="3"/>
      <c r="BD8" s="3"/>
      <c r="BE8" s="3"/>
      <c r="BF8" s="3"/>
      <c r="BG8" s="3"/>
      <c r="BH8" s="3"/>
      <c r="BI8" s="3"/>
      <c r="BJ8" s="3"/>
      <c r="BK8" s="3"/>
      <c r="BL8" s="3"/>
      <c r="BM8" s="3"/>
    </row>
    <row r="9" spans="1:65" ht="18.75" customHeight="1" x14ac:dyDescent="0.25">
      <c r="A9" s="981">
        <v>1</v>
      </c>
      <c r="B9" s="2922" t="s">
        <v>1464</v>
      </c>
      <c r="C9" s="2923"/>
      <c r="D9" s="2923"/>
      <c r="E9" s="2923"/>
      <c r="F9" s="26"/>
      <c r="G9" s="26"/>
      <c r="H9" s="26"/>
      <c r="I9" s="26"/>
      <c r="J9" s="26"/>
      <c r="K9" s="26"/>
      <c r="L9" s="26"/>
      <c r="M9" s="26"/>
      <c r="N9" s="26"/>
      <c r="O9" s="375"/>
      <c r="P9" s="375"/>
      <c r="Q9" s="375"/>
      <c r="R9" s="376"/>
      <c r="S9" s="377"/>
      <c r="T9" s="375"/>
      <c r="U9" s="375"/>
      <c r="V9" s="375"/>
      <c r="W9" s="982"/>
      <c r="X9" s="375"/>
      <c r="Y9" s="379"/>
      <c r="Z9" s="375"/>
      <c r="AA9" s="375"/>
      <c r="AB9" s="375"/>
      <c r="AC9" s="375"/>
      <c r="AD9" s="375"/>
      <c r="AE9" s="375"/>
      <c r="AF9" s="375"/>
      <c r="AG9" s="375"/>
      <c r="AH9" s="375"/>
      <c r="AI9" s="375"/>
      <c r="AJ9" s="375"/>
      <c r="AK9" s="375"/>
      <c r="AL9" s="375"/>
      <c r="AM9" s="375"/>
      <c r="AN9" s="375"/>
      <c r="AO9" s="375"/>
      <c r="AP9" s="375"/>
      <c r="AQ9" s="625"/>
      <c r="AR9" s="625"/>
      <c r="AS9" s="626"/>
      <c r="AT9" s="3"/>
      <c r="AU9" s="3"/>
      <c r="AV9" s="3"/>
      <c r="AW9" s="3"/>
      <c r="AX9" s="3"/>
      <c r="AY9" s="3"/>
      <c r="AZ9" s="3"/>
      <c r="BA9" s="3"/>
      <c r="BB9" s="3"/>
      <c r="BC9" s="3"/>
      <c r="BD9" s="3"/>
      <c r="BE9" s="3"/>
      <c r="BF9" s="3"/>
      <c r="BG9" s="3"/>
      <c r="BH9" s="3"/>
      <c r="BI9" s="3"/>
      <c r="BJ9" s="3"/>
      <c r="BK9" s="3"/>
      <c r="BL9" s="3"/>
      <c r="BM9" s="3"/>
    </row>
    <row r="10" spans="1:65" s="80" customFormat="1" ht="18.75" customHeight="1" x14ac:dyDescent="0.25">
      <c r="A10" s="742"/>
      <c r="B10" s="749"/>
      <c r="C10" s="38">
        <v>33</v>
      </c>
      <c r="D10" s="2924" t="s">
        <v>437</v>
      </c>
      <c r="E10" s="2925"/>
      <c r="F10" s="2925"/>
      <c r="G10" s="2925"/>
      <c r="H10" s="40"/>
      <c r="I10" s="40"/>
      <c r="J10" s="40"/>
      <c r="K10" s="40"/>
      <c r="L10" s="40"/>
      <c r="M10" s="570"/>
      <c r="N10" s="570"/>
      <c r="O10" s="570"/>
      <c r="P10" s="570"/>
      <c r="Q10" s="570"/>
      <c r="R10" s="781"/>
      <c r="S10" s="782"/>
      <c r="T10" s="570"/>
      <c r="U10" s="570"/>
      <c r="V10" s="570"/>
      <c r="W10" s="983"/>
      <c r="X10" s="570"/>
      <c r="Y10" s="569"/>
      <c r="Z10" s="570"/>
      <c r="AA10" s="570"/>
      <c r="AB10" s="570"/>
      <c r="AC10" s="570"/>
      <c r="AD10" s="570"/>
      <c r="AE10" s="570"/>
      <c r="AF10" s="570"/>
      <c r="AG10" s="570"/>
      <c r="AH10" s="570"/>
      <c r="AI10" s="570"/>
      <c r="AJ10" s="570"/>
      <c r="AK10" s="570"/>
      <c r="AL10" s="570"/>
      <c r="AM10" s="570"/>
      <c r="AN10" s="570"/>
      <c r="AO10" s="570"/>
      <c r="AP10" s="570"/>
      <c r="AQ10" s="571"/>
      <c r="AR10" s="571"/>
      <c r="AS10" s="572"/>
    </row>
    <row r="11" spans="1:65" s="3" customFormat="1" ht="16.5" customHeight="1" x14ac:dyDescent="0.25">
      <c r="A11" s="747"/>
      <c r="B11" s="748"/>
      <c r="C11" s="745"/>
      <c r="D11" s="746"/>
      <c r="E11" s="984">
        <v>3301</v>
      </c>
      <c r="F11" s="985" t="s">
        <v>438</v>
      </c>
      <c r="G11" s="760"/>
      <c r="H11" s="760"/>
      <c r="I11" s="760"/>
      <c r="J11" s="760"/>
      <c r="K11" s="760"/>
      <c r="L11" s="760"/>
      <c r="M11" s="538"/>
      <c r="N11" s="538"/>
      <c r="O11" s="538"/>
      <c r="P11" s="538"/>
      <c r="Q11" s="986"/>
      <c r="R11" s="986"/>
      <c r="S11" s="786"/>
      <c r="T11" s="576"/>
      <c r="U11" s="538"/>
      <c r="V11" s="576"/>
      <c r="W11" s="987"/>
      <c r="X11" s="538"/>
      <c r="Y11" s="575"/>
      <c r="Z11" s="576"/>
      <c r="AA11" s="576"/>
      <c r="AB11" s="576"/>
      <c r="AC11" s="576"/>
      <c r="AD11" s="576"/>
      <c r="AE11" s="576"/>
      <c r="AF11" s="576"/>
      <c r="AG11" s="576"/>
      <c r="AH11" s="576"/>
      <c r="AI11" s="576"/>
      <c r="AJ11" s="576"/>
      <c r="AK11" s="576"/>
      <c r="AL11" s="576"/>
      <c r="AM11" s="576"/>
      <c r="AN11" s="576"/>
      <c r="AO11" s="576"/>
      <c r="AP11" s="576"/>
      <c r="AQ11" s="577"/>
      <c r="AR11" s="577"/>
      <c r="AS11" s="578"/>
    </row>
    <row r="12" spans="1:65" s="80" customFormat="1" ht="38.25" customHeight="1" x14ac:dyDescent="0.25">
      <c r="A12" s="743"/>
      <c r="B12" s="744"/>
      <c r="C12" s="743"/>
      <c r="D12" s="744"/>
      <c r="E12" s="790"/>
      <c r="F12" s="2926"/>
      <c r="G12" s="2901">
        <v>3301087</v>
      </c>
      <c r="H12" s="2927" t="s">
        <v>1465</v>
      </c>
      <c r="I12" s="2901">
        <v>3301087</v>
      </c>
      <c r="J12" s="2929" t="s">
        <v>1465</v>
      </c>
      <c r="K12" s="2866">
        <v>330108701</v>
      </c>
      <c r="L12" s="2931" t="s">
        <v>1350</v>
      </c>
      <c r="M12" s="2866">
        <v>330108701</v>
      </c>
      <c r="N12" s="2891" t="s">
        <v>1350</v>
      </c>
      <c r="O12" s="2866">
        <v>5700</v>
      </c>
      <c r="P12" s="2866" t="s">
        <v>1466</v>
      </c>
      <c r="Q12" s="2948" t="s">
        <v>1467</v>
      </c>
      <c r="R12" s="2950">
        <f>SUM(W12:W14)/S12</f>
        <v>0.18838348955431594</v>
      </c>
      <c r="S12" s="2939">
        <f>SUM(W12:W31)</f>
        <v>1964078703.8999999</v>
      </c>
      <c r="T12" s="2941" t="s">
        <v>1468</v>
      </c>
      <c r="U12" s="2872" t="s">
        <v>1469</v>
      </c>
      <c r="V12" s="2945" t="s">
        <v>1470</v>
      </c>
      <c r="W12" s="865">
        <v>276600000</v>
      </c>
      <c r="X12" s="799" t="s">
        <v>1471</v>
      </c>
      <c r="Y12" s="926">
        <v>20</v>
      </c>
      <c r="Z12" s="752" t="s">
        <v>1472</v>
      </c>
      <c r="AA12" s="2917">
        <v>763.40206894654307</v>
      </c>
      <c r="AB12" s="2917">
        <v>736.59793105345693</v>
      </c>
      <c r="AC12" s="2917">
        <v>349.61190056951057</v>
      </c>
      <c r="AD12" s="2917">
        <v>114.14456488843646</v>
      </c>
      <c r="AE12" s="2917">
        <v>797.38183343879825</v>
      </c>
      <c r="AF12" s="2917">
        <v>238.86170110325475</v>
      </c>
      <c r="AG12" s="2917">
        <v>5.5326092937518911</v>
      </c>
      <c r="AH12" s="2917">
        <v>32.803601397639419</v>
      </c>
      <c r="AI12" s="2917">
        <v>6.7061930833356265E-2</v>
      </c>
      <c r="AJ12" s="2917">
        <v>9.543428618593007E-2</v>
      </c>
      <c r="AK12" s="2917">
        <v>0</v>
      </c>
      <c r="AL12" s="2917">
        <v>0</v>
      </c>
      <c r="AM12" s="2917">
        <v>114.39217817151346</v>
      </c>
      <c r="AN12" s="2917">
        <v>56.600269623352688</v>
      </c>
      <c r="AO12" s="2917">
        <v>195.2198599609321</v>
      </c>
      <c r="AP12" s="2917">
        <f>+O12</f>
        <v>5700</v>
      </c>
      <c r="AQ12" s="2309">
        <v>44200</v>
      </c>
      <c r="AR12" s="2309">
        <v>44560</v>
      </c>
      <c r="AS12" s="2942" t="s">
        <v>1473</v>
      </c>
    </row>
    <row r="13" spans="1:65" s="80" customFormat="1" ht="38.25" customHeight="1" x14ac:dyDescent="0.25">
      <c r="A13" s="743"/>
      <c r="B13" s="744"/>
      <c r="C13" s="743"/>
      <c r="D13" s="744"/>
      <c r="E13" s="790"/>
      <c r="F13" s="2926"/>
      <c r="G13" s="2866"/>
      <c r="H13" s="2928"/>
      <c r="I13" s="2866"/>
      <c r="J13" s="2930"/>
      <c r="K13" s="2867"/>
      <c r="L13" s="2932"/>
      <c r="M13" s="2867"/>
      <c r="N13" s="2892"/>
      <c r="O13" s="2867"/>
      <c r="P13" s="2867"/>
      <c r="Q13" s="2949"/>
      <c r="R13" s="2951"/>
      <c r="S13" s="2940"/>
      <c r="T13" s="2887"/>
      <c r="U13" s="2873"/>
      <c r="V13" s="2946"/>
      <c r="W13" s="800">
        <v>80000000</v>
      </c>
      <c r="X13" s="731" t="s">
        <v>1474</v>
      </c>
      <c r="Y13" s="738">
        <v>88</v>
      </c>
      <c r="Z13" s="754" t="s">
        <v>1475</v>
      </c>
      <c r="AA13" s="2918"/>
      <c r="AB13" s="2918"/>
      <c r="AC13" s="2918"/>
      <c r="AD13" s="2918"/>
      <c r="AE13" s="2918"/>
      <c r="AF13" s="2918"/>
      <c r="AG13" s="2918"/>
      <c r="AH13" s="2918"/>
      <c r="AI13" s="2918"/>
      <c r="AJ13" s="2918"/>
      <c r="AK13" s="2918"/>
      <c r="AL13" s="2918"/>
      <c r="AM13" s="2918"/>
      <c r="AN13" s="2918"/>
      <c r="AO13" s="2918"/>
      <c r="AP13" s="2918"/>
      <c r="AQ13" s="2310"/>
      <c r="AR13" s="2310"/>
      <c r="AS13" s="2859"/>
    </row>
    <row r="14" spans="1:65" s="80" customFormat="1" ht="41.25" customHeight="1" x14ac:dyDescent="0.25">
      <c r="A14" s="743"/>
      <c r="B14" s="744"/>
      <c r="C14" s="743"/>
      <c r="D14" s="744"/>
      <c r="E14" s="790"/>
      <c r="F14" s="2926"/>
      <c r="G14" s="2866"/>
      <c r="H14" s="2928"/>
      <c r="I14" s="2866"/>
      <c r="J14" s="2930"/>
      <c r="K14" s="2867"/>
      <c r="L14" s="2932"/>
      <c r="M14" s="2867"/>
      <c r="N14" s="2892"/>
      <c r="O14" s="2867"/>
      <c r="P14" s="2867"/>
      <c r="Q14" s="2949"/>
      <c r="R14" s="2951"/>
      <c r="S14" s="2940"/>
      <c r="T14" s="2887"/>
      <c r="U14" s="2874"/>
      <c r="V14" s="854" t="s">
        <v>1476</v>
      </c>
      <c r="W14" s="988">
        <v>13400000</v>
      </c>
      <c r="X14" s="989" t="s">
        <v>1471</v>
      </c>
      <c r="Y14" s="926">
        <v>20</v>
      </c>
      <c r="Z14" s="752" t="s">
        <v>1477</v>
      </c>
      <c r="AA14" s="2918"/>
      <c r="AB14" s="2918"/>
      <c r="AC14" s="2918"/>
      <c r="AD14" s="2918"/>
      <c r="AE14" s="2918"/>
      <c r="AF14" s="2918"/>
      <c r="AG14" s="2918"/>
      <c r="AH14" s="2918"/>
      <c r="AI14" s="2918"/>
      <c r="AJ14" s="2918"/>
      <c r="AK14" s="2918"/>
      <c r="AL14" s="2918"/>
      <c r="AM14" s="2918"/>
      <c r="AN14" s="2918"/>
      <c r="AO14" s="2918"/>
      <c r="AP14" s="2918"/>
      <c r="AQ14" s="2310"/>
      <c r="AR14" s="2310"/>
      <c r="AS14" s="2859"/>
    </row>
    <row r="15" spans="1:65" s="79" customFormat="1" ht="39.75" customHeight="1" x14ac:dyDescent="0.25">
      <c r="A15" s="831"/>
      <c r="B15" s="744"/>
      <c r="C15" s="831"/>
      <c r="D15" s="744"/>
      <c r="E15" s="790"/>
      <c r="F15" s="2926"/>
      <c r="G15" s="2943">
        <v>3301073</v>
      </c>
      <c r="H15" s="2944" t="s">
        <v>1478</v>
      </c>
      <c r="I15" s="2921">
        <v>3301073</v>
      </c>
      <c r="J15" s="2944" t="s">
        <v>1478</v>
      </c>
      <c r="K15" s="2921">
        <v>330107301</v>
      </c>
      <c r="L15" s="2919" t="s">
        <v>1479</v>
      </c>
      <c r="M15" s="2900">
        <v>330107301</v>
      </c>
      <c r="N15" s="2736" t="s">
        <v>1479</v>
      </c>
      <c r="O15" s="2920">
        <v>500</v>
      </c>
      <c r="P15" s="2947"/>
      <c r="Q15" s="2949"/>
      <c r="R15" s="2952">
        <f>SUM(W15:W28)/S12</f>
        <v>0.78137332320372088</v>
      </c>
      <c r="S15" s="2940"/>
      <c r="T15" s="2887"/>
      <c r="U15" s="2894" t="s">
        <v>1480</v>
      </c>
      <c r="V15" s="733" t="s">
        <v>1481</v>
      </c>
      <c r="W15" s="800">
        <v>85000000</v>
      </c>
      <c r="X15" s="731" t="s">
        <v>1482</v>
      </c>
      <c r="Y15" s="738">
        <v>20</v>
      </c>
      <c r="Z15" s="754" t="s">
        <v>1477</v>
      </c>
      <c r="AA15" s="2918"/>
      <c r="AB15" s="2918"/>
      <c r="AC15" s="2918"/>
      <c r="AD15" s="2918"/>
      <c r="AE15" s="2918"/>
      <c r="AF15" s="2918"/>
      <c r="AG15" s="2918"/>
      <c r="AH15" s="2918"/>
      <c r="AI15" s="2918"/>
      <c r="AJ15" s="2918"/>
      <c r="AK15" s="2918"/>
      <c r="AL15" s="2918"/>
      <c r="AM15" s="2918"/>
      <c r="AN15" s="2918"/>
      <c r="AO15" s="2918"/>
      <c r="AP15" s="2918"/>
      <c r="AQ15" s="2310"/>
      <c r="AR15" s="2310"/>
      <c r="AS15" s="2859"/>
    </row>
    <row r="16" spans="1:65" s="79" customFormat="1" ht="39.75" customHeight="1" x14ac:dyDescent="0.25">
      <c r="A16" s="743"/>
      <c r="B16" s="744"/>
      <c r="C16" s="831"/>
      <c r="D16" s="744"/>
      <c r="E16" s="790"/>
      <c r="F16" s="2926"/>
      <c r="G16" s="2943"/>
      <c r="H16" s="2944"/>
      <c r="I16" s="2921"/>
      <c r="J16" s="2944"/>
      <c r="K16" s="2921"/>
      <c r="L16" s="2919"/>
      <c r="M16" s="2900"/>
      <c r="N16" s="2736"/>
      <c r="O16" s="2920"/>
      <c r="P16" s="2947"/>
      <c r="Q16" s="2949"/>
      <c r="R16" s="2952"/>
      <c r="S16" s="2940"/>
      <c r="T16" s="2887"/>
      <c r="U16" s="2895"/>
      <c r="V16" s="733" t="s">
        <v>1483</v>
      </c>
      <c r="W16" s="800">
        <v>15000000</v>
      </c>
      <c r="X16" s="731" t="s">
        <v>1482</v>
      </c>
      <c r="Y16" s="738">
        <v>20</v>
      </c>
      <c r="Z16" s="754" t="s">
        <v>1477</v>
      </c>
      <c r="AA16" s="2918"/>
      <c r="AB16" s="2918"/>
      <c r="AC16" s="2918"/>
      <c r="AD16" s="2918"/>
      <c r="AE16" s="2918"/>
      <c r="AF16" s="2918"/>
      <c r="AG16" s="2918"/>
      <c r="AH16" s="2918"/>
      <c r="AI16" s="2918"/>
      <c r="AJ16" s="2918"/>
      <c r="AK16" s="2918"/>
      <c r="AL16" s="2918"/>
      <c r="AM16" s="2918"/>
      <c r="AN16" s="2918"/>
      <c r="AO16" s="2918"/>
      <c r="AP16" s="2918"/>
      <c r="AQ16" s="2310"/>
      <c r="AR16" s="2310"/>
      <c r="AS16" s="2859"/>
    </row>
    <row r="17" spans="1:45" s="80" customFormat="1" ht="60.75" customHeight="1" x14ac:dyDescent="0.25">
      <c r="A17" s="743"/>
      <c r="B17" s="744"/>
      <c r="C17" s="743"/>
      <c r="D17" s="744"/>
      <c r="E17" s="790"/>
      <c r="F17" s="2926"/>
      <c r="G17" s="2943"/>
      <c r="H17" s="2944"/>
      <c r="I17" s="2921"/>
      <c r="J17" s="2944"/>
      <c r="K17" s="2921"/>
      <c r="L17" s="2919"/>
      <c r="M17" s="2900"/>
      <c r="N17" s="2736"/>
      <c r="O17" s="2920"/>
      <c r="P17" s="2947"/>
      <c r="Q17" s="2949"/>
      <c r="R17" s="2952"/>
      <c r="S17" s="2940"/>
      <c r="T17" s="2887"/>
      <c r="U17" s="2873"/>
      <c r="V17" s="850" t="s">
        <v>1484</v>
      </c>
      <c r="W17" s="794">
        <v>50000000</v>
      </c>
      <c r="X17" s="842" t="s">
        <v>1482</v>
      </c>
      <c r="Y17" s="756">
        <v>20</v>
      </c>
      <c r="Z17" s="752" t="s">
        <v>1477</v>
      </c>
      <c r="AA17" s="2918"/>
      <c r="AB17" s="2918"/>
      <c r="AC17" s="2918"/>
      <c r="AD17" s="2918"/>
      <c r="AE17" s="2918"/>
      <c r="AF17" s="2918"/>
      <c r="AG17" s="2918"/>
      <c r="AH17" s="2918"/>
      <c r="AI17" s="2918"/>
      <c r="AJ17" s="2918"/>
      <c r="AK17" s="2918"/>
      <c r="AL17" s="2918"/>
      <c r="AM17" s="2918"/>
      <c r="AN17" s="2918"/>
      <c r="AO17" s="2918"/>
      <c r="AP17" s="2918"/>
      <c r="AQ17" s="2310"/>
      <c r="AR17" s="2310"/>
      <c r="AS17" s="2859"/>
    </row>
    <row r="18" spans="1:45" s="80" customFormat="1" ht="60.75" customHeight="1" x14ac:dyDescent="0.25">
      <c r="A18" s="743"/>
      <c r="B18" s="744"/>
      <c r="C18" s="743"/>
      <c r="D18" s="744"/>
      <c r="E18" s="790"/>
      <c r="F18" s="2926"/>
      <c r="G18" s="2943"/>
      <c r="H18" s="2944"/>
      <c r="I18" s="2921"/>
      <c r="J18" s="2944"/>
      <c r="K18" s="2921"/>
      <c r="L18" s="2919"/>
      <c r="M18" s="2900"/>
      <c r="N18" s="2736"/>
      <c r="O18" s="2920"/>
      <c r="P18" s="2947"/>
      <c r="Q18" s="2949"/>
      <c r="R18" s="2952"/>
      <c r="S18" s="2940"/>
      <c r="T18" s="2887"/>
      <c r="U18" s="2873"/>
      <c r="V18" s="990" t="s">
        <v>1485</v>
      </c>
      <c r="W18" s="800">
        <v>50000000</v>
      </c>
      <c r="X18" s="795" t="s">
        <v>1486</v>
      </c>
      <c r="Y18" s="595">
        <v>39</v>
      </c>
      <c r="Z18" s="754" t="s">
        <v>1487</v>
      </c>
      <c r="AA18" s="2918"/>
      <c r="AB18" s="2918"/>
      <c r="AC18" s="2918"/>
      <c r="AD18" s="2918"/>
      <c r="AE18" s="2918"/>
      <c r="AF18" s="2918"/>
      <c r="AG18" s="2918"/>
      <c r="AH18" s="2918"/>
      <c r="AI18" s="2918"/>
      <c r="AJ18" s="2918"/>
      <c r="AK18" s="2918"/>
      <c r="AL18" s="2918"/>
      <c r="AM18" s="2918"/>
      <c r="AN18" s="2918"/>
      <c r="AO18" s="2918"/>
      <c r="AP18" s="2918"/>
      <c r="AQ18" s="2310"/>
      <c r="AR18" s="2310"/>
      <c r="AS18" s="2859"/>
    </row>
    <row r="19" spans="1:45" s="80" customFormat="1" ht="60.75" customHeight="1" x14ac:dyDescent="0.25">
      <c r="A19" s="743"/>
      <c r="B19" s="744"/>
      <c r="C19" s="743"/>
      <c r="D19" s="744"/>
      <c r="E19" s="790"/>
      <c r="F19" s="2926"/>
      <c r="G19" s="2943"/>
      <c r="H19" s="2944"/>
      <c r="I19" s="2921"/>
      <c r="J19" s="2944"/>
      <c r="K19" s="2921"/>
      <c r="L19" s="2919"/>
      <c r="M19" s="2900"/>
      <c r="N19" s="2736"/>
      <c r="O19" s="2920"/>
      <c r="P19" s="2947"/>
      <c r="Q19" s="2949"/>
      <c r="R19" s="2952"/>
      <c r="S19" s="2940"/>
      <c r="T19" s="2887"/>
      <c r="U19" s="2873"/>
      <c r="V19" s="990" t="s">
        <v>1488</v>
      </c>
      <c r="W19" s="800">
        <v>28000000</v>
      </c>
      <c r="X19" s="795" t="s">
        <v>1486</v>
      </c>
      <c r="Y19" s="595">
        <v>39</v>
      </c>
      <c r="Z19" s="754" t="s">
        <v>1487</v>
      </c>
      <c r="AA19" s="2918"/>
      <c r="AB19" s="2918"/>
      <c r="AC19" s="2918"/>
      <c r="AD19" s="2918"/>
      <c r="AE19" s="2918"/>
      <c r="AF19" s="2918"/>
      <c r="AG19" s="2918"/>
      <c r="AH19" s="2918"/>
      <c r="AI19" s="2918"/>
      <c r="AJ19" s="2918"/>
      <c r="AK19" s="2918"/>
      <c r="AL19" s="2918"/>
      <c r="AM19" s="2918"/>
      <c r="AN19" s="2918"/>
      <c r="AO19" s="2918"/>
      <c r="AP19" s="2918"/>
      <c r="AQ19" s="2310"/>
      <c r="AR19" s="2310"/>
      <c r="AS19" s="2859"/>
    </row>
    <row r="20" spans="1:45" s="80" customFormat="1" ht="60.75" customHeight="1" x14ac:dyDescent="0.25">
      <c r="A20" s="743"/>
      <c r="B20" s="744"/>
      <c r="C20" s="743"/>
      <c r="D20" s="744"/>
      <c r="E20" s="790"/>
      <c r="F20" s="2926"/>
      <c r="G20" s="2943"/>
      <c r="H20" s="2944"/>
      <c r="I20" s="2921"/>
      <c r="J20" s="2944"/>
      <c r="K20" s="2921"/>
      <c r="L20" s="2919"/>
      <c r="M20" s="2900"/>
      <c r="N20" s="2736"/>
      <c r="O20" s="2920"/>
      <c r="P20" s="2947"/>
      <c r="Q20" s="2949"/>
      <c r="R20" s="2952"/>
      <c r="S20" s="2940"/>
      <c r="T20" s="2887"/>
      <c r="U20" s="2873"/>
      <c r="V20" s="990" t="s">
        <v>1489</v>
      </c>
      <c r="W20" s="800">
        <v>36000000</v>
      </c>
      <c r="X20" s="795" t="s">
        <v>1486</v>
      </c>
      <c r="Y20" s="595">
        <v>39</v>
      </c>
      <c r="Z20" s="754" t="s">
        <v>1487</v>
      </c>
      <c r="AA20" s="2918"/>
      <c r="AB20" s="2918"/>
      <c r="AC20" s="2918"/>
      <c r="AD20" s="2918"/>
      <c r="AE20" s="2918"/>
      <c r="AF20" s="2918"/>
      <c r="AG20" s="2918"/>
      <c r="AH20" s="2918"/>
      <c r="AI20" s="2918"/>
      <c r="AJ20" s="2918"/>
      <c r="AK20" s="2918"/>
      <c r="AL20" s="2918"/>
      <c r="AM20" s="2918"/>
      <c r="AN20" s="2918"/>
      <c r="AO20" s="2918"/>
      <c r="AP20" s="2918"/>
      <c r="AQ20" s="2310"/>
      <c r="AR20" s="2310"/>
      <c r="AS20" s="2859"/>
    </row>
    <row r="21" spans="1:45" s="80" customFormat="1" ht="60.75" customHeight="1" x14ac:dyDescent="0.25">
      <c r="A21" s="743"/>
      <c r="B21" s="744"/>
      <c r="C21" s="743"/>
      <c r="D21" s="744"/>
      <c r="E21" s="790"/>
      <c r="F21" s="2926"/>
      <c r="G21" s="2943"/>
      <c r="H21" s="2944"/>
      <c r="I21" s="2921"/>
      <c r="J21" s="2944"/>
      <c r="K21" s="2921"/>
      <c r="L21" s="2919"/>
      <c r="M21" s="2900"/>
      <c r="N21" s="2736"/>
      <c r="O21" s="2920"/>
      <c r="P21" s="2947"/>
      <c r="Q21" s="2949"/>
      <c r="R21" s="2952"/>
      <c r="S21" s="2940"/>
      <c r="T21" s="2887"/>
      <c r="U21" s="2873"/>
      <c r="V21" s="2875" t="s">
        <v>1490</v>
      </c>
      <c r="W21" s="800">
        <v>805912475</v>
      </c>
      <c r="X21" s="795" t="s">
        <v>1486</v>
      </c>
      <c r="Y21" s="595">
        <v>39</v>
      </c>
      <c r="Z21" s="754" t="s">
        <v>1487</v>
      </c>
      <c r="AA21" s="2918"/>
      <c r="AB21" s="2918"/>
      <c r="AC21" s="2918"/>
      <c r="AD21" s="2918"/>
      <c r="AE21" s="2918"/>
      <c r="AF21" s="2918"/>
      <c r="AG21" s="2918"/>
      <c r="AH21" s="2918"/>
      <c r="AI21" s="2918"/>
      <c r="AJ21" s="2918"/>
      <c r="AK21" s="2918"/>
      <c r="AL21" s="2918"/>
      <c r="AM21" s="2918"/>
      <c r="AN21" s="2918"/>
      <c r="AO21" s="2918"/>
      <c r="AP21" s="2918"/>
      <c r="AQ21" s="2310"/>
      <c r="AR21" s="2310"/>
      <c r="AS21" s="2859"/>
    </row>
    <row r="22" spans="1:45" s="80" customFormat="1" ht="60.75" customHeight="1" x14ac:dyDescent="0.25">
      <c r="A22" s="743"/>
      <c r="B22" s="744"/>
      <c r="C22" s="743"/>
      <c r="D22" s="744"/>
      <c r="E22" s="790"/>
      <c r="F22" s="2926"/>
      <c r="G22" s="2943"/>
      <c r="H22" s="2944"/>
      <c r="I22" s="2921"/>
      <c r="J22" s="2944"/>
      <c r="K22" s="2921"/>
      <c r="L22" s="2919"/>
      <c r="M22" s="2900"/>
      <c r="N22" s="2736"/>
      <c r="O22" s="2920"/>
      <c r="P22" s="2947"/>
      <c r="Q22" s="2949"/>
      <c r="R22" s="2952"/>
      <c r="S22" s="2940"/>
      <c r="T22" s="2887"/>
      <c r="U22" s="2873"/>
      <c r="V22" s="2876"/>
      <c r="W22" s="800">
        <v>176183734.30000001</v>
      </c>
      <c r="X22" s="795" t="s">
        <v>1491</v>
      </c>
      <c r="Y22" s="595">
        <v>83</v>
      </c>
      <c r="Z22" s="754" t="s">
        <v>1492</v>
      </c>
      <c r="AA22" s="2918"/>
      <c r="AB22" s="2918"/>
      <c r="AC22" s="2918"/>
      <c r="AD22" s="2918"/>
      <c r="AE22" s="2918"/>
      <c r="AF22" s="2918"/>
      <c r="AG22" s="2918"/>
      <c r="AH22" s="2918"/>
      <c r="AI22" s="2918"/>
      <c r="AJ22" s="2918"/>
      <c r="AK22" s="2918"/>
      <c r="AL22" s="2918"/>
      <c r="AM22" s="2918"/>
      <c r="AN22" s="2918"/>
      <c r="AO22" s="2918"/>
      <c r="AP22" s="2918"/>
      <c r="AQ22" s="2310"/>
      <c r="AR22" s="2310"/>
      <c r="AS22" s="2859"/>
    </row>
    <row r="23" spans="1:45" s="80" customFormat="1" ht="60.75" customHeight="1" x14ac:dyDescent="0.25">
      <c r="A23" s="743"/>
      <c r="B23" s="744"/>
      <c r="C23" s="743"/>
      <c r="D23" s="744"/>
      <c r="E23" s="790"/>
      <c r="F23" s="2926"/>
      <c r="G23" s="2943"/>
      <c r="H23" s="2944"/>
      <c r="I23" s="2921"/>
      <c r="J23" s="2944"/>
      <c r="K23" s="2921"/>
      <c r="L23" s="2919"/>
      <c r="M23" s="2900"/>
      <c r="N23" s="2736"/>
      <c r="O23" s="2920"/>
      <c r="P23" s="2947"/>
      <c r="Q23" s="2949"/>
      <c r="R23" s="2952"/>
      <c r="S23" s="2940"/>
      <c r="T23" s="2887"/>
      <c r="U23" s="2873"/>
      <c r="V23" s="2877"/>
      <c r="W23" s="800">
        <v>30000000</v>
      </c>
      <c r="X23" s="795" t="s">
        <v>1482</v>
      </c>
      <c r="Y23" s="595">
        <v>20</v>
      </c>
      <c r="Z23" s="754" t="s">
        <v>1472</v>
      </c>
      <c r="AA23" s="2918"/>
      <c r="AB23" s="2918"/>
      <c r="AC23" s="2918"/>
      <c r="AD23" s="2918"/>
      <c r="AE23" s="2918"/>
      <c r="AF23" s="2918"/>
      <c r="AG23" s="2918"/>
      <c r="AH23" s="2918"/>
      <c r="AI23" s="2918"/>
      <c r="AJ23" s="2918"/>
      <c r="AK23" s="2918"/>
      <c r="AL23" s="2918"/>
      <c r="AM23" s="2918"/>
      <c r="AN23" s="2918"/>
      <c r="AO23" s="2918"/>
      <c r="AP23" s="2918"/>
      <c r="AQ23" s="2310"/>
      <c r="AR23" s="2310"/>
      <c r="AS23" s="2859"/>
    </row>
    <row r="24" spans="1:45" s="80" customFormat="1" ht="60.75" customHeight="1" x14ac:dyDescent="0.25">
      <c r="A24" s="743"/>
      <c r="B24" s="744"/>
      <c r="C24" s="743"/>
      <c r="D24" s="744"/>
      <c r="E24" s="790"/>
      <c r="F24" s="2926"/>
      <c r="G24" s="2943"/>
      <c r="H24" s="2944"/>
      <c r="I24" s="2921"/>
      <c r="J24" s="2944"/>
      <c r="K24" s="2921"/>
      <c r="L24" s="2919"/>
      <c r="M24" s="2900"/>
      <c r="N24" s="2736"/>
      <c r="O24" s="2920"/>
      <c r="P24" s="2947"/>
      <c r="Q24" s="2949"/>
      <c r="R24" s="2952"/>
      <c r="S24" s="2940"/>
      <c r="T24" s="2887"/>
      <c r="U24" s="2873"/>
      <c r="V24" s="990" t="s">
        <v>1493</v>
      </c>
      <c r="W24" s="800">
        <f>40000000-40000000</f>
        <v>0</v>
      </c>
      <c r="X24" s="795" t="s">
        <v>1494</v>
      </c>
      <c r="Y24" s="595">
        <v>41</v>
      </c>
      <c r="Z24" s="754" t="s">
        <v>1495</v>
      </c>
      <c r="AA24" s="2918"/>
      <c r="AB24" s="2918"/>
      <c r="AC24" s="2918"/>
      <c r="AD24" s="2918"/>
      <c r="AE24" s="2918"/>
      <c r="AF24" s="2918"/>
      <c r="AG24" s="2918"/>
      <c r="AH24" s="2918"/>
      <c r="AI24" s="2918"/>
      <c r="AJ24" s="2918"/>
      <c r="AK24" s="2918"/>
      <c r="AL24" s="2918"/>
      <c r="AM24" s="2918"/>
      <c r="AN24" s="2918"/>
      <c r="AO24" s="2918"/>
      <c r="AP24" s="2918"/>
      <c r="AQ24" s="2310"/>
      <c r="AR24" s="2310"/>
      <c r="AS24" s="2859"/>
    </row>
    <row r="25" spans="1:45" s="80" customFormat="1" ht="60.75" customHeight="1" x14ac:dyDescent="0.25">
      <c r="A25" s="743"/>
      <c r="B25" s="744"/>
      <c r="C25" s="743"/>
      <c r="D25" s="744"/>
      <c r="E25" s="790"/>
      <c r="F25" s="2926"/>
      <c r="G25" s="2943"/>
      <c r="H25" s="2944"/>
      <c r="I25" s="2921"/>
      <c r="J25" s="2944"/>
      <c r="K25" s="2921"/>
      <c r="L25" s="2919"/>
      <c r="M25" s="2900"/>
      <c r="N25" s="2736"/>
      <c r="O25" s="2920"/>
      <c r="P25" s="2947"/>
      <c r="Q25" s="2949"/>
      <c r="R25" s="2952"/>
      <c r="S25" s="2940"/>
      <c r="T25" s="2887"/>
      <c r="U25" s="2873"/>
      <c r="V25" s="990" t="s">
        <v>1496</v>
      </c>
      <c r="W25" s="800">
        <f>24000000-10500000</f>
        <v>13500000</v>
      </c>
      <c r="X25" s="795" t="s">
        <v>1494</v>
      </c>
      <c r="Y25" s="595">
        <v>41</v>
      </c>
      <c r="Z25" s="754" t="s">
        <v>1495</v>
      </c>
      <c r="AA25" s="2918"/>
      <c r="AB25" s="2918"/>
      <c r="AC25" s="2918"/>
      <c r="AD25" s="2918"/>
      <c r="AE25" s="2918"/>
      <c r="AF25" s="2918"/>
      <c r="AG25" s="2918"/>
      <c r="AH25" s="2918"/>
      <c r="AI25" s="2918"/>
      <c r="AJ25" s="2918"/>
      <c r="AK25" s="2918"/>
      <c r="AL25" s="2918"/>
      <c r="AM25" s="2918"/>
      <c r="AN25" s="2918"/>
      <c r="AO25" s="2918"/>
      <c r="AP25" s="2918"/>
      <c r="AQ25" s="2310"/>
      <c r="AR25" s="2310"/>
      <c r="AS25" s="2859"/>
    </row>
    <row r="26" spans="1:45" s="80" customFormat="1" ht="57" customHeight="1" x14ac:dyDescent="0.25">
      <c r="A26" s="743"/>
      <c r="B26" s="744"/>
      <c r="C26" s="743"/>
      <c r="D26" s="744"/>
      <c r="E26" s="790"/>
      <c r="F26" s="2926"/>
      <c r="G26" s="2943"/>
      <c r="H26" s="2944"/>
      <c r="I26" s="2921"/>
      <c r="J26" s="2944"/>
      <c r="K26" s="2921"/>
      <c r="L26" s="2919"/>
      <c r="M26" s="2900"/>
      <c r="N26" s="2736"/>
      <c r="O26" s="2920"/>
      <c r="P26" s="2947"/>
      <c r="Q26" s="2949"/>
      <c r="R26" s="2952"/>
      <c r="S26" s="2940"/>
      <c r="T26" s="2887"/>
      <c r="U26" s="2873"/>
      <c r="V26" s="990" t="s">
        <v>1497</v>
      </c>
      <c r="W26" s="800">
        <v>36000000</v>
      </c>
      <c r="X26" s="795" t="s">
        <v>1494</v>
      </c>
      <c r="Y26" s="595">
        <v>41</v>
      </c>
      <c r="Z26" s="754" t="s">
        <v>1495</v>
      </c>
      <c r="AA26" s="2918"/>
      <c r="AB26" s="2918"/>
      <c r="AC26" s="2918"/>
      <c r="AD26" s="2918"/>
      <c r="AE26" s="2918"/>
      <c r="AF26" s="2918"/>
      <c r="AG26" s="2918"/>
      <c r="AH26" s="2918"/>
      <c r="AI26" s="2918"/>
      <c r="AJ26" s="2918"/>
      <c r="AK26" s="2918"/>
      <c r="AL26" s="2918"/>
      <c r="AM26" s="2918"/>
      <c r="AN26" s="2918"/>
      <c r="AO26" s="2918"/>
      <c r="AP26" s="2918"/>
      <c r="AQ26" s="2310"/>
      <c r="AR26" s="2310"/>
      <c r="AS26" s="2859"/>
    </row>
    <row r="27" spans="1:45" s="80" customFormat="1" ht="47.25" customHeight="1" x14ac:dyDescent="0.25">
      <c r="A27" s="743"/>
      <c r="B27" s="744"/>
      <c r="C27" s="743"/>
      <c r="D27" s="744"/>
      <c r="E27" s="790"/>
      <c r="F27" s="2926"/>
      <c r="G27" s="2943"/>
      <c r="H27" s="2944"/>
      <c r="I27" s="2921"/>
      <c r="J27" s="2944"/>
      <c r="K27" s="2921"/>
      <c r="L27" s="2919"/>
      <c r="M27" s="2900"/>
      <c r="N27" s="2736"/>
      <c r="O27" s="2920"/>
      <c r="P27" s="2947"/>
      <c r="Q27" s="2949"/>
      <c r="R27" s="2952"/>
      <c r="S27" s="2940"/>
      <c r="T27" s="2887"/>
      <c r="U27" s="2873"/>
      <c r="V27" s="2875" t="s">
        <v>1498</v>
      </c>
      <c r="W27" s="800">
        <f>83982494.6+50500000</f>
        <v>134482494.59999999</v>
      </c>
      <c r="X27" s="795" t="s">
        <v>1494</v>
      </c>
      <c r="Y27" s="595">
        <v>41</v>
      </c>
      <c r="Z27" s="754" t="s">
        <v>1495</v>
      </c>
      <c r="AA27" s="2918"/>
      <c r="AB27" s="2918"/>
      <c r="AC27" s="2918"/>
      <c r="AD27" s="2918"/>
      <c r="AE27" s="2918"/>
      <c r="AF27" s="2918"/>
      <c r="AG27" s="2918"/>
      <c r="AH27" s="2918"/>
      <c r="AI27" s="2918"/>
      <c r="AJ27" s="2918"/>
      <c r="AK27" s="2918"/>
      <c r="AL27" s="2918"/>
      <c r="AM27" s="2918"/>
      <c r="AN27" s="2918"/>
      <c r="AO27" s="2918"/>
      <c r="AP27" s="2918"/>
      <c r="AQ27" s="2310"/>
      <c r="AR27" s="2310"/>
      <c r="AS27" s="2859"/>
    </row>
    <row r="28" spans="1:45" s="80" customFormat="1" ht="47.25" customHeight="1" x14ac:dyDescent="0.25">
      <c r="A28" s="743"/>
      <c r="B28" s="744"/>
      <c r="C28" s="743"/>
      <c r="D28" s="744"/>
      <c r="E28" s="790"/>
      <c r="F28" s="2926"/>
      <c r="G28" s="2943"/>
      <c r="H28" s="2944"/>
      <c r="I28" s="2921"/>
      <c r="J28" s="2944"/>
      <c r="K28" s="2921"/>
      <c r="L28" s="2919"/>
      <c r="M28" s="2900"/>
      <c r="N28" s="2736"/>
      <c r="O28" s="2920"/>
      <c r="P28" s="2947"/>
      <c r="Q28" s="2949"/>
      <c r="R28" s="2952"/>
      <c r="S28" s="2940"/>
      <c r="T28" s="2887"/>
      <c r="U28" s="2874"/>
      <c r="V28" s="2877"/>
      <c r="W28" s="800">
        <f>24600000+50000000</f>
        <v>74600000</v>
      </c>
      <c r="X28" s="795" t="s">
        <v>1482</v>
      </c>
      <c r="Y28" s="595">
        <v>20</v>
      </c>
      <c r="Z28" s="754" t="s">
        <v>77</v>
      </c>
      <c r="AA28" s="2918"/>
      <c r="AB28" s="2918"/>
      <c r="AC28" s="2918"/>
      <c r="AD28" s="2918"/>
      <c r="AE28" s="2918"/>
      <c r="AF28" s="2918"/>
      <c r="AG28" s="2918"/>
      <c r="AH28" s="2918"/>
      <c r="AI28" s="2918"/>
      <c r="AJ28" s="2918"/>
      <c r="AK28" s="2918"/>
      <c r="AL28" s="2918"/>
      <c r="AM28" s="2918"/>
      <c r="AN28" s="2918"/>
      <c r="AO28" s="2918"/>
      <c r="AP28" s="2918"/>
      <c r="AQ28" s="2310"/>
      <c r="AR28" s="2310"/>
      <c r="AS28" s="2859"/>
    </row>
    <row r="29" spans="1:45" s="80" customFormat="1" ht="55.5" customHeight="1" x14ac:dyDescent="0.25">
      <c r="A29" s="743"/>
      <c r="B29" s="744"/>
      <c r="C29" s="743"/>
      <c r="D29" s="744"/>
      <c r="E29" s="790"/>
      <c r="F29" s="2926"/>
      <c r="G29" s="643" t="s">
        <v>62</v>
      </c>
      <c r="H29" s="991" t="s">
        <v>1499</v>
      </c>
      <c r="I29" s="643">
        <v>3301070</v>
      </c>
      <c r="J29" s="992" t="s">
        <v>1500</v>
      </c>
      <c r="K29" s="729" t="s">
        <v>62</v>
      </c>
      <c r="L29" s="993" t="s">
        <v>1501</v>
      </c>
      <c r="M29" s="729">
        <v>330107000</v>
      </c>
      <c r="N29" s="644" t="s">
        <v>175</v>
      </c>
      <c r="O29" s="758">
        <v>0.3</v>
      </c>
      <c r="P29" s="2867"/>
      <c r="Q29" s="2949"/>
      <c r="R29" s="994">
        <f>W29/S12</f>
        <v>1.8329204389068578E-2</v>
      </c>
      <c r="S29" s="2940"/>
      <c r="T29" s="2887"/>
      <c r="U29" s="929" t="s">
        <v>1502</v>
      </c>
      <c r="V29" s="990" t="s">
        <v>1503</v>
      </c>
      <c r="W29" s="800">
        <v>36000000</v>
      </c>
      <c r="X29" s="795" t="s">
        <v>1504</v>
      </c>
      <c r="Y29" s="595">
        <v>20</v>
      </c>
      <c r="Z29" s="754" t="s">
        <v>77</v>
      </c>
      <c r="AA29" s="2918"/>
      <c r="AB29" s="2918"/>
      <c r="AC29" s="2918"/>
      <c r="AD29" s="2918"/>
      <c r="AE29" s="2918"/>
      <c r="AF29" s="2918"/>
      <c r="AG29" s="2918"/>
      <c r="AH29" s="2918"/>
      <c r="AI29" s="2918"/>
      <c r="AJ29" s="2918"/>
      <c r="AK29" s="2918"/>
      <c r="AL29" s="2918"/>
      <c r="AM29" s="2918"/>
      <c r="AN29" s="2918"/>
      <c r="AO29" s="2918"/>
      <c r="AP29" s="2918"/>
      <c r="AQ29" s="2310"/>
      <c r="AR29" s="2310"/>
      <c r="AS29" s="2859"/>
    </row>
    <row r="30" spans="1:45" s="80" customFormat="1" ht="63.75" customHeight="1" x14ac:dyDescent="0.25">
      <c r="A30" s="743"/>
      <c r="B30" s="744"/>
      <c r="C30" s="743"/>
      <c r="D30" s="744"/>
      <c r="E30" s="790"/>
      <c r="F30" s="2926"/>
      <c r="G30" s="761">
        <v>3301099</v>
      </c>
      <c r="H30" s="995" t="s">
        <v>1505</v>
      </c>
      <c r="I30" s="761">
        <v>3301099</v>
      </c>
      <c r="J30" s="995" t="s">
        <v>1505</v>
      </c>
      <c r="K30" s="761">
        <v>330109900</v>
      </c>
      <c r="L30" s="996" t="s">
        <v>1506</v>
      </c>
      <c r="M30" s="761">
        <v>330109900</v>
      </c>
      <c r="N30" s="734" t="s">
        <v>1506</v>
      </c>
      <c r="O30" s="759">
        <v>1</v>
      </c>
      <c r="P30" s="2867"/>
      <c r="Q30" s="2949"/>
      <c r="R30" s="997">
        <f>W30/S12</f>
        <v>2.7493806583602865E-3</v>
      </c>
      <c r="S30" s="2940"/>
      <c r="T30" s="2887"/>
      <c r="U30" s="792" t="s">
        <v>1507</v>
      </c>
      <c r="V30" s="990" t="s">
        <v>1508</v>
      </c>
      <c r="W30" s="800">
        <f>30000000-24600000</f>
        <v>5400000</v>
      </c>
      <c r="X30" s="795" t="s">
        <v>1509</v>
      </c>
      <c r="Y30" s="595">
        <v>20</v>
      </c>
      <c r="Z30" s="754" t="s">
        <v>1472</v>
      </c>
      <c r="AA30" s="2918"/>
      <c r="AB30" s="2918"/>
      <c r="AC30" s="2918"/>
      <c r="AD30" s="2918"/>
      <c r="AE30" s="2918"/>
      <c r="AF30" s="2918"/>
      <c r="AG30" s="2918"/>
      <c r="AH30" s="2918"/>
      <c r="AI30" s="2918"/>
      <c r="AJ30" s="2918"/>
      <c r="AK30" s="2918"/>
      <c r="AL30" s="2918"/>
      <c r="AM30" s="2918"/>
      <c r="AN30" s="2918"/>
      <c r="AO30" s="2918"/>
      <c r="AP30" s="2918"/>
      <c r="AQ30" s="2310"/>
      <c r="AR30" s="2310"/>
      <c r="AS30" s="2859"/>
    </row>
    <row r="31" spans="1:45" s="80" customFormat="1" ht="42" customHeight="1" x14ac:dyDescent="0.25">
      <c r="A31" s="743"/>
      <c r="B31" s="744"/>
      <c r="C31" s="743"/>
      <c r="D31" s="744"/>
      <c r="E31" s="790"/>
      <c r="F31" s="2926"/>
      <c r="G31" s="998">
        <v>3301052</v>
      </c>
      <c r="H31" s="999" t="s">
        <v>1510</v>
      </c>
      <c r="I31" s="998">
        <v>3301052</v>
      </c>
      <c r="J31" s="999" t="s">
        <v>1510</v>
      </c>
      <c r="K31" s="998">
        <v>330105203</v>
      </c>
      <c r="L31" s="1000" t="s">
        <v>1511</v>
      </c>
      <c r="M31" s="998">
        <v>330105203</v>
      </c>
      <c r="N31" s="735" t="s">
        <v>1511</v>
      </c>
      <c r="O31" s="757">
        <v>135</v>
      </c>
      <c r="P31" s="2867"/>
      <c r="Q31" s="2949"/>
      <c r="R31" s="1001">
        <f>W31/S12</f>
        <v>9.1646021945342888E-3</v>
      </c>
      <c r="S31" s="2940"/>
      <c r="T31" s="2888"/>
      <c r="U31" s="792" t="s">
        <v>1512</v>
      </c>
      <c r="V31" s="854" t="s">
        <v>1513</v>
      </c>
      <c r="W31" s="800">
        <v>18000000</v>
      </c>
      <c r="X31" s="795" t="s">
        <v>1514</v>
      </c>
      <c r="Y31" s="595">
        <v>20</v>
      </c>
      <c r="Z31" s="754" t="s">
        <v>1472</v>
      </c>
      <c r="AA31" s="2918"/>
      <c r="AB31" s="2918"/>
      <c r="AC31" s="2918"/>
      <c r="AD31" s="2918"/>
      <c r="AE31" s="2918"/>
      <c r="AF31" s="2918"/>
      <c r="AG31" s="2918"/>
      <c r="AH31" s="2918"/>
      <c r="AI31" s="2918"/>
      <c r="AJ31" s="2918"/>
      <c r="AK31" s="2918"/>
      <c r="AL31" s="2918"/>
      <c r="AM31" s="2918"/>
      <c r="AN31" s="2918"/>
      <c r="AO31" s="2918"/>
      <c r="AP31" s="2918"/>
      <c r="AQ31" s="2310"/>
      <c r="AR31" s="2310"/>
      <c r="AS31" s="2860"/>
    </row>
    <row r="32" spans="1:45" s="80" customFormat="1" ht="62.25" customHeight="1" x14ac:dyDescent="0.25">
      <c r="A32" s="743"/>
      <c r="B32" s="744"/>
      <c r="C32" s="743"/>
      <c r="D32" s="744"/>
      <c r="E32" s="790"/>
      <c r="F32" s="2926"/>
      <c r="G32" s="2900">
        <v>3301085</v>
      </c>
      <c r="H32" s="2907" t="s">
        <v>1515</v>
      </c>
      <c r="I32" s="2900">
        <v>3301085</v>
      </c>
      <c r="J32" s="2907" t="s">
        <v>1515</v>
      </c>
      <c r="K32" s="2900">
        <v>330108500</v>
      </c>
      <c r="L32" s="2907" t="s">
        <v>1516</v>
      </c>
      <c r="M32" s="2900">
        <v>330108500</v>
      </c>
      <c r="N32" s="2736" t="s">
        <v>1516</v>
      </c>
      <c r="O32" s="2901">
        <v>40000</v>
      </c>
      <c r="P32" s="2901" t="s">
        <v>1517</v>
      </c>
      <c r="Q32" s="2897" t="s">
        <v>1518</v>
      </c>
      <c r="R32" s="2903">
        <f>SUM(W32:W39)/S32</f>
        <v>0.51926734418564968</v>
      </c>
      <c r="S32" s="2890">
        <f>SUM(W32:W42)</f>
        <v>337013297.60000002</v>
      </c>
      <c r="T32" s="2908" t="s">
        <v>1519</v>
      </c>
      <c r="U32" s="2911" t="s">
        <v>1520</v>
      </c>
      <c r="V32" s="2897" t="s">
        <v>1521</v>
      </c>
      <c r="W32" s="1002">
        <v>28800000</v>
      </c>
      <c r="X32" s="795" t="s">
        <v>1522</v>
      </c>
      <c r="Y32" s="595">
        <v>34</v>
      </c>
      <c r="Z32" s="759" t="s">
        <v>1523</v>
      </c>
      <c r="AA32" s="2879">
        <v>2035.7388505241149</v>
      </c>
      <c r="AB32" s="2879">
        <v>1964.2611494758853</v>
      </c>
      <c r="AC32" s="2879">
        <v>932.29840151869485</v>
      </c>
      <c r="AD32" s="2879">
        <v>304.38550636916392</v>
      </c>
      <c r="AE32" s="2879">
        <v>2126.3515558367953</v>
      </c>
      <c r="AF32" s="2879">
        <v>636.96453627534595</v>
      </c>
      <c r="AG32" s="2879">
        <v>14.753624783338378</v>
      </c>
      <c r="AH32" s="2879">
        <v>87.476270393705121</v>
      </c>
      <c r="AI32" s="2879">
        <v>0.1788318155556167</v>
      </c>
      <c r="AJ32" s="2879">
        <v>0.25449142982914685</v>
      </c>
      <c r="AK32" s="2879">
        <v>0</v>
      </c>
      <c r="AL32" s="2879">
        <v>0</v>
      </c>
      <c r="AM32" s="2879">
        <v>305.04580845736922</v>
      </c>
      <c r="AN32" s="2879">
        <v>150.93405232894051</v>
      </c>
      <c r="AO32" s="2879">
        <v>520.58629322915226</v>
      </c>
      <c r="AP32" s="2879">
        <v>4000</v>
      </c>
      <c r="AQ32" s="2881">
        <v>44200</v>
      </c>
      <c r="AR32" s="2881">
        <v>44560</v>
      </c>
      <c r="AS32" s="2882" t="s">
        <v>1473</v>
      </c>
    </row>
    <row r="33" spans="1:45" s="80" customFormat="1" ht="62.25" customHeight="1" x14ac:dyDescent="0.25">
      <c r="A33" s="743"/>
      <c r="B33" s="744"/>
      <c r="C33" s="743"/>
      <c r="D33" s="744"/>
      <c r="E33" s="790"/>
      <c r="F33" s="2926"/>
      <c r="G33" s="2900"/>
      <c r="H33" s="2907"/>
      <c r="I33" s="2900"/>
      <c r="J33" s="2907"/>
      <c r="K33" s="2900"/>
      <c r="L33" s="2907"/>
      <c r="M33" s="2900"/>
      <c r="N33" s="2736"/>
      <c r="O33" s="2901"/>
      <c r="P33" s="2901"/>
      <c r="Q33" s="2897"/>
      <c r="R33" s="2903"/>
      <c r="S33" s="2890"/>
      <c r="T33" s="2909"/>
      <c r="U33" s="2912"/>
      <c r="V33" s="2897"/>
      <c r="W33" s="1002">
        <v>25000000</v>
      </c>
      <c r="X33" s="795" t="s">
        <v>1524</v>
      </c>
      <c r="Y33" s="595">
        <v>83</v>
      </c>
      <c r="Z33" s="759" t="s">
        <v>1525</v>
      </c>
      <c r="AA33" s="2879"/>
      <c r="AB33" s="2879"/>
      <c r="AC33" s="2879"/>
      <c r="AD33" s="2879"/>
      <c r="AE33" s="2879"/>
      <c r="AF33" s="2879"/>
      <c r="AG33" s="2879"/>
      <c r="AH33" s="2879"/>
      <c r="AI33" s="2879"/>
      <c r="AJ33" s="2879"/>
      <c r="AK33" s="2879"/>
      <c r="AL33" s="2879"/>
      <c r="AM33" s="2879"/>
      <c r="AN33" s="2879"/>
      <c r="AO33" s="2879"/>
      <c r="AP33" s="2879"/>
      <c r="AQ33" s="2881"/>
      <c r="AR33" s="2881"/>
      <c r="AS33" s="2883"/>
    </row>
    <row r="34" spans="1:45" s="80" customFormat="1" ht="47.25" customHeight="1" x14ac:dyDescent="0.25">
      <c r="A34" s="743"/>
      <c r="B34" s="744"/>
      <c r="C34" s="743"/>
      <c r="D34" s="744"/>
      <c r="E34" s="790"/>
      <c r="F34" s="2926"/>
      <c r="G34" s="2900"/>
      <c r="H34" s="2907"/>
      <c r="I34" s="2900"/>
      <c r="J34" s="2907"/>
      <c r="K34" s="2900"/>
      <c r="L34" s="2907"/>
      <c r="M34" s="2900"/>
      <c r="N34" s="2736"/>
      <c r="O34" s="2901"/>
      <c r="P34" s="2901"/>
      <c r="Q34" s="2897"/>
      <c r="R34" s="2903"/>
      <c r="S34" s="2890"/>
      <c r="T34" s="2909"/>
      <c r="U34" s="2912"/>
      <c r="V34" s="2897"/>
      <c r="W34" s="1002">
        <v>4000000</v>
      </c>
      <c r="X34" s="795" t="s">
        <v>1526</v>
      </c>
      <c r="Y34" s="595">
        <v>20</v>
      </c>
      <c r="Z34" s="759" t="s">
        <v>1527</v>
      </c>
      <c r="AA34" s="2879"/>
      <c r="AB34" s="2879"/>
      <c r="AC34" s="2879"/>
      <c r="AD34" s="2879"/>
      <c r="AE34" s="2879"/>
      <c r="AF34" s="2879"/>
      <c r="AG34" s="2879"/>
      <c r="AH34" s="2879"/>
      <c r="AI34" s="2879"/>
      <c r="AJ34" s="2879"/>
      <c r="AK34" s="2879"/>
      <c r="AL34" s="2879"/>
      <c r="AM34" s="2879"/>
      <c r="AN34" s="2879"/>
      <c r="AO34" s="2879"/>
      <c r="AP34" s="2879"/>
      <c r="AQ34" s="2881"/>
      <c r="AR34" s="2881"/>
      <c r="AS34" s="2883"/>
    </row>
    <row r="35" spans="1:45" s="80" customFormat="1" ht="67.5" customHeight="1" x14ac:dyDescent="0.25">
      <c r="A35" s="743"/>
      <c r="B35" s="744"/>
      <c r="C35" s="743"/>
      <c r="D35" s="744"/>
      <c r="E35" s="790"/>
      <c r="F35" s="2926"/>
      <c r="G35" s="2900"/>
      <c r="H35" s="2907"/>
      <c r="I35" s="2900"/>
      <c r="J35" s="2907"/>
      <c r="K35" s="2900"/>
      <c r="L35" s="2907"/>
      <c r="M35" s="2900"/>
      <c r="N35" s="2736"/>
      <c r="O35" s="2901"/>
      <c r="P35" s="2901"/>
      <c r="Q35" s="2897"/>
      <c r="R35" s="2903"/>
      <c r="S35" s="2890"/>
      <c r="T35" s="2909"/>
      <c r="U35" s="2912"/>
      <c r="V35" s="2897" t="s">
        <v>1528</v>
      </c>
      <c r="W35" s="1002">
        <v>50000000</v>
      </c>
      <c r="X35" s="795" t="s">
        <v>1524</v>
      </c>
      <c r="Y35" s="595">
        <v>83</v>
      </c>
      <c r="Z35" s="759" t="s">
        <v>1525</v>
      </c>
      <c r="AA35" s="2879"/>
      <c r="AB35" s="2879"/>
      <c r="AC35" s="2879"/>
      <c r="AD35" s="2879"/>
      <c r="AE35" s="2879"/>
      <c r="AF35" s="2879"/>
      <c r="AG35" s="2879"/>
      <c r="AH35" s="2879"/>
      <c r="AI35" s="2879"/>
      <c r="AJ35" s="2879"/>
      <c r="AK35" s="2879"/>
      <c r="AL35" s="2879"/>
      <c r="AM35" s="2879"/>
      <c r="AN35" s="2879"/>
      <c r="AO35" s="2879"/>
      <c r="AP35" s="2879"/>
      <c r="AQ35" s="2881"/>
      <c r="AR35" s="2881"/>
      <c r="AS35" s="2883"/>
    </row>
    <row r="36" spans="1:45" s="80" customFormat="1" ht="47.25" customHeight="1" x14ac:dyDescent="0.25">
      <c r="A36" s="743"/>
      <c r="B36" s="744"/>
      <c r="C36" s="743"/>
      <c r="D36" s="744"/>
      <c r="E36" s="790"/>
      <c r="F36" s="2926"/>
      <c r="G36" s="2900"/>
      <c r="H36" s="2907"/>
      <c r="I36" s="2900"/>
      <c r="J36" s="2907"/>
      <c r="K36" s="2900"/>
      <c r="L36" s="2907"/>
      <c r="M36" s="2900"/>
      <c r="N36" s="2736"/>
      <c r="O36" s="2901"/>
      <c r="P36" s="2901"/>
      <c r="Q36" s="2897"/>
      <c r="R36" s="2903"/>
      <c r="S36" s="2890"/>
      <c r="T36" s="2909"/>
      <c r="U36" s="2912"/>
      <c r="V36" s="2897"/>
      <c r="W36" s="1002">
        <v>16000000</v>
      </c>
      <c r="X36" s="795" t="s">
        <v>1526</v>
      </c>
      <c r="Y36" s="595">
        <v>20</v>
      </c>
      <c r="Z36" s="759" t="s">
        <v>1527</v>
      </c>
      <c r="AA36" s="2879"/>
      <c r="AB36" s="2879"/>
      <c r="AC36" s="2879"/>
      <c r="AD36" s="2879"/>
      <c r="AE36" s="2879"/>
      <c r="AF36" s="2879"/>
      <c r="AG36" s="2879"/>
      <c r="AH36" s="2879"/>
      <c r="AI36" s="2879"/>
      <c r="AJ36" s="2879"/>
      <c r="AK36" s="2879"/>
      <c r="AL36" s="2879"/>
      <c r="AM36" s="2879"/>
      <c r="AN36" s="2879"/>
      <c r="AO36" s="2879"/>
      <c r="AP36" s="2879"/>
      <c r="AQ36" s="2881"/>
      <c r="AR36" s="2881"/>
      <c r="AS36" s="2883"/>
    </row>
    <row r="37" spans="1:45" s="80" customFormat="1" ht="47.25" customHeight="1" x14ac:dyDescent="0.25">
      <c r="A37" s="743"/>
      <c r="B37" s="744"/>
      <c r="C37" s="743"/>
      <c r="D37" s="744"/>
      <c r="E37" s="790"/>
      <c r="F37" s="2926"/>
      <c r="G37" s="2900"/>
      <c r="H37" s="2907"/>
      <c r="I37" s="2900"/>
      <c r="J37" s="2907"/>
      <c r="K37" s="2900"/>
      <c r="L37" s="2907"/>
      <c r="M37" s="2900"/>
      <c r="N37" s="2736"/>
      <c r="O37" s="2901"/>
      <c r="P37" s="2901"/>
      <c r="Q37" s="2897"/>
      <c r="R37" s="2903"/>
      <c r="S37" s="2890"/>
      <c r="T37" s="2909"/>
      <c r="U37" s="2912"/>
      <c r="V37" s="2897"/>
      <c r="W37" s="1002">
        <v>22400000</v>
      </c>
      <c r="X37" s="795" t="s">
        <v>1522</v>
      </c>
      <c r="Y37" s="595">
        <v>34</v>
      </c>
      <c r="Z37" s="759" t="s">
        <v>1523</v>
      </c>
      <c r="AA37" s="2879"/>
      <c r="AB37" s="2879"/>
      <c r="AC37" s="2879"/>
      <c r="AD37" s="2879"/>
      <c r="AE37" s="2879"/>
      <c r="AF37" s="2879"/>
      <c r="AG37" s="2879"/>
      <c r="AH37" s="2879"/>
      <c r="AI37" s="2879"/>
      <c r="AJ37" s="2879"/>
      <c r="AK37" s="2879"/>
      <c r="AL37" s="2879"/>
      <c r="AM37" s="2879"/>
      <c r="AN37" s="2879"/>
      <c r="AO37" s="2879"/>
      <c r="AP37" s="2879"/>
      <c r="AQ37" s="2881"/>
      <c r="AR37" s="2881"/>
      <c r="AS37" s="2883"/>
    </row>
    <row r="38" spans="1:45" s="80" customFormat="1" ht="46.5" customHeight="1" x14ac:dyDescent="0.25">
      <c r="A38" s="743"/>
      <c r="B38" s="744"/>
      <c r="C38" s="743"/>
      <c r="D38" s="744"/>
      <c r="E38" s="790"/>
      <c r="F38" s="2926"/>
      <c r="G38" s="2900"/>
      <c r="H38" s="2907"/>
      <c r="I38" s="2900"/>
      <c r="J38" s="2907"/>
      <c r="K38" s="2900"/>
      <c r="L38" s="2907"/>
      <c r="M38" s="2900"/>
      <c r="N38" s="2736"/>
      <c r="O38" s="2901"/>
      <c r="P38" s="2901"/>
      <c r="Q38" s="2897"/>
      <c r="R38" s="2903"/>
      <c r="S38" s="2890"/>
      <c r="T38" s="2909"/>
      <c r="U38" s="2912"/>
      <c r="V38" s="869" t="s">
        <v>1529</v>
      </c>
      <c r="W38" s="1002">
        <f>51200000-22400000</f>
        <v>28800000</v>
      </c>
      <c r="X38" s="795" t="s">
        <v>1522</v>
      </c>
      <c r="Y38" s="595">
        <v>34</v>
      </c>
      <c r="Z38" s="759" t="s">
        <v>1523</v>
      </c>
      <c r="AA38" s="2879"/>
      <c r="AB38" s="2879"/>
      <c r="AC38" s="2879"/>
      <c r="AD38" s="2879"/>
      <c r="AE38" s="2879"/>
      <c r="AF38" s="2879"/>
      <c r="AG38" s="2879"/>
      <c r="AH38" s="2879"/>
      <c r="AI38" s="2879"/>
      <c r="AJ38" s="2879"/>
      <c r="AK38" s="2879"/>
      <c r="AL38" s="2879"/>
      <c r="AM38" s="2879"/>
      <c r="AN38" s="2879"/>
      <c r="AO38" s="2879"/>
      <c r="AP38" s="2879"/>
      <c r="AQ38" s="2881"/>
      <c r="AR38" s="2881"/>
      <c r="AS38" s="2883"/>
    </row>
    <row r="39" spans="1:45" s="80" customFormat="1" ht="49.5" customHeight="1" x14ac:dyDescent="0.25">
      <c r="A39" s="743"/>
      <c r="B39" s="744"/>
      <c r="C39" s="743"/>
      <c r="D39" s="744"/>
      <c r="E39" s="790"/>
      <c r="F39" s="2926"/>
      <c r="G39" s="2900"/>
      <c r="H39" s="2907"/>
      <c r="I39" s="2900"/>
      <c r="J39" s="2907"/>
      <c r="K39" s="2900"/>
      <c r="L39" s="2907"/>
      <c r="M39" s="2900"/>
      <c r="N39" s="2736"/>
      <c r="O39" s="2901"/>
      <c r="P39" s="2901"/>
      <c r="Q39" s="2897"/>
      <c r="R39" s="2903"/>
      <c r="S39" s="2890"/>
      <c r="T39" s="2909"/>
      <c r="U39" s="2913"/>
      <c r="V39" s="866" t="s">
        <v>1529</v>
      </c>
      <c r="W39" s="1002">
        <f>20000000-20000000</f>
        <v>0</v>
      </c>
      <c r="X39" s="795" t="s">
        <v>1526</v>
      </c>
      <c r="Y39" s="595">
        <v>20</v>
      </c>
      <c r="Z39" s="759" t="s">
        <v>1527</v>
      </c>
      <c r="AA39" s="2879"/>
      <c r="AB39" s="2879"/>
      <c r="AC39" s="2879"/>
      <c r="AD39" s="2879"/>
      <c r="AE39" s="2879"/>
      <c r="AF39" s="2879"/>
      <c r="AG39" s="2879"/>
      <c r="AH39" s="2879"/>
      <c r="AI39" s="2879"/>
      <c r="AJ39" s="2879"/>
      <c r="AK39" s="2879"/>
      <c r="AL39" s="2879"/>
      <c r="AM39" s="2879"/>
      <c r="AN39" s="2879"/>
      <c r="AO39" s="2879"/>
      <c r="AP39" s="2879"/>
      <c r="AQ39" s="2881"/>
      <c r="AR39" s="2881"/>
      <c r="AS39" s="2883"/>
    </row>
    <row r="40" spans="1:45" s="80" customFormat="1" ht="69" customHeight="1" x14ac:dyDescent="0.25">
      <c r="A40" s="743"/>
      <c r="B40" s="744"/>
      <c r="C40" s="743"/>
      <c r="D40" s="744"/>
      <c r="E40" s="790"/>
      <c r="F40" s="2926"/>
      <c r="G40" s="2849">
        <v>3301100</v>
      </c>
      <c r="H40" s="2907" t="s">
        <v>1530</v>
      </c>
      <c r="I40" s="2849">
        <v>3301100</v>
      </c>
      <c r="J40" s="2907" t="s">
        <v>1530</v>
      </c>
      <c r="K40" s="2849" t="s">
        <v>1531</v>
      </c>
      <c r="L40" s="2907" t="s">
        <v>1532</v>
      </c>
      <c r="M40" s="2849" t="s">
        <v>1531</v>
      </c>
      <c r="N40" s="2736" t="s">
        <v>1532</v>
      </c>
      <c r="O40" s="2901">
        <v>10</v>
      </c>
      <c r="P40" s="2901"/>
      <c r="Q40" s="2897"/>
      <c r="R40" s="2903">
        <f>SUM(W40:W42)/S32</f>
        <v>0.48073265581435021</v>
      </c>
      <c r="S40" s="2890"/>
      <c r="T40" s="2909"/>
      <c r="U40" s="2914" t="s">
        <v>1533</v>
      </c>
      <c r="V40" s="2897" t="s">
        <v>1534</v>
      </c>
      <c r="W40" s="1003">
        <v>103982494.59999999</v>
      </c>
      <c r="X40" s="795" t="s">
        <v>1535</v>
      </c>
      <c r="Y40" s="595">
        <v>34</v>
      </c>
      <c r="Z40" s="759" t="s">
        <v>1523</v>
      </c>
      <c r="AA40" s="2879"/>
      <c r="AB40" s="2879"/>
      <c r="AC40" s="2879"/>
      <c r="AD40" s="2879"/>
      <c r="AE40" s="2879"/>
      <c r="AF40" s="2879"/>
      <c r="AG40" s="2879"/>
      <c r="AH40" s="2879"/>
      <c r="AI40" s="2879"/>
      <c r="AJ40" s="2879"/>
      <c r="AK40" s="2879"/>
      <c r="AL40" s="2879"/>
      <c r="AM40" s="2879"/>
      <c r="AN40" s="2879"/>
      <c r="AO40" s="2879"/>
      <c r="AP40" s="2879"/>
      <c r="AQ40" s="2881"/>
      <c r="AR40" s="2881"/>
      <c r="AS40" s="2883"/>
    </row>
    <row r="41" spans="1:45" s="80" customFormat="1" ht="33.75" customHeight="1" x14ac:dyDescent="0.25">
      <c r="A41" s="743"/>
      <c r="B41" s="744"/>
      <c r="C41" s="743"/>
      <c r="D41" s="744"/>
      <c r="E41" s="790"/>
      <c r="F41" s="2926"/>
      <c r="G41" s="2849"/>
      <c r="H41" s="2907"/>
      <c r="I41" s="2849"/>
      <c r="J41" s="2907"/>
      <c r="K41" s="2849"/>
      <c r="L41" s="2907"/>
      <c r="M41" s="2849"/>
      <c r="N41" s="2736"/>
      <c r="O41" s="2901"/>
      <c r="P41" s="2901"/>
      <c r="Q41" s="2897"/>
      <c r="R41" s="2903"/>
      <c r="S41" s="2890"/>
      <c r="T41" s="2909"/>
      <c r="U41" s="2915"/>
      <c r="V41" s="2897"/>
      <c r="W41" s="1004">
        <v>18000000</v>
      </c>
      <c r="X41" s="795" t="s">
        <v>1536</v>
      </c>
      <c r="Y41" s="755">
        <v>20</v>
      </c>
      <c r="Z41" s="757" t="s">
        <v>1527</v>
      </c>
      <c r="AA41" s="2879"/>
      <c r="AB41" s="2879"/>
      <c r="AC41" s="2879"/>
      <c r="AD41" s="2879"/>
      <c r="AE41" s="2879"/>
      <c r="AF41" s="2879"/>
      <c r="AG41" s="2879"/>
      <c r="AH41" s="2879"/>
      <c r="AI41" s="2879"/>
      <c r="AJ41" s="2879"/>
      <c r="AK41" s="2879"/>
      <c r="AL41" s="2879"/>
      <c r="AM41" s="2879"/>
      <c r="AN41" s="2879"/>
      <c r="AO41" s="2879"/>
      <c r="AP41" s="2879"/>
      <c r="AQ41" s="2881"/>
      <c r="AR41" s="2881"/>
      <c r="AS41" s="2883"/>
    </row>
    <row r="42" spans="1:45" s="80" customFormat="1" ht="80.25" customHeight="1" x14ac:dyDescent="0.25">
      <c r="A42" s="743"/>
      <c r="B42" s="744"/>
      <c r="C42" s="743"/>
      <c r="D42" s="744"/>
      <c r="E42" s="790"/>
      <c r="F42" s="2926"/>
      <c r="G42" s="2849"/>
      <c r="H42" s="2907"/>
      <c r="I42" s="2849"/>
      <c r="J42" s="2907"/>
      <c r="K42" s="2849"/>
      <c r="L42" s="2907"/>
      <c r="M42" s="2849"/>
      <c r="N42" s="2736"/>
      <c r="O42" s="2901"/>
      <c r="P42" s="2901"/>
      <c r="Q42" s="2897"/>
      <c r="R42" s="2903"/>
      <c r="S42" s="2890"/>
      <c r="T42" s="2910"/>
      <c r="U42" s="2916"/>
      <c r="V42" s="2897"/>
      <c r="W42" s="1004">
        <v>40030803</v>
      </c>
      <c r="X42" s="795" t="s">
        <v>1537</v>
      </c>
      <c r="Y42" s="595">
        <v>83</v>
      </c>
      <c r="Z42" s="759" t="s">
        <v>1525</v>
      </c>
      <c r="AA42" s="2879"/>
      <c r="AB42" s="2879"/>
      <c r="AC42" s="2879"/>
      <c r="AD42" s="2879"/>
      <c r="AE42" s="2879"/>
      <c r="AF42" s="2879"/>
      <c r="AG42" s="2879"/>
      <c r="AH42" s="2879"/>
      <c r="AI42" s="2879"/>
      <c r="AJ42" s="2879"/>
      <c r="AK42" s="2879"/>
      <c r="AL42" s="2879"/>
      <c r="AM42" s="2879"/>
      <c r="AN42" s="2879"/>
      <c r="AO42" s="2879"/>
      <c r="AP42" s="2879"/>
      <c r="AQ42" s="2881"/>
      <c r="AR42" s="2881"/>
      <c r="AS42" s="2883"/>
    </row>
    <row r="43" spans="1:45" s="80" customFormat="1" ht="63.75" customHeight="1" x14ac:dyDescent="0.25">
      <c r="A43" s="743"/>
      <c r="B43" s="744"/>
      <c r="C43" s="743"/>
      <c r="D43" s="744"/>
      <c r="E43" s="790"/>
      <c r="F43" s="2926"/>
      <c r="G43" s="2899">
        <v>3301095</v>
      </c>
      <c r="H43" s="2905" t="s">
        <v>1538</v>
      </c>
      <c r="I43" s="2899">
        <v>3301095</v>
      </c>
      <c r="J43" s="2905" t="s">
        <v>1538</v>
      </c>
      <c r="K43" s="2899">
        <v>330109500</v>
      </c>
      <c r="L43" s="2905" t="s">
        <v>1539</v>
      </c>
      <c r="M43" s="2899">
        <v>330109500</v>
      </c>
      <c r="N43" s="2720" t="s">
        <v>1539</v>
      </c>
      <c r="O43" s="2868">
        <v>150</v>
      </c>
      <c r="P43" s="2868" t="s">
        <v>1540</v>
      </c>
      <c r="Q43" s="2893" t="s">
        <v>1541</v>
      </c>
      <c r="R43" s="2902">
        <f>SUM(W43:W45)/S43</f>
        <v>1</v>
      </c>
      <c r="S43" s="2889">
        <f>SUM(W43:W45)</f>
        <v>1421227081.52</v>
      </c>
      <c r="T43" s="2891" t="s">
        <v>1542</v>
      </c>
      <c r="U43" s="2894" t="s">
        <v>1543</v>
      </c>
      <c r="V43" s="2897" t="s">
        <v>1544</v>
      </c>
      <c r="W43" s="1005">
        <v>183982494.59999999</v>
      </c>
      <c r="X43" s="795" t="s">
        <v>1545</v>
      </c>
      <c r="Y43" s="1006">
        <v>33</v>
      </c>
      <c r="Z43" s="791" t="s">
        <v>1546</v>
      </c>
      <c r="AA43" s="2878">
        <v>15.268041378930862</v>
      </c>
      <c r="AB43" s="2878">
        <v>14.73195862106914</v>
      </c>
      <c r="AC43" s="2878">
        <v>6.9922380113902109</v>
      </c>
      <c r="AD43" s="2878">
        <v>2.282891297768729</v>
      </c>
      <c r="AE43" s="2878">
        <v>15.947636668775965</v>
      </c>
      <c r="AF43" s="2878">
        <v>4.7772340220650902</v>
      </c>
      <c r="AG43" s="2878">
        <v>0.11065218587503782</v>
      </c>
      <c r="AH43" s="2878">
        <v>0.65607202795278841</v>
      </c>
      <c r="AI43" s="2878">
        <v>1.3412386166671252E-3</v>
      </c>
      <c r="AJ43" s="2878">
        <v>1.9086857237186013E-3</v>
      </c>
      <c r="AK43" s="2878">
        <v>0</v>
      </c>
      <c r="AL43" s="2878">
        <v>0</v>
      </c>
      <c r="AM43" s="2878">
        <v>2.2878435634302692</v>
      </c>
      <c r="AN43" s="2878">
        <v>1.1320053924670537</v>
      </c>
      <c r="AO43" s="2878">
        <v>3.9043971992186419</v>
      </c>
      <c r="AP43" s="2878">
        <v>30</v>
      </c>
      <c r="AQ43" s="2880">
        <v>44200</v>
      </c>
      <c r="AR43" s="2880">
        <v>44560</v>
      </c>
      <c r="AS43" s="2882" t="s">
        <v>1473</v>
      </c>
    </row>
    <row r="44" spans="1:45" s="80" customFormat="1" ht="71.25" customHeight="1" x14ac:dyDescent="0.25">
      <c r="A44" s="743"/>
      <c r="B44" s="744"/>
      <c r="C44" s="743"/>
      <c r="D44" s="744"/>
      <c r="E44" s="790"/>
      <c r="F44" s="2926"/>
      <c r="G44" s="2899"/>
      <c r="H44" s="2905"/>
      <c r="I44" s="2899"/>
      <c r="J44" s="2905"/>
      <c r="K44" s="2899"/>
      <c r="L44" s="2905"/>
      <c r="M44" s="2899"/>
      <c r="N44" s="2720"/>
      <c r="O44" s="2868"/>
      <c r="P44" s="2868"/>
      <c r="Q44" s="2893"/>
      <c r="R44" s="2902"/>
      <c r="S44" s="2889"/>
      <c r="T44" s="2892"/>
      <c r="U44" s="2895"/>
      <c r="V44" s="2897"/>
      <c r="W44" s="1007">
        <v>20000000</v>
      </c>
      <c r="X44" s="799" t="s">
        <v>1547</v>
      </c>
      <c r="Y44" s="868">
        <v>20</v>
      </c>
      <c r="Z44" s="836" t="s">
        <v>1527</v>
      </c>
      <c r="AA44" s="2878"/>
      <c r="AB44" s="2878"/>
      <c r="AC44" s="2878"/>
      <c r="AD44" s="2878"/>
      <c r="AE44" s="2878"/>
      <c r="AF44" s="2878"/>
      <c r="AG44" s="2878"/>
      <c r="AH44" s="2878"/>
      <c r="AI44" s="2878"/>
      <c r="AJ44" s="2878"/>
      <c r="AK44" s="2878"/>
      <c r="AL44" s="2878"/>
      <c r="AM44" s="2878"/>
      <c r="AN44" s="2878"/>
      <c r="AO44" s="2878"/>
      <c r="AP44" s="2878"/>
      <c r="AQ44" s="2880"/>
      <c r="AR44" s="2880"/>
      <c r="AS44" s="2882"/>
    </row>
    <row r="45" spans="1:45" s="80" customFormat="1" ht="61.5" customHeight="1" x14ac:dyDescent="0.25">
      <c r="A45" s="743"/>
      <c r="B45" s="744"/>
      <c r="C45" s="743"/>
      <c r="D45" s="744"/>
      <c r="E45" s="790"/>
      <c r="F45" s="2926"/>
      <c r="G45" s="2904"/>
      <c r="H45" s="2906"/>
      <c r="I45" s="2904"/>
      <c r="J45" s="2906"/>
      <c r="K45" s="2904"/>
      <c r="L45" s="2906"/>
      <c r="M45" s="2900"/>
      <c r="N45" s="2736"/>
      <c r="O45" s="2901"/>
      <c r="P45" s="2901"/>
      <c r="Q45" s="2897"/>
      <c r="R45" s="2903"/>
      <c r="S45" s="2890"/>
      <c r="T45" s="2893"/>
      <c r="U45" s="2896"/>
      <c r="V45" s="2897"/>
      <c r="W45" s="1008">
        <v>1217244586.9200001</v>
      </c>
      <c r="X45" s="795" t="s">
        <v>1548</v>
      </c>
      <c r="Y45" s="491">
        <v>83</v>
      </c>
      <c r="Z45" s="791" t="s">
        <v>1549</v>
      </c>
      <c r="AA45" s="2898"/>
      <c r="AB45" s="2879"/>
      <c r="AC45" s="2879"/>
      <c r="AD45" s="2879"/>
      <c r="AE45" s="2879"/>
      <c r="AF45" s="2879"/>
      <c r="AG45" s="2879"/>
      <c r="AH45" s="2879"/>
      <c r="AI45" s="2879"/>
      <c r="AJ45" s="2879"/>
      <c r="AK45" s="2879"/>
      <c r="AL45" s="2879"/>
      <c r="AM45" s="2879"/>
      <c r="AN45" s="2879"/>
      <c r="AO45" s="2879"/>
      <c r="AP45" s="2879"/>
      <c r="AQ45" s="2881"/>
      <c r="AR45" s="2881"/>
      <c r="AS45" s="2883"/>
    </row>
    <row r="46" spans="1:45" s="3" customFormat="1" ht="25.5" customHeight="1" x14ac:dyDescent="0.25">
      <c r="A46" s="747"/>
      <c r="B46" s="748"/>
      <c r="C46" s="747"/>
      <c r="D46" s="748"/>
      <c r="E46" s="1009">
        <v>3302</v>
      </c>
      <c r="F46" s="985" t="s">
        <v>1550</v>
      </c>
      <c r="G46" s="760"/>
      <c r="H46" s="863"/>
      <c r="I46" s="862"/>
      <c r="J46" s="863"/>
      <c r="K46" s="1010"/>
      <c r="L46" s="1011"/>
      <c r="M46" s="1012"/>
      <c r="N46" s="1013"/>
      <c r="O46" s="1012"/>
      <c r="P46" s="1012"/>
      <c r="Q46" s="1013"/>
      <c r="R46" s="1012"/>
      <c r="S46" s="1014"/>
      <c r="T46" s="1012"/>
      <c r="U46" s="1012"/>
      <c r="V46" s="1012"/>
      <c r="W46" s="1014"/>
      <c r="X46" s="1015"/>
      <c r="Y46" s="1012"/>
      <c r="Z46" s="1012"/>
      <c r="AA46" s="1016"/>
      <c r="AB46" s="1012"/>
      <c r="AC46" s="1012"/>
      <c r="AD46" s="1012"/>
      <c r="AE46" s="1012"/>
      <c r="AF46" s="1012"/>
      <c r="AG46" s="1012"/>
      <c r="AH46" s="1017"/>
      <c r="AI46" s="1012"/>
      <c r="AJ46" s="1012"/>
      <c r="AK46" s="1012"/>
      <c r="AL46" s="1012"/>
      <c r="AM46" s="1012"/>
      <c r="AN46" s="1012"/>
      <c r="AO46" s="1012"/>
      <c r="AP46" s="1012"/>
      <c r="AQ46" s="1012"/>
      <c r="AR46" s="1012"/>
      <c r="AS46" s="1017"/>
    </row>
    <row r="47" spans="1:45" s="80" customFormat="1" ht="182.25" customHeight="1" x14ac:dyDescent="0.25">
      <c r="A47" s="743"/>
      <c r="B47" s="744"/>
      <c r="C47" s="743"/>
      <c r="D47" s="744"/>
      <c r="E47" s="790"/>
      <c r="F47" s="790"/>
      <c r="G47" s="643">
        <v>3302042</v>
      </c>
      <c r="H47" s="1018" t="s">
        <v>1551</v>
      </c>
      <c r="I47" s="643">
        <v>3302042</v>
      </c>
      <c r="J47" s="1018" t="s">
        <v>1551</v>
      </c>
      <c r="K47" s="1019">
        <v>330204200</v>
      </c>
      <c r="L47" s="1020" t="s">
        <v>1552</v>
      </c>
      <c r="M47" s="1019">
        <v>330204200</v>
      </c>
      <c r="N47" s="730" t="s">
        <v>1552</v>
      </c>
      <c r="O47" s="884">
        <v>12</v>
      </c>
      <c r="P47" s="2867" t="s">
        <v>1553</v>
      </c>
      <c r="Q47" s="2876" t="s">
        <v>1554</v>
      </c>
      <c r="R47" s="1021">
        <f>W47/S47</f>
        <v>0.16789852200605013</v>
      </c>
      <c r="S47" s="2884">
        <f>SUM(W47:W51)</f>
        <v>396072575.30000001</v>
      </c>
      <c r="T47" s="2886" t="s">
        <v>1555</v>
      </c>
      <c r="U47" s="929" t="s">
        <v>1556</v>
      </c>
      <c r="V47" s="850" t="s">
        <v>1557</v>
      </c>
      <c r="W47" s="851">
        <v>66500000</v>
      </c>
      <c r="X47" s="795" t="s">
        <v>1558</v>
      </c>
      <c r="Y47" s="756">
        <v>20</v>
      </c>
      <c r="Z47" s="753" t="s">
        <v>1527</v>
      </c>
      <c r="AA47" s="2861">
        <v>295972</v>
      </c>
      <c r="AB47" s="2861">
        <v>285580</v>
      </c>
      <c r="AC47" s="2861">
        <v>135545</v>
      </c>
      <c r="AD47" s="2861">
        <v>44254</v>
      </c>
      <c r="AE47" s="2861">
        <v>309146</v>
      </c>
      <c r="AF47" s="2861">
        <v>92607</v>
      </c>
      <c r="AG47" s="2861">
        <v>2145</v>
      </c>
      <c r="AH47" s="2861">
        <v>12718</v>
      </c>
      <c r="AI47" s="2861">
        <v>26</v>
      </c>
      <c r="AJ47" s="2861">
        <v>37</v>
      </c>
      <c r="AK47" s="2861">
        <v>0</v>
      </c>
      <c r="AL47" s="2861">
        <v>0</v>
      </c>
      <c r="AM47" s="2861">
        <v>44350</v>
      </c>
      <c r="AN47" s="2861">
        <v>21944</v>
      </c>
      <c r="AO47" s="2861">
        <v>75686.999999999985</v>
      </c>
      <c r="AP47" s="2861">
        <v>581552</v>
      </c>
      <c r="AQ47" s="2310">
        <v>44200</v>
      </c>
      <c r="AR47" s="2310">
        <v>44560</v>
      </c>
      <c r="AS47" s="2859" t="s">
        <v>1473</v>
      </c>
    </row>
    <row r="48" spans="1:45" s="80" customFormat="1" ht="76.5" customHeight="1" x14ac:dyDescent="0.25">
      <c r="A48" s="743"/>
      <c r="B48" s="744"/>
      <c r="C48" s="743"/>
      <c r="D48" s="744"/>
      <c r="E48" s="790"/>
      <c r="F48" s="790"/>
      <c r="G48" s="2849">
        <v>3302070</v>
      </c>
      <c r="H48" s="2850" t="s">
        <v>1559</v>
      </c>
      <c r="I48" s="2849">
        <v>3302070</v>
      </c>
      <c r="J48" s="2850" t="s">
        <v>1559</v>
      </c>
      <c r="K48" s="2853" t="s">
        <v>1560</v>
      </c>
      <c r="L48" s="2856" t="s">
        <v>1532</v>
      </c>
      <c r="M48" s="2853" t="s">
        <v>1560</v>
      </c>
      <c r="N48" s="2863" t="s">
        <v>1532</v>
      </c>
      <c r="O48" s="2866">
        <v>4</v>
      </c>
      <c r="P48" s="2867"/>
      <c r="Q48" s="2876"/>
      <c r="R48" s="2869">
        <f>SUM(W48:W51)/S47</f>
        <v>0.83210147799394985</v>
      </c>
      <c r="S48" s="2884"/>
      <c r="T48" s="2887"/>
      <c r="U48" s="2872" t="s">
        <v>1561</v>
      </c>
      <c r="V48" s="2875" t="s">
        <v>1559</v>
      </c>
      <c r="W48" s="800">
        <v>66500000</v>
      </c>
      <c r="X48" s="795" t="s">
        <v>1562</v>
      </c>
      <c r="Y48" s="595">
        <v>20</v>
      </c>
      <c r="Z48" s="754" t="s">
        <v>1527</v>
      </c>
      <c r="AA48" s="2861"/>
      <c r="AB48" s="2861"/>
      <c r="AC48" s="2861"/>
      <c r="AD48" s="2861"/>
      <c r="AE48" s="2861"/>
      <c r="AF48" s="2861"/>
      <c r="AG48" s="2861"/>
      <c r="AH48" s="2861"/>
      <c r="AI48" s="2861"/>
      <c r="AJ48" s="2861"/>
      <c r="AK48" s="2861"/>
      <c r="AL48" s="2861"/>
      <c r="AM48" s="2861"/>
      <c r="AN48" s="2861"/>
      <c r="AO48" s="2861"/>
      <c r="AP48" s="2861"/>
      <c r="AQ48" s="2310"/>
      <c r="AR48" s="2310"/>
      <c r="AS48" s="2859"/>
    </row>
    <row r="49" spans="1:45" s="80" customFormat="1" ht="76.5" customHeight="1" x14ac:dyDescent="0.25">
      <c r="A49" s="743"/>
      <c r="B49" s="744"/>
      <c r="C49" s="743"/>
      <c r="D49" s="744"/>
      <c r="E49" s="790"/>
      <c r="F49" s="790"/>
      <c r="G49" s="2849"/>
      <c r="H49" s="2851"/>
      <c r="I49" s="2849"/>
      <c r="J49" s="2851"/>
      <c r="K49" s="2854"/>
      <c r="L49" s="2857"/>
      <c r="M49" s="2854"/>
      <c r="N49" s="2864"/>
      <c r="O49" s="2867"/>
      <c r="P49" s="2867"/>
      <c r="Q49" s="2876"/>
      <c r="R49" s="2870"/>
      <c r="S49" s="2884"/>
      <c r="T49" s="2887"/>
      <c r="U49" s="2873"/>
      <c r="V49" s="2876"/>
      <c r="W49" s="800">
        <v>121874339</v>
      </c>
      <c r="X49" s="795" t="s">
        <v>1563</v>
      </c>
      <c r="Y49" s="595">
        <v>47</v>
      </c>
      <c r="Z49" s="754" t="s">
        <v>1564</v>
      </c>
      <c r="AA49" s="2861"/>
      <c r="AB49" s="2861"/>
      <c r="AC49" s="2861"/>
      <c r="AD49" s="2861"/>
      <c r="AE49" s="2861"/>
      <c r="AF49" s="2861"/>
      <c r="AG49" s="2861"/>
      <c r="AH49" s="2861"/>
      <c r="AI49" s="2861"/>
      <c r="AJ49" s="2861"/>
      <c r="AK49" s="2861"/>
      <c r="AL49" s="2861"/>
      <c r="AM49" s="2861"/>
      <c r="AN49" s="2861"/>
      <c r="AO49" s="2861"/>
      <c r="AP49" s="2861"/>
      <c r="AQ49" s="2310"/>
      <c r="AR49" s="2310"/>
      <c r="AS49" s="2859"/>
    </row>
    <row r="50" spans="1:45" s="80" customFormat="1" ht="76.5" customHeight="1" x14ac:dyDescent="0.25">
      <c r="A50" s="743"/>
      <c r="B50" s="744"/>
      <c r="C50" s="743"/>
      <c r="D50" s="744"/>
      <c r="E50" s="790"/>
      <c r="F50" s="790"/>
      <c r="G50" s="2849"/>
      <c r="H50" s="2851"/>
      <c r="I50" s="2849"/>
      <c r="J50" s="2851"/>
      <c r="K50" s="2854"/>
      <c r="L50" s="2857"/>
      <c r="M50" s="2854"/>
      <c r="N50" s="2864"/>
      <c r="O50" s="2867"/>
      <c r="P50" s="2867"/>
      <c r="Q50" s="2876"/>
      <c r="R50" s="2870"/>
      <c r="S50" s="2884"/>
      <c r="T50" s="2887"/>
      <c r="U50" s="2873"/>
      <c r="V50" s="2876"/>
      <c r="W50" s="800">
        <v>141163803</v>
      </c>
      <c r="X50" s="795" t="s">
        <v>1565</v>
      </c>
      <c r="Y50" s="595">
        <v>47</v>
      </c>
      <c r="Z50" s="754" t="s">
        <v>1564</v>
      </c>
      <c r="AA50" s="2861"/>
      <c r="AB50" s="2861"/>
      <c r="AC50" s="2861"/>
      <c r="AD50" s="2861"/>
      <c r="AE50" s="2861"/>
      <c r="AF50" s="2861"/>
      <c r="AG50" s="2861"/>
      <c r="AH50" s="2861"/>
      <c r="AI50" s="2861"/>
      <c r="AJ50" s="2861"/>
      <c r="AK50" s="2861"/>
      <c r="AL50" s="2861"/>
      <c r="AM50" s="2861"/>
      <c r="AN50" s="2861"/>
      <c r="AO50" s="2861"/>
      <c r="AP50" s="2861"/>
      <c r="AQ50" s="2310"/>
      <c r="AR50" s="2310"/>
      <c r="AS50" s="2859"/>
    </row>
    <row r="51" spans="1:45" s="80" customFormat="1" ht="90.75" customHeight="1" x14ac:dyDescent="0.25">
      <c r="A51" s="750"/>
      <c r="B51" s="751"/>
      <c r="C51" s="750"/>
      <c r="D51" s="751"/>
      <c r="E51" s="870"/>
      <c r="F51" s="870"/>
      <c r="G51" s="2849"/>
      <c r="H51" s="2852"/>
      <c r="I51" s="2849"/>
      <c r="J51" s="2852"/>
      <c r="K51" s="2855"/>
      <c r="L51" s="2858"/>
      <c r="M51" s="2855"/>
      <c r="N51" s="2865"/>
      <c r="O51" s="2868"/>
      <c r="P51" s="2868"/>
      <c r="Q51" s="2877"/>
      <c r="R51" s="2871"/>
      <c r="S51" s="2885"/>
      <c r="T51" s="2888"/>
      <c r="U51" s="2874"/>
      <c r="V51" s="2877"/>
      <c r="W51" s="800">
        <v>34433.300000000003</v>
      </c>
      <c r="X51" s="795" t="s">
        <v>1563</v>
      </c>
      <c r="Y51" s="595">
        <v>47</v>
      </c>
      <c r="Z51" s="754" t="s">
        <v>1566</v>
      </c>
      <c r="AA51" s="2862"/>
      <c r="AB51" s="2862"/>
      <c r="AC51" s="2862"/>
      <c r="AD51" s="2862"/>
      <c r="AE51" s="2862"/>
      <c r="AF51" s="2862"/>
      <c r="AG51" s="2862"/>
      <c r="AH51" s="2862"/>
      <c r="AI51" s="2862"/>
      <c r="AJ51" s="2862"/>
      <c r="AK51" s="2862"/>
      <c r="AL51" s="2862"/>
      <c r="AM51" s="2862"/>
      <c r="AN51" s="2862"/>
      <c r="AO51" s="2862"/>
      <c r="AP51" s="2862"/>
      <c r="AQ51" s="2311"/>
      <c r="AR51" s="2311"/>
      <c r="AS51" s="2860"/>
    </row>
    <row r="52" spans="1:45" s="3" customFormat="1" ht="27" customHeight="1" x14ac:dyDescent="0.25">
      <c r="A52" s="1022"/>
      <c r="B52" s="1022"/>
      <c r="C52" s="1022"/>
      <c r="D52" s="1022"/>
      <c r="E52" s="1022"/>
      <c r="F52" s="1022"/>
      <c r="G52" s="1022"/>
      <c r="H52" s="1022"/>
      <c r="I52" s="1022"/>
      <c r="J52" s="1022"/>
      <c r="K52" s="1022"/>
      <c r="L52" s="1022"/>
      <c r="M52" s="1022"/>
      <c r="N52" s="1022"/>
      <c r="O52" s="1022"/>
      <c r="P52" s="1022"/>
      <c r="Q52" s="1022"/>
      <c r="R52" s="1023"/>
      <c r="S52" s="1024">
        <f>SUM(S9:S51)</f>
        <v>4118391658.3200002</v>
      </c>
      <c r="T52" s="1022"/>
      <c r="U52" s="1022"/>
      <c r="V52" s="1022" t="s">
        <v>113</v>
      </c>
      <c r="W52" s="1025">
        <f>SUM(W9:W51)</f>
        <v>4118391658.3200002</v>
      </c>
      <c r="X52" s="1022"/>
      <c r="Y52" s="1026"/>
      <c r="Z52" s="1022"/>
      <c r="AA52" s="1022"/>
      <c r="AB52" s="1022"/>
      <c r="AC52" s="1022"/>
      <c r="AD52" s="1022"/>
      <c r="AE52" s="1022"/>
      <c r="AF52" s="1022"/>
      <c r="AG52" s="1022"/>
      <c r="AH52" s="1022"/>
      <c r="AI52" s="1022"/>
      <c r="AJ52" s="1022"/>
      <c r="AK52" s="1022"/>
      <c r="AL52" s="1022"/>
      <c r="AM52" s="1022"/>
      <c r="AN52" s="1022"/>
      <c r="AO52" s="1022"/>
      <c r="AP52" s="1022"/>
      <c r="AQ52" s="1027"/>
      <c r="AR52" s="1027"/>
      <c r="AS52" s="1028"/>
    </row>
    <row r="53" spans="1:45" ht="27" customHeight="1" x14ac:dyDescent="0.25">
      <c r="V53" s="732"/>
    </row>
    <row r="54" spans="1:45" ht="27" customHeight="1" x14ac:dyDescent="0.25">
      <c r="V54" s="732"/>
    </row>
  </sheetData>
  <sheetProtection algorithmName="SHA-512" hashValue="DHSEvUeT7Q5//Dcg50Dj8DpTQPMuLlVokGhcqDek5+sFehVVvquuFjacibYWA7rUGTpCb5PPdERl0OyyAKcJPw==" saltValue="EQmfG4MwGnf135HTeB6gKA==" spinCount="100000" sheet="1" objects="1" scenarios="1"/>
  <autoFilter ref="X1:X54"/>
  <mergeCells count="186">
    <mergeCell ref="A1:AQ4"/>
    <mergeCell ref="A5:O6"/>
    <mergeCell ref="AA6:AP6"/>
    <mergeCell ref="A7:B7"/>
    <mergeCell ref="C7:D7"/>
    <mergeCell ref="E7:F7"/>
    <mergeCell ref="G7:J7"/>
    <mergeCell ref="K7:N7"/>
    <mergeCell ref="O7:W7"/>
    <mergeCell ref="X7:Z7"/>
    <mergeCell ref="AS12:AS31"/>
    <mergeCell ref="G15:G28"/>
    <mergeCell ref="H15:H28"/>
    <mergeCell ref="U12:U14"/>
    <mergeCell ref="V12:V13"/>
    <mergeCell ref="AA12:AA31"/>
    <mergeCell ref="AB12:AB31"/>
    <mergeCell ref="V21:V23"/>
    <mergeCell ref="V27:V28"/>
    <mergeCell ref="P12:P31"/>
    <mergeCell ref="Q12:Q31"/>
    <mergeCell ref="R12:R14"/>
    <mergeCell ref="R15:R28"/>
    <mergeCell ref="U15:U28"/>
    <mergeCell ref="AO12:AO31"/>
    <mergeCell ref="I15:I28"/>
    <mergeCell ref="J15:J28"/>
    <mergeCell ref="M12:M14"/>
    <mergeCell ref="N12:N14"/>
    <mergeCell ref="O12:O14"/>
    <mergeCell ref="AL12:AL31"/>
    <mergeCell ref="AM12:AM31"/>
    <mergeCell ref="AN12:AN31"/>
    <mergeCell ref="AC12:AC31"/>
    <mergeCell ref="AS7:AS8"/>
    <mergeCell ref="B9:E9"/>
    <mergeCell ref="D10:G10"/>
    <mergeCell ref="F12:F45"/>
    <mergeCell ref="G12:G14"/>
    <mergeCell ref="H12:H14"/>
    <mergeCell ref="I12:I14"/>
    <mergeCell ref="J12:J14"/>
    <mergeCell ref="K12:K14"/>
    <mergeCell ref="L12:L14"/>
    <mergeCell ref="AC7:AE7"/>
    <mergeCell ref="AF7:AL7"/>
    <mergeCell ref="AM7:AO7"/>
    <mergeCell ref="AP7:AP8"/>
    <mergeCell ref="AQ7:AQ8"/>
    <mergeCell ref="AR7:AR8"/>
    <mergeCell ref="S12:S31"/>
    <mergeCell ref="T12:T31"/>
    <mergeCell ref="AP12:AP31"/>
    <mergeCell ref="AQ12:AQ31"/>
    <mergeCell ref="AR12:AR31"/>
    <mergeCell ref="AI12:AI31"/>
    <mergeCell ref="AJ12:AJ31"/>
    <mergeCell ref="AK12:AK31"/>
    <mergeCell ref="AD12:AD31"/>
    <mergeCell ref="AE12:AE31"/>
    <mergeCell ref="AF12:AF31"/>
    <mergeCell ref="AG12:AG31"/>
    <mergeCell ref="AH12:AH31"/>
    <mergeCell ref="H32:H39"/>
    <mergeCell ref="I32:I39"/>
    <mergeCell ref="J32:J39"/>
    <mergeCell ref="K32:K39"/>
    <mergeCell ref="L32:L39"/>
    <mergeCell ref="L15:L28"/>
    <mergeCell ref="M15:M28"/>
    <mergeCell ref="N15:N28"/>
    <mergeCell ref="O15:O28"/>
    <mergeCell ref="K15:K28"/>
    <mergeCell ref="AR32:AR42"/>
    <mergeCell ref="AS32:AS42"/>
    <mergeCell ref="V35:V37"/>
    <mergeCell ref="V40:V42"/>
    <mergeCell ref="AI32:AI42"/>
    <mergeCell ref="AJ32:AJ42"/>
    <mergeCell ref="AK32:AK42"/>
    <mergeCell ref="AL32:AL42"/>
    <mergeCell ref="AM32:AM42"/>
    <mergeCell ref="AN32:AN42"/>
    <mergeCell ref="AC32:AC42"/>
    <mergeCell ref="AD32:AD42"/>
    <mergeCell ref="AE32:AE42"/>
    <mergeCell ref="AF32:AF42"/>
    <mergeCell ref="AG32:AG42"/>
    <mergeCell ref="AH32:AH42"/>
    <mergeCell ref="V32:V34"/>
    <mergeCell ref="AA32:AA42"/>
    <mergeCell ref="AB32:AB42"/>
    <mergeCell ref="G40:G42"/>
    <mergeCell ref="H40:H42"/>
    <mergeCell ref="I40:I42"/>
    <mergeCell ref="J40:J42"/>
    <mergeCell ref="K40:K42"/>
    <mergeCell ref="L40:L42"/>
    <mergeCell ref="AO32:AO42"/>
    <mergeCell ref="AP32:AP42"/>
    <mergeCell ref="AQ32:AQ42"/>
    <mergeCell ref="S32:S42"/>
    <mergeCell ref="T32:T42"/>
    <mergeCell ref="U32:U39"/>
    <mergeCell ref="U40:U42"/>
    <mergeCell ref="M32:M39"/>
    <mergeCell ref="N32:N39"/>
    <mergeCell ref="O32:O39"/>
    <mergeCell ref="P32:P42"/>
    <mergeCell ref="Q32:Q42"/>
    <mergeCell ref="R32:R39"/>
    <mergeCell ref="M40:M42"/>
    <mergeCell ref="N40:N42"/>
    <mergeCell ref="O40:O42"/>
    <mergeCell ref="R40:R42"/>
    <mergeCell ref="G32:G39"/>
    <mergeCell ref="M43:M45"/>
    <mergeCell ref="N43:N45"/>
    <mergeCell ref="O43:O45"/>
    <mergeCell ref="P43:P45"/>
    <mergeCell ref="Q43:Q45"/>
    <mergeCell ref="R43:R45"/>
    <mergeCell ref="G43:G45"/>
    <mergeCell ref="H43:H45"/>
    <mergeCell ref="I43:I45"/>
    <mergeCell ref="J43:J45"/>
    <mergeCell ref="K43:K45"/>
    <mergeCell ref="L43:L45"/>
    <mergeCell ref="AR43:AR45"/>
    <mergeCell ref="AS43:AS45"/>
    <mergeCell ref="P47:P51"/>
    <mergeCell ref="Q47:Q51"/>
    <mergeCell ref="S47:S51"/>
    <mergeCell ref="T47:T51"/>
    <mergeCell ref="AA47:AA51"/>
    <mergeCell ref="AI43:AI45"/>
    <mergeCell ref="AJ43:AJ45"/>
    <mergeCell ref="AK43:AK45"/>
    <mergeCell ref="AL43:AL45"/>
    <mergeCell ref="AM43:AM45"/>
    <mergeCell ref="AN43:AN45"/>
    <mergeCell ref="AC43:AC45"/>
    <mergeCell ref="AD43:AD45"/>
    <mergeCell ref="AE43:AE45"/>
    <mergeCell ref="AF43:AF45"/>
    <mergeCell ref="AG43:AG45"/>
    <mergeCell ref="AH43:AH45"/>
    <mergeCell ref="S43:S45"/>
    <mergeCell ref="T43:T45"/>
    <mergeCell ref="U43:U45"/>
    <mergeCell ref="V43:V45"/>
    <mergeCell ref="AA43:AA45"/>
    <mergeCell ref="AF47:AF51"/>
    <mergeCell ref="AG47:AG51"/>
    <mergeCell ref="AO43:AO45"/>
    <mergeCell ref="AP43:AP45"/>
    <mergeCell ref="AQ43:AQ45"/>
    <mergeCell ref="AB43:AB45"/>
    <mergeCell ref="AN47:AN51"/>
    <mergeCell ref="AO47:AO51"/>
    <mergeCell ref="AP47:AP51"/>
    <mergeCell ref="AQ47:AQ51"/>
    <mergeCell ref="G48:G51"/>
    <mergeCell ref="H48:H51"/>
    <mergeCell ref="I48:I51"/>
    <mergeCell ref="J48:J51"/>
    <mergeCell ref="K48:K51"/>
    <mergeCell ref="L48:L51"/>
    <mergeCell ref="AR47:AR51"/>
    <mergeCell ref="AS47:AS51"/>
    <mergeCell ref="AH47:AH51"/>
    <mergeCell ref="AI47:AI51"/>
    <mergeCell ref="AJ47:AJ51"/>
    <mergeCell ref="AK47:AK51"/>
    <mergeCell ref="AL47:AL51"/>
    <mergeCell ref="AM47:AM51"/>
    <mergeCell ref="M48:M51"/>
    <mergeCell ref="N48:N51"/>
    <mergeCell ref="O48:O51"/>
    <mergeCell ref="R48:R51"/>
    <mergeCell ref="U48:U51"/>
    <mergeCell ref="V48:V51"/>
    <mergeCell ref="AB47:AB51"/>
    <mergeCell ref="AC47:AC51"/>
    <mergeCell ref="AD47:AD51"/>
    <mergeCell ref="AE47:AE51"/>
  </mergeCells>
  <conditionalFormatting sqref="K40:K41">
    <cfRule type="duplicateValues" dxfId="58" priority="4"/>
  </conditionalFormatting>
  <conditionalFormatting sqref="G40:G41">
    <cfRule type="duplicateValues" dxfId="57" priority="3"/>
  </conditionalFormatting>
  <conditionalFormatting sqref="I40:I41">
    <cfRule type="duplicateValues" dxfId="56" priority="2"/>
  </conditionalFormatting>
  <conditionalFormatting sqref="M40:M41">
    <cfRule type="duplicateValues" dxfId="55" priority="1"/>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46"/>
  <sheetViews>
    <sheetView showGridLines="0" zoomScale="70" zoomScaleNormal="70" workbookViewId="0">
      <selection sqref="A1:AQ4"/>
    </sheetView>
  </sheetViews>
  <sheetFormatPr baseColWidth="10" defaultColWidth="11.42578125" defaultRowHeight="27" customHeight="1" x14ac:dyDescent="0.25"/>
  <cols>
    <col min="1" max="1" width="9.7109375" style="130" customWidth="1"/>
    <col min="2" max="2" width="11.5703125" style="4" customWidth="1"/>
    <col min="3" max="3" width="11.7109375" style="4" customWidth="1"/>
    <col min="4" max="4" width="10.28515625" style="4" customWidth="1"/>
    <col min="5" max="5" width="10" style="4" customWidth="1"/>
    <col min="6" max="6" width="10.7109375" style="4" customWidth="1"/>
    <col min="7" max="7" width="12.7109375" style="4" customWidth="1"/>
    <col min="8" max="8" width="24.42578125" style="282" customWidth="1"/>
    <col min="9" max="9" width="19" style="3" customWidth="1"/>
    <col min="10" max="10" width="27.7109375" style="282" customWidth="1"/>
    <col min="11" max="11" width="16.28515625" style="3" customWidth="1"/>
    <col min="12" max="12" width="25.28515625" style="282" customWidth="1"/>
    <col min="13" max="13" width="23.28515625" style="3" customWidth="1"/>
    <col min="14" max="14" width="27.140625" style="282" customWidth="1"/>
    <col min="15" max="15" width="14.5703125" style="3" customWidth="1"/>
    <col min="16" max="16" width="25.42578125" style="3" customWidth="1"/>
    <col min="17" max="17" width="31.140625" style="282" customWidth="1"/>
    <col min="18" max="18" width="14.7109375" style="134" customWidth="1"/>
    <col min="19" max="19" width="26.7109375" style="143" customWidth="1"/>
    <col min="20" max="20" width="40.42578125" style="282" customWidth="1"/>
    <col min="21" max="21" width="49.85546875" style="282" customWidth="1"/>
    <col min="22" max="22" width="41.28515625" style="282" customWidth="1"/>
    <col min="23" max="23" width="27.85546875" style="143" customWidth="1"/>
    <col min="24" max="24" width="55.7109375" style="143" customWidth="1"/>
    <col min="25" max="25" width="18" style="137" customWidth="1"/>
    <col min="26" max="26" width="24.85546875" style="3" customWidth="1"/>
    <col min="27" max="30" width="8.140625" style="4" customWidth="1"/>
    <col min="31" max="31" width="8.28515625" style="4" customWidth="1"/>
    <col min="32" max="32" width="9.140625" style="4" customWidth="1"/>
    <col min="33" max="42" width="8.140625" style="4" customWidth="1"/>
    <col min="43" max="43" width="28.5703125" style="139" customWidth="1"/>
    <col min="44" max="44" width="33" style="139" customWidth="1"/>
    <col min="45" max="45" width="37.42578125" style="4" customWidth="1"/>
    <col min="46" max="16384" width="11.42578125" style="4"/>
  </cols>
  <sheetData>
    <row r="1" spans="1:65" ht="27.75" customHeight="1" x14ac:dyDescent="0.25">
      <c r="A1" s="2207" t="s">
        <v>1793</v>
      </c>
      <c r="B1" s="3038"/>
      <c r="C1" s="3038"/>
      <c r="D1" s="3038"/>
      <c r="E1" s="3038"/>
      <c r="F1" s="3038"/>
      <c r="G1" s="3038"/>
      <c r="H1" s="3038"/>
      <c r="I1" s="3038"/>
      <c r="J1" s="3038"/>
      <c r="K1" s="3038"/>
      <c r="L1" s="3038"/>
      <c r="M1" s="3038"/>
      <c r="N1" s="3038"/>
      <c r="O1" s="3038"/>
      <c r="P1" s="3038"/>
      <c r="Q1" s="3038"/>
      <c r="R1" s="3038"/>
      <c r="S1" s="3038"/>
      <c r="T1" s="3038"/>
      <c r="U1" s="3038"/>
      <c r="V1" s="3038"/>
      <c r="W1" s="3038"/>
      <c r="X1" s="3038"/>
      <c r="Y1" s="3038"/>
      <c r="Z1" s="3038"/>
      <c r="AA1" s="3038"/>
      <c r="AB1" s="3038"/>
      <c r="AC1" s="3038"/>
      <c r="AD1" s="3038"/>
      <c r="AE1" s="3038"/>
      <c r="AF1" s="3038"/>
      <c r="AG1" s="3038"/>
      <c r="AH1" s="3038"/>
      <c r="AI1" s="3038"/>
      <c r="AJ1" s="3038"/>
      <c r="AK1" s="3038"/>
      <c r="AL1" s="3038"/>
      <c r="AM1" s="3038"/>
      <c r="AN1" s="3038"/>
      <c r="AO1" s="3038"/>
      <c r="AP1" s="3038"/>
      <c r="AQ1" s="2017"/>
      <c r="AR1" s="1306" t="s">
        <v>1</v>
      </c>
      <c r="AS1" s="1306" t="s">
        <v>983</v>
      </c>
      <c r="AT1" s="3"/>
      <c r="AU1" s="3"/>
      <c r="AV1" s="3"/>
      <c r="AW1" s="3"/>
      <c r="AX1" s="3"/>
      <c r="AY1" s="3"/>
      <c r="AZ1" s="3"/>
      <c r="BA1" s="3"/>
      <c r="BB1" s="3"/>
      <c r="BC1" s="3"/>
      <c r="BD1" s="3"/>
      <c r="BE1" s="3"/>
      <c r="BF1" s="3"/>
      <c r="BG1" s="3"/>
      <c r="BH1" s="3"/>
      <c r="BI1" s="3"/>
      <c r="BJ1" s="3"/>
      <c r="BK1" s="3"/>
      <c r="BL1" s="3"/>
      <c r="BM1" s="3"/>
    </row>
    <row r="2" spans="1:65" ht="27.75" customHeight="1" x14ac:dyDescent="0.25">
      <c r="A2" s="3038"/>
      <c r="B2" s="3038"/>
      <c r="C2" s="3038"/>
      <c r="D2" s="3038"/>
      <c r="E2" s="3038"/>
      <c r="F2" s="3038"/>
      <c r="G2" s="3038"/>
      <c r="H2" s="3038"/>
      <c r="I2" s="3038"/>
      <c r="J2" s="3038"/>
      <c r="K2" s="3038"/>
      <c r="L2" s="3038"/>
      <c r="M2" s="3038"/>
      <c r="N2" s="3038"/>
      <c r="O2" s="3038"/>
      <c r="P2" s="3038"/>
      <c r="Q2" s="3038"/>
      <c r="R2" s="3038"/>
      <c r="S2" s="3038"/>
      <c r="T2" s="3038"/>
      <c r="U2" s="3038"/>
      <c r="V2" s="3038"/>
      <c r="W2" s="3038"/>
      <c r="X2" s="3038"/>
      <c r="Y2" s="3038"/>
      <c r="Z2" s="3038"/>
      <c r="AA2" s="3038"/>
      <c r="AB2" s="3038"/>
      <c r="AC2" s="3038"/>
      <c r="AD2" s="3038"/>
      <c r="AE2" s="3038"/>
      <c r="AF2" s="3038"/>
      <c r="AG2" s="3038"/>
      <c r="AH2" s="3038"/>
      <c r="AI2" s="3038"/>
      <c r="AJ2" s="3038"/>
      <c r="AK2" s="3038"/>
      <c r="AL2" s="3038"/>
      <c r="AM2" s="3038"/>
      <c r="AN2" s="3038"/>
      <c r="AO2" s="3038"/>
      <c r="AP2" s="3038"/>
      <c r="AQ2" s="2017"/>
      <c r="AR2" s="1306" t="s">
        <v>3</v>
      </c>
      <c r="AS2" s="762" t="s">
        <v>984</v>
      </c>
      <c r="AT2" s="3"/>
      <c r="AU2" s="3"/>
      <c r="AV2" s="3"/>
      <c r="AW2" s="3"/>
      <c r="AX2" s="3"/>
      <c r="AY2" s="3"/>
      <c r="AZ2" s="3"/>
      <c r="BA2" s="3"/>
      <c r="BB2" s="3"/>
      <c r="BC2" s="3"/>
      <c r="BD2" s="3"/>
      <c r="BE2" s="3"/>
      <c r="BF2" s="3"/>
      <c r="BG2" s="3"/>
      <c r="BH2" s="3"/>
      <c r="BI2" s="3"/>
      <c r="BJ2" s="3"/>
      <c r="BK2" s="3"/>
      <c r="BL2" s="3"/>
      <c r="BM2" s="3"/>
    </row>
    <row r="3" spans="1:65" ht="27.75" customHeight="1" x14ac:dyDescent="0.25">
      <c r="A3" s="3038"/>
      <c r="B3" s="3038"/>
      <c r="C3" s="3038"/>
      <c r="D3" s="3038"/>
      <c r="E3" s="3038"/>
      <c r="F3" s="3038"/>
      <c r="G3" s="3038"/>
      <c r="H3" s="3038"/>
      <c r="I3" s="3038"/>
      <c r="J3" s="3038"/>
      <c r="K3" s="3038"/>
      <c r="L3" s="3038"/>
      <c r="M3" s="3038"/>
      <c r="N3" s="3038"/>
      <c r="O3" s="3038"/>
      <c r="P3" s="3038"/>
      <c r="Q3" s="3038"/>
      <c r="R3" s="3038"/>
      <c r="S3" s="3038"/>
      <c r="T3" s="3038"/>
      <c r="U3" s="3038"/>
      <c r="V3" s="3038"/>
      <c r="W3" s="3038"/>
      <c r="X3" s="3038"/>
      <c r="Y3" s="3038"/>
      <c r="Z3" s="3038"/>
      <c r="AA3" s="3038"/>
      <c r="AB3" s="3038"/>
      <c r="AC3" s="3038"/>
      <c r="AD3" s="3038"/>
      <c r="AE3" s="3038"/>
      <c r="AF3" s="3038"/>
      <c r="AG3" s="3038"/>
      <c r="AH3" s="3038"/>
      <c r="AI3" s="3038"/>
      <c r="AJ3" s="3038"/>
      <c r="AK3" s="3038"/>
      <c r="AL3" s="3038"/>
      <c r="AM3" s="3038"/>
      <c r="AN3" s="3038"/>
      <c r="AO3" s="3038"/>
      <c r="AP3" s="3038"/>
      <c r="AQ3" s="2017"/>
      <c r="AR3" s="1306" t="s">
        <v>4</v>
      </c>
      <c r="AS3" s="1990" t="s">
        <v>985</v>
      </c>
      <c r="AT3" s="3"/>
      <c r="AU3" s="3"/>
      <c r="AV3" s="3"/>
      <c r="AW3" s="3"/>
      <c r="AX3" s="3"/>
      <c r="AY3" s="3"/>
      <c r="AZ3" s="3"/>
      <c r="BA3" s="3"/>
      <c r="BB3" s="3"/>
      <c r="BC3" s="3"/>
      <c r="BD3" s="3"/>
      <c r="BE3" s="3"/>
      <c r="BF3" s="3"/>
      <c r="BG3" s="3"/>
      <c r="BH3" s="3"/>
      <c r="BI3" s="3"/>
      <c r="BJ3" s="3"/>
      <c r="BK3" s="3"/>
      <c r="BL3" s="3"/>
      <c r="BM3" s="3"/>
    </row>
    <row r="4" spans="1:65" ht="27.75" customHeight="1" x14ac:dyDescent="0.25">
      <c r="A4" s="2018"/>
      <c r="B4" s="2018"/>
      <c r="C4" s="2018"/>
      <c r="D4" s="2018"/>
      <c r="E4" s="2018"/>
      <c r="F4" s="2018"/>
      <c r="G4" s="2018"/>
      <c r="H4" s="2018"/>
      <c r="I4" s="2018"/>
      <c r="J4" s="2018"/>
      <c r="K4" s="2018"/>
      <c r="L4" s="2018"/>
      <c r="M4" s="2018"/>
      <c r="N4" s="2018"/>
      <c r="O4" s="2018"/>
      <c r="P4" s="2018"/>
      <c r="Q4" s="2018"/>
      <c r="R4" s="2018"/>
      <c r="S4" s="2018"/>
      <c r="T4" s="2018"/>
      <c r="U4" s="2018"/>
      <c r="V4" s="2018"/>
      <c r="W4" s="2018"/>
      <c r="X4" s="2018"/>
      <c r="Y4" s="2018"/>
      <c r="Z4" s="2018"/>
      <c r="AA4" s="2018"/>
      <c r="AB4" s="2018"/>
      <c r="AC4" s="2018"/>
      <c r="AD4" s="2018"/>
      <c r="AE4" s="2018"/>
      <c r="AF4" s="2018"/>
      <c r="AG4" s="2018"/>
      <c r="AH4" s="2018"/>
      <c r="AI4" s="2018"/>
      <c r="AJ4" s="2018"/>
      <c r="AK4" s="2018"/>
      <c r="AL4" s="2018"/>
      <c r="AM4" s="2018"/>
      <c r="AN4" s="2018"/>
      <c r="AO4" s="2018"/>
      <c r="AP4" s="2018"/>
      <c r="AQ4" s="2019"/>
      <c r="AR4" s="1306" t="s">
        <v>5</v>
      </c>
      <c r="AS4" s="687" t="s">
        <v>114</v>
      </c>
      <c r="AT4" s="3"/>
      <c r="AU4" s="3"/>
      <c r="AV4" s="3"/>
      <c r="AW4" s="3"/>
      <c r="AX4" s="3"/>
      <c r="AY4" s="3"/>
      <c r="AZ4" s="3"/>
      <c r="BA4" s="3"/>
      <c r="BB4" s="3"/>
      <c r="BC4" s="3"/>
      <c r="BD4" s="3"/>
      <c r="BE4" s="3"/>
      <c r="BF4" s="3"/>
      <c r="BG4" s="3"/>
      <c r="BH4" s="3"/>
      <c r="BI4" s="3"/>
      <c r="BJ4" s="3"/>
      <c r="BK4" s="3"/>
      <c r="BL4" s="3"/>
      <c r="BM4" s="3"/>
    </row>
    <row r="5" spans="1:65" ht="40.5" customHeight="1" x14ac:dyDescent="0.25">
      <c r="A5" s="2020" t="s">
        <v>1794</v>
      </c>
      <c r="B5" s="2020"/>
      <c r="C5" s="2020"/>
      <c r="D5" s="2020"/>
      <c r="E5" s="2020"/>
      <c r="F5" s="2020"/>
      <c r="G5" s="2020"/>
      <c r="H5" s="2020"/>
      <c r="I5" s="2020"/>
      <c r="J5" s="2020"/>
      <c r="K5" s="2020"/>
      <c r="L5" s="2020"/>
      <c r="M5" s="2020"/>
      <c r="N5" s="2020"/>
      <c r="O5" s="2020"/>
      <c r="P5" s="2021"/>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3"/>
      <c r="AU5" s="3"/>
      <c r="AV5" s="3"/>
      <c r="AW5" s="3"/>
      <c r="AX5" s="3"/>
      <c r="AY5" s="3"/>
      <c r="AZ5" s="3"/>
      <c r="BA5" s="3"/>
      <c r="BB5" s="3"/>
      <c r="BC5" s="3"/>
      <c r="BD5" s="3"/>
      <c r="BE5" s="3"/>
      <c r="BF5" s="3"/>
      <c r="BG5" s="3"/>
      <c r="BH5" s="3"/>
      <c r="BI5" s="3"/>
      <c r="BJ5" s="3"/>
      <c r="BK5" s="3"/>
      <c r="BL5" s="3"/>
      <c r="BM5" s="3"/>
    </row>
    <row r="6" spans="1:65" ht="27" customHeight="1" x14ac:dyDescent="0.25">
      <c r="A6" s="2018"/>
      <c r="B6" s="2018"/>
      <c r="C6" s="2018"/>
      <c r="D6" s="2018"/>
      <c r="E6" s="2018"/>
      <c r="F6" s="2018"/>
      <c r="G6" s="2018"/>
      <c r="H6" s="2018"/>
      <c r="I6" s="2018"/>
      <c r="J6" s="2018"/>
      <c r="K6" s="2018"/>
      <c r="L6" s="2018"/>
      <c r="M6" s="2018"/>
      <c r="N6" s="2018"/>
      <c r="O6" s="2018"/>
      <c r="P6" s="1304"/>
      <c r="Q6" s="165"/>
      <c r="R6" s="1304"/>
      <c r="S6" s="1304"/>
      <c r="T6" s="165"/>
      <c r="U6" s="165"/>
      <c r="V6" s="165"/>
      <c r="W6" s="1304"/>
      <c r="X6" s="1304"/>
      <c r="Y6" s="1304"/>
      <c r="Z6" s="1304"/>
      <c r="AA6" s="2209" t="s">
        <v>8</v>
      </c>
      <c r="AB6" s="2018"/>
      <c r="AC6" s="2018"/>
      <c r="AD6" s="2018"/>
      <c r="AE6" s="2018"/>
      <c r="AF6" s="2018"/>
      <c r="AG6" s="2018"/>
      <c r="AH6" s="2018"/>
      <c r="AI6" s="2018"/>
      <c r="AJ6" s="2018"/>
      <c r="AK6" s="2018"/>
      <c r="AL6" s="2018"/>
      <c r="AM6" s="2018"/>
      <c r="AN6" s="2018"/>
      <c r="AO6" s="2019"/>
      <c r="AP6" s="1304"/>
      <c r="AQ6" s="1304"/>
      <c r="AR6" s="1304"/>
      <c r="AS6" s="1305"/>
      <c r="AT6" s="3"/>
      <c r="AU6" s="3"/>
      <c r="AV6" s="3"/>
      <c r="AW6" s="3"/>
      <c r="AX6" s="3"/>
      <c r="AY6" s="3"/>
      <c r="AZ6" s="3"/>
      <c r="BA6" s="3"/>
      <c r="BB6" s="3"/>
      <c r="BC6" s="3"/>
      <c r="BD6" s="3"/>
      <c r="BE6" s="3"/>
      <c r="BF6" s="3"/>
      <c r="BG6" s="3"/>
      <c r="BH6" s="3"/>
      <c r="BI6" s="3"/>
      <c r="BJ6" s="3"/>
      <c r="BK6" s="3"/>
      <c r="BL6" s="3"/>
      <c r="BM6" s="3"/>
    </row>
    <row r="7" spans="1:65" ht="46.5" customHeight="1" x14ac:dyDescent="0.25">
      <c r="A7" s="2025" t="s">
        <v>9</v>
      </c>
      <c r="B7" s="2210"/>
      <c r="C7" s="2024" t="s">
        <v>10</v>
      </c>
      <c r="D7" s="2025"/>
      <c r="E7" s="2025" t="s">
        <v>11</v>
      </c>
      <c r="F7" s="2210"/>
      <c r="G7" s="2024" t="s">
        <v>12</v>
      </c>
      <c r="H7" s="2025"/>
      <c r="I7" s="2025"/>
      <c r="J7" s="2025"/>
      <c r="K7" s="2024" t="s">
        <v>13</v>
      </c>
      <c r="L7" s="2025"/>
      <c r="M7" s="2025"/>
      <c r="N7" s="2210"/>
      <c r="O7" s="2958" t="s">
        <v>14</v>
      </c>
      <c r="P7" s="2959"/>
      <c r="Q7" s="2959"/>
      <c r="R7" s="2959"/>
      <c r="S7" s="2959"/>
      <c r="T7" s="2959"/>
      <c r="U7" s="2959"/>
      <c r="V7" s="2959"/>
      <c r="W7" s="2959"/>
      <c r="X7" s="2211" t="s">
        <v>15</v>
      </c>
      <c r="Y7" s="2960"/>
      <c r="Z7" s="2961"/>
      <c r="AA7" s="2277" t="s">
        <v>16</v>
      </c>
      <c r="AB7" s="2277"/>
      <c r="AC7" s="2050" t="s">
        <v>17</v>
      </c>
      <c r="AD7" s="2050"/>
      <c r="AE7" s="2050"/>
      <c r="AF7" s="2050"/>
      <c r="AG7" s="2216" t="s">
        <v>18</v>
      </c>
      <c r="AH7" s="2217"/>
      <c r="AI7" s="2217"/>
      <c r="AJ7" s="2217"/>
      <c r="AK7" s="2217"/>
      <c r="AL7" s="2934"/>
      <c r="AM7" s="2050" t="s">
        <v>19</v>
      </c>
      <c r="AN7" s="2050"/>
      <c r="AO7" s="2050"/>
      <c r="AP7" s="2935" t="s">
        <v>20</v>
      </c>
      <c r="AQ7" s="2036" t="s">
        <v>21</v>
      </c>
      <c r="AR7" s="2036" t="s">
        <v>22</v>
      </c>
      <c r="AS7" s="2038" t="s">
        <v>23</v>
      </c>
      <c r="AT7" s="3"/>
      <c r="AU7" s="3"/>
      <c r="AV7" s="3"/>
      <c r="AW7" s="3"/>
      <c r="AX7" s="3"/>
      <c r="AY7" s="3"/>
      <c r="AZ7" s="3"/>
      <c r="BA7" s="3"/>
      <c r="BB7" s="3"/>
      <c r="BC7" s="3"/>
      <c r="BD7" s="3"/>
      <c r="BE7" s="3"/>
      <c r="BF7" s="3"/>
      <c r="BG7" s="3"/>
      <c r="BH7" s="3"/>
      <c r="BI7" s="3"/>
      <c r="BJ7" s="3"/>
      <c r="BK7" s="3"/>
      <c r="BL7" s="3"/>
      <c r="BM7" s="3"/>
    </row>
    <row r="8" spans="1:65" ht="124.5" customHeight="1" x14ac:dyDescent="0.25">
      <c r="A8" s="170" t="s">
        <v>24</v>
      </c>
      <c r="B8" s="20" t="s">
        <v>25</v>
      </c>
      <c r="C8" s="170" t="s">
        <v>24</v>
      </c>
      <c r="D8" s="20" t="s">
        <v>25</v>
      </c>
      <c r="E8" s="764" t="s">
        <v>24</v>
      </c>
      <c r="F8" s="20" t="s">
        <v>25</v>
      </c>
      <c r="G8" s="171" t="s">
        <v>26</v>
      </c>
      <c r="H8" s="171" t="s">
        <v>27</v>
      </c>
      <c r="I8" s="171" t="s">
        <v>28</v>
      </c>
      <c r="J8" s="171" t="s">
        <v>117</v>
      </c>
      <c r="K8" s="171" t="s">
        <v>26</v>
      </c>
      <c r="L8" s="171" t="s">
        <v>30</v>
      </c>
      <c r="M8" s="20" t="s">
        <v>31</v>
      </c>
      <c r="N8" s="1066" t="s">
        <v>32</v>
      </c>
      <c r="O8" s="976" t="s">
        <v>116</v>
      </c>
      <c r="P8" s="976" t="s">
        <v>34</v>
      </c>
      <c r="Q8" s="976" t="s">
        <v>35</v>
      </c>
      <c r="R8" s="977" t="s">
        <v>36</v>
      </c>
      <c r="S8" s="978" t="s">
        <v>37</v>
      </c>
      <c r="T8" s="976" t="s">
        <v>38</v>
      </c>
      <c r="U8" s="976" t="s">
        <v>39</v>
      </c>
      <c r="V8" s="976" t="s">
        <v>40</v>
      </c>
      <c r="W8" s="978" t="s">
        <v>37</v>
      </c>
      <c r="X8" s="980" t="s">
        <v>42</v>
      </c>
      <c r="Y8" s="1319" t="s">
        <v>43</v>
      </c>
      <c r="Z8" s="20" t="s">
        <v>25</v>
      </c>
      <c r="AA8" s="772" t="s">
        <v>44</v>
      </c>
      <c r="AB8" s="773" t="s">
        <v>45</v>
      </c>
      <c r="AC8" s="774" t="s">
        <v>46</v>
      </c>
      <c r="AD8" s="774" t="s">
        <v>47</v>
      </c>
      <c r="AE8" s="774" t="s">
        <v>48</v>
      </c>
      <c r="AF8" s="774" t="s">
        <v>49</v>
      </c>
      <c r="AG8" s="774" t="s">
        <v>50</v>
      </c>
      <c r="AH8" s="774" t="s">
        <v>51</v>
      </c>
      <c r="AI8" s="774" t="s">
        <v>52</v>
      </c>
      <c r="AJ8" s="774" t="s">
        <v>120</v>
      </c>
      <c r="AK8" s="774" t="s">
        <v>54</v>
      </c>
      <c r="AL8" s="774" t="s">
        <v>55</v>
      </c>
      <c r="AM8" s="774" t="s">
        <v>56</v>
      </c>
      <c r="AN8" s="774" t="s">
        <v>57</v>
      </c>
      <c r="AO8" s="774" t="s">
        <v>58</v>
      </c>
      <c r="AP8" s="2936"/>
      <c r="AQ8" s="2037"/>
      <c r="AR8" s="2037"/>
      <c r="AS8" s="3039"/>
      <c r="AT8" s="3"/>
      <c r="AU8" s="3"/>
      <c r="AV8" s="3"/>
      <c r="AW8" s="3"/>
      <c r="AX8" s="3"/>
      <c r="AY8" s="3"/>
      <c r="AZ8" s="3"/>
      <c r="BA8" s="3"/>
      <c r="BB8" s="3"/>
      <c r="BC8" s="3"/>
      <c r="BD8" s="3"/>
      <c r="BE8" s="3"/>
      <c r="BF8" s="3"/>
      <c r="BG8" s="3"/>
      <c r="BH8" s="3"/>
      <c r="BI8" s="3"/>
      <c r="BJ8" s="3"/>
      <c r="BK8" s="3"/>
      <c r="BL8" s="3"/>
      <c r="BM8" s="3"/>
    </row>
    <row r="9" spans="1:65" ht="27" customHeight="1" x14ac:dyDescent="0.25">
      <c r="A9" s="371">
        <v>2</v>
      </c>
      <c r="B9" s="3036" t="s">
        <v>683</v>
      </c>
      <c r="C9" s="3037"/>
      <c r="D9" s="3037"/>
      <c r="E9" s="3037"/>
      <c r="F9" s="3037"/>
      <c r="G9" s="375"/>
      <c r="H9" s="1337"/>
      <c r="I9" s="375"/>
      <c r="J9" s="1337"/>
      <c r="K9" s="375"/>
      <c r="L9" s="1337"/>
      <c r="M9" s="375"/>
      <c r="N9" s="1337"/>
      <c r="O9" s="375"/>
      <c r="P9" s="375"/>
      <c r="Q9" s="1337"/>
      <c r="R9" s="376"/>
      <c r="S9" s="377"/>
      <c r="T9" s="1337"/>
      <c r="U9" s="1337"/>
      <c r="V9" s="1337"/>
      <c r="W9" s="377"/>
      <c r="X9" s="375"/>
      <c r="Y9" s="379"/>
      <c r="Z9" s="375"/>
      <c r="AA9" s="375"/>
      <c r="AB9" s="375"/>
      <c r="AC9" s="375"/>
      <c r="AD9" s="375"/>
      <c r="AE9" s="375"/>
      <c r="AF9" s="375"/>
      <c r="AG9" s="375"/>
      <c r="AH9" s="375"/>
      <c r="AI9" s="375"/>
      <c r="AJ9" s="375"/>
      <c r="AK9" s="375"/>
      <c r="AL9" s="375"/>
      <c r="AM9" s="375"/>
      <c r="AN9" s="375"/>
      <c r="AO9" s="375"/>
      <c r="AP9" s="375"/>
      <c r="AQ9" s="625"/>
      <c r="AR9" s="625"/>
      <c r="AS9" s="626"/>
      <c r="AT9" s="3"/>
      <c r="AU9" s="3"/>
      <c r="AV9" s="3"/>
      <c r="AW9" s="3"/>
      <c r="AX9" s="3"/>
      <c r="AY9" s="3"/>
      <c r="AZ9" s="3"/>
      <c r="BA9" s="3"/>
      <c r="BB9" s="3"/>
      <c r="BC9" s="3"/>
      <c r="BD9" s="3"/>
      <c r="BE9" s="3"/>
      <c r="BF9" s="3"/>
      <c r="BG9" s="3"/>
      <c r="BH9" s="3"/>
      <c r="BI9" s="3"/>
      <c r="BJ9" s="3"/>
      <c r="BK9" s="3"/>
      <c r="BL9" s="3"/>
      <c r="BM9" s="3"/>
    </row>
    <row r="10" spans="1:65" ht="27" customHeight="1" x14ac:dyDescent="0.25">
      <c r="A10" s="900"/>
      <c r="B10" s="1328"/>
      <c r="C10" s="38">
        <v>35</v>
      </c>
      <c r="D10" s="2043" t="s">
        <v>850</v>
      </c>
      <c r="E10" s="2546"/>
      <c r="F10" s="2546"/>
      <c r="G10" s="2546"/>
      <c r="H10" s="2546"/>
      <c r="I10" s="40"/>
      <c r="J10" s="1338"/>
      <c r="K10" s="40"/>
      <c r="L10" s="1338"/>
      <c r="M10" s="40"/>
      <c r="N10" s="1338"/>
      <c r="O10" s="40"/>
      <c r="P10" s="40"/>
      <c r="Q10" s="1338"/>
      <c r="R10" s="42"/>
      <c r="S10" s="44"/>
      <c r="T10" s="1338"/>
      <c r="U10" s="1338"/>
      <c r="V10" s="1338"/>
      <c r="W10" s="44"/>
      <c r="X10" s="40"/>
      <c r="Y10" s="45"/>
      <c r="Z10" s="40"/>
      <c r="AA10" s="40"/>
      <c r="AB10" s="40"/>
      <c r="AC10" s="40"/>
      <c r="AD10" s="40"/>
      <c r="AE10" s="40"/>
      <c r="AF10" s="40"/>
      <c r="AG10" s="40"/>
      <c r="AH10" s="40"/>
      <c r="AI10" s="40"/>
      <c r="AJ10" s="40"/>
      <c r="AK10" s="40"/>
      <c r="AL10" s="40"/>
      <c r="AM10" s="40"/>
      <c r="AN10" s="40"/>
      <c r="AO10" s="40"/>
      <c r="AP10" s="40"/>
      <c r="AQ10" s="46"/>
      <c r="AR10" s="46"/>
      <c r="AS10" s="384"/>
    </row>
    <row r="11" spans="1:65" s="3" customFormat="1" ht="27" customHeight="1" x14ac:dyDescent="0.25">
      <c r="A11" s="1325"/>
      <c r="B11" s="1326"/>
      <c r="C11" s="1323"/>
      <c r="D11" s="1324"/>
      <c r="E11" s="818">
        <v>3502</v>
      </c>
      <c r="F11" s="2978" t="s">
        <v>851</v>
      </c>
      <c r="G11" s="2979"/>
      <c r="H11" s="2979"/>
      <c r="I11" s="2979"/>
      <c r="J11" s="2979"/>
      <c r="K11" s="2979"/>
      <c r="L11" s="2979"/>
      <c r="M11" s="2979"/>
      <c r="N11" s="2979"/>
      <c r="O11" s="2979"/>
      <c r="P11" s="2979"/>
      <c r="Q11" s="1339"/>
      <c r="R11" s="813"/>
      <c r="S11" s="1340"/>
      <c r="T11" s="61"/>
      <c r="U11" s="61"/>
      <c r="V11" s="61"/>
      <c r="W11" s="1340"/>
      <c r="X11" s="64"/>
      <c r="Y11" s="816"/>
      <c r="Z11" s="812"/>
      <c r="AA11" s="812"/>
      <c r="AB11" s="812"/>
      <c r="AC11" s="812"/>
      <c r="AD11" s="812"/>
      <c r="AE11" s="812"/>
      <c r="AF11" s="812"/>
      <c r="AG11" s="812"/>
      <c r="AH11" s="812"/>
      <c r="AI11" s="812"/>
      <c r="AJ11" s="812"/>
      <c r="AK11" s="812"/>
      <c r="AL11" s="812"/>
      <c r="AM11" s="812"/>
      <c r="AN11" s="812"/>
      <c r="AO11" s="812"/>
      <c r="AP11" s="812"/>
      <c r="AQ11" s="817"/>
      <c r="AR11" s="817"/>
      <c r="AS11" s="818"/>
    </row>
    <row r="12" spans="1:65" s="3" customFormat="1" ht="147" customHeight="1" x14ac:dyDescent="0.25">
      <c r="A12" s="1325"/>
      <c r="B12" s="1326"/>
      <c r="C12" s="1325"/>
      <c r="D12" s="1326"/>
      <c r="E12" s="133"/>
      <c r="F12" s="133"/>
      <c r="G12" s="1341">
        <v>3502006</v>
      </c>
      <c r="H12" s="1342" t="s">
        <v>1795</v>
      </c>
      <c r="I12" s="1341">
        <v>3502006</v>
      </c>
      <c r="J12" s="1342" t="s">
        <v>1795</v>
      </c>
      <c r="K12" s="1318" t="s">
        <v>1796</v>
      </c>
      <c r="L12" s="1343" t="s">
        <v>1797</v>
      </c>
      <c r="M12" s="1318" t="s">
        <v>1796</v>
      </c>
      <c r="N12" s="1343" t="s">
        <v>1797</v>
      </c>
      <c r="O12" s="1344">
        <v>1</v>
      </c>
      <c r="P12" s="2092" t="s">
        <v>1798</v>
      </c>
      <c r="Q12" s="3030" t="s">
        <v>1799</v>
      </c>
      <c r="R12" s="1345">
        <f>W12/S12</f>
        <v>0.35064935064935066</v>
      </c>
      <c r="S12" s="3031">
        <f>SUM(W12:W15)</f>
        <v>77000000</v>
      </c>
      <c r="T12" s="2710" t="s">
        <v>1800</v>
      </c>
      <c r="U12" s="1322" t="s">
        <v>1801</v>
      </c>
      <c r="V12" s="1329" t="s">
        <v>1802</v>
      </c>
      <c r="W12" s="1346">
        <v>27000000</v>
      </c>
      <c r="X12" s="1347" t="s">
        <v>1803</v>
      </c>
      <c r="Y12" s="1348">
        <v>20</v>
      </c>
      <c r="Z12" s="1317" t="s">
        <v>387</v>
      </c>
      <c r="AA12" s="2355">
        <v>765</v>
      </c>
      <c r="AB12" s="2355">
        <v>735</v>
      </c>
      <c r="AC12" s="2355"/>
      <c r="AD12" s="2355"/>
      <c r="AE12" s="2355">
        <f>+AA12+AB12</f>
        <v>1500</v>
      </c>
      <c r="AF12" s="2355"/>
      <c r="AG12" s="2355"/>
      <c r="AH12" s="2355"/>
      <c r="AI12" s="2355"/>
      <c r="AJ12" s="2355"/>
      <c r="AK12" s="2355"/>
      <c r="AL12" s="2355"/>
      <c r="AM12" s="2355"/>
      <c r="AN12" s="2355"/>
      <c r="AO12" s="2355"/>
      <c r="AP12" s="2355">
        <f>SUM(AC12:AO15)</f>
        <v>1500</v>
      </c>
      <c r="AQ12" s="2972"/>
      <c r="AR12" s="2972"/>
      <c r="AS12" s="2975" t="s">
        <v>1804</v>
      </c>
    </row>
    <row r="13" spans="1:65" s="3" customFormat="1" ht="83.25" customHeight="1" x14ac:dyDescent="0.25">
      <c r="A13" s="1325"/>
      <c r="B13" s="1326"/>
      <c r="C13" s="1325"/>
      <c r="D13" s="1326"/>
      <c r="E13" s="3029"/>
      <c r="F13" s="3029"/>
      <c r="G13" s="2665">
        <v>3502007</v>
      </c>
      <c r="H13" s="2711" t="s">
        <v>1805</v>
      </c>
      <c r="I13" s="2665">
        <v>3502007</v>
      </c>
      <c r="J13" s="2711" t="s">
        <v>1805</v>
      </c>
      <c r="K13" s="2148" t="s">
        <v>862</v>
      </c>
      <c r="L13" s="3027" t="s">
        <v>863</v>
      </c>
      <c r="M13" s="2148" t="s">
        <v>862</v>
      </c>
      <c r="N13" s="3027" t="s">
        <v>863</v>
      </c>
      <c r="O13" s="2476">
        <v>7</v>
      </c>
      <c r="P13" s="2093"/>
      <c r="Q13" s="3030"/>
      <c r="R13" s="3033">
        <f>SUM(W13:W15)/S12</f>
        <v>0.64935064935064934</v>
      </c>
      <c r="S13" s="3031"/>
      <c r="T13" s="2658"/>
      <c r="U13" s="3016" t="s">
        <v>1806</v>
      </c>
      <c r="V13" s="2962" t="s">
        <v>1807</v>
      </c>
      <c r="W13" s="1349">
        <v>25949953</v>
      </c>
      <c r="X13" s="1347" t="s">
        <v>1808</v>
      </c>
      <c r="Y13" s="1350">
        <v>20</v>
      </c>
      <c r="Z13" s="2148" t="s">
        <v>387</v>
      </c>
      <c r="AA13" s="2355"/>
      <c r="AB13" s="2355"/>
      <c r="AC13" s="2355"/>
      <c r="AD13" s="2355"/>
      <c r="AE13" s="2355"/>
      <c r="AF13" s="2355"/>
      <c r="AG13" s="2355"/>
      <c r="AH13" s="2355"/>
      <c r="AI13" s="2355"/>
      <c r="AJ13" s="2355"/>
      <c r="AK13" s="2355"/>
      <c r="AL13" s="2355"/>
      <c r="AM13" s="2355"/>
      <c r="AN13" s="2355"/>
      <c r="AO13" s="2355"/>
      <c r="AP13" s="2355"/>
      <c r="AQ13" s="2973"/>
      <c r="AR13" s="2973"/>
      <c r="AS13" s="2976"/>
    </row>
    <row r="14" spans="1:65" s="3" customFormat="1" ht="51.75" customHeight="1" x14ac:dyDescent="0.25">
      <c r="A14" s="1325"/>
      <c r="B14" s="1326"/>
      <c r="C14" s="1325"/>
      <c r="D14" s="1326"/>
      <c r="E14" s="3029"/>
      <c r="F14" s="3029"/>
      <c r="G14" s="2665"/>
      <c r="H14" s="2712"/>
      <c r="I14" s="2665"/>
      <c r="J14" s="2712"/>
      <c r="K14" s="2111"/>
      <c r="L14" s="2223"/>
      <c r="M14" s="2111"/>
      <c r="N14" s="2223"/>
      <c r="O14" s="2476"/>
      <c r="P14" s="2093"/>
      <c r="Q14" s="3030"/>
      <c r="R14" s="3034"/>
      <c r="S14" s="3031"/>
      <c r="T14" s="2658"/>
      <c r="U14" s="3017"/>
      <c r="V14" s="2963"/>
      <c r="W14" s="1349">
        <v>9619447</v>
      </c>
      <c r="X14" s="1347" t="s">
        <v>1809</v>
      </c>
      <c r="Y14" s="1350">
        <v>20</v>
      </c>
      <c r="Z14" s="2165"/>
      <c r="AA14" s="2355"/>
      <c r="AB14" s="2355"/>
      <c r="AC14" s="2355"/>
      <c r="AD14" s="2355"/>
      <c r="AE14" s="2355"/>
      <c r="AF14" s="2355"/>
      <c r="AG14" s="2355"/>
      <c r="AH14" s="2355"/>
      <c r="AI14" s="2355"/>
      <c r="AJ14" s="2355"/>
      <c r="AK14" s="2355"/>
      <c r="AL14" s="2355"/>
      <c r="AM14" s="2355"/>
      <c r="AN14" s="2355"/>
      <c r="AO14" s="2355"/>
      <c r="AP14" s="2355"/>
      <c r="AQ14" s="2973"/>
      <c r="AR14" s="2973"/>
      <c r="AS14" s="2976"/>
    </row>
    <row r="15" spans="1:65" s="3" customFormat="1" ht="55.5" customHeight="1" x14ac:dyDescent="0.25">
      <c r="A15" s="1325"/>
      <c r="B15" s="1326"/>
      <c r="C15" s="1325"/>
      <c r="D15" s="1326"/>
      <c r="E15" s="3029"/>
      <c r="F15" s="3029"/>
      <c r="G15" s="2665"/>
      <c r="H15" s="3026"/>
      <c r="I15" s="2665"/>
      <c r="J15" s="3026"/>
      <c r="K15" s="2165"/>
      <c r="L15" s="3028"/>
      <c r="M15" s="2165"/>
      <c r="N15" s="3028"/>
      <c r="O15" s="2476"/>
      <c r="P15" s="2093"/>
      <c r="Q15" s="3030"/>
      <c r="R15" s="3035"/>
      <c r="S15" s="3032"/>
      <c r="T15" s="2658"/>
      <c r="U15" s="3018"/>
      <c r="V15" s="1308" t="s">
        <v>1810</v>
      </c>
      <c r="W15" s="1349">
        <v>14430600</v>
      </c>
      <c r="X15" s="1347" t="s">
        <v>1809</v>
      </c>
      <c r="Y15" s="1351">
        <v>20</v>
      </c>
      <c r="Z15" s="1307" t="s">
        <v>387</v>
      </c>
      <c r="AA15" s="2356"/>
      <c r="AB15" s="2356"/>
      <c r="AC15" s="2356"/>
      <c r="AD15" s="2356"/>
      <c r="AE15" s="2356"/>
      <c r="AF15" s="2356"/>
      <c r="AG15" s="2356"/>
      <c r="AH15" s="2356"/>
      <c r="AI15" s="2356"/>
      <c r="AJ15" s="2356"/>
      <c r="AK15" s="2356"/>
      <c r="AL15" s="2356"/>
      <c r="AM15" s="2356"/>
      <c r="AN15" s="2356"/>
      <c r="AO15" s="2356"/>
      <c r="AP15" s="2356"/>
      <c r="AQ15" s="2974"/>
      <c r="AR15" s="2974"/>
      <c r="AS15" s="2977"/>
    </row>
    <row r="16" spans="1:65" s="3" customFormat="1" ht="60" x14ac:dyDescent="0.25">
      <c r="A16" s="1325"/>
      <c r="B16" s="1326"/>
      <c r="C16" s="1325"/>
      <c r="D16" s="1326"/>
      <c r="E16" s="133"/>
      <c r="F16" s="133"/>
      <c r="G16" s="2990">
        <v>3502022</v>
      </c>
      <c r="H16" s="2711" t="s">
        <v>1811</v>
      </c>
      <c r="I16" s="2990">
        <v>3502022</v>
      </c>
      <c r="J16" s="2711" t="s">
        <v>1811</v>
      </c>
      <c r="K16" s="3019" t="s">
        <v>1812</v>
      </c>
      <c r="L16" s="3021" t="s">
        <v>1813</v>
      </c>
      <c r="M16" s="3019" t="s">
        <v>1812</v>
      </c>
      <c r="N16" s="3021" t="s">
        <v>1813</v>
      </c>
      <c r="O16" s="2572">
        <v>14</v>
      </c>
      <c r="P16" s="2093" t="s">
        <v>1814</v>
      </c>
      <c r="Q16" s="2658" t="s">
        <v>1815</v>
      </c>
      <c r="R16" s="3023">
        <f>SUM(W16:W18)/S16</f>
        <v>0.36</v>
      </c>
      <c r="S16" s="3014">
        <f>SUM(W16:W19)</f>
        <v>250000000</v>
      </c>
      <c r="T16" s="2658" t="s">
        <v>1816</v>
      </c>
      <c r="U16" s="3016" t="s">
        <v>1817</v>
      </c>
      <c r="V16" s="1308" t="s">
        <v>1818</v>
      </c>
      <c r="W16" s="1349">
        <v>30000000</v>
      </c>
      <c r="X16" s="1347" t="s">
        <v>1819</v>
      </c>
      <c r="Y16" s="1351">
        <v>20</v>
      </c>
      <c r="Z16" s="1307" t="s">
        <v>387</v>
      </c>
      <c r="AA16" s="2354">
        <v>918</v>
      </c>
      <c r="AB16" s="2354">
        <v>882</v>
      </c>
      <c r="AC16" s="3012"/>
      <c r="AD16" s="3012"/>
      <c r="AE16" s="2354">
        <f>+AA16+AB16</f>
        <v>1800</v>
      </c>
      <c r="AF16" s="3012"/>
      <c r="AG16" s="3012"/>
      <c r="AH16" s="3012"/>
      <c r="AI16" s="3012"/>
      <c r="AJ16" s="3012"/>
      <c r="AK16" s="3012"/>
      <c r="AL16" s="3012"/>
      <c r="AM16" s="3012"/>
      <c r="AN16" s="3012"/>
      <c r="AO16" s="3012"/>
      <c r="AP16" s="2354">
        <f>SUM(AC16:AO19)</f>
        <v>1800</v>
      </c>
      <c r="AQ16" s="2982"/>
      <c r="AR16" s="2982"/>
      <c r="AS16" s="2984" t="s">
        <v>1804</v>
      </c>
    </row>
    <row r="17" spans="1:45" s="3" customFormat="1" ht="59.25" customHeight="1" x14ac:dyDescent="0.25">
      <c r="A17" s="1325"/>
      <c r="B17" s="1326"/>
      <c r="C17" s="1325"/>
      <c r="D17" s="1326"/>
      <c r="E17" s="133"/>
      <c r="F17" s="133"/>
      <c r="G17" s="2990"/>
      <c r="H17" s="2712"/>
      <c r="I17" s="2990"/>
      <c r="J17" s="2712"/>
      <c r="K17" s="2969"/>
      <c r="L17" s="2970"/>
      <c r="M17" s="2969"/>
      <c r="N17" s="2970"/>
      <c r="O17" s="2572"/>
      <c r="P17" s="2093"/>
      <c r="Q17" s="2658"/>
      <c r="R17" s="3024"/>
      <c r="S17" s="3015"/>
      <c r="T17" s="2658"/>
      <c r="U17" s="3017"/>
      <c r="V17" s="2962" t="s">
        <v>1820</v>
      </c>
      <c r="W17" s="1349">
        <v>5000000</v>
      </c>
      <c r="X17" s="1347" t="s">
        <v>1819</v>
      </c>
      <c r="Y17" s="1351">
        <v>20</v>
      </c>
      <c r="Z17" s="1307" t="s">
        <v>387</v>
      </c>
      <c r="AA17" s="2355"/>
      <c r="AB17" s="2355"/>
      <c r="AC17" s="3013"/>
      <c r="AD17" s="3013"/>
      <c r="AE17" s="2355"/>
      <c r="AF17" s="3013"/>
      <c r="AG17" s="3013"/>
      <c r="AH17" s="3013"/>
      <c r="AI17" s="3013"/>
      <c r="AJ17" s="3013"/>
      <c r="AK17" s="3013"/>
      <c r="AL17" s="3013"/>
      <c r="AM17" s="3013"/>
      <c r="AN17" s="3013"/>
      <c r="AO17" s="3013"/>
      <c r="AP17" s="2355"/>
      <c r="AQ17" s="2973"/>
      <c r="AR17" s="2973"/>
      <c r="AS17" s="2976"/>
    </row>
    <row r="18" spans="1:45" s="3" customFormat="1" ht="62.25" customHeight="1" x14ac:dyDescent="0.25">
      <c r="A18" s="1325"/>
      <c r="B18" s="1326"/>
      <c r="C18" s="1325"/>
      <c r="D18" s="1326"/>
      <c r="E18" s="133"/>
      <c r="F18" s="133"/>
      <c r="G18" s="2990"/>
      <c r="H18" s="3026"/>
      <c r="I18" s="2990"/>
      <c r="J18" s="3026"/>
      <c r="K18" s="3020"/>
      <c r="L18" s="3022"/>
      <c r="M18" s="3020"/>
      <c r="N18" s="3022"/>
      <c r="O18" s="2572"/>
      <c r="P18" s="2093"/>
      <c r="Q18" s="2658"/>
      <c r="R18" s="3025"/>
      <c r="S18" s="3015"/>
      <c r="T18" s="2658"/>
      <c r="U18" s="3018"/>
      <c r="V18" s="2963"/>
      <c r="W18" s="1349">
        <v>55000000</v>
      </c>
      <c r="X18" s="1347" t="s">
        <v>1821</v>
      </c>
      <c r="Y18" s="1351">
        <v>20</v>
      </c>
      <c r="Z18" s="1307" t="s">
        <v>387</v>
      </c>
      <c r="AA18" s="2355"/>
      <c r="AB18" s="2355"/>
      <c r="AC18" s="3013"/>
      <c r="AD18" s="3013"/>
      <c r="AE18" s="2355"/>
      <c r="AF18" s="3013"/>
      <c r="AG18" s="3013"/>
      <c r="AH18" s="3013"/>
      <c r="AI18" s="3013"/>
      <c r="AJ18" s="3013"/>
      <c r="AK18" s="3013"/>
      <c r="AL18" s="3013"/>
      <c r="AM18" s="3013"/>
      <c r="AN18" s="3013"/>
      <c r="AO18" s="3013"/>
      <c r="AP18" s="2355"/>
      <c r="AQ18" s="2973"/>
      <c r="AR18" s="2973"/>
      <c r="AS18" s="2976"/>
    </row>
    <row r="19" spans="1:45" s="3" customFormat="1" ht="165" x14ac:dyDescent="0.25">
      <c r="A19" s="1325"/>
      <c r="B19" s="1326"/>
      <c r="C19" s="1325"/>
      <c r="D19" s="1326"/>
      <c r="E19" s="133"/>
      <c r="F19" s="133"/>
      <c r="G19" s="1352">
        <v>3502047</v>
      </c>
      <c r="H19" s="1334" t="s">
        <v>745</v>
      </c>
      <c r="I19" s="1352">
        <v>3502047</v>
      </c>
      <c r="J19" s="1334" t="s">
        <v>745</v>
      </c>
      <c r="K19" s="1353" t="s">
        <v>1822</v>
      </c>
      <c r="L19" s="1354" t="s">
        <v>1695</v>
      </c>
      <c r="M19" s="1353" t="s">
        <v>1822</v>
      </c>
      <c r="N19" s="1354" t="s">
        <v>1695</v>
      </c>
      <c r="O19" s="1333" t="s">
        <v>1823</v>
      </c>
      <c r="P19" s="2093"/>
      <c r="Q19" s="2658"/>
      <c r="R19" s="1355">
        <f>W19/S16</f>
        <v>0.64</v>
      </c>
      <c r="S19" s="3015"/>
      <c r="T19" s="2658"/>
      <c r="U19" s="1321" t="s">
        <v>1824</v>
      </c>
      <c r="V19" s="1308" t="s">
        <v>1825</v>
      </c>
      <c r="W19" s="1349">
        <f>130000000+30000000</f>
        <v>160000000</v>
      </c>
      <c r="X19" s="1347" t="s">
        <v>1826</v>
      </c>
      <c r="Y19" s="1351">
        <v>20</v>
      </c>
      <c r="Z19" s="1307" t="s">
        <v>387</v>
      </c>
      <c r="AA19" s="2355"/>
      <c r="AB19" s="2355"/>
      <c r="AC19" s="3013"/>
      <c r="AD19" s="3013"/>
      <c r="AE19" s="2355"/>
      <c r="AF19" s="3013"/>
      <c r="AG19" s="3013"/>
      <c r="AH19" s="3013"/>
      <c r="AI19" s="3013"/>
      <c r="AJ19" s="3013"/>
      <c r="AK19" s="3013"/>
      <c r="AL19" s="3013"/>
      <c r="AM19" s="3013"/>
      <c r="AN19" s="3013"/>
      <c r="AO19" s="3013"/>
      <c r="AP19" s="2355"/>
      <c r="AQ19" s="2974"/>
      <c r="AR19" s="2974"/>
      <c r="AS19" s="2977"/>
    </row>
    <row r="20" spans="1:45" s="3" customFormat="1" ht="96" customHeight="1" x14ac:dyDescent="0.25">
      <c r="A20" s="1325"/>
      <c r="B20" s="1326"/>
      <c r="C20" s="1325"/>
      <c r="D20" s="1326"/>
      <c r="E20" s="133"/>
      <c r="F20" s="133"/>
      <c r="G20" s="1352">
        <v>3502039</v>
      </c>
      <c r="H20" s="1335" t="s">
        <v>1827</v>
      </c>
      <c r="I20" s="1352">
        <v>3502039</v>
      </c>
      <c r="J20" s="1335" t="s">
        <v>1827</v>
      </c>
      <c r="K20" s="1316" t="s">
        <v>1828</v>
      </c>
      <c r="L20" s="1314" t="s">
        <v>221</v>
      </c>
      <c r="M20" s="1316" t="s">
        <v>1828</v>
      </c>
      <c r="N20" s="1314" t="s">
        <v>221</v>
      </c>
      <c r="O20" s="1356">
        <v>12</v>
      </c>
      <c r="P20" s="2992" t="s">
        <v>1829</v>
      </c>
      <c r="Q20" s="2710" t="s">
        <v>1830</v>
      </c>
      <c r="R20" s="1357">
        <f>W20/S20</f>
        <v>4.714601492568813E-2</v>
      </c>
      <c r="S20" s="3005">
        <f>SUM(W20:W24)</f>
        <v>1696856036</v>
      </c>
      <c r="T20" s="2273" t="s">
        <v>1816</v>
      </c>
      <c r="U20" s="3007" t="s">
        <v>1831</v>
      </c>
      <c r="V20" s="1358" t="s">
        <v>221</v>
      </c>
      <c r="W20" s="1349">
        <v>80000000</v>
      </c>
      <c r="X20" s="1347" t="s">
        <v>1832</v>
      </c>
      <c r="Y20" s="1351">
        <v>20</v>
      </c>
      <c r="Z20" s="1237" t="s">
        <v>387</v>
      </c>
      <c r="AA20" s="2997">
        <v>765</v>
      </c>
      <c r="AB20" s="2997">
        <v>735</v>
      </c>
      <c r="AC20" s="2997"/>
      <c r="AD20" s="2997"/>
      <c r="AE20" s="2997">
        <f>+AA20+AB20</f>
        <v>1500</v>
      </c>
      <c r="AF20" s="2997"/>
      <c r="AG20" s="2997"/>
      <c r="AH20" s="2997"/>
      <c r="AI20" s="2997"/>
      <c r="AJ20" s="2997"/>
      <c r="AK20" s="2997"/>
      <c r="AL20" s="2997"/>
      <c r="AM20" s="2997"/>
      <c r="AN20" s="2997"/>
      <c r="AO20" s="2997"/>
      <c r="AP20" s="2997">
        <f>SUM(AC20:AO22)</f>
        <v>1500</v>
      </c>
      <c r="AQ20" s="3009"/>
      <c r="AR20" s="2982"/>
      <c r="AS20" s="2984" t="s">
        <v>1804</v>
      </c>
    </row>
    <row r="21" spans="1:45" s="3" customFormat="1" ht="98.25" customHeight="1" x14ac:dyDescent="0.25">
      <c r="A21" s="1325"/>
      <c r="B21" s="1326"/>
      <c r="C21" s="1325"/>
      <c r="D21" s="1326"/>
      <c r="E21" s="133"/>
      <c r="F21" s="133"/>
      <c r="G21" s="1352">
        <v>3502047</v>
      </c>
      <c r="H21" s="1335" t="s">
        <v>745</v>
      </c>
      <c r="I21" s="1352">
        <v>3502047</v>
      </c>
      <c r="J21" s="1335" t="s">
        <v>745</v>
      </c>
      <c r="K21" s="1316" t="s">
        <v>1822</v>
      </c>
      <c r="L21" s="1314" t="s">
        <v>1695</v>
      </c>
      <c r="M21" s="1316" t="s">
        <v>1822</v>
      </c>
      <c r="N21" s="1314" t="s">
        <v>1695</v>
      </c>
      <c r="O21" s="1359" t="s">
        <v>1823</v>
      </c>
      <c r="P21" s="2992"/>
      <c r="Q21" s="2658"/>
      <c r="R21" s="1360">
        <f>W21/S20</f>
        <v>1.060785335827983E-2</v>
      </c>
      <c r="S21" s="3005"/>
      <c r="T21" s="2274"/>
      <c r="U21" s="3007"/>
      <c r="V21" s="1358" t="s">
        <v>1833</v>
      </c>
      <c r="W21" s="1349">
        <v>18000000</v>
      </c>
      <c r="X21" s="1347" t="s">
        <v>1834</v>
      </c>
      <c r="Y21" s="1351">
        <v>20</v>
      </c>
      <c r="Z21" s="1237" t="s">
        <v>387</v>
      </c>
      <c r="AA21" s="2997"/>
      <c r="AB21" s="2997"/>
      <c r="AC21" s="2997"/>
      <c r="AD21" s="2997"/>
      <c r="AE21" s="2997"/>
      <c r="AF21" s="2997"/>
      <c r="AG21" s="2997"/>
      <c r="AH21" s="2997"/>
      <c r="AI21" s="2997"/>
      <c r="AJ21" s="2997"/>
      <c r="AK21" s="2997"/>
      <c r="AL21" s="2997"/>
      <c r="AM21" s="2997"/>
      <c r="AN21" s="2997"/>
      <c r="AO21" s="2997"/>
      <c r="AP21" s="2997"/>
      <c r="AQ21" s="3010"/>
      <c r="AR21" s="2973"/>
      <c r="AS21" s="2976"/>
    </row>
    <row r="22" spans="1:45" s="3" customFormat="1" ht="91.5" customHeight="1" x14ac:dyDescent="0.25">
      <c r="A22" s="1325"/>
      <c r="B22" s="1326"/>
      <c r="C22" s="1325"/>
      <c r="D22" s="1326"/>
      <c r="E22" s="133"/>
      <c r="F22" s="133"/>
      <c r="G22" s="2994">
        <v>3502039</v>
      </c>
      <c r="H22" s="2995" t="s">
        <v>1827</v>
      </c>
      <c r="I22" s="2994">
        <v>3502039</v>
      </c>
      <c r="J22" s="2995" t="s">
        <v>1827</v>
      </c>
      <c r="K22" s="2996">
        <v>350203910</v>
      </c>
      <c r="L22" s="2592" t="s">
        <v>1835</v>
      </c>
      <c r="M22" s="2996">
        <v>350203910</v>
      </c>
      <c r="N22" s="2592" t="s">
        <v>1835</v>
      </c>
      <c r="O22" s="3008">
        <v>1</v>
      </c>
      <c r="P22" s="2992"/>
      <c r="Q22" s="2666"/>
      <c r="R22" s="3003">
        <f>(SUM(W22:W24)/S20)</f>
        <v>0.942246131716032</v>
      </c>
      <c r="S22" s="3006"/>
      <c r="T22" s="2274"/>
      <c r="U22" s="3007"/>
      <c r="V22" s="1358" t="s">
        <v>1836</v>
      </c>
      <c r="W22" s="1349">
        <f>100000000-43121399</f>
        <v>56878601</v>
      </c>
      <c r="X22" s="1347" t="s">
        <v>1832</v>
      </c>
      <c r="Y22" s="1351">
        <v>20</v>
      </c>
      <c r="Z22" s="1237" t="s">
        <v>387</v>
      </c>
      <c r="AA22" s="2997"/>
      <c r="AB22" s="2997"/>
      <c r="AC22" s="2997"/>
      <c r="AD22" s="2997"/>
      <c r="AE22" s="2997"/>
      <c r="AF22" s="2997"/>
      <c r="AG22" s="2997"/>
      <c r="AH22" s="2997"/>
      <c r="AI22" s="2997"/>
      <c r="AJ22" s="2997"/>
      <c r="AK22" s="2997"/>
      <c r="AL22" s="2997"/>
      <c r="AM22" s="2997"/>
      <c r="AN22" s="2997"/>
      <c r="AO22" s="2997"/>
      <c r="AP22" s="2997"/>
      <c r="AQ22" s="3010"/>
      <c r="AR22" s="2973"/>
      <c r="AS22" s="2976"/>
    </row>
    <row r="23" spans="1:45" s="3" customFormat="1" ht="91.5" customHeight="1" x14ac:dyDescent="0.25">
      <c r="A23" s="1325"/>
      <c r="B23" s="1326"/>
      <c r="C23" s="1325"/>
      <c r="D23" s="1326"/>
      <c r="E23" s="133"/>
      <c r="F23" s="133"/>
      <c r="G23" s="2994"/>
      <c r="H23" s="2995"/>
      <c r="I23" s="2994"/>
      <c r="J23" s="2995"/>
      <c r="K23" s="2996"/>
      <c r="L23" s="2592"/>
      <c r="M23" s="2996"/>
      <c r="N23" s="2592"/>
      <c r="O23" s="3008"/>
      <c r="P23" s="2992"/>
      <c r="Q23" s="2666"/>
      <c r="R23" s="3003"/>
      <c r="S23" s="3006"/>
      <c r="T23" s="2274"/>
      <c r="U23" s="3007"/>
      <c r="V23" s="2067" t="s">
        <v>1837</v>
      </c>
      <c r="W23" s="1349">
        <v>43121399</v>
      </c>
      <c r="X23" s="1347" t="s">
        <v>1838</v>
      </c>
      <c r="Y23" s="1351">
        <v>20</v>
      </c>
      <c r="Z23" s="1237" t="s">
        <v>387</v>
      </c>
      <c r="AA23" s="2997"/>
      <c r="AB23" s="2997"/>
      <c r="AC23" s="2997"/>
      <c r="AD23" s="2997"/>
      <c r="AE23" s="2997"/>
      <c r="AF23" s="2997"/>
      <c r="AG23" s="2997"/>
      <c r="AH23" s="2997"/>
      <c r="AI23" s="2997"/>
      <c r="AJ23" s="2997"/>
      <c r="AK23" s="2997"/>
      <c r="AL23" s="2997"/>
      <c r="AM23" s="2997"/>
      <c r="AN23" s="2997"/>
      <c r="AO23" s="2997"/>
      <c r="AP23" s="2997"/>
      <c r="AQ23" s="3010"/>
      <c r="AR23" s="2973"/>
      <c r="AS23" s="2976"/>
    </row>
    <row r="24" spans="1:45" s="3" customFormat="1" ht="91.5" customHeight="1" x14ac:dyDescent="0.25">
      <c r="A24" s="1325"/>
      <c r="B24" s="1326"/>
      <c r="C24" s="1325"/>
      <c r="D24" s="1326"/>
      <c r="E24" s="133"/>
      <c r="F24" s="133"/>
      <c r="G24" s="2994"/>
      <c r="H24" s="2995"/>
      <c r="I24" s="2994"/>
      <c r="J24" s="2995"/>
      <c r="K24" s="2996"/>
      <c r="L24" s="2592"/>
      <c r="M24" s="2996"/>
      <c r="N24" s="2592"/>
      <c r="O24" s="3008"/>
      <c r="P24" s="2993"/>
      <c r="Q24" s="2666"/>
      <c r="R24" s="3003"/>
      <c r="S24" s="3006"/>
      <c r="T24" s="2250"/>
      <c r="U24" s="3007"/>
      <c r="V24" s="3004"/>
      <c r="W24" s="1349">
        <v>1498856036</v>
      </c>
      <c r="X24" s="1347" t="s">
        <v>1839</v>
      </c>
      <c r="Y24" s="1350">
        <v>88</v>
      </c>
      <c r="Z24" s="1336" t="s">
        <v>1840</v>
      </c>
      <c r="AA24" s="2997"/>
      <c r="AB24" s="2997"/>
      <c r="AC24" s="2997"/>
      <c r="AD24" s="2997"/>
      <c r="AE24" s="2997"/>
      <c r="AF24" s="2997"/>
      <c r="AG24" s="2997"/>
      <c r="AH24" s="2997"/>
      <c r="AI24" s="2997"/>
      <c r="AJ24" s="2997"/>
      <c r="AK24" s="2997"/>
      <c r="AL24" s="2997"/>
      <c r="AM24" s="2997"/>
      <c r="AN24" s="2997"/>
      <c r="AO24" s="2997"/>
      <c r="AP24" s="2997"/>
      <c r="AQ24" s="3011"/>
      <c r="AR24" s="2974"/>
      <c r="AS24" s="2977"/>
    </row>
    <row r="25" spans="1:45" s="3" customFormat="1" ht="60" customHeight="1" x14ac:dyDescent="0.25">
      <c r="A25" s="1325"/>
      <c r="B25" s="1326"/>
      <c r="C25" s="1325"/>
      <c r="D25" s="1326"/>
      <c r="E25" s="133"/>
      <c r="F25" s="133"/>
      <c r="G25" s="2990">
        <v>3502046</v>
      </c>
      <c r="H25" s="2712" t="s">
        <v>1841</v>
      </c>
      <c r="I25" s="2990">
        <v>3502046</v>
      </c>
      <c r="J25" s="2712" t="s">
        <v>1841</v>
      </c>
      <c r="K25" s="2111">
        <v>350204600</v>
      </c>
      <c r="L25" s="2142" t="s">
        <v>1842</v>
      </c>
      <c r="M25" s="2111">
        <v>350204600</v>
      </c>
      <c r="N25" s="2142" t="s">
        <v>1842</v>
      </c>
      <c r="O25" s="2465">
        <v>1</v>
      </c>
      <c r="P25" s="2054" t="s">
        <v>1843</v>
      </c>
      <c r="Q25" s="2998" t="s">
        <v>1844</v>
      </c>
      <c r="R25" s="2999">
        <f>SUM(W25:W31)/S25</f>
        <v>1</v>
      </c>
      <c r="S25" s="3000">
        <f>SUM(W25:W31)</f>
        <v>1005231673.61</v>
      </c>
      <c r="T25" s="3001" t="s">
        <v>1845</v>
      </c>
      <c r="U25" s="2988" t="s">
        <v>1846</v>
      </c>
      <c r="V25" s="2962" t="s">
        <v>1847</v>
      </c>
      <c r="W25" s="1349">
        <f>634872303.76-27000000</f>
        <v>607872303.75999999</v>
      </c>
      <c r="X25" s="1361" t="s">
        <v>1848</v>
      </c>
      <c r="Y25" s="1362">
        <v>52</v>
      </c>
      <c r="Z25" s="1309" t="s">
        <v>1849</v>
      </c>
      <c r="AA25" s="2989">
        <v>765</v>
      </c>
      <c r="AB25" s="2355">
        <v>735</v>
      </c>
      <c r="AC25" s="2355"/>
      <c r="AD25" s="2355"/>
      <c r="AE25" s="2355">
        <f>+AA25+AB25</f>
        <v>1500</v>
      </c>
      <c r="AF25" s="2355"/>
      <c r="AG25" s="2355"/>
      <c r="AH25" s="2355"/>
      <c r="AI25" s="2355"/>
      <c r="AJ25" s="2355"/>
      <c r="AK25" s="2355"/>
      <c r="AL25" s="2355"/>
      <c r="AM25" s="2355"/>
      <c r="AN25" s="2355"/>
      <c r="AO25" s="2355"/>
      <c r="AP25" s="2355">
        <f>SUM(AC25:AO31)</f>
        <v>1500</v>
      </c>
      <c r="AQ25" s="2982"/>
      <c r="AR25" s="2982"/>
      <c r="AS25" s="2984" t="s">
        <v>1804</v>
      </c>
    </row>
    <row r="26" spans="1:45" s="3" customFormat="1" ht="69" customHeight="1" x14ac:dyDescent="0.25">
      <c r="A26" s="1325"/>
      <c r="B26" s="1326"/>
      <c r="C26" s="1325"/>
      <c r="D26" s="1326"/>
      <c r="E26" s="133"/>
      <c r="F26" s="133"/>
      <c r="G26" s="2990"/>
      <c r="H26" s="2712"/>
      <c r="I26" s="2990"/>
      <c r="J26" s="2712"/>
      <c r="K26" s="2111"/>
      <c r="L26" s="2142"/>
      <c r="M26" s="2111"/>
      <c r="N26" s="2142"/>
      <c r="O26" s="2465"/>
      <c r="P26" s="2054"/>
      <c r="Q26" s="2998"/>
      <c r="R26" s="2999"/>
      <c r="S26" s="3000"/>
      <c r="T26" s="3002"/>
      <c r="U26" s="2988"/>
      <c r="V26" s="2963"/>
      <c r="W26" s="1349">
        <v>340359369.85000002</v>
      </c>
      <c r="X26" s="1361" t="s">
        <v>1850</v>
      </c>
      <c r="Y26" s="1362">
        <v>94</v>
      </c>
      <c r="Z26" s="1309" t="s">
        <v>1851</v>
      </c>
      <c r="AA26" s="2989"/>
      <c r="AB26" s="2355"/>
      <c r="AC26" s="2355"/>
      <c r="AD26" s="2355"/>
      <c r="AE26" s="2355"/>
      <c r="AF26" s="2355"/>
      <c r="AG26" s="2355"/>
      <c r="AH26" s="2355"/>
      <c r="AI26" s="2355"/>
      <c r="AJ26" s="2355"/>
      <c r="AK26" s="2355"/>
      <c r="AL26" s="2355"/>
      <c r="AM26" s="2355"/>
      <c r="AN26" s="2355"/>
      <c r="AO26" s="2355"/>
      <c r="AP26" s="2355"/>
      <c r="AQ26" s="2973"/>
      <c r="AR26" s="2973"/>
      <c r="AS26" s="2976"/>
    </row>
    <row r="27" spans="1:45" s="3" customFormat="1" ht="45.75" customHeight="1" x14ac:dyDescent="0.25">
      <c r="A27" s="1325"/>
      <c r="B27" s="1326"/>
      <c r="C27" s="1325"/>
      <c r="D27" s="1326"/>
      <c r="E27" s="133"/>
      <c r="F27" s="133"/>
      <c r="G27" s="2990"/>
      <c r="H27" s="2712"/>
      <c r="I27" s="2990"/>
      <c r="J27" s="2712"/>
      <c r="K27" s="2111"/>
      <c r="L27" s="2142"/>
      <c r="M27" s="2111"/>
      <c r="N27" s="2142"/>
      <c r="O27" s="2465"/>
      <c r="P27" s="2054"/>
      <c r="Q27" s="2998"/>
      <c r="R27" s="2999"/>
      <c r="S27" s="3000"/>
      <c r="T27" s="3002"/>
      <c r="U27" s="2988"/>
      <c r="V27" s="2962" t="s">
        <v>1852</v>
      </c>
      <c r="W27" s="1349">
        <f>12000000-12000000</f>
        <v>0</v>
      </c>
      <c r="X27" s="1361" t="s">
        <v>1848</v>
      </c>
      <c r="Y27" s="1362">
        <v>52</v>
      </c>
      <c r="Z27" s="1309" t="s">
        <v>1849</v>
      </c>
      <c r="AA27" s="2989"/>
      <c r="AB27" s="2355"/>
      <c r="AC27" s="2355"/>
      <c r="AD27" s="2355"/>
      <c r="AE27" s="2355"/>
      <c r="AF27" s="2355"/>
      <c r="AG27" s="2355"/>
      <c r="AH27" s="2355"/>
      <c r="AI27" s="2355"/>
      <c r="AJ27" s="2355"/>
      <c r="AK27" s="2355"/>
      <c r="AL27" s="2355"/>
      <c r="AM27" s="2355"/>
      <c r="AN27" s="2355"/>
      <c r="AO27" s="2355"/>
      <c r="AP27" s="2355"/>
      <c r="AQ27" s="2973"/>
      <c r="AR27" s="2973"/>
      <c r="AS27" s="2976"/>
    </row>
    <row r="28" spans="1:45" s="3" customFormat="1" ht="45" customHeight="1" x14ac:dyDescent="0.25">
      <c r="A28" s="1325"/>
      <c r="B28" s="1326"/>
      <c r="C28" s="1325"/>
      <c r="D28" s="1326"/>
      <c r="E28" s="133"/>
      <c r="F28" s="133"/>
      <c r="G28" s="2990"/>
      <c r="H28" s="2712"/>
      <c r="I28" s="2990"/>
      <c r="J28" s="2712"/>
      <c r="K28" s="2111"/>
      <c r="L28" s="2142"/>
      <c r="M28" s="2111"/>
      <c r="N28" s="2142"/>
      <c r="O28" s="2465"/>
      <c r="P28" s="2054"/>
      <c r="Q28" s="2998"/>
      <c r="R28" s="2999"/>
      <c r="S28" s="3000"/>
      <c r="T28" s="3002"/>
      <c r="U28" s="2988"/>
      <c r="V28" s="2986"/>
      <c r="W28" s="1349">
        <v>3000000</v>
      </c>
      <c r="X28" s="1347" t="s">
        <v>1853</v>
      </c>
      <c r="Y28" s="1348">
        <v>52</v>
      </c>
      <c r="Z28" s="1309" t="s">
        <v>1849</v>
      </c>
      <c r="AA28" s="2355"/>
      <c r="AB28" s="2355"/>
      <c r="AC28" s="2355"/>
      <c r="AD28" s="2355"/>
      <c r="AE28" s="2355"/>
      <c r="AF28" s="2355"/>
      <c r="AG28" s="2355"/>
      <c r="AH28" s="2355"/>
      <c r="AI28" s="2355"/>
      <c r="AJ28" s="2355"/>
      <c r="AK28" s="2355"/>
      <c r="AL28" s="2355"/>
      <c r="AM28" s="2355"/>
      <c r="AN28" s="2355"/>
      <c r="AO28" s="2355"/>
      <c r="AP28" s="2355"/>
      <c r="AQ28" s="2973"/>
      <c r="AR28" s="2973"/>
      <c r="AS28" s="2976"/>
    </row>
    <row r="29" spans="1:45" s="3" customFormat="1" ht="45" customHeight="1" x14ac:dyDescent="0.25">
      <c r="A29" s="1325"/>
      <c r="B29" s="1326"/>
      <c r="C29" s="1325"/>
      <c r="D29" s="1326"/>
      <c r="E29" s="133"/>
      <c r="F29" s="133"/>
      <c r="G29" s="2990"/>
      <c r="H29" s="2712"/>
      <c r="I29" s="2990"/>
      <c r="J29" s="2712"/>
      <c r="K29" s="2111"/>
      <c r="L29" s="2142"/>
      <c r="M29" s="2111"/>
      <c r="N29" s="2142"/>
      <c r="O29" s="2465"/>
      <c r="P29" s="2148"/>
      <c r="Q29" s="2998"/>
      <c r="R29" s="2999"/>
      <c r="S29" s="3000"/>
      <c r="T29" s="3002"/>
      <c r="U29" s="2988"/>
      <c r="V29" s="2963"/>
      <c r="W29" s="1363">
        <v>24000000</v>
      </c>
      <c r="X29" s="1347" t="s">
        <v>1854</v>
      </c>
      <c r="Y29" s="1351">
        <v>52</v>
      </c>
      <c r="Z29" s="1309" t="s">
        <v>1849</v>
      </c>
      <c r="AA29" s="2355"/>
      <c r="AB29" s="2355"/>
      <c r="AC29" s="2355"/>
      <c r="AD29" s="2355"/>
      <c r="AE29" s="2355"/>
      <c r="AF29" s="2355"/>
      <c r="AG29" s="2355"/>
      <c r="AH29" s="2355"/>
      <c r="AI29" s="2355"/>
      <c r="AJ29" s="2355"/>
      <c r="AK29" s="2355"/>
      <c r="AL29" s="2355"/>
      <c r="AM29" s="2355"/>
      <c r="AN29" s="2355"/>
      <c r="AO29" s="2355"/>
      <c r="AP29" s="2355"/>
      <c r="AQ29" s="2973"/>
      <c r="AR29" s="2973"/>
      <c r="AS29" s="2976"/>
    </row>
    <row r="30" spans="1:45" s="3" customFormat="1" ht="45" customHeight="1" x14ac:dyDescent="0.25">
      <c r="A30" s="1325"/>
      <c r="B30" s="1326"/>
      <c r="C30" s="1325"/>
      <c r="D30" s="1326"/>
      <c r="E30" s="133"/>
      <c r="F30" s="133"/>
      <c r="G30" s="2990"/>
      <c r="H30" s="2712"/>
      <c r="I30" s="2990"/>
      <c r="J30" s="2712"/>
      <c r="K30" s="2111"/>
      <c r="L30" s="2142"/>
      <c r="M30" s="2111"/>
      <c r="N30" s="2142"/>
      <c r="O30" s="2465"/>
      <c r="P30" s="2148"/>
      <c r="Q30" s="2998"/>
      <c r="R30" s="2999"/>
      <c r="S30" s="3000"/>
      <c r="T30" s="3002"/>
      <c r="U30" s="2988"/>
      <c r="V30" s="2962" t="s">
        <v>1855</v>
      </c>
      <c r="W30" s="1363">
        <v>15000000</v>
      </c>
      <c r="X30" s="1347" t="s">
        <v>1853</v>
      </c>
      <c r="Y30" s="1351">
        <v>52</v>
      </c>
      <c r="Z30" s="1309" t="s">
        <v>1849</v>
      </c>
      <c r="AA30" s="2355"/>
      <c r="AB30" s="2355"/>
      <c r="AC30" s="2355"/>
      <c r="AD30" s="2355"/>
      <c r="AE30" s="2355"/>
      <c r="AF30" s="2355"/>
      <c r="AG30" s="2355"/>
      <c r="AH30" s="2355"/>
      <c r="AI30" s="2355"/>
      <c r="AJ30" s="2355"/>
      <c r="AK30" s="2355"/>
      <c r="AL30" s="2355"/>
      <c r="AM30" s="2355"/>
      <c r="AN30" s="2355"/>
      <c r="AO30" s="2355"/>
      <c r="AP30" s="2355"/>
      <c r="AQ30" s="2973"/>
      <c r="AR30" s="2973"/>
      <c r="AS30" s="2976"/>
    </row>
    <row r="31" spans="1:45" s="3" customFormat="1" ht="45" customHeight="1" x14ac:dyDescent="0.25">
      <c r="A31" s="1325"/>
      <c r="B31" s="1326"/>
      <c r="C31" s="1327"/>
      <c r="D31" s="1326"/>
      <c r="E31" s="133"/>
      <c r="F31" s="133"/>
      <c r="G31" s="2991"/>
      <c r="H31" s="2712"/>
      <c r="I31" s="2990"/>
      <c r="J31" s="2712"/>
      <c r="K31" s="2111"/>
      <c r="L31" s="2142"/>
      <c r="M31" s="2111"/>
      <c r="N31" s="2142"/>
      <c r="O31" s="2465"/>
      <c r="P31" s="2148"/>
      <c r="Q31" s="2998"/>
      <c r="R31" s="2999"/>
      <c r="S31" s="3000"/>
      <c r="T31" s="3002"/>
      <c r="U31" s="2988"/>
      <c r="V31" s="2987"/>
      <c r="W31" s="1364">
        <v>15000000</v>
      </c>
      <c r="X31" s="1347" t="s">
        <v>1856</v>
      </c>
      <c r="Y31" s="1350">
        <v>52</v>
      </c>
      <c r="Z31" s="1309" t="s">
        <v>1849</v>
      </c>
      <c r="AA31" s="2355"/>
      <c r="AB31" s="2355"/>
      <c r="AC31" s="2355"/>
      <c r="AD31" s="2355"/>
      <c r="AE31" s="2355"/>
      <c r="AF31" s="2355"/>
      <c r="AG31" s="2355"/>
      <c r="AH31" s="2355"/>
      <c r="AI31" s="2355"/>
      <c r="AJ31" s="2355"/>
      <c r="AK31" s="2355"/>
      <c r="AL31" s="2355"/>
      <c r="AM31" s="2355"/>
      <c r="AN31" s="2355"/>
      <c r="AO31" s="2355"/>
      <c r="AP31" s="2355"/>
      <c r="AQ31" s="2983"/>
      <c r="AR31" s="2983"/>
      <c r="AS31" s="2985"/>
    </row>
    <row r="32" spans="1:45" s="3" customFormat="1" ht="23.25" customHeight="1" x14ac:dyDescent="0.25">
      <c r="A32" s="1325"/>
      <c r="B32" s="1326"/>
      <c r="C32" s="313">
        <v>36</v>
      </c>
      <c r="D32" s="2924" t="s">
        <v>1346</v>
      </c>
      <c r="E32" s="2925"/>
      <c r="F32" s="2925"/>
      <c r="G32" s="2925"/>
      <c r="H32" s="2925"/>
      <c r="I32" s="1365"/>
      <c r="J32" s="1366"/>
      <c r="K32" s="1365"/>
      <c r="L32" s="1366"/>
      <c r="M32" s="1365"/>
      <c r="N32" s="1366"/>
      <c r="O32" s="1367"/>
      <c r="P32" s="1365"/>
      <c r="Q32" s="1366"/>
      <c r="R32" s="820"/>
      <c r="S32" s="1368"/>
      <c r="T32" s="1366"/>
      <c r="U32" s="909"/>
      <c r="V32" s="908"/>
      <c r="W32" s="1368"/>
      <c r="X32" s="1369"/>
      <c r="Y32" s="823"/>
      <c r="Z32" s="1365"/>
      <c r="AA32" s="823"/>
      <c r="AB32" s="823"/>
      <c r="AC32" s="823"/>
      <c r="AD32" s="823"/>
      <c r="AE32" s="823"/>
      <c r="AF32" s="823"/>
      <c r="AG32" s="823"/>
      <c r="AH32" s="823"/>
      <c r="AI32" s="823"/>
      <c r="AJ32" s="823"/>
      <c r="AK32" s="823"/>
      <c r="AL32" s="823"/>
      <c r="AM32" s="823"/>
      <c r="AN32" s="823"/>
      <c r="AO32" s="823"/>
      <c r="AP32" s="823"/>
      <c r="AQ32" s="825"/>
      <c r="AR32" s="825"/>
      <c r="AS32" s="826"/>
    </row>
    <row r="33" spans="1:45" s="3" customFormat="1" ht="27" customHeight="1" x14ac:dyDescent="0.25">
      <c r="A33" s="1370"/>
      <c r="B33" s="1371"/>
      <c r="C33" s="1372"/>
      <c r="D33" s="1373"/>
      <c r="E33" s="818">
        <v>3602</v>
      </c>
      <c r="F33" s="2978" t="s">
        <v>1857</v>
      </c>
      <c r="G33" s="2979"/>
      <c r="H33" s="2979"/>
      <c r="I33" s="2979"/>
      <c r="J33" s="2979"/>
      <c r="K33" s="2979"/>
      <c r="L33" s="2979"/>
      <c r="M33" s="2979"/>
      <c r="N33" s="2979"/>
      <c r="O33" s="2979"/>
      <c r="P33" s="2979"/>
      <c r="Q33" s="61"/>
      <c r="R33" s="813"/>
      <c r="S33" s="1340"/>
      <c r="T33" s="61"/>
      <c r="U33" s="61"/>
      <c r="V33" s="61"/>
      <c r="W33" s="1374"/>
      <c r="X33" s="64"/>
      <c r="Y33" s="816"/>
      <c r="Z33" s="812"/>
      <c r="AA33" s="1375"/>
      <c r="AB33" s="1375"/>
      <c r="AC33" s="1375"/>
      <c r="AD33" s="1375"/>
      <c r="AE33" s="1375"/>
      <c r="AF33" s="1375"/>
      <c r="AG33" s="1375"/>
      <c r="AH33" s="1375"/>
      <c r="AI33" s="1375"/>
      <c r="AJ33" s="1375"/>
      <c r="AK33" s="1375"/>
      <c r="AL33" s="1375"/>
      <c r="AM33" s="1375"/>
      <c r="AN33" s="1375"/>
      <c r="AO33" s="1375"/>
      <c r="AP33" s="1375"/>
      <c r="AQ33" s="817"/>
      <c r="AR33" s="817"/>
      <c r="AS33" s="818"/>
    </row>
    <row r="34" spans="1:45" ht="131.25" customHeight="1" x14ac:dyDescent="0.25">
      <c r="A34" s="1330"/>
      <c r="B34" s="1311"/>
      <c r="C34" s="1312"/>
      <c r="D34" s="1311"/>
      <c r="F34" s="1310"/>
      <c r="G34" s="1317">
        <v>3602018</v>
      </c>
      <c r="H34" s="1315" t="s">
        <v>1858</v>
      </c>
      <c r="I34" s="1317">
        <v>3602018</v>
      </c>
      <c r="J34" s="1315" t="s">
        <v>1858</v>
      </c>
      <c r="K34" s="1376" t="s">
        <v>1859</v>
      </c>
      <c r="L34" s="1332" t="s">
        <v>1860</v>
      </c>
      <c r="M34" s="1376" t="s">
        <v>1859</v>
      </c>
      <c r="N34" s="1332" t="s">
        <v>1860</v>
      </c>
      <c r="O34" s="1344">
        <v>3</v>
      </c>
      <c r="P34" s="2092" t="s">
        <v>1861</v>
      </c>
      <c r="Q34" s="2580" t="s">
        <v>1862</v>
      </c>
      <c r="R34" s="1377">
        <f>W34/S34</f>
        <v>0.50526315789473686</v>
      </c>
      <c r="S34" s="2980">
        <f>SUM(W34:W43)</f>
        <v>237500000</v>
      </c>
      <c r="T34" s="2628" t="s">
        <v>1863</v>
      </c>
      <c r="U34" s="1329" t="s">
        <v>1864</v>
      </c>
      <c r="V34" s="1329" t="s">
        <v>1865</v>
      </c>
      <c r="W34" s="1346">
        <v>120000000</v>
      </c>
      <c r="X34" s="1347" t="s">
        <v>1866</v>
      </c>
      <c r="Y34" s="1348">
        <v>20</v>
      </c>
      <c r="Z34" s="1317" t="s">
        <v>387</v>
      </c>
      <c r="AA34" s="2124">
        <v>2725</v>
      </c>
      <c r="AB34" s="2124">
        <v>2620</v>
      </c>
      <c r="AC34" s="2124"/>
      <c r="AD34" s="2124"/>
      <c r="AE34" s="2124">
        <f>+AA34+AB34</f>
        <v>5345</v>
      </c>
      <c r="AF34" s="2124"/>
      <c r="AG34" s="2124"/>
      <c r="AH34" s="2124"/>
      <c r="AI34" s="2124"/>
      <c r="AJ34" s="2124"/>
      <c r="AK34" s="2124"/>
      <c r="AL34" s="2124"/>
      <c r="AM34" s="2124"/>
      <c r="AN34" s="2124"/>
      <c r="AO34" s="2124"/>
      <c r="AP34" s="2124">
        <f>SUM(AC34:AN43)</f>
        <v>5345</v>
      </c>
      <c r="AQ34" s="2972"/>
      <c r="AR34" s="2972"/>
      <c r="AS34" s="2975" t="s">
        <v>1804</v>
      </c>
    </row>
    <row r="35" spans="1:45" ht="99" customHeight="1" x14ac:dyDescent="0.25">
      <c r="A35" s="1330"/>
      <c r="B35" s="1311"/>
      <c r="C35" s="1312"/>
      <c r="D35" s="1311"/>
      <c r="G35" s="2661">
        <v>3602032</v>
      </c>
      <c r="H35" s="2119" t="s">
        <v>1867</v>
      </c>
      <c r="I35" s="2661">
        <v>3602032</v>
      </c>
      <c r="J35" s="2119" t="s">
        <v>1867</v>
      </c>
      <c r="K35" s="2971" t="s">
        <v>1868</v>
      </c>
      <c r="L35" s="2174" t="s">
        <v>1869</v>
      </c>
      <c r="M35" s="2971" t="s">
        <v>1868</v>
      </c>
      <c r="N35" s="2174" t="s">
        <v>1869</v>
      </c>
      <c r="O35" s="2476">
        <v>14</v>
      </c>
      <c r="P35" s="2093"/>
      <c r="Q35" s="2580"/>
      <c r="R35" s="2149">
        <f>SUM(W35:W36)/S34</f>
        <v>0.25263157894736843</v>
      </c>
      <c r="S35" s="2980"/>
      <c r="T35" s="2628"/>
      <c r="U35" s="2055" t="s">
        <v>1870</v>
      </c>
      <c r="V35" s="1308" t="s">
        <v>1871</v>
      </c>
      <c r="W35" s="1349">
        <v>30000000</v>
      </c>
      <c r="X35" s="1347" t="s">
        <v>1872</v>
      </c>
      <c r="Y35" s="1351">
        <v>20</v>
      </c>
      <c r="Z35" s="1307" t="s">
        <v>387</v>
      </c>
      <c r="AA35" s="2124"/>
      <c r="AB35" s="2124"/>
      <c r="AC35" s="2124"/>
      <c r="AD35" s="2124"/>
      <c r="AE35" s="2124"/>
      <c r="AF35" s="2124"/>
      <c r="AG35" s="2124"/>
      <c r="AH35" s="2124"/>
      <c r="AI35" s="2124"/>
      <c r="AJ35" s="2124"/>
      <c r="AK35" s="2124"/>
      <c r="AL35" s="2124"/>
      <c r="AM35" s="2124"/>
      <c r="AN35" s="2124"/>
      <c r="AO35" s="2124"/>
      <c r="AP35" s="2124"/>
      <c r="AQ35" s="2973"/>
      <c r="AR35" s="2973"/>
      <c r="AS35" s="2976"/>
    </row>
    <row r="36" spans="1:45" ht="75" customHeight="1" x14ac:dyDescent="0.25">
      <c r="A36" s="1330"/>
      <c r="B36" s="1311"/>
      <c r="C36" s="1312"/>
      <c r="D36" s="1311"/>
      <c r="G36" s="2661"/>
      <c r="H36" s="2119"/>
      <c r="I36" s="2661"/>
      <c r="J36" s="2119"/>
      <c r="K36" s="2971"/>
      <c r="L36" s="2174"/>
      <c r="M36" s="2971"/>
      <c r="N36" s="2174"/>
      <c r="O36" s="2476"/>
      <c r="P36" s="2093"/>
      <c r="Q36" s="2580"/>
      <c r="R36" s="2964"/>
      <c r="S36" s="2980"/>
      <c r="T36" s="2628"/>
      <c r="U36" s="2055"/>
      <c r="V36" s="1308" t="s">
        <v>1873</v>
      </c>
      <c r="W36" s="1349">
        <v>30000000</v>
      </c>
      <c r="X36" s="1347" t="s">
        <v>1874</v>
      </c>
      <c r="Y36" s="1351">
        <v>20</v>
      </c>
      <c r="Z36" s="1307" t="s">
        <v>387</v>
      </c>
      <c r="AA36" s="2124"/>
      <c r="AB36" s="2124"/>
      <c r="AC36" s="2124"/>
      <c r="AD36" s="2124"/>
      <c r="AE36" s="2124"/>
      <c r="AF36" s="2124"/>
      <c r="AG36" s="2124"/>
      <c r="AH36" s="2124"/>
      <c r="AI36" s="2124"/>
      <c r="AJ36" s="2124"/>
      <c r="AK36" s="2124"/>
      <c r="AL36" s="2124"/>
      <c r="AM36" s="2124"/>
      <c r="AN36" s="2124"/>
      <c r="AO36" s="2124"/>
      <c r="AP36" s="2124"/>
      <c r="AQ36" s="2973"/>
      <c r="AR36" s="2973"/>
      <c r="AS36" s="2976"/>
    </row>
    <row r="37" spans="1:45" ht="75.75" customHeight="1" x14ac:dyDescent="0.25">
      <c r="A37" s="1330"/>
      <c r="B37" s="1311"/>
      <c r="C37" s="1312"/>
      <c r="D37" s="1311"/>
      <c r="G37" s="2661">
        <v>3602029</v>
      </c>
      <c r="H37" s="2119" t="s">
        <v>1875</v>
      </c>
      <c r="I37" s="2661">
        <v>3602029</v>
      </c>
      <c r="J37" s="2119" t="s">
        <v>1875</v>
      </c>
      <c r="K37" s="2971">
        <v>360202904</v>
      </c>
      <c r="L37" s="2174" t="s">
        <v>1876</v>
      </c>
      <c r="M37" s="2971">
        <v>360202904</v>
      </c>
      <c r="N37" s="2174" t="s">
        <v>1876</v>
      </c>
      <c r="O37" s="2101">
        <v>12</v>
      </c>
      <c r="P37" s="2093"/>
      <c r="Q37" s="2580"/>
      <c r="R37" s="2149">
        <f>SUM(W37:W39)/S34</f>
        <v>9.4736842105263161E-2</v>
      </c>
      <c r="S37" s="2980"/>
      <c r="T37" s="2628"/>
      <c r="U37" s="2056" t="s">
        <v>1877</v>
      </c>
      <c r="V37" s="1308" t="s">
        <v>1878</v>
      </c>
      <c r="W37" s="1349">
        <v>20000000</v>
      </c>
      <c r="X37" s="1347" t="s">
        <v>1879</v>
      </c>
      <c r="Y37" s="1351">
        <v>20</v>
      </c>
      <c r="Z37" s="1307" t="s">
        <v>387</v>
      </c>
      <c r="AA37" s="2124"/>
      <c r="AB37" s="2124"/>
      <c r="AC37" s="2124"/>
      <c r="AD37" s="2124"/>
      <c r="AE37" s="2124"/>
      <c r="AF37" s="2124"/>
      <c r="AG37" s="2124"/>
      <c r="AH37" s="2124"/>
      <c r="AI37" s="2124"/>
      <c r="AJ37" s="2124"/>
      <c r="AK37" s="2124"/>
      <c r="AL37" s="2124"/>
      <c r="AM37" s="2124"/>
      <c r="AN37" s="2124"/>
      <c r="AO37" s="2124"/>
      <c r="AP37" s="2124"/>
      <c r="AQ37" s="2973"/>
      <c r="AR37" s="2973"/>
      <c r="AS37" s="2976"/>
    </row>
    <row r="38" spans="1:45" ht="72.75" customHeight="1" x14ac:dyDescent="0.25">
      <c r="A38" s="1330"/>
      <c r="B38" s="1311"/>
      <c r="C38" s="1312"/>
      <c r="D38" s="1311"/>
      <c r="G38" s="2661"/>
      <c r="H38" s="2119"/>
      <c r="I38" s="2661"/>
      <c r="J38" s="2119"/>
      <c r="K38" s="2971"/>
      <c r="L38" s="2174"/>
      <c r="M38" s="2971"/>
      <c r="N38" s="2174"/>
      <c r="O38" s="2102"/>
      <c r="P38" s="2093"/>
      <c r="Q38" s="2580"/>
      <c r="R38" s="2150"/>
      <c r="S38" s="2980"/>
      <c r="T38" s="2628"/>
      <c r="U38" s="2965"/>
      <c r="V38" s="2962" t="s">
        <v>1880</v>
      </c>
      <c r="W38" s="1349">
        <f>2500000-1500000</f>
        <v>1000000</v>
      </c>
      <c r="X38" s="1347" t="s">
        <v>1879</v>
      </c>
      <c r="Y38" s="1351">
        <v>20</v>
      </c>
      <c r="Z38" s="1307" t="s">
        <v>387</v>
      </c>
      <c r="AA38" s="2124"/>
      <c r="AB38" s="2124"/>
      <c r="AC38" s="2124"/>
      <c r="AD38" s="2124"/>
      <c r="AE38" s="2124"/>
      <c r="AF38" s="2124"/>
      <c r="AG38" s="2124"/>
      <c r="AH38" s="2124"/>
      <c r="AI38" s="2124"/>
      <c r="AJ38" s="2124"/>
      <c r="AK38" s="2124"/>
      <c r="AL38" s="2124"/>
      <c r="AM38" s="2124"/>
      <c r="AN38" s="2124"/>
      <c r="AO38" s="2124"/>
      <c r="AP38" s="2124"/>
      <c r="AQ38" s="2973"/>
      <c r="AR38" s="2973"/>
      <c r="AS38" s="2976"/>
    </row>
    <row r="39" spans="1:45" ht="72.75" customHeight="1" x14ac:dyDescent="0.25">
      <c r="A39" s="1330"/>
      <c r="B39" s="1311"/>
      <c r="C39" s="1312"/>
      <c r="D39" s="1311"/>
      <c r="G39" s="2661"/>
      <c r="H39" s="2119"/>
      <c r="I39" s="2661"/>
      <c r="J39" s="2119"/>
      <c r="K39" s="2971"/>
      <c r="L39" s="2174"/>
      <c r="M39" s="2971"/>
      <c r="N39" s="2174"/>
      <c r="O39" s="2532"/>
      <c r="P39" s="2093"/>
      <c r="Q39" s="2580"/>
      <c r="R39" s="2964"/>
      <c r="S39" s="2980"/>
      <c r="T39" s="2628"/>
      <c r="U39" s="2966"/>
      <c r="V39" s="2963"/>
      <c r="W39" s="1349">
        <v>1500000</v>
      </c>
      <c r="X39" s="1347" t="s">
        <v>1881</v>
      </c>
      <c r="Y39" s="1351">
        <v>20</v>
      </c>
      <c r="Z39" s="1307" t="s">
        <v>387</v>
      </c>
      <c r="AA39" s="2124"/>
      <c r="AB39" s="2124"/>
      <c r="AC39" s="2124"/>
      <c r="AD39" s="2124"/>
      <c r="AE39" s="2124"/>
      <c r="AF39" s="2124"/>
      <c r="AG39" s="2124"/>
      <c r="AH39" s="2124"/>
      <c r="AI39" s="2124"/>
      <c r="AJ39" s="2124"/>
      <c r="AK39" s="2124"/>
      <c r="AL39" s="2124"/>
      <c r="AM39" s="2124"/>
      <c r="AN39" s="2124"/>
      <c r="AO39" s="2124"/>
      <c r="AP39" s="2124"/>
      <c r="AQ39" s="2973"/>
      <c r="AR39" s="2973"/>
      <c r="AS39" s="2976"/>
    </row>
    <row r="40" spans="1:45" ht="79.5" customHeight="1" x14ac:dyDescent="0.25">
      <c r="A40" s="1330"/>
      <c r="B40" s="1311"/>
      <c r="C40" s="1312"/>
      <c r="D40" s="1311"/>
      <c r="G40" s="2967">
        <v>3602030</v>
      </c>
      <c r="H40" s="2712" t="s">
        <v>1882</v>
      </c>
      <c r="I40" s="2967">
        <v>3602030</v>
      </c>
      <c r="J40" s="2712" t="s">
        <v>1882</v>
      </c>
      <c r="K40" s="2969" t="s">
        <v>1883</v>
      </c>
      <c r="L40" s="2970" t="s">
        <v>1884</v>
      </c>
      <c r="M40" s="2969" t="s">
        <v>1883</v>
      </c>
      <c r="N40" s="2970" t="s">
        <v>1884</v>
      </c>
      <c r="O40" s="2476">
        <v>3</v>
      </c>
      <c r="P40" s="2093"/>
      <c r="Q40" s="2580"/>
      <c r="R40" s="2149">
        <f>SUM(W40:W43)/S34</f>
        <v>0.14736842105263157</v>
      </c>
      <c r="S40" s="2980"/>
      <c r="T40" s="2628"/>
      <c r="U40" s="2055" t="s">
        <v>1885</v>
      </c>
      <c r="V40" s="1308" t="s">
        <v>1886</v>
      </c>
      <c r="W40" s="1349">
        <v>22500000</v>
      </c>
      <c r="X40" s="1347" t="s">
        <v>1887</v>
      </c>
      <c r="Y40" s="1351">
        <v>20</v>
      </c>
      <c r="Z40" s="1307" t="s">
        <v>387</v>
      </c>
      <c r="AA40" s="2124"/>
      <c r="AB40" s="2124"/>
      <c r="AC40" s="2124"/>
      <c r="AD40" s="2124"/>
      <c r="AE40" s="2124"/>
      <c r="AF40" s="2124"/>
      <c r="AG40" s="2124"/>
      <c r="AH40" s="2124"/>
      <c r="AI40" s="2124"/>
      <c r="AJ40" s="2124"/>
      <c r="AK40" s="2124"/>
      <c r="AL40" s="2124"/>
      <c r="AM40" s="2124"/>
      <c r="AN40" s="2124"/>
      <c r="AO40" s="2124"/>
      <c r="AP40" s="2124"/>
      <c r="AQ40" s="2973"/>
      <c r="AR40" s="2973"/>
      <c r="AS40" s="2976"/>
    </row>
    <row r="41" spans="1:45" ht="65.25" customHeight="1" x14ac:dyDescent="0.25">
      <c r="A41" s="1330"/>
      <c r="B41" s="1311"/>
      <c r="C41" s="1312"/>
      <c r="D41" s="1311"/>
      <c r="G41" s="2665"/>
      <c r="H41" s="2712"/>
      <c r="I41" s="2665"/>
      <c r="J41" s="2712"/>
      <c r="K41" s="2969"/>
      <c r="L41" s="2970"/>
      <c r="M41" s="2969"/>
      <c r="N41" s="2970"/>
      <c r="O41" s="2476"/>
      <c r="P41" s="2093"/>
      <c r="Q41" s="2580"/>
      <c r="R41" s="2150"/>
      <c r="S41" s="2980"/>
      <c r="T41" s="2628"/>
      <c r="U41" s="2055"/>
      <c r="V41" s="1308" t="s">
        <v>1888</v>
      </c>
      <c r="W41" s="1349">
        <v>10000000</v>
      </c>
      <c r="X41" s="1347" t="s">
        <v>1887</v>
      </c>
      <c r="Y41" s="1351">
        <v>20</v>
      </c>
      <c r="Z41" s="1307" t="s">
        <v>387</v>
      </c>
      <c r="AA41" s="2124"/>
      <c r="AB41" s="2124"/>
      <c r="AC41" s="2124"/>
      <c r="AD41" s="2124"/>
      <c r="AE41" s="2124"/>
      <c r="AF41" s="2124"/>
      <c r="AG41" s="2124"/>
      <c r="AH41" s="2124"/>
      <c r="AI41" s="2124"/>
      <c r="AJ41" s="2124"/>
      <c r="AK41" s="2124"/>
      <c r="AL41" s="2124"/>
      <c r="AM41" s="2124"/>
      <c r="AN41" s="2124"/>
      <c r="AO41" s="2124"/>
      <c r="AP41" s="2124"/>
      <c r="AQ41" s="2973"/>
      <c r="AR41" s="2973"/>
      <c r="AS41" s="2976"/>
    </row>
    <row r="42" spans="1:45" ht="45" customHeight="1" x14ac:dyDescent="0.25">
      <c r="A42" s="1330"/>
      <c r="B42" s="1311"/>
      <c r="C42" s="1312"/>
      <c r="D42" s="1311"/>
      <c r="G42" s="2968"/>
      <c r="H42" s="2712"/>
      <c r="I42" s="2968"/>
      <c r="J42" s="2712"/>
      <c r="K42" s="2969"/>
      <c r="L42" s="2970"/>
      <c r="M42" s="2969"/>
      <c r="N42" s="2970"/>
      <c r="O42" s="2101"/>
      <c r="P42" s="2094"/>
      <c r="Q42" s="2580"/>
      <c r="R42" s="2150"/>
      <c r="S42" s="2980"/>
      <c r="T42" s="2628"/>
      <c r="U42" s="2055"/>
      <c r="V42" s="2962" t="s">
        <v>1889</v>
      </c>
      <c r="W42" s="1363">
        <f>2500000-1500000</f>
        <v>1000000</v>
      </c>
      <c r="X42" s="1347" t="s">
        <v>1887</v>
      </c>
      <c r="Y42" s="1351">
        <v>20</v>
      </c>
      <c r="Z42" s="1307" t="s">
        <v>387</v>
      </c>
      <c r="AA42" s="2124"/>
      <c r="AB42" s="2124"/>
      <c r="AC42" s="2124"/>
      <c r="AD42" s="2124"/>
      <c r="AE42" s="2124"/>
      <c r="AF42" s="2124"/>
      <c r="AG42" s="2124"/>
      <c r="AH42" s="2124"/>
      <c r="AI42" s="2124"/>
      <c r="AJ42" s="2124"/>
      <c r="AK42" s="2124"/>
      <c r="AL42" s="2124"/>
      <c r="AM42" s="2124"/>
      <c r="AN42" s="2124"/>
      <c r="AO42" s="2124"/>
      <c r="AP42" s="2124"/>
      <c r="AQ42" s="2973"/>
      <c r="AR42" s="2973"/>
      <c r="AS42" s="2976"/>
    </row>
    <row r="43" spans="1:45" ht="45" customHeight="1" x14ac:dyDescent="0.25">
      <c r="A43" s="1331"/>
      <c r="B43" s="1320"/>
      <c r="C43" s="1313"/>
      <c r="D43" s="1320"/>
      <c r="G43" s="2968"/>
      <c r="H43" s="2712"/>
      <c r="I43" s="2968"/>
      <c r="J43" s="2712"/>
      <c r="K43" s="2969"/>
      <c r="L43" s="2970"/>
      <c r="M43" s="2969"/>
      <c r="N43" s="2970"/>
      <c r="O43" s="2101"/>
      <c r="P43" s="2094"/>
      <c r="Q43" s="2580"/>
      <c r="R43" s="2150"/>
      <c r="S43" s="2981"/>
      <c r="T43" s="2627"/>
      <c r="U43" s="2055"/>
      <c r="V43" s="2963"/>
      <c r="W43" s="1363">
        <v>1500000</v>
      </c>
      <c r="X43" s="1347" t="s">
        <v>1890</v>
      </c>
      <c r="Y43" s="1351">
        <v>20</v>
      </c>
      <c r="Z43" s="1307" t="s">
        <v>387</v>
      </c>
      <c r="AA43" s="2125"/>
      <c r="AB43" s="2125"/>
      <c r="AC43" s="2125"/>
      <c r="AD43" s="2125"/>
      <c r="AE43" s="2125"/>
      <c r="AF43" s="2125"/>
      <c r="AG43" s="2125"/>
      <c r="AH43" s="2125"/>
      <c r="AI43" s="2125"/>
      <c r="AJ43" s="2125"/>
      <c r="AK43" s="2125"/>
      <c r="AL43" s="2125"/>
      <c r="AM43" s="2125"/>
      <c r="AN43" s="2125"/>
      <c r="AO43" s="2125"/>
      <c r="AP43" s="2125"/>
      <c r="AQ43" s="2974"/>
      <c r="AR43" s="2974"/>
      <c r="AS43" s="2977"/>
    </row>
    <row r="44" spans="1:45" ht="27" customHeight="1" x14ac:dyDescent="0.25">
      <c r="A44" s="1378"/>
      <c r="B44" s="1379"/>
      <c r="C44" s="1379"/>
      <c r="D44" s="1379"/>
      <c r="E44" s="1379"/>
      <c r="F44" s="1379"/>
      <c r="G44" s="1379"/>
      <c r="H44" s="1380"/>
      <c r="I44" s="1379"/>
      <c r="J44" s="1380"/>
      <c r="K44" s="1379"/>
      <c r="L44" s="1380"/>
      <c r="M44" s="1379"/>
      <c r="N44" s="1380"/>
      <c r="O44" s="1379"/>
      <c r="P44" s="1379"/>
      <c r="Q44" s="1380"/>
      <c r="R44" s="1381"/>
      <c r="S44" s="1382">
        <f>SUM(S9:S43)</f>
        <v>3266587709.6100001</v>
      </c>
      <c r="T44" s="1383"/>
      <c r="U44" s="1384"/>
      <c r="V44" s="1385" t="s">
        <v>1891</v>
      </c>
      <c r="W44" s="1382">
        <f>SUM(W9:W43)</f>
        <v>3266587709.6100001</v>
      </c>
      <c r="X44" s="1386"/>
      <c r="Y44" s="1387"/>
      <c r="Z44" s="1388"/>
      <c r="AA44" s="1388"/>
      <c r="AB44" s="1388"/>
      <c r="AC44" s="1388"/>
      <c r="AD44" s="1388"/>
      <c r="AE44" s="1388"/>
      <c r="AF44" s="1388"/>
      <c r="AG44" s="1388"/>
      <c r="AH44" s="1388"/>
      <c r="AI44" s="1388"/>
      <c r="AJ44" s="1388"/>
      <c r="AK44" s="1388"/>
      <c r="AL44" s="1388"/>
      <c r="AM44" s="1388"/>
      <c r="AN44" s="1388"/>
      <c r="AO44" s="1388"/>
      <c r="AP44" s="1388"/>
      <c r="AQ44" s="1389"/>
      <c r="AR44" s="1389"/>
      <c r="AS44" s="1388"/>
    </row>
    <row r="46" spans="1:45" ht="27" customHeight="1" x14ac:dyDescent="0.25">
      <c r="W46" s="1390"/>
    </row>
  </sheetData>
  <sheetProtection algorithmName="SHA-512" hashValue="ugK1aLwq/IVSiDJ7+sxo7cgXGZjeq28iaiqUMDje0XX1oWp71sc2w2AxvsejaYciTlZ3J0IiTDZr04FQe4+4Lw==" saltValue="P2GDgxCo3VTOS+qgihtohQ==" spinCount="100000" sheet="1" objects="1" scenarios="1"/>
  <mergeCells count="227">
    <mergeCell ref="A1:AQ4"/>
    <mergeCell ref="A5:O6"/>
    <mergeCell ref="P5:AS5"/>
    <mergeCell ref="AA6:AO6"/>
    <mergeCell ref="A7:B7"/>
    <mergeCell ref="C7:D7"/>
    <mergeCell ref="E7:F7"/>
    <mergeCell ref="G7:J7"/>
    <mergeCell ref="K7:N7"/>
    <mergeCell ref="O7:W7"/>
    <mergeCell ref="AQ7:AQ8"/>
    <mergeCell ref="AR7:AR8"/>
    <mergeCell ref="AS7:AS8"/>
    <mergeCell ref="B9:F9"/>
    <mergeCell ref="D10:H10"/>
    <mergeCell ref="F11:P11"/>
    <mergeCell ref="X7:Z7"/>
    <mergeCell ref="AA7:AB7"/>
    <mergeCell ref="AC7:AF7"/>
    <mergeCell ref="AG7:AL7"/>
    <mergeCell ref="AM7:AO7"/>
    <mergeCell ref="AP7:AP8"/>
    <mergeCell ref="AH12:AH15"/>
    <mergeCell ref="P12:P15"/>
    <mergeCell ref="Q12:Q15"/>
    <mergeCell ref="S12:S15"/>
    <mergeCell ref="T12:T15"/>
    <mergeCell ref="AA12:AA15"/>
    <mergeCell ref="AB12:AB15"/>
    <mergeCell ref="R13:R15"/>
    <mergeCell ref="U13:U15"/>
    <mergeCell ref="V13:V14"/>
    <mergeCell ref="Z13:Z14"/>
    <mergeCell ref="M13:M15"/>
    <mergeCell ref="N13:N15"/>
    <mergeCell ref="O13:O15"/>
    <mergeCell ref="AO12:AO15"/>
    <mergeCell ref="AP12:AP15"/>
    <mergeCell ref="AQ12:AQ15"/>
    <mergeCell ref="AR12:AR15"/>
    <mergeCell ref="AS12:AS15"/>
    <mergeCell ref="E13:E15"/>
    <mergeCell ref="F13:F15"/>
    <mergeCell ref="G13:G15"/>
    <mergeCell ref="H13:H15"/>
    <mergeCell ref="I13:I15"/>
    <mergeCell ref="AI12:AI15"/>
    <mergeCell ref="AJ12:AJ15"/>
    <mergeCell ref="AK12:AK15"/>
    <mergeCell ref="AL12:AL15"/>
    <mergeCell ref="AM12:AM15"/>
    <mergeCell ref="AN12:AN15"/>
    <mergeCell ref="AC12:AC15"/>
    <mergeCell ref="AD12:AD15"/>
    <mergeCell ref="AE12:AE15"/>
    <mergeCell ref="AF12:AF15"/>
    <mergeCell ref="AG12:AG15"/>
    <mergeCell ref="G16:G18"/>
    <mergeCell ref="H16:H18"/>
    <mergeCell ref="I16:I18"/>
    <mergeCell ref="J16:J18"/>
    <mergeCell ref="K16:K18"/>
    <mergeCell ref="L16:L18"/>
    <mergeCell ref="J13:J15"/>
    <mergeCell ref="K13:K15"/>
    <mergeCell ref="L13:L15"/>
    <mergeCell ref="S16:S19"/>
    <mergeCell ref="T16:T19"/>
    <mergeCell ref="U16:U18"/>
    <mergeCell ref="AA16:AA19"/>
    <mergeCell ref="AB16:AB19"/>
    <mergeCell ref="AC16:AC19"/>
    <mergeCell ref="M16:M18"/>
    <mergeCell ref="N16:N18"/>
    <mergeCell ref="O16:O18"/>
    <mergeCell ref="P16:P19"/>
    <mergeCell ref="Q16:Q19"/>
    <mergeCell ref="R16:R18"/>
    <mergeCell ref="AC20:AC24"/>
    <mergeCell ref="AD20:AD24"/>
    <mergeCell ref="AE20:AE24"/>
    <mergeCell ref="AF20:AF24"/>
    <mergeCell ref="AP16:AP19"/>
    <mergeCell ref="AQ16:AQ19"/>
    <mergeCell ref="AR16:AR19"/>
    <mergeCell ref="AS16:AS19"/>
    <mergeCell ref="V17:V18"/>
    <mergeCell ref="AJ16:AJ19"/>
    <mergeCell ref="AK16:AK19"/>
    <mergeCell ref="AL16:AL19"/>
    <mergeCell ref="AM16:AM19"/>
    <mergeCell ref="AN16:AN19"/>
    <mergeCell ref="AO16:AO19"/>
    <mergeCell ref="AD16:AD19"/>
    <mergeCell ref="AE16:AE19"/>
    <mergeCell ref="AF16:AF19"/>
    <mergeCell ref="AG16:AG19"/>
    <mergeCell ref="AH16:AH19"/>
    <mergeCell ref="AI16:AI19"/>
    <mergeCell ref="AS20:AS24"/>
    <mergeCell ref="AM20:AM24"/>
    <mergeCell ref="AN20:AN24"/>
    <mergeCell ref="AO20:AO24"/>
    <mergeCell ref="AP20:AP24"/>
    <mergeCell ref="AQ20:AQ24"/>
    <mergeCell ref="AR20:AR24"/>
    <mergeCell ref="AG20:AG24"/>
    <mergeCell ref="AH20:AH24"/>
    <mergeCell ref="AI20:AI24"/>
    <mergeCell ref="AJ20:AJ24"/>
    <mergeCell ref="AK20:AK24"/>
    <mergeCell ref="AL20:AL24"/>
    <mergeCell ref="AA20:AA24"/>
    <mergeCell ref="AB20:AB24"/>
    <mergeCell ref="O25:O31"/>
    <mergeCell ref="P25:P31"/>
    <mergeCell ref="Q25:Q31"/>
    <mergeCell ref="R25:R31"/>
    <mergeCell ref="S25:S31"/>
    <mergeCell ref="T25:T31"/>
    <mergeCell ref="R22:R24"/>
    <mergeCell ref="V23:V24"/>
    <mergeCell ref="Q20:Q24"/>
    <mergeCell ref="S20:S24"/>
    <mergeCell ref="T20:T24"/>
    <mergeCell ref="U20:U24"/>
    <mergeCell ref="O22:O24"/>
    <mergeCell ref="G25:G31"/>
    <mergeCell ref="H25:H31"/>
    <mergeCell ref="I25:I31"/>
    <mergeCell ref="J25:J31"/>
    <mergeCell ref="K25:K31"/>
    <mergeCell ref="L25:L31"/>
    <mergeCell ref="M25:M31"/>
    <mergeCell ref="N25:N31"/>
    <mergeCell ref="P20:P24"/>
    <mergeCell ref="G22:G24"/>
    <mergeCell ref="H22:H24"/>
    <mergeCell ref="I22:I24"/>
    <mergeCell ref="J22:J24"/>
    <mergeCell ref="K22:K24"/>
    <mergeCell ref="L22:L24"/>
    <mergeCell ref="M22:M24"/>
    <mergeCell ref="N22:N24"/>
    <mergeCell ref="AQ25:AQ31"/>
    <mergeCell ref="AR25:AR31"/>
    <mergeCell ref="AS25:AS31"/>
    <mergeCell ref="V27:V29"/>
    <mergeCell ref="V30:V31"/>
    <mergeCell ref="D32:H32"/>
    <mergeCell ref="AK25:AK31"/>
    <mergeCell ref="AL25:AL31"/>
    <mergeCell ref="AM25:AM31"/>
    <mergeCell ref="AN25:AN31"/>
    <mergeCell ref="AO25:AO31"/>
    <mergeCell ref="AP25:AP31"/>
    <mergeCell ref="AE25:AE31"/>
    <mergeCell ref="AF25:AF31"/>
    <mergeCell ref="AG25:AG31"/>
    <mergeCell ref="AH25:AH31"/>
    <mergeCell ref="AI25:AI31"/>
    <mergeCell ref="AJ25:AJ31"/>
    <mergeCell ref="U25:U31"/>
    <mergeCell ref="V25:V26"/>
    <mergeCell ref="AA25:AA31"/>
    <mergeCell ref="AB25:AB31"/>
    <mergeCell ref="AC25:AC31"/>
    <mergeCell ref="AD25:AD31"/>
    <mergeCell ref="AB34:AB43"/>
    <mergeCell ref="AC34:AC43"/>
    <mergeCell ref="AD34:AD43"/>
    <mergeCell ref="AE34:AE43"/>
    <mergeCell ref="AF34:AF43"/>
    <mergeCell ref="AG34:AG43"/>
    <mergeCell ref="F33:P33"/>
    <mergeCell ref="P34:P43"/>
    <mergeCell ref="Q34:Q43"/>
    <mergeCell ref="S34:S43"/>
    <mergeCell ref="T34:T43"/>
    <mergeCell ref="AA34:AA43"/>
    <mergeCell ref="G35:G36"/>
    <mergeCell ref="H35:H36"/>
    <mergeCell ref="I35:I36"/>
    <mergeCell ref="J35:J36"/>
    <mergeCell ref="U35:U36"/>
    <mergeCell ref="G37:G39"/>
    <mergeCell ref="H37:H39"/>
    <mergeCell ref="I37:I39"/>
    <mergeCell ref="J37:J39"/>
    <mergeCell ref="K37:K39"/>
    <mergeCell ref="L37:L39"/>
    <mergeCell ref="M37:M39"/>
    <mergeCell ref="AN34:AN43"/>
    <mergeCell ref="AO34:AO43"/>
    <mergeCell ref="AP34:AP43"/>
    <mergeCell ref="AQ34:AQ43"/>
    <mergeCell ref="AR34:AR43"/>
    <mergeCell ref="AS34:AS43"/>
    <mergeCell ref="AH34:AH43"/>
    <mergeCell ref="AI34:AI43"/>
    <mergeCell ref="AJ34:AJ43"/>
    <mergeCell ref="AK34:AK43"/>
    <mergeCell ref="AL34:AL43"/>
    <mergeCell ref="AM34:AM43"/>
    <mergeCell ref="K35:K36"/>
    <mergeCell ref="L35:L36"/>
    <mergeCell ref="M35:M36"/>
    <mergeCell ref="N35:N36"/>
    <mergeCell ref="O35:O36"/>
    <mergeCell ref="R35:R36"/>
    <mergeCell ref="N40:N43"/>
    <mergeCell ref="O40:O43"/>
    <mergeCell ref="R40:R43"/>
    <mergeCell ref="U40:U43"/>
    <mergeCell ref="V42:V43"/>
    <mergeCell ref="R37:R39"/>
    <mergeCell ref="U37:U39"/>
    <mergeCell ref="V38:V39"/>
    <mergeCell ref="G40:G43"/>
    <mergeCell ref="H40:H43"/>
    <mergeCell ref="I40:I43"/>
    <mergeCell ref="J40:J43"/>
    <mergeCell ref="K40:K43"/>
    <mergeCell ref="L40:L43"/>
    <mergeCell ref="M40:M43"/>
    <mergeCell ref="N37:N39"/>
    <mergeCell ref="O37:O39"/>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1635"/>
  <sheetViews>
    <sheetView showGridLines="0" zoomScale="70" zoomScaleNormal="70" workbookViewId="0">
      <selection sqref="A1:AQ4"/>
    </sheetView>
  </sheetViews>
  <sheetFormatPr baseColWidth="10" defaultColWidth="11.42578125" defaultRowHeight="27" customHeight="1" x14ac:dyDescent="0.25"/>
  <cols>
    <col min="1" max="1" width="17.140625" style="130" customWidth="1"/>
    <col min="2" max="2" width="16.28515625" style="4" customWidth="1"/>
    <col min="3" max="3" width="12.42578125" style="4" customWidth="1"/>
    <col min="4" max="4" width="17.85546875" style="4" customWidth="1"/>
    <col min="5" max="5" width="12.28515625" style="4" customWidth="1"/>
    <col min="6" max="6" width="13.28515625" style="4" customWidth="1"/>
    <col min="7" max="7" width="17.5703125" style="4" customWidth="1"/>
    <col min="8" max="8" width="57.42578125" style="132" customWidth="1"/>
    <col min="9" max="9" width="24.28515625" style="3" customWidth="1"/>
    <col min="10" max="10" width="50.7109375" style="132" customWidth="1"/>
    <col min="11" max="11" width="17.85546875" style="3" customWidth="1"/>
    <col min="12" max="12" width="38" style="132" customWidth="1"/>
    <col min="13" max="13" width="23.140625" style="3" customWidth="1"/>
    <col min="14" max="14" width="39" style="132" customWidth="1"/>
    <col min="15" max="15" width="11.7109375" style="3" customWidth="1"/>
    <col min="16" max="16" width="21.85546875" style="3" customWidth="1"/>
    <col min="17" max="17" width="33.7109375" style="132" customWidth="1"/>
    <col min="18" max="18" width="18.28515625" style="134" customWidth="1"/>
    <col min="19" max="19" width="24.7109375" style="143" bestFit="1" customWidth="1"/>
    <col min="20" max="20" width="70" style="132" customWidth="1"/>
    <col min="21" max="21" width="78.140625" style="132" customWidth="1"/>
    <col min="22" max="22" width="62.28515625" style="132" customWidth="1"/>
    <col min="23" max="23" width="30.140625" style="143" bestFit="1" customWidth="1"/>
    <col min="24" max="24" width="55.42578125" style="135" bestFit="1" customWidth="1"/>
    <col min="25" max="25" width="13" style="137" hidden="1" customWidth="1"/>
    <col min="26" max="26" width="45.42578125" style="3" bestFit="1" customWidth="1"/>
    <col min="27" max="42" width="10.5703125" style="4" customWidth="1"/>
    <col min="43" max="43" width="16.42578125" style="138" customWidth="1"/>
    <col min="44" max="44" width="20.28515625" style="139" customWidth="1"/>
    <col min="45" max="45" width="26" style="4" customWidth="1"/>
    <col min="46" max="16384" width="11.42578125" style="4"/>
  </cols>
  <sheetData>
    <row r="1" spans="1:65" ht="25.5" customHeight="1" x14ac:dyDescent="0.25">
      <c r="A1" s="2015" t="s">
        <v>677</v>
      </c>
      <c r="B1" s="2015"/>
      <c r="C1" s="2015"/>
      <c r="D1" s="2015"/>
      <c r="E1" s="2015"/>
      <c r="F1" s="2015"/>
      <c r="G1" s="2015"/>
      <c r="H1" s="2015"/>
      <c r="I1" s="2015"/>
      <c r="J1" s="2015"/>
      <c r="K1" s="2015"/>
      <c r="L1" s="2015"/>
      <c r="M1" s="2015"/>
      <c r="N1" s="2015"/>
      <c r="O1" s="2015"/>
      <c r="P1" s="2015"/>
      <c r="Q1" s="2015"/>
      <c r="R1" s="2015"/>
      <c r="S1" s="2015"/>
      <c r="T1" s="2015"/>
      <c r="U1" s="2015"/>
      <c r="V1" s="2015"/>
      <c r="W1" s="2015"/>
      <c r="X1" s="2015"/>
      <c r="Y1" s="2015"/>
      <c r="Z1" s="2015"/>
      <c r="AA1" s="2015"/>
      <c r="AB1" s="2015"/>
      <c r="AC1" s="2015"/>
      <c r="AD1" s="2015"/>
      <c r="AE1" s="2015"/>
      <c r="AF1" s="2015"/>
      <c r="AG1" s="2015"/>
      <c r="AH1" s="2015"/>
      <c r="AI1" s="2015"/>
      <c r="AJ1" s="2015"/>
      <c r="AK1" s="2015"/>
      <c r="AL1" s="2015"/>
      <c r="AM1" s="2015"/>
      <c r="AN1" s="2015"/>
      <c r="AO1" s="2015"/>
      <c r="AP1" s="2015"/>
      <c r="AQ1" s="2015"/>
      <c r="AR1" s="435" t="s">
        <v>1</v>
      </c>
      <c r="AS1" s="451" t="s">
        <v>2</v>
      </c>
      <c r="AT1" s="3"/>
      <c r="AU1" s="3"/>
      <c r="AV1" s="3"/>
      <c r="AW1" s="3"/>
      <c r="AX1" s="3"/>
      <c r="AY1" s="3"/>
      <c r="AZ1" s="3"/>
      <c r="BA1" s="3"/>
      <c r="BB1" s="3"/>
      <c r="BC1" s="3"/>
      <c r="BD1" s="3"/>
      <c r="BE1" s="3"/>
      <c r="BF1" s="3"/>
      <c r="BG1" s="3"/>
      <c r="BH1" s="3"/>
      <c r="BI1" s="3"/>
      <c r="BJ1" s="3"/>
      <c r="BK1" s="3"/>
      <c r="BL1" s="3"/>
      <c r="BM1" s="3"/>
    </row>
    <row r="2" spans="1:65" ht="25.5" customHeight="1" x14ac:dyDescent="0.25">
      <c r="A2" s="2015"/>
      <c r="B2" s="2015"/>
      <c r="C2" s="2015"/>
      <c r="D2" s="2015"/>
      <c r="E2" s="2015"/>
      <c r="F2" s="2015"/>
      <c r="G2" s="2015"/>
      <c r="H2" s="2015"/>
      <c r="I2" s="2015"/>
      <c r="J2" s="2015"/>
      <c r="K2" s="2015"/>
      <c r="L2" s="2015"/>
      <c r="M2" s="2015"/>
      <c r="N2" s="2015"/>
      <c r="O2" s="2015"/>
      <c r="P2" s="2015"/>
      <c r="Q2" s="2015"/>
      <c r="R2" s="2015"/>
      <c r="S2" s="2015"/>
      <c r="T2" s="2015"/>
      <c r="U2" s="2015"/>
      <c r="V2" s="2015"/>
      <c r="W2" s="2015"/>
      <c r="X2" s="2015"/>
      <c r="Y2" s="2015"/>
      <c r="Z2" s="2015"/>
      <c r="AA2" s="2015"/>
      <c r="AB2" s="2015"/>
      <c r="AC2" s="2015"/>
      <c r="AD2" s="2015"/>
      <c r="AE2" s="2015"/>
      <c r="AF2" s="2015"/>
      <c r="AG2" s="2015"/>
      <c r="AH2" s="2015"/>
      <c r="AI2" s="2015"/>
      <c r="AJ2" s="2015"/>
      <c r="AK2" s="2015"/>
      <c r="AL2" s="2015"/>
      <c r="AM2" s="2015"/>
      <c r="AN2" s="2015"/>
      <c r="AO2" s="2015"/>
      <c r="AP2" s="2015"/>
      <c r="AQ2" s="2015"/>
      <c r="AR2" s="563" t="s">
        <v>3</v>
      </c>
      <c r="AS2" s="2012" t="s">
        <v>333</v>
      </c>
      <c r="AT2" s="3"/>
      <c r="AU2" s="3"/>
      <c r="AV2" s="3"/>
      <c r="AW2" s="3"/>
      <c r="AX2" s="3"/>
      <c r="AY2" s="3"/>
      <c r="AZ2" s="3"/>
      <c r="BA2" s="3"/>
      <c r="BB2" s="3"/>
      <c r="BC2" s="3"/>
      <c r="BD2" s="3"/>
      <c r="BE2" s="3"/>
      <c r="BF2" s="3"/>
      <c r="BG2" s="3"/>
      <c r="BH2" s="3"/>
      <c r="BI2" s="3"/>
      <c r="BJ2" s="3"/>
      <c r="BK2" s="3"/>
      <c r="BL2" s="3"/>
      <c r="BM2" s="3"/>
    </row>
    <row r="3" spans="1:65" ht="25.5" customHeight="1" x14ac:dyDescent="0.25">
      <c r="A3" s="2015"/>
      <c r="B3" s="2015"/>
      <c r="C3" s="2015"/>
      <c r="D3" s="2015"/>
      <c r="E3" s="2015"/>
      <c r="F3" s="2015"/>
      <c r="G3" s="2015"/>
      <c r="H3" s="2015"/>
      <c r="I3" s="2015"/>
      <c r="J3" s="2015"/>
      <c r="K3" s="2015"/>
      <c r="L3" s="2015"/>
      <c r="M3" s="2015"/>
      <c r="N3" s="2015"/>
      <c r="O3" s="2015"/>
      <c r="P3" s="2015"/>
      <c r="Q3" s="2015"/>
      <c r="R3" s="2015"/>
      <c r="S3" s="2015"/>
      <c r="T3" s="2015"/>
      <c r="U3" s="2015"/>
      <c r="V3" s="2015"/>
      <c r="W3" s="2015"/>
      <c r="X3" s="2015"/>
      <c r="Y3" s="2015"/>
      <c r="Z3" s="2015"/>
      <c r="AA3" s="2015"/>
      <c r="AB3" s="2015"/>
      <c r="AC3" s="2015"/>
      <c r="AD3" s="2015"/>
      <c r="AE3" s="2015"/>
      <c r="AF3" s="2015"/>
      <c r="AG3" s="2015"/>
      <c r="AH3" s="2015"/>
      <c r="AI3" s="2015"/>
      <c r="AJ3" s="2015"/>
      <c r="AK3" s="2015"/>
      <c r="AL3" s="2015"/>
      <c r="AM3" s="2015"/>
      <c r="AN3" s="2015"/>
      <c r="AO3" s="2015"/>
      <c r="AP3" s="2015"/>
      <c r="AQ3" s="2015"/>
      <c r="AR3" s="563" t="s">
        <v>4</v>
      </c>
      <c r="AS3" s="2010">
        <v>44266</v>
      </c>
      <c r="AT3" s="3"/>
      <c r="AU3" s="3"/>
      <c r="AV3" s="3"/>
      <c r="AW3" s="3"/>
      <c r="AX3" s="3"/>
      <c r="AY3" s="3"/>
      <c r="AZ3" s="3"/>
      <c r="BA3" s="3"/>
      <c r="BB3" s="3"/>
      <c r="BC3" s="3"/>
      <c r="BD3" s="3"/>
      <c r="BE3" s="3"/>
      <c r="BF3" s="3"/>
      <c r="BG3" s="3"/>
      <c r="BH3" s="3"/>
      <c r="BI3" s="3"/>
      <c r="BJ3" s="3"/>
      <c r="BK3" s="3"/>
      <c r="BL3" s="3"/>
      <c r="BM3" s="3"/>
    </row>
    <row r="4" spans="1:65" ht="31.5" customHeight="1" x14ac:dyDescent="0.25">
      <c r="A4" s="2208"/>
      <c r="B4" s="2208"/>
      <c r="C4" s="2208"/>
      <c r="D4" s="2208"/>
      <c r="E4" s="2208"/>
      <c r="F4" s="2208"/>
      <c r="G4" s="2208"/>
      <c r="H4" s="2208"/>
      <c r="I4" s="2208"/>
      <c r="J4" s="2208"/>
      <c r="K4" s="2208"/>
      <c r="L4" s="2208"/>
      <c r="M4" s="2208"/>
      <c r="N4" s="2208"/>
      <c r="O4" s="2208"/>
      <c r="P4" s="2208"/>
      <c r="Q4" s="2208"/>
      <c r="R4" s="2208"/>
      <c r="S4" s="2208"/>
      <c r="T4" s="2208"/>
      <c r="U4" s="2208"/>
      <c r="V4" s="2208"/>
      <c r="W4" s="2208"/>
      <c r="X4" s="2208"/>
      <c r="Y4" s="2208"/>
      <c r="Z4" s="2208"/>
      <c r="AA4" s="2208"/>
      <c r="AB4" s="2208"/>
      <c r="AC4" s="2208"/>
      <c r="AD4" s="2208"/>
      <c r="AE4" s="2208"/>
      <c r="AF4" s="2208"/>
      <c r="AG4" s="2208"/>
      <c r="AH4" s="2208"/>
      <c r="AI4" s="2208"/>
      <c r="AJ4" s="2208"/>
      <c r="AK4" s="2208"/>
      <c r="AL4" s="2208"/>
      <c r="AM4" s="2208"/>
      <c r="AN4" s="2208"/>
      <c r="AO4" s="2208"/>
      <c r="AP4" s="2208"/>
      <c r="AQ4" s="2208"/>
      <c r="AR4" s="563" t="s">
        <v>5</v>
      </c>
      <c r="AS4" s="295" t="s">
        <v>114</v>
      </c>
      <c r="AT4" s="3"/>
      <c r="AU4" s="3"/>
      <c r="AV4" s="3"/>
      <c r="AW4" s="3"/>
      <c r="AX4" s="3"/>
      <c r="AY4" s="3"/>
      <c r="AZ4" s="3"/>
      <c r="BA4" s="3"/>
      <c r="BB4" s="3"/>
      <c r="BC4" s="3"/>
      <c r="BD4" s="3"/>
      <c r="BE4" s="3"/>
      <c r="BF4" s="3"/>
      <c r="BG4" s="3"/>
      <c r="BH4" s="3"/>
      <c r="BI4" s="3"/>
      <c r="BJ4" s="3"/>
      <c r="BK4" s="3"/>
      <c r="BL4" s="3"/>
      <c r="BM4" s="3"/>
    </row>
    <row r="5" spans="1:65" ht="19.5" customHeight="1" x14ac:dyDescent="0.25">
      <c r="A5" s="2021" t="s">
        <v>678</v>
      </c>
      <c r="B5" s="2021"/>
      <c r="C5" s="2021"/>
      <c r="D5" s="2021"/>
      <c r="E5" s="2021"/>
      <c r="F5" s="2021"/>
      <c r="G5" s="2021"/>
      <c r="H5" s="2021"/>
      <c r="I5" s="2021"/>
      <c r="J5" s="2021"/>
      <c r="K5" s="2021"/>
      <c r="L5" s="2021"/>
      <c r="M5" s="2021"/>
      <c r="N5" s="2021"/>
      <c r="O5" s="2021"/>
      <c r="P5" s="2448"/>
      <c r="Q5" s="2021"/>
      <c r="R5" s="2021"/>
      <c r="S5" s="2021"/>
      <c r="T5" s="2021"/>
      <c r="U5" s="2021"/>
      <c r="V5" s="2021"/>
      <c r="W5" s="2021"/>
      <c r="X5" s="2021"/>
      <c r="Y5" s="2021"/>
      <c r="Z5" s="2021"/>
      <c r="AA5" s="2021"/>
      <c r="AB5" s="2021"/>
      <c r="AC5" s="2021"/>
      <c r="AD5" s="2021"/>
      <c r="AE5" s="2021"/>
      <c r="AF5" s="2021"/>
      <c r="AG5" s="2021"/>
      <c r="AH5" s="2021"/>
      <c r="AI5" s="2021"/>
      <c r="AJ5" s="2021"/>
      <c r="AK5" s="2021"/>
      <c r="AL5" s="2021"/>
      <c r="AM5" s="2021"/>
      <c r="AN5" s="2021"/>
      <c r="AO5" s="2021"/>
      <c r="AP5" s="2021"/>
      <c r="AQ5" s="2021"/>
      <c r="AR5" s="2021"/>
      <c r="AS5" s="2021"/>
      <c r="AT5" s="3"/>
      <c r="AU5" s="3"/>
      <c r="AV5" s="3"/>
      <c r="AW5" s="3"/>
      <c r="AX5" s="3"/>
      <c r="AY5" s="3"/>
      <c r="AZ5" s="3"/>
      <c r="BA5" s="3"/>
      <c r="BB5" s="3"/>
      <c r="BC5" s="3"/>
      <c r="BD5" s="3"/>
      <c r="BE5" s="3"/>
      <c r="BF5" s="3"/>
      <c r="BG5" s="3"/>
      <c r="BH5" s="3"/>
      <c r="BI5" s="3"/>
      <c r="BJ5" s="3"/>
      <c r="BK5" s="3"/>
      <c r="BL5" s="3"/>
      <c r="BM5" s="3"/>
    </row>
    <row r="6" spans="1:65" ht="20.25" customHeight="1" x14ac:dyDescent="0.25">
      <c r="A6" s="2021"/>
      <c r="B6" s="2021"/>
      <c r="C6" s="2021"/>
      <c r="D6" s="2021"/>
      <c r="E6" s="2021"/>
      <c r="F6" s="2021"/>
      <c r="G6" s="2021"/>
      <c r="H6" s="2021"/>
      <c r="I6" s="2021"/>
      <c r="J6" s="2021"/>
      <c r="K6" s="2021"/>
      <c r="L6" s="2021"/>
      <c r="M6" s="2021"/>
      <c r="N6" s="2021"/>
      <c r="O6" s="2021"/>
      <c r="P6" s="155"/>
      <c r="Q6" s="12"/>
      <c r="R6" s="155"/>
      <c r="S6" s="155"/>
      <c r="T6" s="12"/>
      <c r="U6" s="12"/>
      <c r="V6" s="12"/>
      <c r="W6" s="155"/>
      <c r="X6" s="564"/>
      <c r="Y6" s="156"/>
      <c r="Z6" s="156"/>
      <c r="AA6" s="2209" t="s">
        <v>8</v>
      </c>
      <c r="AB6" s="2018"/>
      <c r="AC6" s="2018"/>
      <c r="AD6" s="2018"/>
      <c r="AE6" s="2018"/>
      <c r="AF6" s="2018"/>
      <c r="AG6" s="2018"/>
      <c r="AH6" s="2018"/>
      <c r="AI6" s="2018"/>
      <c r="AJ6" s="2018"/>
      <c r="AK6" s="2018"/>
      <c r="AL6" s="2018"/>
      <c r="AM6" s="2018"/>
      <c r="AN6" s="2018"/>
      <c r="AO6" s="2019"/>
      <c r="AP6" s="156"/>
      <c r="AQ6" s="156"/>
      <c r="AR6" s="156"/>
      <c r="AS6" s="157"/>
      <c r="AT6" s="3"/>
      <c r="AU6" s="3"/>
      <c r="AV6" s="3"/>
      <c r="AW6" s="3"/>
      <c r="AX6" s="3"/>
      <c r="AY6" s="3"/>
      <c r="AZ6" s="3"/>
      <c r="BA6" s="3"/>
      <c r="BB6" s="3"/>
      <c r="BC6" s="3"/>
      <c r="BD6" s="3"/>
      <c r="BE6" s="3"/>
      <c r="BF6" s="3"/>
      <c r="BG6" s="3"/>
      <c r="BH6" s="3"/>
      <c r="BI6" s="3"/>
      <c r="BJ6" s="3"/>
      <c r="BK6" s="3"/>
      <c r="BL6" s="3"/>
      <c r="BM6" s="3"/>
    </row>
    <row r="7" spans="1:65" ht="36.75" customHeight="1" x14ac:dyDescent="0.25">
      <c r="A7" s="3040" t="s">
        <v>9</v>
      </c>
      <c r="B7" s="3041"/>
      <c r="C7" s="2212" t="s">
        <v>10</v>
      </c>
      <c r="D7" s="3040"/>
      <c r="E7" s="3040" t="s">
        <v>11</v>
      </c>
      <c r="F7" s="3041"/>
      <c r="G7" s="2212" t="s">
        <v>12</v>
      </c>
      <c r="H7" s="3040"/>
      <c r="I7" s="3040"/>
      <c r="J7" s="3040"/>
      <c r="K7" s="2212" t="s">
        <v>13</v>
      </c>
      <c r="L7" s="3040"/>
      <c r="M7" s="3040"/>
      <c r="N7" s="3040"/>
      <c r="O7" s="3042" t="s">
        <v>679</v>
      </c>
      <c r="P7" s="3043"/>
      <c r="Q7" s="3043"/>
      <c r="R7" s="3043"/>
      <c r="S7" s="3043"/>
      <c r="T7" s="3043"/>
      <c r="U7" s="3043"/>
      <c r="V7" s="3043"/>
      <c r="W7" s="3043"/>
      <c r="X7" s="2960" t="s">
        <v>15</v>
      </c>
      <c r="Y7" s="2960"/>
      <c r="Z7" s="2961"/>
      <c r="AA7" s="2045" t="s">
        <v>16</v>
      </c>
      <c r="AB7" s="2046"/>
      <c r="AC7" s="2047" t="s">
        <v>17</v>
      </c>
      <c r="AD7" s="2048"/>
      <c r="AE7" s="2048"/>
      <c r="AF7" s="2048"/>
      <c r="AG7" s="2049" t="s">
        <v>18</v>
      </c>
      <c r="AH7" s="2049"/>
      <c r="AI7" s="2049"/>
      <c r="AJ7" s="2049"/>
      <c r="AK7" s="2049"/>
      <c r="AL7" s="2049"/>
      <c r="AM7" s="2050" t="s">
        <v>19</v>
      </c>
      <c r="AN7" s="2050"/>
      <c r="AO7" s="2050"/>
      <c r="AP7" s="2051" t="s">
        <v>20</v>
      </c>
      <c r="AQ7" s="2280" t="s">
        <v>21</v>
      </c>
      <c r="AR7" s="2280" t="s">
        <v>22</v>
      </c>
      <c r="AS7" s="3044" t="s">
        <v>23</v>
      </c>
      <c r="AT7" s="3"/>
      <c r="AU7" s="3"/>
      <c r="AV7" s="3"/>
      <c r="AW7" s="3"/>
      <c r="AX7" s="3"/>
      <c r="AY7" s="3"/>
      <c r="AZ7" s="3"/>
      <c r="BA7" s="3"/>
      <c r="BB7" s="3"/>
      <c r="BC7" s="3"/>
      <c r="BD7" s="3"/>
      <c r="BE7" s="3"/>
      <c r="BF7" s="3"/>
      <c r="BG7" s="3"/>
      <c r="BH7" s="3"/>
      <c r="BI7" s="3"/>
      <c r="BJ7" s="3"/>
      <c r="BK7" s="3"/>
      <c r="BL7" s="3"/>
      <c r="BM7" s="3"/>
    </row>
    <row r="8" spans="1:65" ht="106.5" customHeight="1" x14ac:dyDescent="0.25">
      <c r="A8" s="2280" t="s">
        <v>24</v>
      </c>
      <c r="B8" s="2280" t="s">
        <v>25</v>
      </c>
      <c r="C8" s="2280" t="s">
        <v>24</v>
      </c>
      <c r="D8" s="2280" t="s">
        <v>25</v>
      </c>
      <c r="E8" s="2280" t="s">
        <v>24</v>
      </c>
      <c r="F8" s="2280" t="s">
        <v>25</v>
      </c>
      <c r="G8" s="2280" t="s">
        <v>26</v>
      </c>
      <c r="H8" s="2280" t="s">
        <v>27</v>
      </c>
      <c r="I8" s="2280" t="s">
        <v>28</v>
      </c>
      <c r="J8" s="2280" t="s">
        <v>117</v>
      </c>
      <c r="K8" s="2280" t="s">
        <v>26</v>
      </c>
      <c r="L8" s="2280" t="s">
        <v>30</v>
      </c>
      <c r="M8" s="2280" t="s">
        <v>31</v>
      </c>
      <c r="N8" s="2280" t="s">
        <v>32</v>
      </c>
      <c r="O8" s="17" t="s">
        <v>33</v>
      </c>
      <c r="P8" s="2280" t="s">
        <v>34</v>
      </c>
      <c r="Q8" s="2280" t="s">
        <v>35</v>
      </c>
      <c r="R8" s="2280" t="s">
        <v>36</v>
      </c>
      <c r="S8" s="2280" t="s">
        <v>37</v>
      </c>
      <c r="T8" s="2280" t="s">
        <v>38</v>
      </c>
      <c r="U8" s="2280" t="s">
        <v>39</v>
      </c>
      <c r="V8" s="2280" t="s">
        <v>40</v>
      </c>
      <c r="W8" s="438" t="s">
        <v>282</v>
      </c>
      <c r="X8" s="2280" t="s">
        <v>42</v>
      </c>
      <c r="Y8" s="2280" t="s">
        <v>43</v>
      </c>
      <c r="Z8" s="2280" t="s">
        <v>25</v>
      </c>
      <c r="AA8" s="21" t="s">
        <v>44</v>
      </c>
      <c r="AB8" s="22" t="s">
        <v>45</v>
      </c>
      <c r="AC8" s="22" t="s">
        <v>46</v>
      </c>
      <c r="AD8" s="22" t="s">
        <v>47</v>
      </c>
      <c r="AE8" s="22" t="s">
        <v>283</v>
      </c>
      <c r="AF8" s="22" t="s">
        <v>49</v>
      </c>
      <c r="AG8" s="154" t="s">
        <v>50</v>
      </c>
      <c r="AH8" s="154" t="s">
        <v>51</v>
      </c>
      <c r="AI8" s="154" t="s">
        <v>52</v>
      </c>
      <c r="AJ8" s="154" t="s">
        <v>53</v>
      </c>
      <c r="AK8" s="154" t="s">
        <v>54</v>
      </c>
      <c r="AL8" s="154" t="s">
        <v>680</v>
      </c>
      <c r="AM8" s="154" t="s">
        <v>56</v>
      </c>
      <c r="AN8" s="154" t="s">
        <v>57</v>
      </c>
      <c r="AO8" s="154" t="s">
        <v>58</v>
      </c>
      <c r="AP8" s="2051"/>
      <c r="AQ8" s="2280"/>
      <c r="AR8" s="2280"/>
      <c r="AS8" s="3045"/>
      <c r="AT8" s="3"/>
      <c r="AU8" s="3"/>
      <c r="AV8" s="3"/>
      <c r="AW8" s="3"/>
      <c r="AX8" s="3"/>
      <c r="AY8" s="3"/>
      <c r="AZ8" s="3"/>
      <c r="BA8" s="3"/>
      <c r="BB8" s="3"/>
      <c r="BC8" s="3"/>
      <c r="BD8" s="3"/>
      <c r="BE8" s="3"/>
      <c r="BF8" s="3"/>
      <c r="BG8" s="3"/>
      <c r="BH8" s="3"/>
      <c r="BI8" s="3"/>
      <c r="BJ8" s="3"/>
      <c r="BK8" s="3"/>
      <c r="BL8" s="3"/>
      <c r="BM8" s="3"/>
    </row>
    <row r="9" spans="1:65" ht="34.5" customHeight="1" x14ac:dyDescent="0.25">
      <c r="A9" s="2280"/>
      <c r="B9" s="2280"/>
      <c r="C9" s="2280"/>
      <c r="D9" s="2280"/>
      <c r="E9" s="2280"/>
      <c r="F9" s="2280"/>
      <c r="G9" s="2280"/>
      <c r="H9" s="2280"/>
      <c r="I9" s="2280"/>
      <c r="J9" s="2280"/>
      <c r="K9" s="2280"/>
      <c r="L9" s="2280"/>
      <c r="M9" s="2280"/>
      <c r="N9" s="2280"/>
      <c r="O9" s="565" t="s">
        <v>681</v>
      </c>
      <c r="P9" s="2280"/>
      <c r="Q9" s="2280"/>
      <c r="R9" s="2280"/>
      <c r="S9" s="2280"/>
      <c r="T9" s="2280"/>
      <c r="U9" s="2280"/>
      <c r="V9" s="2280"/>
      <c r="W9" s="438" t="s">
        <v>682</v>
      </c>
      <c r="X9" s="2280"/>
      <c r="Y9" s="2280"/>
      <c r="Z9" s="2280"/>
      <c r="AA9" s="565" t="s">
        <v>681</v>
      </c>
      <c r="AB9" s="565" t="s">
        <v>681</v>
      </c>
      <c r="AC9" s="565" t="s">
        <v>681</v>
      </c>
      <c r="AD9" s="565" t="s">
        <v>681</v>
      </c>
      <c r="AE9" s="565" t="s">
        <v>681</v>
      </c>
      <c r="AF9" s="565" t="s">
        <v>681</v>
      </c>
      <c r="AG9" s="565" t="s">
        <v>681</v>
      </c>
      <c r="AH9" s="565" t="s">
        <v>681</v>
      </c>
      <c r="AI9" s="565" t="s">
        <v>681</v>
      </c>
      <c r="AJ9" s="565" t="s">
        <v>681</v>
      </c>
      <c r="AK9" s="565" t="s">
        <v>681</v>
      </c>
      <c r="AL9" s="565" t="s">
        <v>681</v>
      </c>
      <c r="AM9" s="565" t="s">
        <v>681</v>
      </c>
      <c r="AN9" s="565" t="s">
        <v>681</v>
      </c>
      <c r="AO9" s="565" t="s">
        <v>681</v>
      </c>
      <c r="AP9" s="565" t="s">
        <v>681</v>
      </c>
      <c r="AQ9" s="296" t="s">
        <v>681</v>
      </c>
      <c r="AR9" s="566" t="s">
        <v>681</v>
      </c>
      <c r="AS9" s="3046"/>
      <c r="AT9" s="3"/>
      <c r="AU9" s="3"/>
      <c r="AV9" s="3"/>
      <c r="AW9" s="3"/>
      <c r="AX9" s="3"/>
      <c r="AY9" s="3"/>
      <c r="AZ9" s="3"/>
      <c r="BA9" s="3"/>
      <c r="BB9" s="3"/>
      <c r="BC9" s="3"/>
      <c r="BD9" s="3"/>
      <c r="BE9" s="3"/>
      <c r="BF9" s="3"/>
      <c r="BG9" s="3"/>
      <c r="BH9" s="3"/>
      <c r="BI9" s="3"/>
      <c r="BJ9" s="3"/>
      <c r="BK9" s="3"/>
      <c r="BL9" s="3"/>
      <c r="BM9" s="3"/>
    </row>
    <row r="10" spans="1:65" s="35" customFormat="1" ht="27" customHeight="1" x14ac:dyDescent="0.25">
      <c r="A10" s="567">
        <v>2</v>
      </c>
      <c r="B10" s="3047" t="s">
        <v>683</v>
      </c>
      <c r="C10" s="3047"/>
      <c r="D10" s="3047"/>
      <c r="E10" s="3047"/>
      <c r="F10" s="375"/>
      <c r="G10" s="375"/>
      <c r="H10" s="374"/>
      <c r="I10" s="375"/>
      <c r="J10" s="374"/>
      <c r="K10" s="375"/>
      <c r="L10" s="374"/>
      <c r="M10" s="375"/>
      <c r="N10" s="374"/>
      <c r="O10" s="375"/>
      <c r="P10" s="375"/>
      <c r="Q10" s="374"/>
      <c r="R10" s="376"/>
      <c r="S10" s="377"/>
      <c r="T10" s="374"/>
      <c r="U10" s="374"/>
      <c r="V10" s="374"/>
      <c r="W10" s="377"/>
      <c r="X10" s="374"/>
      <c r="Y10" s="379"/>
      <c r="Z10" s="375"/>
      <c r="AA10" s="375"/>
      <c r="AB10" s="375"/>
      <c r="AC10" s="375"/>
      <c r="AD10" s="375"/>
      <c r="AE10" s="375"/>
      <c r="AF10" s="375"/>
      <c r="AG10" s="375"/>
      <c r="AH10" s="375"/>
      <c r="AI10" s="375"/>
      <c r="AJ10" s="375"/>
      <c r="AK10" s="375"/>
      <c r="AL10" s="375"/>
      <c r="AM10" s="375"/>
      <c r="AN10" s="375"/>
      <c r="AO10" s="375"/>
      <c r="AP10" s="375"/>
      <c r="AQ10" s="33"/>
      <c r="AR10" s="33"/>
      <c r="AS10" s="380"/>
      <c r="AT10" s="3"/>
      <c r="AU10" s="3"/>
      <c r="AV10" s="3"/>
      <c r="AW10" s="3"/>
      <c r="AX10" s="3"/>
      <c r="AY10" s="3"/>
      <c r="AZ10" s="3"/>
      <c r="BA10" s="3"/>
      <c r="BB10" s="3"/>
      <c r="BC10" s="3"/>
      <c r="BD10" s="3"/>
      <c r="BE10" s="3"/>
      <c r="BF10" s="3"/>
      <c r="BG10" s="3"/>
      <c r="BH10" s="3"/>
      <c r="BI10" s="3"/>
      <c r="BJ10" s="3"/>
      <c r="BK10" s="3"/>
      <c r="BL10" s="3"/>
      <c r="BM10" s="3"/>
    </row>
    <row r="11" spans="1:65" s="79" customFormat="1" ht="27" customHeight="1" x14ac:dyDescent="0.25">
      <c r="A11" s="2422"/>
      <c r="B11" s="2423"/>
      <c r="C11" s="38">
        <v>17</v>
      </c>
      <c r="D11" s="2043" t="s">
        <v>684</v>
      </c>
      <c r="E11" s="2546"/>
      <c r="F11" s="2546"/>
      <c r="G11" s="2546"/>
      <c r="H11" s="2546"/>
      <c r="I11" s="40"/>
      <c r="J11" s="39"/>
      <c r="K11" s="40"/>
      <c r="L11" s="39"/>
      <c r="M11" s="40"/>
      <c r="N11" s="39"/>
      <c r="O11" s="40"/>
      <c r="P11" s="40"/>
      <c r="Q11" s="39"/>
      <c r="R11" s="42"/>
      <c r="S11" s="44"/>
      <c r="T11" s="39"/>
      <c r="U11" s="39"/>
      <c r="V11" s="39"/>
      <c r="W11" s="44"/>
      <c r="X11" s="568"/>
      <c r="Y11" s="569"/>
      <c r="Z11" s="570"/>
      <c r="AA11" s="570"/>
      <c r="AB11" s="570"/>
      <c r="AC11" s="570"/>
      <c r="AD11" s="570"/>
      <c r="AE11" s="570"/>
      <c r="AF11" s="570"/>
      <c r="AG11" s="570"/>
      <c r="AH11" s="570"/>
      <c r="AI11" s="570"/>
      <c r="AJ11" s="570"/>
      <c r="AK11" s="570"/>
      <c r="AL11" s="570"/>
      <c r="AM11" s="570"/>
      <c r="AN11" s="570"/>
      <c r="AO11" s="570"/>
      <c r="AP11" s="570"/>
      <c r="AQ11" s="571"/>
      <c r="AR11" s="571"/>
      <c r="AS11" s="572"/>
      <c r="AT11" s="80"/>
      <c r="AU11" s="80"/>
      <c r="AV11" s="80"/>
      <c r="AW11" s="80"/>
      <c r="AX11" s="80"/>
      <c r="AY11" s="80"/>
      <c r="AZ11" s="80"/>
      <c r="BA11" s="80"/>
      <c r="BB11" s="80"/>
      <c r="BC11" s="80"/>
      <c r="BD11" s="80"/>
      <c r="BE11" s="80"/>
      <c r="BF11" s="80"/>
      <c r="BG11" s="80"/>
      <c r="BH11" s="80"/>
      <c r="BI11" s="80"/>
      <c r="BJ11" s="80"/>
      <c r="BK11" s="80"/>
      <c r="BL11" s="80"/>
      <c r="BM11" s="80"/>
    </row>
    <row r="12" spans="1:65" s="3" customFormat="1" ht="27" customHeight="1" x14ac:dyDescent="0.25">
      <c r="A12" s="2424"/>
      <c r="B12" s="2425"/>
      <c r="C12" s="2426"/>
      <c r="D12" s="2427"/>
      <c r="E12" s="573">
        <v>1702</v>
      </c>
      <c r="F12" s="2304" t="s">
        <v>685</v>
      </c>
      <c r="G12" s="2304"/>
      <c r="H12" s="2304"/>
      <c r="I12" s="2304"/>
      <c r="J12" s="2304"/>
      <c r="K12" s="2304"/>
      <c r="L12" s="2304"/>
      <c r="M12" s="206"/>
      <c r="N12" s="327"/>
      <c r="O12" s="206"/>
      <c r="P12" s="206"/>
      <c r="Q12" s="327"/>
      <c r="R12" s="204"/>
      <c r="S12" s="326"/>
      <c r="T12" s="327"/>
      <c r="U12" s="327"/>
      <c r="V12" s="327"/>
      <c r="W12" s="326"/>
      <c r="X12" s="574"/>
      <c r="Y12" s="575"/>
      <c r="Z12" s="576"/>
      <c r="AA12" s="576"/>
      <c r="AB12" s="576"/>
      <c r="AC12" s="576"/>
      <c r="AD12" s="576"/>
      <c r="AE12" s="576"/>
      <c r="AF12" s="576"/>
      <c r="AG12" s="576"/>
      <c r="AH12" s="576"/>
      <c r="AI12" s="576"/>
      <c r="AJ12" s="576"/>
      <c r="AK12" s="576"/>
      <c r="AL12" s="576"/>
      <c r="AM12" s="576"/>
      <c r="AN12" s="576"/>
      <c r="AO12" s="576"/>
      <c r="AP12" s="576"/>
      <c r="AQ12" s="577"/>
      <c r="AR12" s="577"/>
      <c r="AS12" s="578"/>
    </row>
    <row r="13" spans="1:65" s="3" customFormat="1" ht="95.25" customHeight="1" x14ac:dyDescent="0.25">
      <c r="A13" s="2424"/>
      <c r="B13" s="2425"/>
      <c r="C13" s="2428"/>
      <c r="D13" s="2429"/>
      <c r="E13" s="3052"/>
      <c r="F13" s="3053"/>
      <c r="G13" s="2307">
        <v>1702011</v>
      </c>
      <c r="H13" s="2190" t="s">
        <v>686</v>
      </c>
      <c r="I13" s="2307">
        <v>1702011</v>
      </c>
      <c r="J13" s="2190" t="s">
        <v>686</v>
      </c>
      <c r="K13" s="3048">
        <v>170201100</v>
      </c>
      <c r="L13" s="2190" t="s">
        <v>687</v>
      </c>
      <c r="M13" s="3048">
        <v>170201100</v>
      </c>
      <c r="N13" s="2190" t="s">
        <v>687</v>
      </c>
      <c r="O13" s="2514">
        <v>30</v>
      </c>
      <c r="P13" s="3049" t="s">
        <v>688</v>
      </c>
      <c r="Q13" s="2320" t="s">
        <v>689</v>
      </c>
      <c r="R13" s="3068">
        <f>SUM(W13:W14)/S13</f>
        <v>0.30581867388362655</v>
      </c>
      <c r="S13" s="3069">
        <f>SUM(W13:W17)</f>
        <v>739000000</v>
      </c>
      <c r="T13" s="2144" t="s">
        <v>690</v>
      </c>
      <c r="U13" s="2056" t="s">
        <v>691</v>
      </c>
      <c r="V13" s="2056" t="s">
        <v>692</v>
      </c>
      <c r="W13" s="85">
        <v>170000000</v>
      </c>
      <c r="X13" s="579" t="s">
        <v>693</v>
      </c>
      <c r="Y13" s="3072">
        <v>20</v>
      </c>
      <c r="Z13" s="2154" t="s">
        <v>694</v>
      </c>
      <c r="AA13" s="2354">
        <v>140</v>
      </c>
      <c r="AB13" s="2354">
        <v>160</v>
      </c>
      <c r="AC13" s="2354"/>
      <c r="AD13" s="2354"/>
      <c r="AE13" s="2354">
        <v>250</v>
      </c>
      <c r="AF13" s="2354">
        <v>50</v>
      </c>
      <c r="AG13" s="2108"/>
      <c r="AH13" s="2354"/>
      <c r="AI13" s="2354"/>
      <c r="AJ13" s="2354"/>
      <c r="AK13" s="2354"/>
      <c r="AL13" s="2354"/>
      <c r="AM13" s="2354"/>
      <c r="AN13" s="2354"/>
      <c r="AO13" s="2354"/>
      <c r="AP13" s="2354">
        <v>300</v>
      </c>
      <c r="AQ13" s="2127">
        <v>44211</v>
      </c>
      <c r="AR13" s="2127">
        <v>44561</v>
      </c>
      <c r="AS13" s="2984" t="s">
        <v>695</v>
      </c>
    </row>
    <row r="14" spans="1:65" s="3" customFormat="1" ht="95.25" customHeight="1" x14ac:dyDescent="0.25">
      <c r="A14" s="2424"/>
      <c r="B14" s="2425"/>
      <c r="C14" s="2428"/>
      <c r="D14" s="2429"/>
      <c r="E14" s="3054"/>
      <c r="F14" s="3055"/>
      <c r="G14" s="2307"/>
      <c r="H14" s="2190"/>
      <c r="I14" s="2307"/>
      <c r="J14" s="2190"/>
      <c r="K14" s="3048"/>
      <c r="L14" s="2190"/>
      <c r="M14" s="3048"/>
      <c r="N14" s="2190"/>
      <c r="O14" s="2514"/>
      <c r="P14" s="3050"/>
      <c r="Q14" s="2321"/>
      <c r="R14" s="3068"/>
      <c r="S14" s="3070"/>
      <c r="T14" s="2145"/>
      <c r="U14" s="2966"/>
      <c r="V14" s="2966"/>
      <c r="W14" s="85">
        <v>56000000</v>
      </c>
      <c r="X14" s="579" t="s">
        <v>696</v>
      </c>
      <c r="Y14" s="3073"/>
      <c r="Z14" s="2129"/>
      <c r="AA14" s="2355"/>
      <c r="AB14" s="2355"/>
      <c r="AC14" s="2355"/>
      <c r="AD14" s="2355"/>
      <c r="AE14" s="2355"/>
      <c r="AF14" s="2355"/>
      <c r="AG14" s="2108"/>
      <c r="AH14" s="2355"/>
      <c r="AI14" s="2355"/>
      <c r="AJ14" s="2355"/>
      <c r="AK14" s="2355"/>
      <c r="AL14" s="2355"/>
      <c r="AM14" s="2355"/>
      <c r="AN14" s="2355"/>
      <c r="AO14" s="2355"/>
      <c r="AP14" s="2355"/>
      <c r="AQ14" s="3074"/>
      <c r="AR14" s="3074"/>
      <c r="AS14" s="2976"/>
    </row>
    <row r="15" spans="1:65" s="3" customFormat="1" ht="95.25" customHeight="1" x14ac:dyDescent="0.25">
      <c r="A15" s="2424"/>
      <c r="B15" s="2425"/>
      <c r="C15" s="2428"/>
      <c r="D15" s="2429"/>
      <c r="E15" s="3054"/>
      <c r="F15" s="3055"/>
      <c r="G15" s="542">
        <v>1702007</v>
      </c>
      <c r="H15" s="474" t="s">
        <v>697</v>
      </c>
      <c r="I15" s="542">
        <v>1702007</v>
      </c>
      <c r="J15" s="474" t="s">
        <v>697</v>
      </c>
      <c r="K15" s="580">
        <v>170200700</v>
      </c>
      <c r="L15" s="581" t="s">
        <v>698</v>
      </c>
      <c r="M15" s="580">
        <v>170200700</v>
      </c>
      <c r="N15" s="581" t="s">
        <v>698</v>
      </c>
      <c r="O15" s="582">
        <v>4</v>
      </c>
      <c r="P15" s="3050"/>
      <c r="Q15" s="2321"/>
      <c r="R15" s="583">
        <f>W15/S13</f>
        <v>0.16644113667117727</v>
      </c>
      <c r="S15" s="3070"/>
      <c r="T15" s="2145"/>
      <c r="U15" s="151" t="s">
        <v>699</v>
      </c>
      <c r="V15" s="151" t="s">
        <v>700</v>
      </c>
      <c r="W15" s="85">
        <v>123000000</v>
      </c>
      <c r="X15" s="579" t="s">
        <v>701</v>
      </c>
      <c r="Y15" s="584">
        <v>20</v>
      </c>
      <c r="Z15" s="149" t="s">
        <v>694</v>
      </c>
      <c r="AA15" s="2355"/>
      <c r="AB15" s="2355"/>
      <c r="AC15" s="2355"/>
      <c r="AD15" s="2355"/>
      <c r="AE15" s="2355"/>
      <c r="AF15" s="2355"/>
      <c r="AG15" s="2108"/>
      <c r="AH15" s="2355"/>
      <c r="AI15" s="2355"/>
      <c r="AJ15" s="2355"/>
      <c r="AK15" s="2355"/>
      <c r="AL15" s="2355"/>
      <c r="AM15" s="2355"/>
      <c r="AN15" s="2355"/>
      <c r="AO15" s="2355"/>
      <c r="AP15" s="2355"/>
      <c r="AQ15" s="3074"/>
      <c r="AR15" s="3074"/>
      <c r="AS15" s="2976"/>
    </row>
    <row r="16" spans="1:65" s="3" customFormat="1" ht="53.25" customHeight="1" x14ac:dyDescent="0.25">
      <c r="A16" s="2424"/>
      <c r="B16" s="2425"/>
      <c r="C16" s="2428"/>
      <c r="D16" s="2429"/>
      <c r="E16" s="3054"/>
      <c r="F16" s="3055"/>
      <c r="G16" s="585">
        <v>1702009</v>
      </c>
      <c r="H16" s="586" t="s">
        <v>702</v>
      </c>
      <c r="I16" s="2287">
        <v>1702009</v>
      </c>
      <c r="J16" s="3076" t="s">
        <v>702</v>
      </c>
      <c r="K16" s="3078">
        <v>170200900</v>
      </c>
      <c r="L16" s="3061" t="s">
        <v>703</v>
      </c>
      <c r="M16" s="3078">
        <v>170200900</v>
      </c>
      <c r="N16" s="3061" t="s">
        <v>703</v>
      </c>
      <c r="O16" s="2632">
        <v>168</v>
      </c>
      <c r="P16" s="3050"/>
      <c r="Q16" s="2321"/>
      <c r="R16" s="3080">
        <f>+(W16+W17)/S13</f>
        <v>0.52774018944519618</v>
      </c>
      <c r="S16" s="3070"/>
      <c r="T16" s="2145"/>
      <c r="U16" s="2056" t="s">
        <v>704</v>
      </c>
      <c r="V16" s="2056" t="s">
        <v>705</v>
      </c>
      <c r="W16" s="85">
        <v>90000000</v>
      </c>
      <c r="X16" s="579" t="s">
        <v>706</v>
      </c>
      <c r="Y16" s="584">
        <v>20</v>
      </c>
      <c r="Z16" s="149" t="s">
        <v>694</v>
      </c>
      <c r="AA16" s="2355"/>
      <c r="AB16" s="2355"/>
      <c r="AC16" s="2355"/>
      <c r="AD16" s="2355"/>
      <c r="AE16" s="2355"/>
      <c r="AF16" s="2355"/>
      <c r="AG16" s="2108"/>
      <c r="AH16" s="2355"/>
      <c r="AI16" s="2355"/>
      <c r="AJ16" s="2355"/>
      <c r="AK16" s="2355"/>
      <c r="AL16" s="2355"/>
      <c r="AM16" s="2355"/>
      <c r="AN16" s="2355"/>
      <c r="AO16" s="2355"/>
      <c r="AP16" s="2355"/>
      <c r="AQ16" s="3074"/>
      <c r="AR16" s="3074"/>
      <c r="AS16" s="2976"/>
    </row>
    <row r="17" spans="1:45" s="3" customFormat="1" ht="53.25" customHeight="1" x14ac:dyDescent="0.25">
      <c r="A17" s="2424"/>
      <c r="B17" s="2425"/>
      <c r="C17" s="2428"/>
      <c r="D17" s="2429"/>
      <c r="E17" s="3054"/>
      <c r="F17" s="3055"/>
      <c r="G17" s="587"/>
      <c r="H17" s="588"/>
      <c r="I17" s="2289"/>
      <c r="J17" s="3077"/>
      <c r="K17" s="3079"/>
      <c r="L17" s="3063"/>
      <c r="M17" s="3079"/>
      <c r="N17" s="3063"/>
      <c r="O17" s="2630"/>
      <c r="P17" s="3051"/>
      <c r="Q17" s="2322"/>
      <c r="R17" s="3081"/>
      <c r="S17" s="3071"/>
      <c r="T17" s="2146"/>
      <c r="U17" s="2966"/>
      <c r="V17" s="2966"/>
      <c r="W17" s="85">
        <v>300000000</v>
      </c>
      <c r="X17" s="335" t="s">
        <v>707</v>
      </c>
      <c r="Y17" s="589">
        <v>195</v>
      </c>
      <c r="Z17" s="590" t="s">
        <v>708</v>
      </c>
      <c r="AA17" s="2356"/>
      <c r="AB17" s="2356"/>
      <c r="AC17" s="2356"/>
      <c r="AD17" s="2356"/>
      <c r="AE17" s="2356"/>
      <c r="AF17" s="2356"/>
      <c r="AG17" s="2108"/>
      <c r="AH17" s="2356"/>
      <c r="AI17" s="2356"/>
      <c r="AJ17" s="2356"/>
      <c r="AK17" s="2356"/>
      <c r="AL17" s="2356"/>
      <c r="AM17" s="2356"/>
      <c r="AN17" s="2356"/>
      <c r="AO17" s="2356"/>
      <c r="AP17" s="2356"/>
      <c r="AQ17" s="3075"/>
      <c r="AR17" s="3075"/>
      <c r="AS17" s="2977"/>
    </row>
    <row r="18" spans="1:45" ht="59.25" customHeight="1" x14ac:dyDescent="0.25">
      <c r="A18" s="2424"/>
      <c r="B18" s="2425"/>
      <c r="C18" s="2428"/>
      <c r="D18" s="2429"/>
      <c r="E18" s="3054"/>
      <c r="F18" s="3055"/>
      <c r="G18" s="3083">
        <v>1702017</v>
      </c>
      <c r="H18" s="3061" t="s">
        <v>709</v>
      </c>
      <c r="I18" s="3083">
        <v>1702017</v>
      </c>
      <c r="J18" s="3061" t="s">
        <v>709</v>
      </c>
      <c r="K18" s="3058" t="s">
        <v>710</v>
      </c>
      <c r="L18" s="3061" t="s">
        <v>711</v>
      </c>
      <c r="M18" s="3058" t="s">
        <v>710</v>
      </c>
      <c r="N18" s="3061" t="s">
        <v>711</v>
      </c>
      <c r="O18" s="3064">
        <v>750</v>
      </c>
      <c r="P18" s="3067" t="s">
        <v>712</v>
      </c>
      <c r="Q18" s="2191" t="s">
        <v>713</v>
      </c>
      <c r="R18" s="3080">
        <f>SUM(W18:W20)/S18</f>
        <v>0.87737064405377529</v>
      </c>
      <c r="S18" s="3086">
        <f>SUM(W18:W22)</f>
        <v>530052526.97000003</v>
      </c>
      <c r="T18" s="2320" t="s">
        <v>714</v>
      </c>
      <c r="U18" s="2056" t="s">
        <v>715</v>
      </c>
      <c r="V18" s="2056" t="s">
        <v>716</v>
      </c>
      <c r="W18" s="85">
        <v>90000000</v>
      </c>
      <c r="X18" s="591" t="s">
        <v>717</v>
      </c>
      <c r="Y18" s="3087">
        <v>20</v>
      </c>
      <c r="Z18" s="3049" t="s">
        <v>694</v>
      </c>
      <c r="AA18" s="2354">
        <v>25</v>
      </c>
      <c r="AB18" s="2354">
        <v>25</v>
      </c>
      <c r="AC18" s="2354">
        <v>10</v>
      </c>
      <c r="AD18" s="2354">
        <v>10</v>
      </c>
      <c r="AE18" s="2354">
        <v>20</v>
      </c>
      <c r="AF18" s="2354">
        <v>10</v>
      </c>
      <c r="AG18" s="2354">
        <v>2145</v>
      </c>
      <c r="AH18" s="2354">
        <v>12718</v>
      </c>
      <c r="AI18" s="2354">
        <v>26</v>
      </c>
      <c r="AJ18" s="2354"/>
      <c r="AK18" s="2354"/>
      <c r="AL18" s="2354"/>
      <c r="AM18" s="2354"/>
      <c r="AN18" s="2354"/>
      <c r="AO18" s="2354"/>
      <c r="AP18" s="2354">
        <v>50</v>
      </c>
      <c r="AQ18" s="3089">
        <v>44211</v>
      </c>
      <c r="AR18" s="3089">
        <v>44561</v>
      </c>
      <c r="AS18" s="2984" t="s">
        <v>695</v>
      </c>
    </row>
    <row r="19" spans="1:45" ht="59.25" customHeight="1" x14ac:dyDescent="0.25">
      <c r="A19" s="2424"/>
      <c r="B19" s="2425"/>
      <c r="C19" s="2428"/>
      <c r="D19" s="2429"/>
      <c r="E19" s="3054"/>
      <c r="F19" s="3055"/>
      <c r="G19" s="3084"/>
      <c r="H19" s="3062"/>
      <c r="I19" s="3084"/>
      <c r="J19" s="3062"/>
      <c r="K19" s="3059"/>
      <c r="L19" s="3062"/>
      <c r="M19" s="3059"/>
      <c r="N19" s="3062"/>
      <c r="O19" s="3065"/>
      <c r="P19" s="3067"/>
      <c r="Q19" s="2191"/>
      <c r="R19" s="3082"/>
      <c r="S19" s="3086"/>
      <c r="T19" s="2321"/>
      <c r="U19" s="2965"/>
      <c r="V19" s="2965"/>
      <c r="W19" s="85">
        <v>40000000</v>
      </c>
      <c r="X19" s="591" t="s">
        <v>718</v>
      </c>
      <c r="Y19" s="3088"/>
      <c r="Z19" s="3051"/>
      <c r="AA19" s="2355"/>
      <c r="AB19" s="2355"/>
      <c r="AC19" s="2355"/>
      <c r="AD19" s="2355"/>
      <c r="AE19" s="2355"/>
      <c r="AF19" s="2355"/>
      <c r="AG19" s="2355"/>
      <c r="AH19" s="2355"/>
      <c r="AI19" s="2355"/>
      <c r="AJ19" s="2355"/>
      <c r="AK19" s="2355"/>
      <c r="AL19" s="2355"/>
      <c r="AM19" s="2355"/>
      <c r="AN19" s="2355"/>
      <c r="AO19" s="2355"/>
      <c r="AP19" s="2355"/>
      <c r="AQ19" s="3090"/>
      <c r="AR19" s="3090"/>
      <c r="AS19" s="2976"/>
    </row>
    <row r="20" spans="1:45" ht="59.25" customHeight="1" x14ac:dyDescent="0.25">
      <c r="A20" s="2424"/>
      <c r="B20" s="2425"/>
      <c r="C20" s="2428"/>
      <c r="D20" s="2429"/>
      <c r="E20" s="3054"/>
      <c r="F20" s="3055"/>
      <c r="G20" s="3085"/>
      <c r="H20" s="3063"/>
      <c r="I20" s="3085"/>
      <c r="J20" s="3063"/>
      <c r="K20" s="3060"/>
      <c r="L20" s="3063"/>
      <c r="M20" s="3060"/>
      <c r="N20" s="3063"/>
      <c r="O20" s="3066"/>
      <c r="P20" s="3067"/>
      <c r="Q20" s="2191"/>
      <c r="R20" s="3081"/>
      <c r="S20" s="3086"/>
      <c r="T20" s="2321"/>
      <c r="U20" s="2966"/>
      <c r="V20" s="2966"/>
      <c r="W20" s="85">
        <v>335052526.97000003</v>
      </c>
      <c r="X20" s="592" t="s">
        <v>719</v>
      </c>
      <c r="Y20" s="593">
        <v>88</v>
      </c>
      <c r="Z20" s="594" t="s">
        <v>358</v>
      </c>
      <c r="AA20" s="2355"/>
      <c r="AB20" s="2355"/>
      <c r="AC20" s="2355"/>
      <c r="AD20" s="2355"/>
      <c r="AE20" s="2355"/>
      <c r="AF20" s="2355"/>
      <c r="AG20" s="2355"/>
      <c r="AH20" s="2355"/>
      <c r="AI20" s="2355"/>
      <c r="AJ20" s="2355"/>
      <c r="AK20" s="2355"/>
      <c r="AL20" s="2355"/>
      <c r="AM20" s="2355"/>
      <c r="AN20" s="2355"/>
      <c r="AO20" s="2355"/>
      <c r="AP20" s="2355"/>
      <c r="AQ20" s="3090"/>
      <c r="AR20" s="3090"/>
      <c r="AS20" s="2976"/>
    </row>
    <row r="21" spans="1:45" ht="59.25" customHeight="1" x14ac:dyDescent="0.25">
      <c r="A21" s="2424"/>
      <c r="B21" s="2425"/>
      <c r="C21" s="2428"/>
      <c r="D21" s="2429"/>
      <c r="E21" s="3054"/>
      <c r="F21" s="3055"/>
      <c r="G21" s="542">
        <v>1702014</v>
      </c>
      <c r="H21" s="474" t="s">
        <v>720</v>
      </c>
      <c r="I21" s="542">
        <v>1702014</v>
      </c>
      <c r="J21" s="474" t="s">
        <v>720</v>
      </c>
      <c r="K21" s="475" t="s">
        <v>721</v>
      </c>
      <c r="L21" s="581" t="s">
        <v>722</v>
      </c>
      <c r="M21" s="475" t="s">
        <v>721</v>
      </c>
      <c r="N21" s="581" t="s">
        <v>722</v>
      </c>
      <c r="O21" s="582">
        <v>25</v>
      </c>
      <c r="P21" s="3067"/>
      <c r="Q21" s="2191"/>
      <c r="R21" s="583">
        <f>+W21/S18</f>
        <v>8.4897246424309403E-2</v>
      </c>
      <c r="S21" s="3086"/>
      <c r="T21" s="2321"/>
      <c r="U21" s="225" t="s">
        <v>723</v>
      </c>
      <c r="V21" s="225" t="s">
        <v>724</v>
      </c>
      <c r="W21" s="85">
        <v>45000000</v>
      </c>
      <c r="X21" s="579" t="s">
        <v>725</v>
      </c>
      <c r="Y21" s="584">
        <v>20</v>
      </c>
      <c r="Z21" s="149" t="s">
        <v>694</v>
      </c>
      <c r="AA21" s="2355"/>
      <c r="AB21" s="2355"/>
      <c r="AC21" s="2355"/>
      <c r="AD21" s="2355"/>
      <c r="AE21" s="2355"/>
      <c r="AF21" s="2355"/>
      <c r="AG21" s="2355"/>
      <c r="AH21" s="2355"/>
      <c r="AI21" s="2355"/>
      <c r="AJ21" s="2355"/>
      <c r="AK21" s="2355"/>
      <c r="AL21" s="2355"/>
      <c r="AM21" s="2355"/>
      <c r="AN21" s="2355"/>
      <c r="AO21" s="2355"/>
      <c r="AP21" s="2355"/>
      <c r="AQ21" s="3090"/>
      <c r="AR21" s="3090"/>
      <c r="AS21" s="2976"/>
    </row>
    <row r="22" spans="1:45" ht="59.25" customHeight="1" x14ac:dyDescent="0.25">
      <c r="A22" s="2424"/>
      <c r="B22" s="2425"/>
      <c r="C22" s="2428"/>
      <c r="D22" s="2429"/>
      <c r="E22" s="3054"/>
      <c r="F22" s="3055"/>
      <c r="G22" s="542">
        <v>1702021</v>
      </c>
      <c r="H22" s="474" t="s">
        <v>726</v>
      </c>
      <c r="I22" s="542">
        <v>1702021</v>
      </c>
      <c r="J22" s="474" t="s">
        <v>726</v>
      </c>
      <c r="K22" s="475" t="s">
        <v>727</v>
      </c>
      <c r="L22" s="581" t="s">
        <v>728</v>
      </c>
      <c r="M22" s="475" t="s">
        <v>727</v>
      </c>
      <c r="N22" s="581" t="s">
        <v>728</v>
      </c>
      <c r="O22" s="582">
        <v>150</v>
      </c>
      <c r="P22" s="3067"/>
      <c r="Q22" s="2191"/>
      <c r="R22" s="583">
        <f>+W22/S18</f>
        <v>3.7732109521915289E-2</v>
      </c>
      <c r="S22" s="3086"/>
      <c r="T22" s="2322"/>
      <c r="U22" s="225" t="s">
        <v>729</v>
      </c>
      <c r="V22" s="225" t="s">
        <v>730</v>
      </c>
      <c r="W22" s="85">
        <v>20000000</v>
      </c>
      <c r="X22" s="579" t="s">
        <v>731</v>
      </c>
      <c r="Y22" s="584">
        <v>20</v>
      </c>
      <c r="Z22" s="149" t="s">
        <v>694</v>
      </c>
      <c r="AA22" s="2356"/>
      <c r="AB22" s="2356"/>
      <c r="AC22" s="2356"/>
      <c r="AD22" s="2356"/>
      <c r="AE22" s="2356"/>
      <c r="AF22" s="2356"/>
      <c r="AG22" s="2356"/>
      <c r="AH22" s="2356"/>
      <c r="AI22" s="2356"/>
      <c r="AJ22" s="2356"/>
      <c r="AK22" s="2356"/>
      <c r="AL22" s="2356"/>
      <c r="AM22" s="2356"/>
      <c r="AN22" s="2356"/>
      <c r="AO22" s="2356"/>
      <c r="AP22" s="2356"/>
      <c r="AQ22" s="3091"/>
      <c r="AR22" s="3091">
        <v>44561</v>
      </c>
      <c r="AS22" s="2977"/>
    </row>
    <row r="23" spans="1:45" ht="37.5" customHeight="1" x14ac:dyDescent="0.25">
      <c r="A23" s="2424"/>
      <c r="B23" s="2425"/>
      <c r="C23" s="2428"/>
      <c r="D23" s="2429"/>
      <c r="E23" s="3054"/>
      <c r="F23" s="3055"/>
      <c r="G23" s="2287">
        <v>1702038</v>
      </c>
      <c r="H23" s="2410" t="s">
        <v>732</v>
      </c>
      <c r="I23" s="2287">
        <v>1702038</v>
      </c>
      <c r="J23" s="2410" t="s">
        <v>732</v>
      </c>
      <c r="K23" s="3092" t="s">
        <v>733</v>
      </c>
      <c r="L23" s="2193" t="s">
        <v>734</v>
      </c>
      <c r="M23" s="3092" t="s">
        <v>733</v>
      </c>
      <c r="N23" s="2193" t="s">
        <v>734</v>
      </c>
      <c r="O23" s="2632">
        <v>30</v>
      </c>
      <c r="P23" s="3067" t="s">
        <v>735</v>
      </c>
      <c r="Q23" s="2191" t="s">
        <v>736</v>
      </c>
      <c r="R23" s="3097">
        <f>+(W23+W24+W25)/S23</f>
        <v>1</v>
      </c>
      <c r="S23" s="3086">
        <f>SUM(W23:W25)</f>
        <v>188606585.66</v>
      </c>
      <c r="T23" s="2320" t="s">
        <v>737</v>
      </c>
      <c r="U23" s="2320" t="s">
        <v>738</v>
      </c>
      <c r="V23" s="2320" t="s">
        <v>739</v>
      </c>
      <c r="W23" s="85">
        <v>65000000</v>
      </c>
      <c r="X23" s="579" t="s">
        <v>740</v>
      </c>
      <c r="Y23" s="584">
        <v>20</v>
      </c>
      <c r="Z23" s="149" t="s">
        <v>694</v>
      </c>
      <c r="AA23" s="3094">
        <v>480</v>
      </c>
      <c r="AB23" s="3094">
        <v>500</v>
      </c>
      <c r="AC23" s="3094"/>
      <c r="AD23" s="3094">
        <v>150</v>
      </c>
      <c r="AE23" s="3094">
        <v>680</v>
      </c>
      <c r="AF23" s="3094">
        <v>150</v>
      </c>
      <c r="AG23" s="3094"/>
      <c r="AH23" s="3094"/>
      <c r="AI23" s="3094"/>
      <c r="AJ23" s="3094"/>
      <c r="AK23" s="3094"/>
      <c r="AL23" s="3094"/>
      <c r="AM23" s="3094"/>
      <c r="AN23" s="3094"/>
      <c r="AO23" s="3094"/>
      <c r="AP23" s="3094">
        <v>980</v>
      </c>
      <c r="AQ23" s="3089">
        <v>44211</v>
      </c>
      <c r="AR23" s="3089">
        <v>44561</v>
      </c>
      <c r="AS23" s="2984" t="s">
        <v>695</v>
      </c>
    </row>
    <row r="24" spans="1:45" ht="47.25" customHeight="1" x14ac:dyDescent="0.25">
      <c r="A24" s="2424"/>
      <c r="B24" s="2425"/>
      <c r="C24" s="2428"/>
      <c r="D24" s="2429"/>
      <c r="E24" s="3054"/>
      <c r="F24" s="3055"/>
      <c r="G24" s="2288"/>
      <c r="H24" s="2410"/>
      <c r="I24" s="2288"/>
      <c r="J24" s="2410"/>
      <c r="K24" s="3093"/>
      <c r="L24" s="2194"/>
      <c r="M24" s="3093"/>
      <c r="N24" s="2194"/>
      <c r="O24" s="2630"/>
      <c r="P24" s="3067"/>
      <c r="Q24" s="2191"/>
      <c r="R24" s="3097"/>
      <c r="S24" s="3086"/>
      <c r="T24" s="2321"/>
      <c r="U24" s="2321"/>
      <c r="V24" s="2322"/>
      <c r="W24" s="85">
        <v>105606585.66</v>
      </c>
      <c r="X24" s="335" t="s">
        <v>741</v>
      </c>
      <c r="Y24" s="595">
        <v>195</v>
      </c>
      <c r="Z24" s="590" t="s">
        <v>708</v>
      </c>
      <c r="AA24" s="3095"/>
      <c r="AB24" s="3095"/>
      <c r="AC24" s="3095"/>
      <c r="AD24" s="3095"/>
      <c r="AE24" s="3095"/>
      <c r="AF24" s="3095"/>
      <c r="AG24" s="3095"/>
      <c r="AH24" s="3095"/>
      <c r="AI24" s="3095"/>
      <c r="AJ24" s="3095"/>
      <c r="AK24" s="3095"/>
      <c r="AL24" s="3095"/>
      <c r="AM24" s="3095"/>
      <c r="AN24" s="3095"/>
      <c r="AO24" s="3095"/>
      <c r="AP24" s="3095"/>
      <c r="AQ24" s="3090"/>
      <c r="AR24" s="3090"/>
      <c r="AS24" s="2976"/>
    </row>
    <row r="25" spans="1:45" ht="57" customHeight="1" x14ac:dyDescent="0.25">
      <c r="A25" s="2424"/>
      <c r="B25" s="2425"/>
      <c r="C25" s="2428"/>
      <c r="D25" s="2429"/>
      <c r="E25" s="3054"/>
      <c r="F25" s="3055"/>
      <c r="G25" s="2289"/>
      <c r="H25" s="2410"/>
      <c r="I25" s="2289"/>
      <c r="J25" s="2410"/>
      <c r="K25" s="452" t="s">
        <v>742</v>
      </c>
      <c r="L25" s="222" t="s">
        <v>743</v>
      </c>
      <c r="M25" s="452" t="s">
        <v>742</v>
      </c>
      <c r="N25" s="222" t="s">
        <v>743</v>
      </c>
      <c r="O25" s="582">
        <v>80</v>
      </c>
      <c r="P25" s="3067"/>
      <c r="Q25" s="2191"/>
      <c r="R25" s="3097"/>
      <c r="S25" s="3086"/>
      <c r="T25" s="2322"/>
      <c r="U25" s="2322"/>
      <c r="V25" s="225" t="s">
        <v>744</v>
      </c>
      <c r="W25" s="85">
        <v>18000000</v>
      </c>
      <c r="X25" s="579" t="s">
        <v>740</v>
      </c>
      <c r="Y25" s="584">
        <v>20</v>
      </c>
      <c r="Z25" s="149" t="s">
        <v>694</v>
      </c>
      <c r="AA25" s="3096"/>
      <c r="AB25" s="3096"/>
      <c r="AC25" s="3096"/>
      <c r="AD25" s="3096"/>
      <c r="AE25" s="3096"/>
      <c r="AF25" s="3096"/>
      <c r="AG25" s="3096"/>
      <c r="AH25" s="3096"/>
      <c r="AI25" s="3096"/>
      <c r="AJ25" s="3096"/>
      <c r="AK25" s="3096"/>
      <c r="AL25" s="3096"/>
      <c r="AM25" s="3096"/>
      <c r="AN25" s="3096"/>
      <c r="AO25" s="3096"/>
      <c r="AP25" s="3096"/>
      <c r="AQ25" s="3091"/>
      <c r="AR25" s="3091">
        <v>44561</v>
      </c>
      <c r="AS25" s="2977"/>
    </row>
    <row r="26" spans="1:45" ht="50.25" customHeight="1" x14ac:dyDescent="0.25">
      <c r="A26" s="2424"/>
      <c r="B26" s="2425"/>
      <c r="C26" s="2428"/>
      <c r="D26" s="2429"/>
      <c r="E26" s="3054"/>
      <c r="F26" s="3055"/>
      <c r="G26" s="542">
        <v>1702023</v>
      </c>
      <c r="H26" s="474" t="s">
        <v>745</v>
      </c>
      <c r="I26" s="542">
        <v>1702023</v>
      </c>
      <c r="J26" s="474" t="s">
        <v>745</v>
      </c>
      <c r="K26" s="452" t="s">
        <v>746</v>
      </c>
      <c r="L26" s="222" t="s">
        <v>747</v>
      </c>
      <c r="M26" s="452" t="s">
        <v>746</v>
      </c>
      <c r="N26" s="222" t="s">
        <v>747</v>
      </c>
      <c r="O26" s="582">
        <v>1</v>
      </c>
      <c r="P26" s="2300" t="s">
        <v>748</v>
      </c>
      <c r="Q26" s="2191" t="s">
        <v>749</v>
      </c>
      <c r="R26" s="596">
        <f>W26/S26</f>
        <v>0.5</v>
      </c>
      <c r="S26" s="3086">
        <f>SUM(W26:W27)</f>
        <v>90000000</v>
      </c>
      <c r="T26" s="2320" t="s">
        <v>749</v>
      </c>
      <c r="U26" s="597" t="s">
        <v>750</v>
      </c>
      <c r="V26" s="225" t="s">
        <v>751</v>
      </c>
      <c r="W26" s="85">
        <v>45000000</v>
      </c>
      <c r="X26" s="579" t="s">
        <v>752</v>
      </c>
      <c r="Y26" s="584">
        <v>20</v>
      </c>
      <c r="Z26" s="149" t="s">
        <v>694</v>
      </c>
      <c r="AA26" s="3094">
        <v>65000</v>
      </c>
      <c r="AB26" s="3094">
        <v>65000</v>
      </c>
      <c r="AC26" s="3094">
        <v>22000</v>
      </c>
      <c r="AD26" s="3094">
        <v>14000</v>
      </c>
      <c r="AE26" s="3094">
        <v>79000</v>
      </c>
      <c r="AF26" s="3094">
        <v>15000</v>
      </c>
      <c r="AG26" s="3094"/>
      <c r="AH26" s="3094"/>
      <c r="AI26" s="3094"/>
      <c r="AJ26" s="3094"/>
      <c r="AK26" s="3094"/>
      <c r="AL26" s="3094"/>
      <c r="AM26" s="3094"/>
      <c r="AN26" s="3094"/>
      <c r="AO26" s="3094"/>
      <c r="AP26" s="3094">
        <v>130000</v>
      </c>
      <c r="AQ26" s="3089">
        <v>44211</v>
      </c>
      <c r="AR26" s="3089">
        <v>44561</v>
      </c>
      <c r="AS26" s="2984" t="s">
        <v>695</v>
      </c>
    </row>
    <row r="27" spans="1:45" ht="75" customHeight="1" x14ac:dyDescent="0.25">
      <c r="A27" s="2424"/>
      <c r="B27" s="2425"/>
      <c r="C27" s="2428"/>
      <c r="D27" s="2429"/>
      <c r="E27" s="3054"/>
      <c r="F27" s="3055"/>
      <c r="G27" s="542">
        <v>1702024</v>
      </c>
      <c r="H27" s="474" t="s">
        <v>753</v>
      </c>
      <c r="I27" s="542">
        <v>1702024</v>
      </c>
      <c r="J27" s="474" t="s">
        <v>753</v>
      </c>
      <c r="K27" s="475" t="s">
        <v>754</v>
      </c>
      <c r="L27" s="581" t="s">
        <v>755</v>
      </c>
      <c r="M27" s="475" t="s">
        <v>754</v>
      </c>
      <c r="N27" s="581" t="s">
        <v>755</v>
      </c>
      <c r="O27" s="582">
        <v>12</v>
      </c>
      <c r="P27" s="2300"/>
      <c r="Q27" s="2191"/>
      <c r="R27" s="596">
        <f>W27/S26</f>
        <v>0.5</v>
      </c>
      <c r="S27" s="3086"/>
      <c r="T27" s="2322"/>
      <c r="U27" s="597" t="s">
        <v>756</v>
      </c>
      <c r="V27" s="225" t="s">
        <v>757</v>
      </c>
      <c r="W27" s="85">
        <v>45000000</v>
      </c>
      <c r="X27" s="579" t="s">
        <v>758</v>
      </c>
      <c r="Y27" s="584">
        <v>20</v>
      </c>
      <c r="Z27" s="149" t="s">
        <v>694</v>
      </c>
      <c r="AA27" s="3096"/>
      <c r="AB27" s="3096"/>
      <c r="AC27" s="3096"/>
      <c r="AD27" s="3096"/>
      <c r="AE27" s="3096"/>
      <c r="AF27" s="3096"/>
      <c r="AG27" s="3096"/>
      <c r="AH27" s="3096"/>
      <c r="AI27" s="3096"/>
      <c r="AJ27" s="3096"/>
      <c r="AK27" s="3096"/>
      <c r="AL27" s="3096"/>
      <c r="AM27" s="3096"/>
      <c r="AN27" s="3096"/>
      <c r="AO27" s="3096"/>
      <c r="AP27" s="3096"/>
      <c r="AQ27" s="3091"/>
      <c r="AR27" s="3091">
        <v>44561</v>
      </c>
      <c r="AS27" s="2977"/>
    </row>
    <row r="28" spans="1:45" ht="90" x14ac:dyDescent="0.25">
      <c r="A28" s="2424"/>
      <c r="B28" s="2425"/>
      <c r="C28" s="2428"/>
      <c r="D28" s="2429"/>
      <c r="E28" s="3056"/>
      <c r="F28" s="3057"/>
      <c r="G28" s="542">
        <v>1702025</v>
      </c>
      <c r="H28" s="474" t="s">
        <v>759</v>
      </c>
      <c r="I28" s="542">
        <v>1702025</v>
      </c>
      <c r="J28" s="474" t="s">
        <v>759</v>
      </c>
      <c r="K28" s="475" t="s">
        <v>760</v>
      </c>
      <c r="L28" s="581" t="s">
        <v>761</v>
      </c>
      <c r="M28" s="475" t="s">
        <v>760</v>
      </c>
      <c r="N28" s="581" t="s">
        <v>761</v>
      </c>
      <c r="O28" s="582">
        <v>25</v>
      </c>
      <c r="P28" s="539" t="s">
        <v>762</v>
      </c>
      <c r="Q28" s="222" t="s">
        <v>763</v>
      </c>
      <c r="R28" s="596">
        <f>W28/S28</f>
        <v>1</v>
      </c>
      <c r="S28" s="598">
        <f>SUM(W28)</f>
        <v>27000000</v>
      </c>
      <c r="T28" s="225" t="s">
        <v>764</v>
      </c>
      <c r="U28" s="225" t="s">
        <v>765</v>
      </c>
      <c r="V28" s="225" t="s">
        <v>766</v>
      </c>
      <c r="W28" s="85">
        <v>27000000</v>
      </c>
      <c r="X28" s="579" t="s">
        <v>767</v>
      </c>
      <c r="Y28" s="584">
        <v>20</v>
      </c>
      <c r="Z28" s="149" t="s">
        <v>694</v>
      </c>
      <c r="AA28" s="458">
        <v>1057</v>
      </c>
      <c r="AB28" s="458">
        <v>832</v>
      </c>
      <c r="AC28" s="458">
        <v>253</v>
      </c>
      <c r="AD28" s="458">
        <v>142</v>
      </c>
      <c r="AE28" s="458">
        <v>1200</v>
      </c>
      <c r="AF28" s="458">
        <v>663</v>
      </c>
      <c r="AG28" s="458"/>
      <c r="AH28" s="458"/>
      <c r="AI28" s="458"/>
      <c r="AJ28" s="458"/>
      <c r="AK28" s="458"/>
      <c r="AL28" s="458"/>
      <c r="AM28" s="458">
        <v>582</v>
      </c>
      <c r="AN28" s="458">
        <v>33</v>
      </c>
      <c r="AO28" s="458">
        <v>51</v>
      </c>
      <c r="AP28" s="458">
        <v>1889</v>
      </c>
      <c r="AQ28" s="508">
        <v>44211</v>
      </c>
      <c r="AR28" s="398">
        <v>44561</v>
      </c>
      <c r="AS28" s="405" t="s">
        <v>695</v>
      </c>
    </row>
    <row r="29" spans="1:45" ht="15.75" x14ac:dyDescent="0.25">
      <c r="A29" s="2424"/>
      <c r="B29" s="2425"/>
      <c r="C29" s="2428"/>
      <c r="D29" s="2429"/>
      <c r="E29" s="573">
        <v>1703</v>
      </c>
      <c r="F29" s="483" t="s">
        <v>768</v>
      </c>
      <c r="G29" s="483"/>
      <c r="H29" s="327"/>
      <c r="I29" s="483"/>
      <c r="J29" s="327"/>
      <c r="K29" s="483"/>
      <c r="L29" s="327"/>
      <c r="M29" s="483"/>
      <c r="N29" s="327"/>
      <c r="O29" s="206"/>
      <c r="P29" s="206"/>
      <c r="Q29" s="327"/>
      <c r="R29" s="204"/>
      <c r="S29" s="599"/>
      <c r="T29" s="327"/>
      <c r="U29" s="327"/>
      <c r="V29" s="327"/>
      <c r="W29" s="600"/>
      <c r="X29" s="574"/>
      <c r="Y29" s="601"/>
      <c r="Z29" s="602"/>
      <c r="AA29" s="602"/>
      <c r="AB29" s="602"/>
      <c r="AC29" s="602"/>
      <c r="AD29" s="602"/>
      <c r="AE29" s="602"/>
      <c r="AF29" s="602"/>
      <c r="AG29" s="602"/>
      <c r="AH29" s="602"/>
      <c r="AI29" s="602"/>
      <c r="AJ29" s="602"/>
      <c r="AK29" s="602"/>
      <c r="AL29" s="602"/>
      <c r="AM29" s="602"/>
      <c r="AN29" s="602"/>
      <c r="AO29" s="602"/>
      <c r="AP29" s="602"/>
      <c r="AQ29" s="603"/>
      <c r="AR29" s="603"/>
      <c r="AS29" s="561"/>
    </row>
    <row r="30" spans="1:45" ht="47.25" customHeight="1" x14ac:dyDescent="0.25">
      <c r="A30" s="2424"/>
      <c r="B30" s="2425"/>
      <c r="C30" s="2428"/>
      <c r="D30" s="2429"/>
      <c r="E30" s="3098"/>
      <c r="F30" s="3099"/>
      <c r="G30" s="2287">
        <v>1703013</v>
      </c>
      <c r="H30" s="3076" t="s">
        <v>769</v>
      </c>
      <c r="I30" s="2287">
        <v>1703013</v>
      </c>
      <c r="J30" s="3076" t="s">
        <v>769</v>
      </c>
      <c r="K30" s="2626" t="s">
        <v>770</v>
      </c>
      <c r="L30" s="2320" t="s">
        <v>771</v>
      </c>
      <c r="M30" s="2626" t="s">
        <v>770</v>
      </c>
      <c r="N30" s="2320" t="s">
        <v>771</v>
      </c>
      <c r="O30" s="2632">
        <v>100</v>
      </c>
      <c r="P30" s="2026" t="s">
        <v>772</v>
      </c>
      <c r="Q30" s="2320" t="s">
        <v>773</v>
      </c>
      <c r="R30" s="3103">
        <f>+(W30+W31)/S30</f>
        <v>1</v>
      </c>
      <c r="S30" s="3107">
        <f>SUM(W30:W31)</f>
        <v>325000000</v>
      </c>
      <c r="T30" s="2320" t="s">
        <v>774</v>
      </c>
      <c r="U30" s="2320" t="s">
        <v>775</v>
      </c>
      <c r="V30" s="2320" t="s">
        <v>776</v>
      </c>
      <c r="W30" s="85">
        <v>75000000</v>
      </c>
      <c r="X30" s="604" t="s">
        <v>777</v>
      </c>
      <c r="Y30" s="605">
        <v>20</v>
      </c>
      <c r="Z30" s="248" t="s">
        <v>694</v>
      </c>
      <c r="AA30" s="3102">
        <v>270331</v>
      </c>
      <c r="AB30" s="3102">
        <v>291286</v>
      </c>
      <c r="AC30" s="3102">
        <v>102045</v>
      </c>
      <c r="AD30" s="3102">
        <v>141228</v>
      </c>
      <c r="AE30" s="3102">
        <v>310195</v>
      </c>
      <c r="AF30" s="3102">
        <v>110694</v>
      </c>
      <c r="AG30" s="3102"/>
      <c r="AH30" s="3102"/>
      <c r="AI30" s="3102"/>
      <c r="AJ30" s="606"/>
      <c r="AK30" s="3102"/>
      <c r="AL30" s="3102"/>
      <c r="AM30" s="3102"/>
      <c r="AN30" s="3102"/>
      <c r="AO30" s="3102"/>
      <c r="AP30" s="3102">
        <v>562117</v>
      </c>
      <c r="AQ30" s="2982">
        <v>44211</v>
      </c>
      <c r="AR30" s="2982">
        <v>44561</v>
      </c>
      <c r="AS30" s="2984" t="s">
        <v>695</v>
      </c>
    </row>
    <row r="31" spans="1:45" ht="47.25" customHeight="1" x14ac:dyDescent="0.25">
      <c r="A31" s="2424"/>
      <c r="B31" s="2425"/>
      <c r="C31" s="2428"/>
      <c r="D31" s="2429"/>
      <c r="E31" s="3100"/>
      <c r="F31" s="3101"/>
      <c r="G31" s="2289"/>
      <c r="H31" s="3077"/>
      <c r="I31" s="2289"/>
      <c r="J31" s="3077"/>
      <c r="K31" s="2624"/>
      <c r="L31" s="2322"/>
      <c r="M31" s="2624"/>
      <c r="N31" s="2322"/>
      <c r="O31" s="2630"/>
      <c r="P31" s="2028"/>
      <c r="Q31" s="2322"/>
      <c r="R31" s="3104"/>
      <c r="S31" s="3108"/>
      <c r="T31" s="2322"/>
      <c r="U31" s="2322"/>
      <c r="V31" s="2322"/>
      <c r="W31" s="85">
        <v>250000000</v>
      </c>
      <c r="X31" s="148" t="s">
        <v>778</v>
      </c>
      <c r="Y31" s="458">
        <v>195</v>
      </c>
      <c r="Z31" s="489" t="s">
        <v>708</v>
      </c>
      <c r="AA31" s="2862"/>
      <c r="AB31" s="2862"/>
      <c r="AC31" s="2862"/>
      <c r="AD31" s="2862"/>
      <c r="AE31" s="2862"/>
      <c r="AF31" s="2862"/>
      <c r="AG31" s="2862"/>
      <c r="AH31" s="2862"/>
      <c r="AI31" s="2862"/>
      <c r="AJ31" s="607"/>
      <c r="AK31" s="2862"/>
      <c r="AL31" s="2862"/>
      <c r="AM31" s="2862"/>
      <c r="AN31" s="2862"/>
      <c r="AO31" s="2862"/>
      <c r="AP31" s="2862"/>
      <c r="AQ31" s="2974"/>
      <c r="AR31" s="2974"/>
      <c r="AS31" s="2977"/>
    </row>
    <row r="32" spans="1:45" ht="15.75" x14ac:dyDescent="0.25">
      <c r="A32" s="2424"/>
      <c r="B32" s="2425"/>
      <c r="C32" s="2428"/>
      <c r="D32" s="2429"/>
      <c r="E32" s="573">
        <v>1704</v>
      </c>
      <c r="F32" s="2304" t="s">
        <v>779</v>
      </c>
      <c r="G32" s="2304"/>
      <c r="H32" s="2304"/>
      <c r="I32" s="2304"/>
      <c r="J32" s="2304"/>
      <c r="K32" s="2304"/>
      <c r="L32" s="2304"/>
      <c r="M32" s="2304"/>
      <c r="N32" s="327"/>
      <c r="O32" s="206"/>
      <c r="P32" s="206"/>
      <c r="Q32" s="327"/>
      <c r="R32" s="204"/>
      <c r="S32" s="599"/>
      <c r="T32" s="327"/>
      <c r="U32" s="327"/>
      <c r="V32" s="327"/>
      <c r="W32" s="600"/>
      <c r="X32" s="574"/>
      <c r="Y32" s="575"/>
      <c r="Z32" s="576"/>
      <c r="AA32" s="576"/>
      <c r="AB32" s="576"/>
      <c r="AC32" s="576"/>
      <c r="AD32" s="576"/>
      <c r="AE32" s="576"/>
      <c r="AF32" s="576"/>
      <c r="AG32" s="576"/>
      <c r="AH32" s="576"/>
      <c r="AI32" s="576"/>
      <c r="AJ32" s="576"/>
      <c r="AK32" s="576"/>
      <c r="AL32" s="576"/>
      <c r="AM32" s="576"/>
      <c r="AN32" s="576"/>
      <c r="AO32" s="576"/>
      <c r="AP32" s="576"/>
      <c r="AQ32" s="577"/>
      <c r="AR32" s="577"/>
      <c r="AS32" s="578"/>
    </row>
    <row r="33" spans="1:45" ht="60" customHeight="1" x14ac:dyDescent="0.25">
      <c r="A33" s="2424"/>
      <c r="B33" s="2425"/>
      <c r="C33" s="2428"/>
      <c r="D33" s="2429"/>
      <c r="E33" s="3098"/>
      <c r="F33" s="3099"/>
      <c r="G33" s="542">
        <v>1704002</v>
      </c>
      <c r="H33" s="487" t="s">
        <v>173</v>
      </c>
      <c r="I33" s="542">
        <v>1704002</v>
      </c>
      <c r="J33" s="487" t="s">
        <v>173</v>
      </c>
      <c r="K33" s="486" t="s">
        <v>780</v>
      </c>
      <c r="L33" s="488" t="s">
        <v>781</v>
      </c>
      <c r="M33" s="486" t="s">
        <v>780</v>
      </c>
      <c r="N33" s="488" t="s">
        <v>781</v>
      </c>
      <c r="O33" s="214">
        <v>1</v>
      </c>
      <c r="P33" s="3105" t="s">
        <v>782</v>
      </c>
      <c r="Q33" s="2119" t="s">
        <v>783</v>
      </c>
      <c r="R33" s="596">
        <f>W33/S33</f>
        <v>0.6</v>
      </c>
      <c r="S33" s="3106">
        <f>SUM(W33:W34)</f>
        <v>70000000</v>
      </c>
      <c r="T33" s="2320" t="s">
        <v>784</v>
      </c>
      <c r="U33" s="225" t="s">
        <v>785</v>
      </c>
      <c r="V33" s="608" t="s">
        <v>786</v>
      </c>
      <c r="W33" s="498">
        <v>42000000</v>
      </c>
      <c r="X33" s="579" t="s">
        <v>787</v>
      </c>
      <c r="Y33" s="584">
        <v>20</v>
      </c>
      <c r="Z33" s="149" t="s">
        <v>694</v>
      </c>
      <c r="AA33" s="3094">
        <v>295972</v>
      </c>
      <c r="AB33" s="3094">
        <v>285580</v>
      </c>
      <c r="AC33" s="3094">
        <v>135545</v>
      </c>
      <c r="AD33" s="3094">
        <v>44254</v>
      </c>
      <c r="AE33" s="3094">
        <v>309146</v>
      </c>
      <c r="AF33" s="3094">
        <v>92607</v>
      </c>
      <c r="AG33" s="3094"/>
      <c r="AH33" s="3094"/>
      <c r="AI33" s="3094"/>
      <c r="AJ33" s="3094"/>
      <c r="AK33" s="3094"/>
      <c r="AL33" s="3094"/>
      <c r="AM33" s="3094">
        <v>44350</v>
      </c>
      <c r="AN33" s="3094">
        <v>21944</v>
      </c>
      <c r="AO33" s="3094"/>
      <c r="AP33" s="3094">
        <v>581552</v>
      </c>
      <c r="AQ33" s="3089">
        <v>44211</v>
      </c>
      <c r="AR33" s="3089">
        <v>44561</v>
      </c>
      <c r="AS33" s="2984" t="s">
        <v>695</v>
      </c>
    </row>
    <row r="34" spans="1:45" ht="60" customHeight="1" x14ac:dyDescent="0.25">
      <c r="A34" s="2424"/>
      <c r="B34" s="2425"/>
      <c r="C34" s="2428"/>
      <c r="D34" s="2429"/>
      <c r="E34" s="3100"/>
      <c r="F34" s="3101"/>
      <c r="G34" s="542">
        <v>1704017</v>
      </c>
      <c r="H34" s="487" t="s">
        <v>788</v>
      </c>
      <c r="I34" s="542">
        <v>1704017</v>
      </c>
      <c r="J34" s="487" t="s">
        <v>788</v>
      </c>
      <c r="K34" s="486" t="s">
        <v>789</v>
      </c>
      <c r="L34" s="488" t="s">
        <v>790</v>
      </c>
      <c r="M34" s="486" t="s">
        <v>789</v>
      </c>
      <c r="N34" s="488" t="s">
        <v>790</v>
      </c>
      <c r="O34" s="214">
        <v>150</v>
      </c>
      <c r="P34" s="3105"/>
      <c r="Q34" s="2119"/>
      <c r="R34" s="596">
        <f>W34/S33</f>
        <v>0.4</v>
      </c>
      <c r="S34" s="3106"/>
      <c r="T34" s="2322"/>
      <c r="U34" s="225" t="s">
        <v>791</v>
      </c>
      <c r="V34" s="608" t="s">
        <v>792</v>
      </c>
      <c r="W34" s="498">
        <v>28000000</v>
      </c>
      <c r="X34" s="579" t="s">
        <v>793</v>
      </c>
      <c r="Y34" s="584">
        <v>20</v>
      </c>
      <c r="Z34" s="149" t="s">
        <v>694</v>
      </c>
      <c r="AA34" s="3096"/>
      <c r="AB34" s="3096"/>
      <c r="AC34" s="3096"/>
      <c r="AD34" s="3096"/>
      <c r="AE34" s="3096"/>
      <c r="AF34" s="3096"/>
      <c r="AG34" s="3096"/>
      <c r="AH34" s="3096"/>
      <c r="AI34" s="3096"/>
      <c r="AJ34" s="3096"/>
      <c r="AK34" s="3096"/>
      <c r="AL34" s="3096"/>
      <c r="AM34" s="3096"/>
      <c r="AN34" s="3096"/>
      <c r="AO34" s="3096"/>
      <c r="AP34" s="3096"/>
      <c r="AQ34" s="3091"/>
      <c r="AR34" s="3091">
        <v>44561</v>
      </c>
      <c r="AS34" s="2977"/>
    </row>
    <row r="35" spans="1:45" ht="15.75" x14ac:dyDescent="0.25">
      <c r="A35" s="2424"/>
      <c r="B35" s="2425"/>
      <c r="C35" s="2428"/>
      <c r="D35" s="2429"/>
      <c r="E35" s="573">
        <v>1706</v>
      </c>
      <c r="F35" s="2304" t="s">
        <v>794</v>
      </c>
      <c r="G35" s="2304"/>
      <c r="H35" s="2304"/>
      <c r="I35" s="2304"/>
      <c r="J35" s="2304"/>
      <c r="K35" s="2304"/>
      <c r="L35" s="2304"/>
      <c r="M35" s="2304"/>
      <c r="N35" s="327"/>
      <c r="O35" s="206"/>
      <c r="P35" s="206"/>
      <c r="Q35" s="327"/>
      <c r="R35" s="204"/>
      <c r="S35" s="599"/>
      <c r="T35" s="327"/>
      <c r="U35" s="327"/>
      <c r="V35" s="327"/>
      <c r="W35" s="600"/>
      <c r="X35" s="574"/>
      <c r="Y35" s="601"/>
      <c r="Z35" s="602"/>
      <c r="AA35" s="602"/>
      <c r="AB35" s="602"/>
      <c r="AC35" s="602"/>
      <c r="AD35" s="602"/>
      <c r="AE35" s="602"/>
      <c r="AF35" s="602"/>
      <c r="AG35" s="602"/>
      <c r="AH35" s="602"/>
      <c r="AI35" s="602"/>
      <c r="AJ35" s="602"/>
      <c r="AK35" s="602"/>
      <c r="AL35" s="602"/>
      <c r="AM35" s="602"/>
      <c r="AN35" s="602"/>
      <c r="AO35" s="602"/>
      <c r="AP35" s="602"/>
      <c r="AQ35" s="603"/>
      <c r="AR35" s="603"/>
      <c r="AS35" s="561"/>
    </row>
    <row r="36" spans="1:45" ht="75" x14ac:dyDescent="0.25">
      <c r="A36" s="2424"/>
      <c r="B36" s="2425"/>
      <c r="C36" s="2428"/>
      <c r="D36" s="2429"/>
      <c r="E36" s="3109"/>
      <c r="F36" s="3110"/>
      <c r="G36" s="542">
        <v>1706004</v>
      </c>
      <c r="H36" s="474" t="s">
        <v>795</v>
      </c>
      <c r="I36" s="542">
        <v>1706004</v>
      </c>
      <c r="J36" s="474" t="s">
        <v>795</v>
      </c>
      <c r="K36" s="452" t="s">
        <v>796</v>
      </c>
      <c r="L36" s="222" t="s">
        <v>797</v>
      </c>
      <c r="M36" s="452" t="s">
        <v>796</v>
      </c>
      <c r="N36" s="222" t="s">
        <v>797</v>
      </c>
      <c r="O36" s="582">
        <v>10</v>
      </c>
      <c r="P36" s="539" t="s">
        <v>798</v>
      </c>
      <c r="Q36" s="222" t="s">
        <v>799</v>
      </c>
      <c r="R36" s="596">
        <f>W36/S36</f>
        <v>1</v>
      </c>
      <c r="S36" s="598">
        <f>SUM(W36)</f>
        <v>20000000</v>
      </c>
      <c r="T36" s="225" t="s">
        <v>800</v>
      </c>
      <c r="U36" s="225" t="s">
        <v>801</v>
      </c>
      <c r="V36" s="225" t="s">
        <v>802</v>
      </c>
      <c r="W36" s="85">
        <v>20000000</v>
      </c>
      <c r="X36" s="579" t="s">
        <v>803</v>
      </c>
      <c r="Y36" s="584">
        <v>20</v>
      </c>
      <c r="Z36" s="149" t="s">
        <v>694</v>
      </c>
      <c r="AA36" s="458">
        <v>1233</v>
      </c>
      <c r="AB36" s="458">
        <v>656</v>
      </c>
      <c r="AC36" s="458">
        <v>253</v>
      </c>
      <c r="AD36" s="458">
        <v>142</v>
      </c>
      <c r="AE36" s="458">
        <v>1200</v>
      </c>
      <c r="AF36" s="458">
        <v>663</v>
      </c>
      <c r="AG36" s="458">
        <v>126</v>
      </c>
      <c r="AH36" s="458">
        <v>120</v>
      </c>
      <c r="AI36" s="458"/>
      <c r="AJ36" s="458"/>
      <c r="AK36" s="458"/>
      <c r="AL36" s="458"/>
      <c r="AM36" s="458">
        <v>582</v>
      </c>
      <c r="AN36" s="458">
        <v>33</v>
      </c>
      <c r="AO36" s="458">
        <v>51</v>
      </c>
      <c r="AP36" s="458">
        <v>1889</v>
      </c>
      <c r="AQ36" s="508"/>
      <c r="AR36" s="398"/>
      <c r="AS36" s="405" t="s">
        <v>695</v>
      </c>
    </row>
    <row r="37" spans="1:45" ht="15.75" x14ac:dyDescent="0.25">
      <c r="A37" s="2424"/>
      <c r="B37" s="2425"/>
      <c r="C37" s="2428"/>
      <c r="D37" s="2429"/>
      <c r="E37" s="573">
        <v>1707</v>
      </c>
      <c r="F37" s="2304" t="s">
        <v>804</v>
      </c>
      <c r="G37" s="2304"/>
      <c r="H37" s="2304"/>
      <c r="I37" s="2304"/>
      <c r="J37" s="2304"/>
      <c r="K37" s="2304"/>
      <c r="L37" s="2304"/>
      <c r="M37" s="206"/>
      <c r="N37" s="327"/>
      <c r="O37" s="206"/>
      <c r="P37" s="206"/>
      <c r="Q37" s="327"/>
      <c r="R37" s="204"/>
      <c r="S37" s="599"/>
      <c r="T37" s="327"/>
      <c r="U37" s="327"/>
      <c r="V37" s="327"/>
      <c r="W37" s="600"/>
      <c r="X37" s="574"/>
      <c r="Y37" s="601"/>
      <c r="Z37" s="602"/>
      <c r="AA37" s="602"/>
      <c r="AB37" s="602"/>
      <c r="AC37" s="602"/>
      <c r="AD37" s="602"/>
      <c r="AE37" s="602"/>
      <c r="AF37" s="602"/>
      <c r="AG37" s="602"/>
      <c r="AH37" s="602"/>
      <c r="AI37" s="602"/>
      <c r="AJ37" s="602"/>
      <c r="AK37" s="602"/>
      <c r="AL37" s="602"/>
      <c r="AM37" s="602"/>
      <c r="AN37" s="602"/>
      <c r="AO37" s="602"/>
      <c r="AP37" s="602"/>
      <c r="AQ37" s="603"/>
      <c r="AR37" s="603"/>
      <c r="AS37" s="561"/>
    </row>
    <row r="38" spans="1:45" ht="90" x14ac:dyDescent="0.25">
      <c r="A38" s="2424"/>
      <c r="B38" s="2425"/>
      <c r="C38" s="2428"/>
      <c r="D38" s="2429"/>
      <c r="E38" s="3109"/>
      <c r="F38" s="3110"/>
      <c r="G38" s="542">
        <v>1707069</v>
      </c>
      <c r="H38" s="474" t="s">
        <v>805</v>
      </c>
      <c r="I38" s="542">
        <v>1707069</v>
      </c>
      <c r="J38" s="474" t="s">
        <v>805</v>
      </c>
      <c r="K38" s="452" t="s">
        <v>806</v>
      </c>
      <c r="L38" s="222" t="s">
        <v>807</v>
      </c>
      <c r="M38" s="452" t="s">
        <v>806</v>
      </c>
      <c r="N38" s="222" t="s">
        <v>807</v>
      </c>
      <c r="O38" s="582">
        <v>5</v>
      </c>
      <c r="P38" s="489" t="s">
        <v>808</v>
      </c>
      <c r="Q38" s="225" t="s">
        <v>809</v>
      </c>
      <c r="R38" s="596">
        <f>W38/S38</f>
        <v>1</v>
      </c>
      <c r="S38" s="598">
        <f>SUM(W38)</f>
        <v>43000000</v>
      </c>
      <c r="T38" s="225" t="s">
        <v>810</v>
      </c>
      <c r="U38" s="225" t="s">
        <v>811</v>
      </c>
      <c r="V38" s="225" t="s">
        <v>812</v>
      </c>
      <c r="W38" s="85">
        <v>43000000</v>
      </c>
      <c r="X38" s="579" t="s">
        <v>813</v>
      </c>
      <c r="Y38" s="584">
        <v>20</v>
      </c>
      <c r="Z38" s="149" t="s">
        <v>694</v>
      </c>
      <c r="AA38" s="458">
        <v>1233</v>
      </c>
      <c r="AB38" s="458">
        <v>656</v>
      </c>
      <c r="AC38" s="458">
        <v>253</v>
      </c>
      <c r="AD38" s="458">
        <v>142</v>
      </c>
      <c r="AE38" s="458">
        <v>1200</v>
      </c>
      <c r="AF38" s="458">
        <v>663</v>
      </c>
      <c r="AG38" s="458">
        <v>126</v>
      </c>
      <c r="AH38" s="458">
        <v>120</v>
      </c>
      <c r="AI38" s="458"/>
      <c r="AJ38" s="458"/>
      <c r="AK38" s="458"/>
      <c r="AL38" s="458"/>
      <c r="AM38" s="458">
        <v>582</v>
      </c>
      <c r="AN38" s="458">
        <v>33</v>
      </c>
      <c r="AO38" s="458">
        <v>51</v>
      </c>
      <c r="AP38" s="458">
        <v>1889</v>
      </c>
      <c r="AQ38" s="398"/>
      <c r="AR38" s="398"/>
      <c r="AS38" s="405" t="s">
        <v>695</v>
      </c>
    </row>
    <row r="39" spans="1:45" ht="15.75" x14ac:dyDescent="0.25">
      <c r="A39" s="2424"/>
      <c r="B39" s="2425"/>
      <c r="C39" s="2428"/>
      <c r="D39" s="2429"/>
      <c r="E39" s="573">
        <v>1708</v>
      </c>
      <c r="F39" s="2304" t="s">
        <v>814</v>
      </c>
      <c r="G39" s="2304"/>
      <c r="H39" s="2304"/>
      <c r="I39" s="2304"/>
      <c r="J39" s="2304"/>
      <c r="K39" s="2304"/>
      <c r="L39" s="2304"/>
      <c r="M39" s="206"/>
      <c r="N39" s="327"/>
      <c r="O39" s="206"/>
      <c r="P39" s="206"/>
      <c r="Q39" s="327"/>
      <c r="R39" s="204"/>
      <c r="S39" s="599"/>
      <c r="T39" s="327"/>
      <c r="U39" s="327"/>
      <c r="V39" s="327"/>
      <c r="W39" s="600"/>
      <c r="X39" s="574"/>
      <c r="Y39" s="601"/>
      <c r="Z39" s="602"/>
      <c r="AA39" s="602"/>
      <c r="AB39" s="602"/>
      <c r="AC39" s="602"/>
      <c r="AD39" s="602"/>
      <c r="AE39" s="602"/>
      <c r="AF39" s="602"/>
      <c r="AG39" s="602"/>
      <c r="AH39" s="602"/>
      <c r="AI39" s="602"/>
      <c r="AJ39" s="602"/>
      <c r="AK39" s="602"/>
      <c r="AL39" s="602"/>
      <c r="AM39" s="602"/>
      <c r="AN39" s="602"/>
      <c r="AO39" s="602"/>
      <c r="AP39" s="602"/>
      <c r="AQ39" s="603"/>
      <c r="AR39" s="603"/>
      <c r="AS39" s="561"/>
    </row>
    <row r="40" spans="1:45" ht="75" customHeight="1" x14ac:dyDescent="0.25">
      <c r="A40" s="2424"/>
      <c r="B40" s="2425"/>
      <c r="C40" s="2428"/>
      <c r="D40" s="2429"/>
      <c r="E40" s="3098"/>
      <c r="F40" s="3099"/>
      <c r="G40" s="542">
        <v>1708016</v>
      </c>
      <c r="H40" s="474" t="s">
        <v>173</v>
      </c>
      <c r="I40" s="542">
        <v>1708016</v>
      </c>
      <c r="J40" s="474" t="s">
        <v>173</v>
      </c>
      <c r="K40" s="475" t="s">
        <v>815</v>
      </c>
      <c r="L40" s="581" t="s">
        <v>816</v>
      </c>
      <c r="M40" s="475" t="s">
        <v>815</v>
      </c>
      <c r="N40" s="581" t="s">
        <v>816</v>
      </c>
      <c r="O40" s="582">
        <v>2</v>
      </c>
      <c r="P40" s="2300" t="s">
        <v>817</v>
      </c>
      <c r="Q40" s="2190" t="s">
        <v>818</v>
      </c>
      <c r="R40" s="596">
        <f>W40/S40</f>
        <v>0.5</v>
      </c>
      <c r="S40" s="3106">
        <f>SUM(W40:W41)</f>
        <v>40000000</v>
      </c>
      <c r="T40" s="2320" t="s">
        <v>819</v>
      </c>
      <c r="U40" s="225" t="s">
        <v>820</v>
      </c>
      <c r="V40" s="609" t="s">
        <v>821</v>
      </c>
      <c r="W40" s="498">
        <v>20000000</v>
      </c>
      <c r="X40" s="579" t="s">
        <v>822</v>
      </c>
      <c r="Y40" s="584">
        <v>20</v>
      </c>
      <c r="Z40" s="149" t="s">
        <v>694</v>
      </c>
      <c r="AA40" s="458">
        <v>295972</v>
      </c>
      <c r="AB40" s="458">
        <v>285580</v>
      </c>
      <c r="AC40" s="458">
        <v>135545</v>
      </c>
      <c r="AD40" s="458">
        <v>44254</v>
      </c>
      <c r="AE40" s="458">
        <v>309146</v>
      </c>
      <c r="AF40" s="458">
        <v>92607</v>
      </c>
      <c r="AG40" s="458"/>
      <c r="AH40" s="458"/>
      <c r="AI40" s="458"/>
      <c r="AJ40" s="458"/>
      <c r="AK40" s="458"/>
      <c r="AL40" s="458"/>
      <c r="AM40" s="458">
        <v>44350</v>
      </c>
      <c r="AN40" s="458">
        <v>21944</v>
      </c>
      <c r="AO40" s="458"/>
      <c r="AP40" s="458">
        <v>581552</v>
      </c>
      <c r="AQ40" s="2309">
        <v>44211</v>
      </c>
      <c r="AR40" s="2982">
        <v>44561</v>
      </c>
      <c r="AS40" s="2984" t="s">
        <v>695</v>
      </c>
    </row>
    <row r="41" spans="1:45" ht="45" x14ac:dyDescent="0.25">
      <c r="A41" s="2424"/>
      <c r="B41" s="2425"/>
      <c r="C41" s="2428"/>
      <c r="D41" s="2429"/>
      <c r="E41" s="3100"/>
      <c r="F41" s="3101"/>
      <c r="G41" s="542">
        <v>1708051</v>
      </c>
      <c r="H41" s="474" t="s">
        <v>823</v>
      </c>
      <c r="I41" s="542">
        <v>1708051</v>
      </c>
      <c r="J41" s="474" t="s">
        <v>823</v>
      </c>
      <c r="K41" s="475" t="s">
        <v>824</v>
      </c>
      <c r="L41" s="581" t="s">
        <v>825</v>
      </c>
      <c r="M41" s="475" t="s">
        <v>824</v>
      </c>
      <c r="N41" s="581" t="s">
        <v>825</v>
      </c>
      <c r="O41" s="582">
        <v>1</v>
      </c>
      <c r="P41" s="2300"/>
      <c r="Q41" s="2190"/>
      <c r="R41" s="596">
        <f>W41/S40</f>
        <v>0.5</v>
      </c>
      <c r="S41" s="3106"/>
      <c r="T41" s="2322"/>
      <c r="U41" s="225" t="s">
        <v>826</v>
      </c>
      <c r="V41" s="609" t="s">
        <v>827</v>
      </c>
      <c r="W41" s="498">
        <v>20000000</v>
      </c>
      <c r="X41" s="579" t="s">
        <v>828</v>
      </c>
      <c r="Y41" s="584">
        <v>20</v>
      </c>
      <c r="Z41" s="149" t="s">
        <v>694</v>
      </c>
      <c r="AA41" s="458">
        <v>3000</v>
      </c>
      <c r="AB41" s="458">
        <v>3000</v>
      </c>
      <c r="AC41" s="458">
        <v>2000</v>
      </c>
      <c r="AD41" s="458">
        <v>1000</v>
      </c>
      <c r="AE41" s="458">
        <v>2500</v>
      </c>
      <c r="AF41" s="458">
        <v>500</v>
      </c>
      <c r="AG41" s="458"/>
      <c r="AH41" s="458"/>
      <c r="AI41" s="458"/>
      <c r="AJ41" s="458"/>
      <c r="AK41" s="458"/>
      <c r="AL41" s="458"/>
      <c r="AM41" s="458"/>
      <c r="AN41" s="458"/>
      <c r="AO41" s="458"/>
      <c r="AP41" s="458">
        <v>6000</v>
      </c>
      <c r="AQ41" s="2311"/>
      <c r="AR41" s="2974"/>
      <c r="AS41" s="2977"/>
    </row>
    <row r="42" spans="1:45" ht="15.75" x14ac:dyDescent="0.25">
      <c r="A42" s="2424"/>
      <c r="B42" s="2425"/>
      <c r="C42" s="2428"/>
      <c r="D42" s="2429"/>
      <c r="E42" s="573">
        <v>1709</v>
      </c>
      <c r="F42" s="2304" t="s">
        <v>829</v>
      </c>
      <c r="G42" s="2304"/>
      <c r="H42" s="2304"/>
      <c r="I42" s="2304"/>
      <c r="J42" s="2304"/>
      <c r="K42" s="2304"/>
      <c r="L42" s="2304"/>
      <c r="M42" s="206"/>
      <c r="N42" s="327"/>
      <c r="O42" s="206"/>
      <c r="P42" s="206"/>
      <c r="Q42" s="327"/>
      <c r="R42" s="204"/>
      <c r="S42" s="599"/>
      <c r="T42" s="327"/>
      <c r="U42" s="327"/>
      <c r="V42" s="327"/>
      <c r="W42" s="600"/>
      <c r="X42" s="574"/>
      <c r="Y42" s="601"/>
      <c r="Z42" s="602"/>
      <c r="AA42" s="602"/>
      <c r="AB42" s="602"/>
      <c r="AC42" s="602"/>
      <c r="AD42" s="602"/>
      <c r="AE42" s="602"/>
      <c r="AF42" s="602"/>
      <c r="AG42" s="602"/>
      <c r="AH42" s="602"/>
      <c r="AI42" s="602"/>
      <c r="AJ42" s="602"/>
      <c r="AK42" s="602"/>
      <c r="AL42" s="602"/>
      <c r="AM42" s="602"/>
      <c r="AN42" s="602"/>
      <c r="AO42" s="602"/>
      <c r="AP42" s="602"/>
      <c r="AQ42" s="603"/>
      <c r="AR42" s="603"/>
      <c r="AS42" s="561"/>
    </row>
    <row r="43" spans="1:45" ht="45" customHeight="1" x14ac:dyDescent="0.25">
      <c r="A43" s="2424"/>
      <c r="B43" s="2425"/>
      <c r="C43" s="2428"/>
      <c r="D43" s="2429"/>
      <c r="E43" s="3052"/>
      <c r="F43" s="3053"/>
      <c r="G43" s="542">
        <v>1709019</v>
      </c>
      <c r="H43" s="487" t="s">
        <v>830</v>
      </c>
      <c r="I43" s="542">
        <v>1709019</v>
      </c>
      <c r="J43" s="487" t="s">
        <v>830</v>
      </c>
      <c r="K43" s="475" t="s">
        <v>831</v>
      </c>
      <c r="L43" s="215" t="s">
        <v>830</v>
      </c>
      <c r="M43" s="475" t="s">
        <v>831</v>
      </c>
      <c r="N43" s="215" t="s">
        <v>830</v>
      </c>
      <c r="O43" s="214">
        <v>4</v>
      </c>
      <c r="P43" s="3105" t="s">
        <v>832</v>
      </c>
      <c r="Q43" s="2055" t="s">
        <v>833</v>
      </c>
      <c r="R43" s="583">
        <f>W43/S43</f>
        <v>0.39814814814814814</v>
      </c>
      <c r="S43" s="3106">
        <f>SUM(W43:W46)</f>
        <v>108000000</v>
      </c>
      <c r="T43" s="2144" t="s">
        <v>834</v>
      </c>
      <c r="U43" s="151" t="s">
        <v>835</v>
      </c>
      <c r="V43" s="151" t="s">
        <v>836</v>
      </c>
      <c r="W43" s="498">
        <v>43000000</v>
      </c>
      <c r="X43" s="579" t="s">
        <v>837</v>
      </c>
      <c r="Y43" s="584">
        <v>20</v>
      </c>
      <c r="Z43" s="149" t="s">
        <v>694</v>
      </c>
      <c r="AA43" s="2354">
        <v>600</v>
      </c>
      <c r="AB43" s="2354">
        <v>600</v>
      </c>
      <c r="AC43" s="2354">
        <v>125</v>
      </c>
      <c r="AD43" s="2354">
        <v>75</v>
      </c>
      <c r="AE43" s="2354">
        <v>300</v>
      </c>
      <c r="AF43" s="2354">
        <v>700</v>
      </c>
      <c r="AG43" s="2354">
        <v>50</v>
      </c>
      <c r="AH43" s="2354">
        <v>30</v>
      </c>
      <c r="AI43" s="2354"/>
      <c r="AJ43" s="2354"/>
      <c r="AK43" s="2354"/>
      <c r="AL43" s="2354"/>
      <c r="AM43" s="2354">
        <v>10</v>
      </c>
      <c r="AN43" s="2354">
        <v>10</v>
      </c>
      <c r="AO43" s="2354"/>
      <c r="AP43" s="2354">
        <v>1200</v>
      </c>
      <c r="AQ43" s="3111">
        <v>44211</v>
      </c>
      <c r="AR43" s="3114">
        <v>44561</v>
      </c>
      <c r="AS43" s="2984" t="s">
        <v>695</v>
      </c>
    </row>
    <row r="44" spans="1:45" ht="36.75" customHeight="1" x14ac:dyDescent="0.25">
      <c r="A44" s="2424"/>
      <c r="B44" s="2425"/>
      <c r="C44" s="2428"/>
      <c r="D44" s="2429"/>
      <c r="E44" s="3054"/>
      <c r="F44" s="3055"/>
      <c r="G44" s="2307">
        <v>1709034</v>
      </c>
      <c r="H44" s="2119" t="s">
        <v>838</v>
      </c>
      <c r="I44" s="2307">
        <v>1709034</v>
      </c>
      <c r="J44" s="2119" t="s">
        <v>838</v>
      </c>
      <c r="K44" s="3117" t="s">
        <v>839</v>
      </c>
      <c r="L44" s="2174" t="s">
        <v>838</v>
      </c>
      <c r="M44" s="3117" t="s">
        <v>839</v>
      </c>
      <c r="N44" s="2174" t="s">
        <v>838</v>
      </c>
      <c r="O44" s="2172">
        <v>3</v>
      </c>
      <c r="P44" s="3105"/>
      <c r="Q44" s="2055"/>
      <c r="R44" s="3068">
        <f>SUM(W44:W45)/S43</f>
        <v>0.39814814814814814</v>
      </c>
      <c r="S44" s="3106"/>
      <c r="T44" s="2145"/>
      <c r="U44" s="2056" t="s">
        <v>840</v>
      </c>
      <c r="V44" s="2056" t="s">
        <v>841</v>
      </c>
      <c r="W44" s="498">
        <v>30000000</v>
      </c>
      <c r="X44" s="579" t="s">
        <v>842</v>
      </c>
      <c r="Y44" s="3072">
        <v>20</v>
      </c>
      <c r="Z44" s="2154" t="s">
        <v>694</v>
      </c>
      <c r="AA44" s="2355"/>
      <c r="AB44" s="2355"/>
      <c r="AC44" s="2355"/>
      <c r="AD44" s="2355"/>
      <c r="AE44" s="2355"/>
      <c r="AF44" s="2355"/>
      <c r="AG44" s="2355"/>
      <c r="AH44" s="2355"/>
      <c r="AI44" s="2355"/>
      <c r="AJ44" s="2355"/>
      <c r="AK44" s="2355"/>
      <c r="AL44" s="2355"/>
      <c r="AM44" s="2355"/>
      <c r="AN44" s="2355"/>
      <c r="AO44" s="2355"/>
      <c r="AP44" s="2355"/>
      <c r="AQ44" s="3112"/>
      <c r="AR44" s="3115"/>
      <c r="AS44" s="2976"/>
    </row>
    <row r="45" spans="1:45" ht="36.75" customHeight="1" x14ac:dyDescent="0.25">
      <c r="A45" s="2424"/>
      <c r="B45" s="2425"/>
      <c r="C45" s="2428"/>
      <c r="D45" s="2429"/>
      <c r="E45" s="3054"/>
      <c r="F45" s="3055"/>
      <c r="G45" s="2307"/>
      <c r="H45" s="2119"/>
      <c r="I45" s="2307"/>
      <c r="J45" s="2119"/>
      <c r="K45" s="3117"/>
      <c r="L45" s="2174"/>
      <c r="M45" s="3117"/>
      <c r="N45" s="2174"/>
      <c r="O45" s="2172"/>
      <c r="P45" s="3105"/>
      <c r="Q45" s="2055"/>
      <c r="R45" s="3068"/>
      <c r="S45" s="3106"/>
      <c r="T45" s="2145"/>
      <c r="U45" s="2966"/>
      <c r="V45" s="2966"/>
      <c r="W45" s="498">
        <v>13000000</v>
      </c>
      <c r="X45" s="604" t="s">
        <v>843</v>
      </c>
      <c r="Y45" s="3073"/>
      <c r="Z45" s="2129"/>
      <c r="AA45" s="2355"/>
      <c r="AB45" s="2355"/>
      <c r="AC45" s="2355"/>
      <c r="AD45" s="2355"/>
      <c r="AE45" s="2355"/>
      <c r="AF45" s="2355"/>
      <c r="AG45" s="2355"/>
      <c r="AH45" s="2355"/>
      <c r="AI45" s="2355"/>
      <c r="AJ45" s="2355"/>
      <c r="AK45" s="2355"/>
      <c r="AL45" s="2355"/>
      <c r="AM45" s="2355"/>
      <c r="AN45" s="2355"/>
      <c r="AO45" s="2355"/>
      <c r="AP45" s="2355"/>
      <c r="AQ45" s="3112"/>
      <c r="AR45" s="3115">
        <v>44561</v>
      </c>
      <c r="AS45" s="2976"/>
    </row>
    <row r="46" spans="1:45" ht="45" x14ac:dyDescent="0.25">
      <c r="A46" s="2424"/>
      <c r="B46" s="2425"/>
      <c r="C46" s="2430"/>
      <c r="D46" s="2431"/>
      <c r="E46" s="3056"/>
      <c r="F46" s="3057"/>
      <c r="G46" s="542">
        <v>1709093</v>
      </c>
      <c r="H46" s="487" t="s">
        <v>844</v>
      </c>
      <c r="I46" s="542">
        <v>1709093</v>
      </c>
      <c r="J46" s="487" t="s">
        <v>844</v>
      </c>
      <c r="K46" s="486" t="s">
        <v>845</v>
      </c>
      <c r="L46" s="488" t="s">
        <v>846</v>
      </c>
      <c r="M46" s="486" t="s">
        <v>845</v>
      </c>
      <c r="N46" s="488" t="s">
        <v>846</v>
      </c>
      <c r="O46" s="214">
        <v>2</v>
      </c>
      <c r="P46" s="3105"/>
      <c r="Q46" s="2055"/>
      <c r="R46" s="583">
        <f>W46/S43</f>
        <v>0.20370370370370369</v>
      </c>
      <c r="S46" s="3106"/>
      <c r="T46" s="2146"/>
      <c r="U46" s="488" t="s">
        <v>847</v>
      </c>
      <c r="V46" s="151" t="s">
        <v>848</v>
      </c>
      <c r="W46" s="498">
        <v>22000000</v>
      </c>
      <c r="X46" s="604" t="s">
        <v>849</v>
      </c>
      <c r="Y46" s="605">
        <v>20</v>
      </c>
      <c r="Z46" s="248" t="s">
        <v>694</v>
      </c>
      <c r="AA46" s="2355"/>
      <c r="AB46" s="2355"/>
      <c r="AC46" s="2355"/>
      <c r="AD46" s="2355"/>
      <c r="AE46" s="2355"/>
      <c r="AF46" s="2355"/>
      <c r="AG46" s="2355"/>
      <c r="AH46" s="2355"/>
      <c r="AI46" s="2355"/>
      <c r="AJ46" s="2355"/>
      <c r="AK46" s="2355"/>
      <c r="AL46" s="2355"/>
      <c r="AM46" s="2355"/>
      <c r="AN46" s="2355"/>
      <c r="AO46" s="2355"/>
      <c r="AP46" s="2355"/>
      <c r="AQ46" s="3113"/>
      <c r="AR46" s="3116"/>
      <c r="AS46" s="2976"/>
    </row>
    <row r="47" spans="1:45" ht="23.25" customHeight="1" x14ac:dyDescent="0.25">
      <c r="A47" s="2424"/>
      <c r="B47" s="2425"/>
      <c r="C47" s="459">
        <v>35</v>
      </c>
      <c r="D47" s="2303" t="s">
        <v>850</v>
      </c>
      <c r="E47" s="2303"/>
      <c r="F47" s="2303"/>
      <c r="G47" s="2303"/>
      <c r="H47" s="2303"/>
      <c r="I47" s="2303"/>
      <c r="J47" s="2303"/>
      <c r="K47" s="610"/>
      <c r="L47" s="484"/>
      <c r="M47" s="510"/>
      <c r="N47" s="484"/>
      <c r="O47" s="535"/>
      <c r="P47" s="611"/>
      <c r="Q47" s="463"/>
      <c r="R47" s="612"/>
      <c r="S47" s="613"/>
      <c r="T47" s="463"/>
      <c r="U47" s="614"/>
      <c r="V47" s="463"/>
      <c r="W47" s="615"/>
      <c r="X47" s="616"/>
      <c r="Y47" s="617"/>
      <c r="Z47" s="618"/>
      <c r="AA47" s="619"/>
      <c r="AB47" s="619"/>
      <c r="AC47" s="619"/>
      <c r="AD47" s="619"/>
      <c r="AE47" s="619"/>
      <c r="AF47" s="619"/>
      <c r="AG47" s="620"/>
      <c r="AH47" s="620"/>
      <c r="AI47" s="620"/>
      <c r="AJ47" s="620"/>
      <c r="AK47" s="620"/>
      <c r="AL47" s="620"/>
      <c r="AM47" s="620"/>
      <c r="AN47" s="620"/>
      <c r="AO47" s="619"/>
      <c r="AP47" s="619"/>
      <c r="AQ47" s="621"/>
      <c r="AR47" s="621"/>
      <c r="AS47" s="622"/>
    </row>
    <row r="48" spans="1:45" ht="23.25" customHeight="1" x14ac:dyDescent="0.25">
      <c r="A48" s="2424"/>
      <c r="B48" s="2425"/>
      <c r="C48" s="2332"/>
      <c r="D48" s="2333"/>
      <c r="E48" s="573">
        <v>3502</v>
      </c>
      <c r="F48" s="2304" t="s">
        <v>851</v>
      </c>
      <c r="G48" s="2304"/>
      <c r="H48" s="2304"/>
      <c r="I48" s="2304"/>
      <c r="J48" s="2304"/>
      <c r="K48" s="2304"/>
      <c r="L48" s="2304"/>
      <c r="M48" s="206"/>
      <c r="N48" s="327"/>
      <c r="O48" s="206"/>
      <c r="P48" s="206"/>
      <c r="Q48" s="327"/>
      <c r="R48" s="204"/>
      <c r="S48" s="599"/>
      <c r="T48" s="327"/>
      <c r="U48" s="327"/>
      <c r="V48" s="327"/>
      <c r="W48" s="600"/>
      <c r="X48" s="574"/>
      <c r="Y48" s="575"/>
      <c r="Z48" s="576"/>
      <c r="AA48" s="576"/>
      <c r="AB48" s="576"/>
      <c r="AC48" s="576"/>
      <c r="AD48" s="576"/>
      <c r="AE48" s="576"/>
      <c r="AF48" s="576"/>
      <c r="AG48" s="576"/>
      <c r="AH48" s="576"/>
      <c r="AI48" s="576"/>
      <c r="AJ48" s="576"/>
      <c r="AK48" s="576"/>
      <c r="AL48" s="576"/>
      <c r="AM48" s="576"/>
      <c r="AN48" s="576"/>
      <c r="AO48" s="576"/>
      <c r="AP48" s="576"/>
      <c r="AQ48" s="577"/>
      <c r="AR48" s="577"/>
      <c r="AS48" s="578"/>
    </row>
    <row r="49" spans="1:45" ht="75" customHeight="1" x14ac:dyDescent="0.25">
      <c r="A49" s="2424"/>
      <c r="B49" s="2425"/>
      <c r="C49" s="2134"/>
      <c r="D49" s="2110"/>
      <c r="E49" s="3052"/>
      <c r="F49" s="3053"/>
      <c r="G49" s="542">
        <v>3502017</v>
      </c>
      <c r="H49" s="474" t="s">
        <v>852</v>
      </c>
      <c r="I49" s="542">
        <v>3502017</v>
      </c>
      <c r="J49" s="474" t="s">
        <v>852</v>
      </c>
      <c r="K49" s="475" t="s">
        <v>853</v>
      </c>
      <c r="L49" s="581" t="s">
        <v>854</v>
      </c>
      <c r="M49" s="475" t="s">
        <v>853</v>
      </c>
      <c r="N49" s="581" t="s">
        <v>854</v>
      </c>
      <c r="O49" s="582">
        <v>6</v>
      </c>
      <c r="P49" s="3067" t="s">
        <v>855</v>
      </c>
      <c r="Q49" s="2190" t="s">
        <v>856</v>
      </c>
      <c r="R49" s="583">
        <f>W49/S49</f>
        <v>0.5</v>
      </c>
      <c r="S49" s="3106">
        <f>SUM(W49:W50)</f>
        <v>36000000</v>
      </c>
      <c r="T49" s="2144" t="s">
        <v>857</v>
      </c>
      <c r="U49" s="2056" t="s">
        <v>858</v>
      </c>
      <c r="V49" s="151" t="s">
        <v>859</v>
      </c>
      <c r="W49" s="85">
        <v>18000000</v>
      </c>
      <c r="X49" s="579" t="s">
        <v>860</v>
      </c>
      <c r="Y49" s="584">
        <v>20</v>
      </c>
      <c r="Z49" s="149" t="s">
        <v>694</v>
      </c>
      <c r="AA49" s="2354">
        <v>655</v>
      </c>
      <c r="AB49" s="2354">
        <v>1234</v>
      </c>
      <c r="AC49" s="2354">
        <v>253</v>
      </c>
      <c r="AD49" s="2354">
        <v>172</v>
      </c>
      <c r="AE49" s="2354">
        <v>1200</v>
      </c>
      <c r="AF49" s="2354">
        <v>633</v>
      </c>
      <c r="AG49" s="2354">
        <v>126</v>
      </c>
      <c r="AH49" s="2354">
        <v>120</v>
      </c>
      <c r="AI49" s="2354"/>
      <c r="AJ49" s="2354"/>
      <c r="AK49" s="2354"/>
      <c r="AL49" s="2354"/>
      <c r="AM49" s="2354">
        <v>582</v>
      </c>
      <c r="AN49" s="2354">
        <v>33</v>
      </c>
      <c r="AO49" s="2354">
        <v>51</v>
      </c>
      <c r="AP49" s="2354">
        <v>1889</v>
      </c>
      <c r="AQ49" s="2982"/>
      <c r="AR49" s="2982">
        <v>44561</v>
      </c>
      <c r="AS49" s="2984" t="s">
        <v>695</v>
      </c>
    </row>
    <row r="50" spans="1:45" ht="45" x14ac:dyDescent="0.25">
      <c r="A50" s="2450"/>
      <c r="B50" s="2451"/>
      <c r="C50" s="2135"/>
      <c r="D50" s="2334"/>
      <c r="E50" s="3056"/>
      <c r="F50" s="3057"/>
      <c r="G50" s="542">
        <v>3502007</v>
      </c>
      <c r="H50" s="474" t="s">
        <v>861</v>
      </c>
      <c r="I50" s="542">
        <v>3502007</v>
      </c>
      <c r="J50" s="474" t="s">
        <v>861</v>
      </c>
      <c r="K50" s="452" t="s">
        <v>862</v>
      </c>
      <c r="L50" s="222" t="s">
        <v>863</v>
      </c>
      <c r="M50" s="452" t="s">
        <v>862</v>
      </c>
      <c r="N50" s="222" t="s">
        <v>863</v>
      </c>
      <c r="O50" s="452">
        <v>5</v>
      </c>
      <c r="P50" s="3067"/>
      <c r="Q50" s="2190"/>
      <c r="R50" s="583">
        <f>W50/S49</f>
        <v>0.5</v>
      </c>
      <c r="S50" s="3106"/>
      <c r="T50" s="2146"/>
      <c r="U50" s="2966"/>
      <c r="V50" s="151" t="s">
        <v>864</v>
      </c>
      <c r="W50" s="85">
        <v>18000000</v>
      </c>
      <c r="X50" s="579" t="s">
        <v>865</v>
      </c>
      <c r="Y50" s="605">
        <v>20</v>
      </c>
      <c r="Z50" s="248" t="s">
        <v>694</v>
      </c>
      <c r="AA50" s="2355"/>
      <c r="AB50" s="2355"/>
      <c r="AC50" s="2355"/>
      <c r="AD50" s="2355"/>
      <c r="AE50" s="2355"/>
      <c r="AF50" s="2355"/>
      <c r="AG50" s="2355"/>
      <c r="AH50" s="2355"/>
      <c r="AI50" s="2355"/>
      <c r="AJ50" s="2355"/>
      <c r="AK50" s="2355"/>
      <c r="AL50" s="2355"/>
      <c r="AM50" s="2355"/>
      <c r="AN50" s="2355"/>
      <c r="AO50" s="2355"/>
      <c r="AP50" s="2355"/>
      <c r="AQ50" s="2983"/>
      <c r="AR50" s="2973"/>
      <c r="AS50" s="2976"/>
    </row>
    <row r="51" spans="1:45" ht="15.75" x14ac:dyDescent="0.25">
      <c r="A51" s="440">
        <v>3</v>
      </c>
      <c r="B51" s="2302" t="s">
        <v>488</v>
      </c>
      <c r="C51" s="2302"/>
      <c r="D51" s="2302"/>
      <c r="E51" s="2302"/>
      <c r="F51" s="2302"/>
      <c r="G51" s="2302"/>
      <c r="H51" s="2302"/>
      <c r="I51" s="303"/>
      <c r="J51" s="302"/>
      <c r="K51" s="303"/>
      <c r="L51" s="302"/>
      <c r="M51" s="303"/>
      <c r="N51" s="302"/>
      <c r="O51" s="303"/>
      <c r="P51" s="303"/>
      <c r="Q51" s="302"/>
      <c r="R51" s="306"/>
      <c r="S51" s="623"/>
      <c r="T51" s="302"/>
      <c r="U51" s="302"/>
      <c r="V51" s="302"/>
      <c r="W51" s="624"/>
      <c r="X51" s="27"/>
      <c r="Y51" s="379"/>
      <c r="Z51" s="375"/>
      <c r="AA51" s="375"/>
      <c r="AB51" s="375"/>
      <c r="AC51" s="375"/>
      <c r="AD51" s="375"/>
      <c r="AE51" s="375"/>
      <c r="AF51" s="375"/>
      <c r="AG51" s="375"/>
      <c r="AH51" s="375"/>
      <c r="AI51" s="375"/>
      <c r="AJ51" s="375"/>
      <c r="AK51" s="375"/>
      <c r="AL51" s="375"/>
      <c r="AM51" s="375"/>
      <c r="AN51" s="375"/>
      <c r="AO51" s="375"/>
      <c r="AP51" s="375"/>
      <c r="AQ51" s="625"/>
      <c r="AR51" s="625"/>
      <c r="AS51" s="626"/>
    </row>
    <row r="52" spans="1:45" s="80" customFormat="1" ht="15.75" x14ac:dyDescent="0.25">
      <c r="A52" s="2422"/>
      <c r="B52" s="2423"/>
      <c r="C52" s="459">
        <v>32</v>
      </c>
      <c r="D52" s="2303" t="s">
        <v>549</v>
      </c>
      <c r="E52" s="2303"/>
      <c r="F52" s="2303"/>
      <c r="G52" s="2303"/>
      <c r="H52" s="2303"/>
      <c r="I52" s="2303"/>
      <c r="J52" s="2303"/>
      <c r="K52" s="2303"/>
      <c r="L52" s="317"/>
      <c r="M52" s="316"/>
      <c r="N52" s="317"/>
      <c r="O52" s="316"/>
      <c r="P52" s="316"/>
      <c r="Q52" s="317"/>
      <c r="R52" s="319"/>
      <c r="S52" s="627"/>
      <c r="T52" s="317"/>
      <c r="U52" s="317"/>
      <c r="V52" s="317"/>
      <c r="W52" s="628"/>
      <c r="X52" s="568"/>
      <c r="Y52" s="569"/>
      <c r="Z52" s="570"/>
      <c r="AA52" s="570"/>
      <c r="AB52" s="570"/>
      <c r="AC52" s="570"/>
      <c r="AD52" s="570"/>
      <c r="AE52" s="570"/>
      <c r="AF52" s="570"/>
      <c r="AG52" s="570"/>
      <c r="AH52" s="570"/>
      <c r="AI52" s="570"/>
      <c r="AJ52" s="570"/>
      <c r="AK52" s="570"/>
      <c r="AL52" s="570"/>
      <c r="AM52" s="570"/>
      <c r="AN52" s="570"/>
      <c r="AO52" s="570"/>
      <c r="AP52" s="570"/>
      <c r="AQ52" s="571"/>
      <c r="AR52" s="571"/>
      <c r="AS52" s="572"/>
    </row>
    <row r="53" spans="1:45" ht="15.75" x14ac:dyDescent="0.25">
      <c r="A53" s="2424"/>
      <c r="B53" s="2425"/>
      <c r="C53" s="2332"/>
      <c r="D53" s="2333"/>
      <c r="E53" s="206">
        <v>3201</v>
      </c>
      <c r="F53" s="2304" t="s">
        <v>866</v>
      </c>
      <c r="G53" s="2304"/>
      <c r="H53" s="2304"/>
      <c r="I53" s="2304"/>
      <c r="J53" s="2304"/>
      <c r="K53" s="2304"/>
      <c r="L53" s="2304"/>
      <c r="M53" s="206"/>
      <c r="N53" s="327"/>
      <c r="O53" s="206"/>
      <c r="P53" s="206"/>
      <c r="Q53" s="327"/>
      <c r="R53" s="206"/>
      <c r="S53" s="599"/>
      <c r="T53" s="327"/>
      <c r="U53" s="327"/>
      <c r="V53" s="327"/>
      <c r="W53" s="600"/>
      <c r="X53" s="574"/>
      <c r="Y53" s="538"/>
      <c r="Z53" s="538"/>
      <c r="AA53" s="538"/>
      <c r="AB53" s="538"/>
      <c r="AC53" s="538"/>
      <c r="AD53" s="538"/>
      <c r="AE53" s="538"/>
      <c r="AF53" s="538"/>
      <c r="AG53" s="538"/>
      <c r="AH53" s="538"/>
      <c r="AI53" s="538"/>
      <c r="AJ53" s="538"/>
      <c r="AK53" s="538"/>
      <c r="AL53" s="538"/>
      <c r="AM53" s="538"/>
      <c r="AN53" s="538"/>
      <c r="AO53" s="538"/>
      <c r="AP53" s="538"/>
      <c r="AQ53" s="538"/>
      <c r="AR53" s="538"/>
      <c r="AS53" s="538"/>
    </row>
    <row r="54" spans="1:45" ht="69.75" customHeight="1" x14ac:dyDescent="0.25">
      <c r="A54" s="2424"/>
      <c r="B54" s="2425"/>
      <c r="C54" s="2134"/>
      <c r="D54" s="2110"/>
      <c r="E54" s="2422"/>
      <c r="F54" s="2423"/>
      <c r="G54" s="539">
        <v>3201013</v>
      </c>
      <c r="H54" s="222" t="s">
        <v>867</v>
      </c>
      <c r="I54" s="539">
        <v>3201013</v>
      </c>
      <c r="J54" s="222" t="s">
        <v>867</v>
      </c>
      <c r="K54" s="539">
        <v>320101300</v>
      </c>
      <c r="L54" s="222" t="s">
        <v>868</v>
      </c>
      <c r="M54" s="539">
        <v>320101300</v>
      </c>
      <c r="N54" s="222" t="s">
        <v>868</v>
      </c>
      <c r="O54" s="544">
        <v>1</v>
      </c>
      <c r="P54" s="3067" t="s">
        <v>869</v>
      </c>
      <c r="Q54" s="2191" t="s">
        <v>870</v>
      </c>
      <c r="R54" s="629">
        <f>W54/S54</f>
        <v>0.3902439024390244</v>
      </c>
      <c r="S54" s="3119">
        <f>SUM(W54:W55)</f>
        <v>82000000</v>
      </c>
      <c r="T54" s="2320" t="s">
        <v>871</v>
      </c>
      <c r="U54" s="2141" t="s">
        <v>872</v>
      </c>
      <c r="V54" s="488" t="s">
        <v>873</v>
      </c>
      <c r="W54" s="97">
        <v>32000000</v>
      </c>
      <c r="X54" s="579" t="s">
        <v>874</v>
      </c>
      <c r="Y54" s="3120">
        <v>20</v>
      </c>
      <c r="Z54" s="2879" t="s">
        <v>694</v>
      </c>
      <c r="AA54" s="3118">
        <v>39408</v>
      </c>
      <c r="AB54" s="3118">
        <v>38892</v>
      </c>
      <c r="AC54" s="3118">
        <v>15324</v>
      </c>
      <c r="AD54" s="3118">
        <v>7104</v>
      </c>
      <c r="AE54" s="3118">
        <v>40867</v>
      </c>
      <c r="AF54" s="3118">
        <v>15005</v>
      </c>
      <c r="AG54" s="3118"/>
      <c r="AH54" s="3118"/>
      <c r="AI54" s="3118"/>
      <c r="AJ54" s="3118"/>
      <c r="AK54" s="3118"/>
      <c r="AL54" s="3118"/>
      <c r="AM54" s="3118"/>
      <c r="AN54" s="3118"/>
      <c r="AO54" s="3118"/>
      <c r="AP54" s="3118">
        <f>SUM(AA54:AB55)</f>
        <v>78300</v>
      </c>
      <c r="AQ54" s="3127">
        <v>44211</v>
      </c>
      <c r="AR54" s="3129">
        <v>44561</v>
      </c>
      <c r="AS54" s="2879" t="s">
        <v>695</v>
      </c>
    </row>
    <row r="55" spans="1:45" ht="69.75" customHeight="1" x14ac:dyDescent="0.25">
      <c r="A55" s="2424"/>
      <c r="B55" s="2425"/>
      <c r="C55" s="2134"/>
      <c r="D55" s="2110"/>
      <c r="E55" s="2450"/>
      <c r="F55" s="2451"/>
      <c r="G55" s="539">
        <v>3201008</v>
      </c>
      <c r="H55" s="222" t="s">
        <v>875</v>
      </c>
      <c r="I55" s="539">
        <v>3201008</v>
      </c>
      <c r="J55" s="222" t="s">
        <v>875</v>
      </c>
      <c r="K55" s="539">
        <v>320100805</v>
      </c>
      <c r="L55" s="222" t="s">
        <v>876</v>
      </c>
      <c r="M55" s="539">
        <v>320100805</v>
      </c>
      <c r="N55" s="222" t="s">
        <v>876</v>
      </c>
      <c r="O55" s="544">
        <v>2</v>
      </c>
      <c r="P55" s="3067"/>
      <c r="Q55" s="2191"/>
      <c r="R55" s="629">
        <f>W55/S54</f>
        <v>0.6097560975609756</v>
      </c>
      <c r="S55" s="3119"/>
      <c r="T55" s="2322"/>
      <c r="U55" s="2143"/>
      <c r="V55" s="488" t="s">
        <v>877</v>
      </c>
      <c r="W55" s="97">
        <v>50000000</v>
      </c>
      <c r="X55" s="579" t="s">
        <v>878</v>
      </c>
      <c r="Y55" s="3120"/>
      <c r="Z55" s="2879"/>
      <c r="AA55" s="3118"/>
      <c r="AB55" s="3118"/>
      <c r="AC55" s="3118"/>
      <c r="AD55" s="3118"/>
      <c r="AE55" s="3118"/>
      <c r="AF55" s="3118"/>
      <c r="AG55" s="3118"/>
      <c r="AH55" s="3118"/>
      <c r="AI55" s="3118"/>
      <c r="AJ55" s="3118"/>
      <c r="AK55" s="3118"/>
      <c r="AL55" s="3118"/>
      <c r="AM55" s="3118"/>
      <c r="AN55" s="3118"/>
      <c r="AO55" s="3118"/>
      <c r="AP55" s="3118"/>
      <c r="AQ55" s="3128"/>
      <c r="AR55" s="3130"/>
      <c r="AS55" s="2879"/>
    </row>
    <row r="56" spans="1:45" ht="15.75" x14ac:dyDescent="0.25">
      <c r="A56" s="2424"/>
      <c r="B56" s="2425"/>
      <c r="C56" s="2134"/>
      <c r="D56" s="2110"/>
      <c r="E56" s="573">
        <v>3202</v>
      </c>
      <c r="F56" s="2304" t="s">
        <v>879</v>
      </c>
      <c r="G56" s="2304"/>
      <c r="H56" s="2304"/>
      <c r="I56" s="2304"/>
      <c r="J56" s="2304"/>
      <c r="K56" s="2304"/>
      <c r="L56" s="2304"/>
      <c r="M56" s="206"/>
      <c r="N56" s="327"/>
      <c r="O56" s="206"/>
      <c r="P56" s="206"/>
      <c r="Q56" s="327"/>
      <c r="R56" s="206"/>
      <c r="S56" s="599"/>
      <c r="T56" s="327"/>
      <c r="U56" s="327"/>
      <c r="V56" s="327"/>
      <c r="W56" s="600"/>
      <c r="X56" s="574"/>
      <c r="Y56" s="576"/>
      <c r="Z56" s="576"/>
      <c r="AA56" s="576"/>
      <c r="AB56" s="576"/>
      <c r="AC56" s="576"/>
      <c r="AD56" s="576"/>
      <c r="AE56" s="576"/>
      <c r="AF56" s="576"/>
      <c r="AG56" s="576"/>
      <c r="AH56" s="576"/>
      <c r="AI56" s="576"/>
      <c r="AJ56" s="576"/>
      <c r="AK56" s="576"/>
      <c r="AL56" s="576"/>
      <c r="AM56" s="576"/>
      <c r="AN56" s="576"/>
      <c r="AO56" s="576"/>
      <c r="AP56" s="576"/>
      <c r="AQ56" s="576"/>
      <c r="AR56" s="576"/>
      <c r="AS56" s="576"/>
    </row>
    <row r="57" spans="1:45" ht="39" customHeight="1" x14ac:dyDescent="0.25">
      <c r="A57" s="2424"/>
      <c r="B57" s="2425"/>
      <c r="C57" s="2134"/>
      <c r="D57" s="2110"/>
      <c r="E57" s="3121"/>
      <c r="F57" s="3122"/>
      <c r="G57" s="2307" t="s">
        <v>880</v>
      </c>
      <c r="H57" s="2410" t="s">
        <v>881</v>
      </c>
      <c r="I57" s="2307" t="s">
        <v>880</v>
      </c>
      <c r="J57" s="2410" t="s">
        <v>881</v>
      </c>
      <c r="K57" s="2408" t="s">
        <v>882</v>
      </c>
      <c r="L57" s="2513" t="s">
        <v>883</v>
      </c>
      <c r="M57" s="2408" t="s">
        <v>882</v>
      </c>
      <c r="N57" s="2513" t="s">
        <v>883</v>
      </c>
      <c r="O57" s="2514">
        <v>600</v>
      </c>
      <c r="P57" s="3049" t="s">
        <v>884</v>
      </c>
      <c r="Q57" s="2410" t="s">
        <v>885</v>
      </c>
      <c r="R57" s="3068">
        <f>SUM(W57:W59)/S57</f>
        <v>0.19203384449166835</v>
      </c>
      <c r="S57" s="3131">
        <f>SUM(W57:W64)</f>
        <v>1145631389</v>
      </c>
      <c r="T57" s="2144" t="s">
        <v>886</v>
      </c>
      <c r="U57" s="2141" t="s">
        <v>887</v>
      </c>
      <c r="V57" s="2141" t="s">
        <v>888</v>
      </c>
      <c r="W57" s="97">
        <v>189900000</v>
      </c>
      <c r="X57" s="579" t="s">
        <v>889</v>
      </c>
      <c r="Y57" s="630">
        <v>20</v>
      </c>
      <c r="Z57" s="149" t="s">
        <v>694</v>
      </c>
      <c r="AA57" s="2108">
        <v>291786</v>
      </c>
      <c r="AB57" s="2108">
        <v>270331</v>
      </c>
      <c r="AC57" s="2108">
        <v>102045</v>
      </c>
      <c r="AD57" s="2108">
        <v>39183</v>
      </c>
      <c r="AE57" s="2108">
        <v>310195</v>
      </c>
      <c r="AF57" s="2108">
        <v>110694</v>
      </c>
      <c r="AG57" s="2108"/>
      <c r="AH57" s="2108"/>
      <c r="AI57" s="2108"/>
      <c r="AJ57" s="2108"/>
      <c r="AK57" s="2108"/>
      <c r="AL57" s="2108"/>
      <c r="AM57" s="2108"/>
      <c r="AN57" s="2108"/>
      <c r="AO57" s="2108"/>
      <c r="AP57" s="2108">
        <v>562117</v>
      </c>
      <c r="AQ57" s="3132">
        <v>44211</v>
      </c>
      <c r="AR57" s="3135">
        <v>44561</v>
      </c>
      <c r="AS57" s="2283" t="s">
        <v>695</v>
      </c>
    </row>
    <row r="58" spans="1:45" ht="39" customHeight="1" x14ac:dyDescent="0.25">
      <c r="A58" s="2424"/>
      <c r="B58" s="2425"/>
      <c r="C58" s="2134"/>
      <c r="D58" s="2110"/>
      <c r="E58" s="3123"/>
      <c r="F58" s="3124"/>
      <c r="G58" s="2307"/>
      <c r="H58" s="2410"/>
      <c r="I58" s="2307"/>
      <c r="J58" s="2410"/>
      <c r="K58" s="2408"/>
      <c r="L58" s="2513"/>
      <c r="M58" s="2408"/>
      <c r="N58" s="2513"/>
      <c r="O58" s="2514"/>
      <c r="P58" s="3050"/>
      <c r="Q58" s="2410"/>
      <c r="R58" s="3068"/>
      <c r="S58" s="3131"/>
      <c r="T58" s="2145"/>
      <c r="U58" s="2142"/>
      <c r="V58" s="2142"/>
      <c r="W58" s="97">
        <v>10100000</v>
      </c>
      <c r="X58" s="579" t="s">
        <v>890</v>
      </c>
      <c r="Y58" s="630"/>
      <c r="Z58" s="149" t="s">
        <v>694</v>
      </c>
      <c r="AA58" s="2108"/>
      <c r="AB58" s="2108"/>
      <c r="AC58" s="2108"/>
      <c r="AD58" s="2108"/>
      <c r="AE58" s="2108"/>
      <c r="AF58" s="2108"/>
      <c r="AG58" s="2108"/>
      <c r="AH58" s="2108"/>
      <c r="AI58" s="2108"/>
      <c r="AJ58" s="2108"/>
      <c r="AK58" s="2108"/>
      <c r="AL58" s="2108"/>
      <c r="AM58" s="2108"/>
      <c r="AN58" s="2108"/>
      <c r="AO58" s="2108"/>
      <c r="AP58" s="2108"/>
      <c r="AQ58" s="3133"/>
      <c r="AR58" s="3136"/>
      <c r="AS58" s="2283"/>
    </row>
    <row r="59" spans="1:45" ht="39" customHeight="1" x14ac:dyDescent="0.25">
      <c r="A59" s="2424"/>
      <c r="B59" s="2425"/>
      <c r="C59" s="2134"/>
      <c r="D59" s="2110"/>
      <c r="E59" s="3123"/>
      <c r="F59" s="3124"/>
      <c r="G59" s="2307"/>
      <c r="H59" s="2410"/>
      <c r="I59" s="2307"/>
      <c r="J59" s="2410"/>
      <c r="K59" s="2408"/>
      <c r="L59" s="2513"/>
      <c r="M59" s="2408"/>
      <c r="N59" s="2513"/>
      <c r="O59" s="2514"/>
      <c r="P59" s="3050"/>
      <c r="Q59" s="2410"/>
      <c r="R59" s="3068"/>
      <c r="S59" s="3131"/>
      <c r="T59" s="2145"/>
      <c r="U59" s="2142"/>
      <c r="V59" s="2143"/>
      <c r="W59" s="97">
        <v>20000000</v>
      </c>
      <c r="X59" s="579" t="s">
        <v>891</v>
      </c>
      <c r="Y59" s="630">
        <v>20</v>
      </c>
      <c r="Z59" s="149" t="s">
        <v>694</v>
      </c>
      <c r="AA59" s="2108"/>
      <c r="AB59" s="2108"/>
      <c r="AC59" s="2108"/>
      <c r="AD59" s="2108"/>
      <c r="AE59" s="2108"/>
      <c r="AF59" s="2108"/>
      <c r="AG59" s="2108"/>
      <c r="AH59" s="2108"/>
      <c r="AI59" s="2108"/>
      <c r="AJ59" s="2108"/>
      <c r="AK59" s="2108"/>
      <c r="AL59" s="2108"/>
      <c r="AM59" s="2108"/>
      <c r="AN59" s="2108"/>
      <c r="AO59" s="2108"/>
      <c r="AP59" s="2108"/>
      <c r="AQ59" s="3133"/>
      <c r="AR59" s="3136"/>
      <c r="AS59" s="2283"/>
    </row>
    <row r="60" spans="1:45" ht="39" customHeight="1" x14ac:dyDescent="0.25">
      <c r="A60" s="2424"/>
      <c r="B60" s="2425"/>
      <c r="C60" s="2134"/>
      <c r="D60" s="2110"/>
      <c r="E60" s="3123"/>
      <c r="F60" s="3124"/>
      <c r="G60" s="542">
        <v>3202037</v>
      </c>
      <c r="H60" s="474" t="s">
        <v>892</v>
      </c>
      <c r="I60" s="542">
        <v>3202037</v>
      </c>
      <c r="J60" s="474" t="s">
        <v>892</v>
      </c>
      <c r="K60" s="475">
        <v>320203704</v>
      </c>
      <c r="L60" s="581" t="s">
        <v>893</v>
      </c>
      <c r="M60" s="475" t="s">
        <v>894</v>
      </c>
      <c r="N60" s="581" t="s">
        <v>893</v>
      </c>
      <c r="O60" s="582">
        <v>40</v>
      </c>
      <c r="P60" s="3050"/>
      <c r="Q60" s="2410"/>
      <c r="R60" s="583">
        <f>W60/S57</f>
        <v>8.3140342447443186E-2</v>
      </c>
      <c r="S60" s="3131"/>
      <c r="T60" s="2145"/>
      <c r="U60" s="2142"/>
      <c r="V60" s="488" t="s">
        <v>895</v>
      </c>
      <c r="W60" s="498">
        <f>82575952+12672234</f>
        <v>95248186</v>
      </c>
      <c r="X60" s="579" t="s">
        <v>896</v>
      </c>
      <c r="Y60" s="630">
        <v>20</v>
      </c>
      <c r="Z60" s="149" t="s">
        <v>694</v>
      </c>
      <c r="AA60" s="2108"/>
      <c r="AB60" s="2108"/>
      <c r="AC60" s="2108"/>
      <c r="AD60" s="2108"/>
      <c r="AE60" s="2108"/>
      <c r="AF60" s="2108"/>
      <c r="AG60" s="2108"/>
      <c r="AH60" s="2108"/>
      <c r="AI60" s="2108"/>
      <c r="AJ60" s="2108"/>
      <c r="AK60" s="2108"/>
      <c r="AL60" s="2108"/>
      <c r="AM60" s="2108"/>
      <c r="AN60" s="2108"/>
      <c r="AO60" s="2108"/>
      <c r="AP60" s="2108"/>
      <c r="AQ60" s="3133"/>
      <c r="AR60" s="3136"/>
      <c r="AS60" s="2283"/>
    </row>
    <row r="61" spans="1:45" ht="39" customHeight="1" x14ac:dyDescent="0.25">
      <c r="A61" s="2424"/>
      <c r="B61" s="2425"/>
      <c r="C61" s="2134"/>
      <c r="D61" s="2110"/>
      <c r="E61" s="3123"/>
      <c r="F61" s="3124"/>
      <c r="G61" s="3138">
        <v>3202037</v>
      </c>
      <c r="H61" s="2410" t="s">
        <v>897</v>
      </c>
      <c r="I61" s="3138">
        <v>3202037</v>
      </c>
      <c r="J61" s="2410" t="s">
        <v>892</v>
      </c>
      <c r="K61" s="3138">
        <v>320203700</v>
      </c>
      <c r="L61" s="2514" t="s">
        <v>898</v>
      </c>
      <c r="M61" s="3143">
        <v>320203700</v>
      </c>
      <c r="N61" s="2513" t="s">
        <v>899</v>
      </c>
      <c r="O61" s="2514">
        <v>60</v>
      </c>
      <c r="P61" s="3050"/>
      <c r="Q61" s="2410"/>
      <c r="R61" s="3080">
        <f>SUM(W61:W63)/S57</f>
        <v>0.62008007970179668</v>
      </c>
      <c r="S61" s="3131"/>
      <c r="T61" s="2145"/>
      <c r="U61" s="2142"/>
      <c r="V61" s="2141" t="s">
        <v>900</v>
      </c>
      <c r="W61" s="498">
        <v>290383203</v>
      </c>
      <c r="X61" s="342" t="s">
        <v>901</v>
      </c>
      <c r="Y61" s="219">
        <v>88</v>
      </c>
      <c r="Z61" s="631" t="s">
        <v>358</v>
      </c>
      <c r="AA61" s="2108"/>
      <c r="AB61" s="2108"/>
      <c r="AC61" s="2108"/>
      <c r="AD61" s="2108"/>
      <c r="AE61" s="2108"/>
      <c r="AF61" s="2108"/>
      <c r="AG61" s="2108"/>
      <c r="AH61" s="2108"/>
      <c r="AI61" s="2108"/>
      <c r="AJ61" s="2108"/>
      <c r="AK61" s="2108"/>
      <c r="AL61" s="2108"/>
      <c r="AM61" s="2108"/>
      <c r="AN61" s="2108"/>
      <c r="AO61" s="2108"/>
      <c r="AP61" s="2108"/>
      <c r="AQ61" s="3133"/>
      <c r="AR61" s="3136"/>
      <c r="AS61" s="2283"/>
    </row>
    <row r="62" spans="1:45" ht="39" customHeight="1" x14ac:dyDescent="0.25">
      <c r="A62" s="2424"/>
      <c r="B62" s="2425"/>
      <c r="C62" s="2134"/>
      <c r="D62" s="2110"/>
      <c r="E62" s="3123"/>
      <c r="F62" s="3124"/>
      <c r="G62" s="3138"/>
      <c r="H62" s="2410"/>
      <c r="I62" s="3138"/>
      <c r="J62" s="2410"/>
      <c r="K62" s="3138"/>
      <c r="L62" s="2514"/>
      <c r="M62" s="3143"/>
      <c r="N62" s="2513"/>
      <c r="O62" s="2514"/>
      <c r="P62" s="3050"/>
      <c r="Q62" s="2410"/>
      <c r="R62" s="3082"/>
      <c r="S62" s="3131"/>
      <c r="T62" s="2145"/>
      <c r="U62" s="2142"/>
      <c r="V62" s="2142"/>
      <c r="W62" s="498">
        <f>400000000+20000000-20000000</f>
        <v>400000000</v>
      </c>
      <c r="X62" s="579" t="s">
        <v>902</v>
      </c>
      <c r="Y62" s="630">
        <v>20</v>
      </c>
      <c r="Z62" s="149" t="s">
        <v>694</v>
      </c>
      <c r="AA62" s="2108"/>
      <c r="AB62" s="2108"/>
      <c r="AC62" s="2108"/>
      <c r="AD62" s="2108"/>
      <c r="AE62" s="2108"/>
      <c r="AF62" s="2108"/>
      <c r="AG62" s="2108"/>
      <c r="AH62" s="2108"/>
      <c r="AI62" s="2108"/>
      <c r="AJ62" s="2108"/>
      <c r="AK62" s="2108"/>
      <c r="AL62" s="2108"/>
      <c r="AM62" s="2108"/>
      <c r="AN62" s="2108"/>
      <c r="AO62" s="2108"/>
      <c r="AP62" s="2108"/>
      <c r="AQ62" s="3133"/>
      <c r="AR62" s="3136" t="s">
        <v>903</v>
      </c>
      <c r="AS62" s="2283"/>
    </row>
    <row r="63" spans="1:45" ht="39" customHeight="1" x14ac:dyDescent="0.25">
      <c r="A63" s="2424"/>
      <c r="B63" s="2425"/>
      <c r="C63" s="2134"/>
      <c r="D63" s="2110"/>
      <c r="E63" s="3123"/>
      <c r="F63" s="3124"/>
      <c r="G63" s="3138"/>
      <c r="H63" s="2410"/>
      <c r="I63" s="3138"/>
      <c r="J63" s="2410"/>
      <c r="K63" s="3138"/>
      <c r="L63" s="2514"/>
      <c r="M63" s="3143"/>
      <c r="N63" s="2513"/>
      <c r="O63" s="2514"/>
      <c r="P63" s="3050"/>
      <c r="Q63" s="2410"/>
      <c r="R63" s="3081"/>
      <c r="S63" s="3131"/>
      <c r="T63" s="2145"/>
      <c r="U63" s="2142"/>
      <c r="V63" s="2143"/>
      <c r="W63" s="498">
        <v>20000000</v>
      </c>
      <c r="X63" s="579" t="s">
        <v>904</v>
      </c>
      <c r="Y63" s="630">
        <v>20</v>
      </c>
      <c r="Z63" s="149" t="s">
        <v>694</v>
      </c>
      <c r="AA63" s="2108"/>
      <c r="AB63" s="2108"/>
      <c r="AC63" s="2108"/>
      <c r="AD63" s="2108"/>
      <c r="AE63" s="2108"/>
      <c r="AF63" s="2108"/>
      <c r="AG63" s="2108"/>
      <c r="AH63" s="2108"/>
      <c r="AI63" s="2108"/>
      <c r="AJ63" s="2108"/>
      <c r="AK63" s="2108"/>
      <c r="AL63" s="2108"/>
      <c r="AM63" s="2108"/>
      <c r="AN63" s="2108"/>
      <c r="AO63" s="2108"/>
      <c r="AP63" s="2108"/>
      <c r="AQ63" s="3133"/>
      <c r="AR63" s="3136"/>
      <c r="AS63" s="2283"/>
    </row>
    <row r="64" spans="1:45" ht="39" customHeight="1" x14ac:dyDescent="0.25">
      <c r="A64" s="2424"/>
      <c r="B64" s="2425"/>
      <c r="C64" s="2134"/>
      <c r="D64" s="2110"/>
      <c r="E64" s="3123"/>
      <c r="F64" s="3124"/>
      <c r="G64" s="152">
        <v>3202043</v>
      </c>
      <c r="H64" s="474" t="s">
        <v>905</v>
      </c>
      <c r="I64" s="542">
        <v>3202043</v>
      </c>
      <c r="J64" s="474" t="s">
        <v>905</v>
      </c>
      <c r="K64" s="152">
        <v>3202043</v>
      </c>
      <c r="L64" s="581" t="s">
        <v>906</v>
      </c>
      <c r="M64" s="475">
        <v>320204300</v>
      </c>
      <c r="N64" s="581" t="s">
        <v>906</v>
      </c>
      <c r="O64" s="632">
        <v>1</v>
      </c>
      <c r="P64" s="3051"/>
      <c r="Q64" s="2410"/>
      <c r="R64" s="583">
        <f>W64/S57</f>
        <v>0.10474573335909182</v>
      </c>
      <c r="S64" s="3131"/>
      <c r="T64" s="2146"/>
      <c r="U64" s="2143"/>
      <c r="V64" s="488" t="s">
        <v>907</v>
      </c>
      <c r="W64" s="498">
        <f>100000000+20000000</f>
        <v>120000000</v>
      </c>
      <c r="X64" s="579" t="s">
        <v>908</v>
      </c>
      <c r="Y64" s="633">
        <v>20</v>
      </c>
      <c r="Z64" s="149" t="s">
        <v>694</v>
      </c>
      <c r="AA64" s="2108"/>
      <c r="AB64" s="2108"/>
      <c r="AC64" s="2108"/>
      <c r="AD64" s="2108"/>
      <c r="AE64" s="2108"/>
      <c r="AF64" s="2108"/>
      <c r="AG64" s="2108"/>
      <c r="AH64" s="2108"/>
      <c r="AI64" s="2108"/>
      <c r="AJ64" s="2108"/>
      <c r="AK64" s="2108"/>
      <c r="AL64" s="2108"/>
      <c r="AM64" s="2108"/>
      <c r="AN64" s="2108"/>
      <c r="AO64" s="2108"/>
      <c r="AP64" s="2108"/>
      <c r="AQ64" s="3134"/>
      <c r="AR64" s="3137"/>
      <c r="AS64" s="2283"/>
    </row>
    <row r="65" spans="1:45" ht="88.5" customHeight="1" x14ac:dyDescent="0.25">
      <c r="A65" s="2424"/>
      <c r="B65" s="2425"/>
      <c r="C65" s="2134"/>
      <c r="D65" s="2110"/>
      <c r="E65" s="3123"/>
      <c r="F65" s="3124"/>
      <c r="G65" s="2409">
        <v>32020141</v>
      </c>
      <c r="H65" s="2410" t="s">
        <v>909</v>
      </c>
      <c r="I65" s="2409">
        <v>3202014</v>
      </c>
      <c r="J65" s="2119" t="s">
        <v>910</v>
      </c>
      <c r="K65" s="3139" t="s">
        <v>62</v>
      </c>
      <c r="L65" s="2513" t="s">
        <v>911</v>
      </c>
      <c r="M65" s="3139">
        <v>320201402</v>
      </c>
      <c r="N65" s="2174" t="s">
        <v>912</v>
      </c>
      <c r="O65" s="3142">
        <v>1</v>
      </c>
      <c r="P65" s="3105" t="s">
        <v>913</v>
      </c>
      <c r="Q65" s="2119" t="s">
        <v>914</v>
      </c>
      <c r="R65" s="3140">
        <f>SUM(W65:W66)/S65</f>
        <v>1</v>
      </c>
      <c r="S65" s="3141">
        <f>SUM(W65:W66)</f>
        <v>36000000</v>
      </c>
      <c r="T65" s="2320" t="s">
        <v>915</v>
      </c>
      <c r="U65" s="2320" t="s">
        <v>916</v>
      </c>
      <c r="V65" s="2320" t="s">
        <v>917</v>
      </c>
      <c r="W65" s="498">
        <f>36000000-4400000</f>
        <v>31600000</v>
      </c>
      <c r="X65" s="579" t="s">
        <v>918</v>
      </c>
      <c r="Y65" s="3154">
        <v>20</v>
      </c>
      <c r="Z65" s="2109" t="s">
        <v>694</v>
      </c>
      <c r="AA65" s="2350">
        <v>6100</v>
      </c>
      <c r="AB65" s="2350">
        <v>5060</v>
      </c>
      <c r="AC65" s="2350">
        <v>2550</v>
      </c>
      <c r="AD65" s="2350">
        <v>2150</v>
      </c>
      <c r="AE65" s="2350">
        <v>5500</v>
      </c>
      <c r="AF65" s="2350">
        <v>960</v>
      </c>
      <c r="AG65" s="2350"/>
      <c r="AH65" s="2350"/>
      <c r="AI65" s="2350"/>
      <c r="AJ65" s="2350"/>
      <c r="AK65" s="2350"/>
      <c r="AL65" s="2350"/>
      <c r="AM65" s="2350">
        <v>400</v>
      </c>
      <c r="AN65" s="2350">
        <v>100</v>
      </c>
      <c r="AO65" s="2350">
        <v>200</v>
      </c>
      <c r="AP65" s="2350">
        <v>11160</v>
      </c>
      <c r="AQ65" s="3146">
        <v>44211</v>
      </c>
      <c r="AR65" s="2127">
        <v>44561</v>
      </c>
      <c r="AS65" s="3144" t="s">
        <v>695</v>
      </c>
    </row>
    <row r="66" spans="1:45" ht="88.5" customHeight="1" x14ac:dyDescent="0.25">
      <c r="A66" s="2424"/>
      <c r="B66" s="2425"/>
      <c r="C66" s="2134"/>
      <c r="D66" s="2110"/>
      <c r="E66" s="3123"/>
      <c r="F66" s="3124"/>
      <c r="G66" s="2409"/>
      <c r="H66" s="2410"/>
      <c r="I66" s="2409"/>
      <c r="J66" s="2119"/>
      <c r="K66" s="3139"/>
      <c r="L66" s="2513"/>
      <c r="M66" s="3139"/>
      <c r="N66" s="2174"/>
      <c r="O66" s="3142"/>
      <c r="P66" s="3105"/>
      <c r="Q66" s="2119"/>
      <c r="R66" s="3140"/>
      <c r="S66" s="3141"/>
      <c r="T66" s="2322"/>
      <c r="U66" s="2322"/>
      <c r="V66" s="2322"/>
      <c r="W66" s="498">
        <v>4400000</v>
      </c>
      <c r="X66" s="579" t="s">
        <v>919</v>
      </c>
      <c r="Y66" s="3154"/>
      <c r="Z66" s="2109"/>
      <c r="AA66" s="2350"/>
      <c r="AB66" s="2350"/>
      <c r="AC66" s="2350"/>
      <c r="AD66" s="2350"/>
      <c r="AE66" s="2350"/>
      <c r="AF66" s="2350"/>
      <c r="AG66" s="2350"/>
      <c r="AH66" s="2350"/>
      <c r="AI66" s="2350"/>
      <c r="AJ66" s="2350"/>
      <c r="AK66" s="2350"/>
      <c r="AL66" s="2350"/>
      <c r="AM66" s="2350"/>
      <c r="AN66" s="2350"/>
      <c r="AO66" s="2350"/>
      <c r="AP66" s="2350"/>
      <c r="AQ66" s="3147"/>
      <c r="AR66" s="3075"/>
      <c r="AS66" s="3145"/>
    </row>
    <row r="67" spans="1:45" ht="52.5" customHeight="1" x14ac:dyDescent="0.25">
      <c r="A67" s="2424"/>
      <c r="B67" s="2425"/>
      <c r="C67" s="2134"/>
      <c r="D67" s="2110"/>
      <c r="E67" s="3123"/>
      <c r="F67" s="3124"/>
      <c r="G67" s="3092">
        <v>3202014</v>
      </c>
      <c r="H67" s="3076" t="s">
        <v>920</v>
      </c>
      <c r="I67" s="3092">
        <v>3202014</v>
      </c>
      <c r="J67" s="3076" t="s">
        <v>910</v>
      </c>
      <c r="K67" s="3092" t="s">
        <v>62</v>
      </c>
      <c r="L67" s="2629" t="s">
        <v>921</v>
      </c>
      <c r="M67" s="3092">
        <v>320201402</v>
      </c>
      <c r="N67" s="2629" t="s">
        <v>912</v>
      </c>
      <c r="O67" s="2496">
        <v>1</v>
      </c>
      <c r="P67" s="3049" t="s">
        <v>922</v>
      </c>
      <c r="Q67" s="2141" t="s">
        <v>923</v>
      </c>
      <c r="R67" s="3103">
        <f>SUM(W67:W69)/S67</f>
        <v>1</v>
      </c>
      <c r="S67" s="3151">
        <f>SUM(W67:W69)</f>
        <v>54000000</v>
      </c>
      <c r="T67" s="2320" t="s">
        <v>924</v>
      </c>
      <c r="U67" s="2320" t="s">
        <v>925</v>
      </c>
      <c r="V67" s="2320" t="s">
        <v>926</v>
      </c>
      <c r="W67" s="498">
        <v>39700000</v>
      </c>
      <c r="X67" s="579" t="s">
        <v>927</v>
      </c>
      <c r="Y67" s="3157">
        <v>20</v>
      </c>
      <c r="Z67" s="2109" t="s">
        <v>694</v>
      </c>
      <c r="AA67" s="3102">
        <v>6100</v>
      </c>
      <c r="AB67" s="3102">
        <v>5060</v>
      </c>
      <c r="AC67" s="3102">
        <v>2550</v>
      </c>
      <c r="AD67" s="3102">
        <v>2150</v>
      </c>
      <c r="AE67" s="3102">
        <v>5500</v>
      </c>
      <c r="AF67" s="3102">
        <v>960</v>
      </c>
      <c r="AG67" s="3102"/>
      <c r="AH67" s="3102"/>
      <c r="AI67" s="3102"/>
      <c r="AJ67" s="3102"/>
      <c r="AK67" s="3102"/>
      <c r="AL67" s="3102"/>
      <c r="AM67" s="3102">
        <v>400</v>
      </c>
      <c r="AN67" s="3102">
        <v>100</v>
      </c>
      <c r="AO67" s="3102">
        <v>200</v>
      </c>
      <c r="AP67" s="3102">
        <v>11160</v>
      </c>
      <c r="AQ67" s="3146">
        <v>44211</v>
      </c>
      <c r="AR67" s="2127">
        <v>44561</v>
      </c>
      <c r="AS67" s="2283" t="s">
        <v>695</v>
      </c>
    </row>
    <row r="68" spans="1:45" ht="52.5" customHeight="1" x14ac:dyDescent="0.25">
      <c r="A68" s="2424"/>
      <c r="B68" s="2425"/>
      <c r="C68" s="2134"/>
      <c r="D68" s="2110"/>
      <c r="E68" s="3123"/>
      <c r="F68" s="3124"/>
      <c r="G68" s="3149"/>
      <c r="H68" s="3158"/>
      <c r="I68" s="3149"/>
      <c r="J68" s="3158"/>
      <c r="K68" s="3149"/>
      <c r="L68" s="2628"/>
      <c r="M68" s="3149"/>
      <c r="N68" s="2628"/>
      <c r="O68" s="2497"/>
      <c r="P68" s="3050"/>
      <c r="Q68" s="2142"/>
      <c r="R68" s="3150"/>
      <c r="S68" s="3152"/>
      <c r="T68" s="2321"/>
      <c r="U68" s="2321"/>
      <c r="V68" s="2321"/>
      <c r="W68" s="498">
        <v>6000000</v>
      </c>
      <c r="X68" s="579" t="s">
        <v>928</v>
      </c>
      <c r="Y68" s="3154"/>
      <c r="Z68" s="2109"/>
      <c r="AA68" s="2861"/>
      <c r="AB68" s="2861"/>
      <c r="AC68" s="2861"/>
      <c r="AD68" s="2861"/>
      <c r="AE68" s="2861"/>
      <c r="AF68" s="2861"/>
      <c r="AG68" s="2861"/>
      <c r="AH68" s="2861"/>
      <c r="AI68" s="2861"/>
      <c r="AJ68" s="2861"/>
      <c r="AK68" s="2861"/>
      <c r="AL68" s="2861"/>
      <c r="AM68" s="2861"/>
      <c r="AN68" s="2861"/>
      <c r="AO68" s="2861"/>
      <c r="AP68" s="2861"/>
      <c r="AQ68" s="3148"/>
      <c r="AR68" s="3074"/>
      <c r="AS68" s="2283"/>
    </row>
    <row r="69" spans="1:45" ht="52.5" customHeight="1" x14ac:dyDescent="0.25">
      <c r="A69" s="2424"/>
      <c r="B69" s="2425"/>
      <c r="C69" s="2134"/>
      <c r="D69" s="2110"/>
      <c r="E69" s="3125"/>
      <c r="F69" s="3126"/>
      <c r="G69" s="3093"/>
      <c r="H69" s="3077"/>
      <c r="I69" s="3093"/>
      <c r="J69" s="3077"/>
      <c r="K69" s="3093"/>
      <c r="L69" s="2627"/>
      <c r="M69" s="3093"/>
      <c r="N69" s="2627"/>
      <c r="O69" s="2498"/>
      <c r="P69" s="3051"/>
      <c r="Q69" s="2143"/>
      <c r="R69" s="3104"/>
      <c r="S69" s="3153"/>
      <c r="T69" s="2322"/>
      <c r="U69" s="2322"/>
      <c r="V69" s="2322"/>
      <c r="W69" s="498">
        <v>8300000</v>
      </c>
      <c r="X69" s="634" t="s">
        <v>929</v>
      </c>
      <c r="Y69" s="635"/>
      <c r="Z69" s="149" t="s">
        <v>694</v>
      </c>
      <c r="AA69" s="2862"/>
      <c r="AB69" s="2862"/>
      <c r="AC69" s="2862"/>
      <c r="AD69" s="2862"/>
      <c r="AE69" s="2862"/>
      <c r="AF69" s="2862"/>
      <c r="AG69" s="2862"/>
      <c r="AH69" s="2862"/>
      <c r="AI69" s="2862"/>
      <c r="AJ69" s="2862"/>
      <c r="AK69" s="2862"/>
      <c r="AL69" s="2862"/>
      <c r="AM69" s="2862"/>
      <c r="AN69" s="2862"/>
      <c r="AO69" s="2862"/>
      <c r="AP69" s="2862"/>
      <c r="AQ69" s="3147"/>
      <c r="AR69" s="3075"/>
      <c r="AS69" s="2283"/>
    </row>
    <row r="70" spans="1:45" ht="15.75" x14ac:dyDescent="0.25">
      <c r="A70" s="2424"/>
      <c r="B70" s="2425"/>
      <c r="C70" s="2134"/>
      <c r="D70" s="2110"/>
      <c r="E70" s="573">
        <v>3204</v>
      </c>
      <c r="F70" s="483" t="s">
        <v>930</v>
      </c>
      <c r="G70" s="483"/>
      <c r="H70" s="327"/>
      <c r="I70" s="483"/>
      <c r="J70" s="327"/>
      <c r="K70" s="483"/>
      <c r="L70" s="327"/>
      <c r="M70" s="206"/>
      <c r="N70" s="327"/>
      <c r="O70" s="206"/>
      <c r="P70" s="206"/>
      <c r="Q70" s="327"/>
      <c r="R70" s="204"/>
      <c r="S70" s="599"/>
      <c r="T70" s="327"/>
      <c r="U70" s="327"/>
      <c r="V70" s="327"/>
      <c r="W70" s="600"/>
      <c r="X70" s="574"/>
      <c r="Y70" s="575"/>
      <c r="Z70" s="206"/>
      <c r="AA70" s="206"/>
      <c r="AB70" s="206"/>
      <c r="AC70" s="206"/>
      <c r="AD70" s="206"/>
      <c r="AE70" s="206"/>
      <c r="AF70" s="206"/>
      <c r="AG70" s="206"/>
      <c r="AH70" s="206"/>
      <c r="AI70" s="206"/>
      <c r="AJ70" s="206"/>
      <c r="AK70" s="206"/>
      <c r="AL70" s="206"/>
      <c r="AM70" s="206"/>
      <c r="AN70" s="206"/>
      <c r="AO70" s="206"/>
      <c r="AP70" s="206"/>
      <c r="AQ70" s="328"/>
      <c r="AR70" s="328"/>
      <c r="AS70" s="578"/>
    </row>
    <row r="71" spans="1:45" ht="90" x14ac:dyDescent="0.25">
      <c r="A71" s="2424"/>
      <c r="B71" s="2425"/>
      <c r="C71" s="2134"/>
      <c r="D71" s="2110"/>
      <c r="E71" s="490"/>
      <c r="F71" s="490"/>
      <c r="G71" s="636">
        <v>3204012</v>
      </c>
      <c r="H71" s="637" t="s">
        <v>931</v>
      </c>
      <c r="I71" s="636">
        <v>3204012</v>
      </c>
      <c r="J71" s="637" t="s">
        <v>931</v>
      </c>
      <c r="K71" s="638" t="s">
        <v>932</v>
      </c>
      <c r="L71" s="639" t="s">
        <v>933</v>
      </c>
      <c r="M71" s="640" t="s">
        <v>932</v>
      </c>
      <c r="N71" s="641" t="s">
        <v>933</v>
      </c>
      <c r="O71" s="642">
        <v>2</v>
      </c>
      <c r="P71" s="643" t="s">
        <v>934</v>
      </c>
      <c r="Q71" s="644" t="s">
        <v>935</v>
      </c>
      <c r="R71" s="645">
        <f>W71/S71</f>
        <v>1</v>
      </c>
      <c r="S71" s="646">
        <f>SUM(W71)</f>
        <v>120000000</v>
      </c>
      <c r="T71" s="647" t="s">
        <v>936</v>
      </c>
      <c r="U71" s="647" t="s">
        <v>937</v>
      </c>
      <c r="V71" s="252" t="s">
        <v>938</v>
      </c>
      <c r="W71" s="648">
        <v>120000000</v>
      </c>
      <c r="X71" s="342" t="s">
        <v>939</v>
      </c>
      <c r="Y71" s="630">
        <v>20</v>
      </c>
      <c r="Z71" s="149" t="s">
        <v>694</v>
      </c>
      <c r="AA71" s="458">
        <v>6100</v>
      </c>
      <c r="AB71" s="458">
        <v>5060</v>
      </c>
      <c r="AC71" s="458">
        <v>2550</v>
      </c>
      <c r="AD71" s="458">
        <v>2150</v>
      </c>
      <c r="AE71" s="458">
        <v>5500</v>
      </c>
      <c r="AF71" s="458">
        <v>960</v>
      </c>
      <c r="AG71" s="458"/>
      <c r="AH71" s="458"/>
      <c r="AI71" s="458"/>
      <c r="AJ71" s="458"/>
      <c r="AK71" s="458"/>
      <c r="AL71" s="458"/>
      <c r="AM71" s="458">
        <v>400</v>
      </c>
      <c r="AN71" s="458">
        <v>100</v>
      </c>
      <c r="AO71" s="458">
        <v>200</v>
      </c>
      <c r="AP71" s="458">
        <v>11160</v>
      </c>
      <c r="AQ71" s="508">
        <v>44211</v>
      </c>
      <c r="AR71" s="398">
        <v>44561</v>
      </c>
      <c r="AS71" s="649" t="s">
        <v>695</v>
      </c>
    </row>
    <row r="72" spans="1:45" ht="15.75" x14ac:dyDescent="0.25">
      <c r="A72" s="2424"/>
      <c r="B72" s="2425"/>
      <c r="C72" s="2134"/>
      <c r="D72" s="2110"/>
      <c r="E72" s="650">
        <v>3205</v>
      </c>
      <c r="F72" s="3155" t="s">
        <v>550</v>
      </c>
      <c r="G72" s="3156"/>
      <c r="H72" s="3156"/>
      <c r="I72" s="3156"/>
      <c r="J72" s="3156"/>
      <c r="K72" s="3156"/>
      <c r="L72" s="3156"/>
      <c r="M72" s="602"/>
      <c r="N72" s="651"/>
      <c r="O72" s="602"/>
      <c r="P72" s="602"/>
      <c r="Q72" s="651"/>
      <c r="R72" s="652"/>
      <c r="S72" s="653"/>
      <c r="T72" s="651"/>
      <c r="U72" s="651"/>
      <c r="V72" s="651"/>
      <c r="W72" s="654"/>
      <c r="X72" s="574"/>
      <c r="Y72" s="601"/>
      <c r="Z72" s="602"/>
      <c r="AA72" s="602"/>
      <c r="AB72" s="602"/>
      <c r="AC72" s="602"/>
      <c r="AD72" s="602"/>
      <c r="AE72" s="602"/>
      <c r="AF72" s="602"/>
      <c r="AG72" s="602"/>
      <c r="AH72" s="602"/>
      <c r="AI72" s="602"/>
      <c r="AJ72" s="602"/>
      <c r="AK72" s="602"/>
      <c r="AL72" s="602"/>
      <c r="AM72" s="602"/>
      <c r="AN72" s="602"/>
      <c r="AO72" s="602"/>
      <c r="AP72" s="602"/>
      <c r="AQ72" s="603"/>
      <c r="AR72" s="603"/>
      <c r="AS72" s="561"/>
    </row>
    <row r="73" spans="1:45" ht="45" customHeight="1" x14ac:dyDescent="0.25">
      <c r="A73" s="2424"/>
      <c r="B73" s="2425"/>
      <c r="C73" s="2134"/>
      <c r="D73" s="2110"/>
      <c r="E73" s="655"/>
      <c r="F73" s="655"/>
      <c r="G73" s="656" t="s">
        <v>940</v>
      </c>
      <c r="H73" s="657" t="s">
        <v>941</v>
      </c>
      <c r="I73" s="656" t="s">
        <v>940</v>
      </c>
      <c r="J73" s="657" t="s">
        <v>941</v>
      </c>
      <c r="K73" s="658" t="s">
        <v>942</v>
      </c>
      <c r="L73" s="659" t="s">
        <v>943</v>
      </c>
      <c r="M73" s="658" t="s">
        <v>942</v>
      </c>
      <c r="N73" s="659" t="s">
        <v>943</v>
      </c>
      <c r="O73" s="660">
        <v>200</v>
      </c>
      <c r="P73" s="3162" t="s">
        <v>944</v>
      </c>
      <c r="Q73" s="3163" t="s">
        <v>945</v>
      </c>
      <c r="R73" s="583">
        <f>W73/S73</f>
        <v>0.24390243902439024</v>
      </c>
      <c r="S73" s="3160">
        <f>SUM(W73:W75)</f>
        <v>82000000</v>
      </c>
      <c r="T73" s="2875" t="s">
        <v>946</v>
      </c>
      <c r="U73" s="502" t="s">
        <v>947</v>
      </c>
      <c r="V73" s="153" t="s">
        <v>948</v>
      </c>
      <c r="W73" s="661">
        <v>20000000</v>
      </c>
      <c r="X73" s="342" t="s">
        <v>949</v>
      </c>
      <c r="Y73" s="584">
        <v>20</v>
      </c>
      <c r="Z73" s="149" t="s">
        <v>694</v>
      </c>
      <c r="AA73" s="2354">
        <v>295972</v>
      </c>
      <c r="AB73" s="2354">
        <v>285580</v>
      </c>
      <c r="AC73" s="2354">
        <v>135545</v>
      </c>
      <c r="AD73" s="2354">
        <v>44254</v>
      </c>
      <c r="AE73" s="2354">
        <v>309146</v>
      </c>
      <c r="AF73" s="2354">
        <v>92607</v>
      </c>
      <c r="AG73" s="2354"/>
      <c r="AH73" s="2354"/>
      <c r="AI73" s="2354"/>
      <c r="AJ73" s="2354"/>
      <c r="AK73" s="2354"/>
      <c r="AL73" s="2354"/>
      <c r="AM73" s="2354"/>
      <c r="AN73" s="2354"/>
      <c r="AO73" s="2354"/>
      <c r="AP73" s="2354">
        <v>581552</v>
      </c>
      <c r="AQ73" s="2982"/>
      <c r="AR73" s="2982"/>
      <c r="AS73" s="2984" t="s">
        <v>695</v>
      </c>
    </row>
    <row r="74" spans="1:45" ht="30" x14ac:dyDescent="0.25">
      <c r="A74" s="2424"/>
      <c r="B74" s="2425"/>
      <c r="C74" s="2134"/>
      <c r="D74" s="2110"/>
      <c r="E74" s="655"/>
      <c r="F74" s="655"/>
      <c r="G74" s="656" t="s">
        <v>950</v>
      </c>
      <c r="H74" s="657" t="s">
        <v>951</v>
      </c>
      <c r="I74" s="656" t="s">
        <v>950</v>
      </c>
      <c r="J74" s="657" t="s">
        <v>951</v>
      </c>
      <c r="K74" s="658" t="s">
        <v>952</v>
      </c>
      <c r="L74" s="659" t="s">
        <v>953</v>
      </c>
      <c r="M74" s="658" t="s">
        <v>952</v>
      </c>
      <c r="N74" s="659" t="s">
        <v>953</v>
      </c>
      <c r="O74" s="660">
        <v>10</v>
      </c>
      <c r="P74" s="3162"/>
      <c r="Q74" s="3002"/>
      <c r="R74" s="583">
        <f>W74/S73</f>
        <v>0.24390243902439024</v>
      </c>
      <c r="S74" s="3161"/>
      <c r="T74" s="2876"/>
      <c r="U74" s="502" t="s">
        <v>954</v>
      </c>
      <c r="V74" s="153" t="s">
        <v>955</v>
      </c>
      <c r="W74" s="661">
        <v>20000000</v>
      </c>
      <c r="X74" s="342" t="s">
        <v>956</v>
      </c>
      <c r="Y74" s="584">
        <v>20</v>
      </c>
      <c r="Z74" s="149" t="s">
        <v>694</v>
      </c>
      <c r="AA74" s="2355"/>
      <c r="AB74" s="2355"/>
      <c r="AC74" s="2355"/>
      <c r="AD74" s="2355"/>
      <c r="AE74" s="2355"/>
      <c r="AF74" s="2355"/>
      <c r="AG74" s="2355"/>
      <c r="AH74" s="2355"/>
      <c r="AI74" s="2355"/>
      <c r="AJ74" s="2355"/>
      <c r="AK74" s="2355"/>
      <c r="AL74" s="2355"/>
      <c r="AM74" s="2355"/>
      <c r="AN74" s="2355"/>
      <c r="AO74" s="2355"/>
      <c r="AP74" s="2355"/>
      <c r="AQ74" s="2973"/>
      <c r="AR74" s="2973"/>
      <c r="AS74" s="2976"/>
    </row>
    <row r="75" spans="1:45" ht="45" customHeight="1" x14ac:dyDescent="0.25">
      <c r="A75" s="2424"/>
      <c r="B75" s="2425"/>
      <c r="C75" s="2134"/>
      <c r="D75" s="2110"/>
      <c r="E75" s="655"/>
      <c r="F75" s="655"/>
      <c r="G75" s="662">
        <v>3205010</v>
      </c>
      <c r="H75" s="663" t="s">
        <v>551</v>
      </c>
      <c r="I75" s="662">
        <v>3205010</v>
      </c>
      <c r="J75" s="663" t="s">
        <v>551</v>
      </c>
      <c r="K75" s="664" t="s">
        <v>552</v>
      </c>
      <c r="L75" s="665" t="s">
        <v>553</v>
      </c>
      <c r="M75" s="664" t="s">
        <v>552</v>
      </c>
      <c r="N75" s="659" t="s">
        <v>553</v>
      </c>
      <c r="O75" s="660">
        <v>1</v>
      </c>
      <c r="P75" s="3162"/>
      <c r="Q75" s="3164"/>
      <c r="R75" s="583">
        <f>W75/S73</f>
        <v>0.51219512195121952</v>
      </c>
      <c r="S75" s="3165"/>
      <c r="T75" s="2877"/>
      <c r="U75" s="222" t="s">
        <v>957</v>
      </c>
      <c r="V75" s="153" t="s">
        <v>958</v>
      </c>
      <c r="W75" s="661">
        <v>42000000</v>
      </c>
      <c r="X75" s="342" t="s">
        <v>959</v>
      </c>
      <c r="Y75" s="584">
        <v>20</v>
      </c>
      <c r="Z75" s="149" t="s">
        <v>694</v>
      </c>
      <c r="AA75" s="2356"/>
      <c r="AB75" s="2356"/>
      <c r="AC75" s="2356"/>
      <c r="AD75" s="2356"/>
      <c r="AE75" s="2356"/>
      <c r="AF75" s="2356"/>
      <c r="AG75" s="2356"/>
      <c r="AH75" s="2356"/>
      <c r="AI75" s="2356"/>
      <c r="AJ75" s="2356"/>
      <c r="AK75" s="2356"/>
      <c r="AL75" s="2356"/>
      <c r="AM75" s="2356"/>
      <c r="AN75" s="2356"/>
      <c r="AO75" s="2356"/>
      <c r="AP75" s="2356"/>
      <c r="AQ75" s="2974"/>
      <c r="AR75" s="2974"/>
      <c r="AS75" s="2977"/>
    </row>
    <row r="76" spans="1:45" ht="15.75" x14ac:dyDescent="0.25">
      <c r="A76" s="2424"/>
      <c r="B76" s="2425"/>
      <c r="C76" s="2134"/>
      <c r="D76" s="2110"/>
      <c r="E76" s="650">
        <v>3206</v>
      </c>
      <c r="F76" s="666" t="s">
        <v>960</v>
      </c>
      <c r="G76" s="667"/>
      <c r="H76" s="668"/>
      <c r="I76" s="667"/>
      <c r="J76" s="668"/>
      <c r="K76" s="667"/>
      <c r="L76" s="668"/>
      <c r="M76" s="667"/>
      <c r="N76" s="651"/>
      <c r="O76" s="602"/>
      <c r="P76" s="602"/>
      <c r="Q76" s="651"/>
      <c r="R76" s="652"/>
      <c r="S76" s="653"/>
      <c r="T76" s="651"/>
      <c r="U76" s="651"/>
      <c r="V76" s="651"/>
      <c r="W76" s="654"/>
      <c r="X76" s="574"/>
      <c r="Y76" s="601"/>
      <c r="Z76" s="602"/>
      <c r="AA76" s="602"/>
      <c r="AB76" s="602"/>
      <c r="AC76" s="602"/>
      <c r="AD76" s="602"/>
      <c r="AE76" s="602"/>
      <c r="AF76" s="602"/>
      <c r="AG76" s="602"/>
      <c r="AH76" s="602"/>
      <c r="AI76" s="602"/>
      <c r="AJ76" s="602"/>
      <c r="AK76" s="602"/>
      <c r="AL76" s="602"/>
      <c r="AM76" s="602"/>
      <c r="AN76" s="602"/>
      <c r="AO76" s="602"/>
      <c r="AP76" s="602"/>
      <c r="AQ76" s="603"/>
      <c r="AR76" s="603"/>
      <c r="AS76" s="561"/>
    </row>
    <row r="77" spans="1:45" ht="57" customHeight="1" x14ac:dyDescent="0.25">
      <c r="A77" s="2424"/>
      <c r="B77" s="2425"/>
      <c r="C77" s="2134"/>
      <c r="D77" s="2110"/>
      <c r="E77" s="655"/>
      <c r="F77" s="655"/>
      <c r="G77" s="656" t="s">
        <v>961</v>
      </c>
      <c r="H77" s="657" t="s">
        <v>962</v>
      </c>
      <c r="I77" s="656" t="s">
        <v>961</v>
      </c>
      <c r="J77" s="657" t="s">
        <v>962</v>
      </c>
      <c r="K77" s="669" t="s">
        <v>963</v>
      </c>
      <c r="L77" s="670" t="s">
        <v>964</v>
      </c>
      <c r="M77" s="669" t="s">
        <v>963</v>
      </c>
      <c r="N77" s="670" t="s">
        <v>964</v>
      </c>
      <c r="O77" s="660">
        <v>6</v>
      </c>
      <c r="P77" s="2900" t="s">
        <v>965</v>
      </c>
      <c r="Q77" s="2658" t="s">
        <v>966</v>
      </c>
      <c r="R77" s="583">
        <f>W77/S77</f>
        <v>0.21186440677966101</v>
      </c>
      <c r="S77" s="3160">
        <f>SUM(W77:W79)</f>
        <v>118000000</v>
      </c>
      <c r="T77" s="2875" t="s">
        <v>967</v>
      </c>
      <c r="U77" s="2320" t="s">
        <v>968</v>
      </c>
      <c r="V77" s="453" t="s">
        <v>969</v>
      </c>
      <c r="W77" s="661">
        <v>25000000</v>
      </c>
      <c r="X77" s="342" t="s">
        <v>970</v>
      </c>
      <c r="Y77" s="584">
        <v>20</v>
      </c>
      <c r="Z77" s="149" t="s">
        <v>694</v>
      </c>
      <c r="AA77" s="2354">
        <v>291786</v>
      </c>
      <c r="AB77" s="2354">
        <v>270331</v>
      </c>
      <c r="AC77" s="2354">
        <v>102045</v>
      </c>
      <c r="AD77" s="2354">
        <v>39183</v>
      </c>
      <c r="AE77" s="2354">
        <v>310195</v>
      </c>
      <c r="AF77" s="2354">
        <v>110694</v>
      </c>
      <c r="AG77" s="2354"/>
      <c r="AH77" s="2354"/>
      <c r="AI77" s="2354"/>
      <c r="AJ77" s="2354"/>
      <c r="AK77" s="2354"/>
      <c r="AL77" s="2354"/>
      <c r="AM77" s="2354"/>
      <c r="AN77" s="2354"/>
      <c r="AO77" s="2354"/>
      <c r="AP77" s="2354">
        <v>562117</v>
      </c>
      <c r="AQ77" s="2982"/>
      <c r="AR77" s="2982"/>
      <c r="AS77" s="2984" t="s">
        <v>695</v>
      </c>
    </row>
    <row r="78" spans="1:45" ht="57" customHeight="1" x14ac:dyDescent="0.25">
      <c r="A78" s="2424"/>
      <c r="B78" s="2425"/>
      <c r="C78" s="2134"/>
      <c r="D78" s="2110"/>
      <c r="E78" s="655"/>
      <c r="F78" s="655"/>
      <c r="G78" s="656">
        <v>3206014</v>
      </c>
      <c r="H78" s="657" t="s">
        <v>971</v>
      </c>
      <c r="I78" s="656">
        <v>3206014</v>
      </c>
      <c r="J78" s="657" t="s">
        <v>971</v>
      </c>
      <c r="K78" s="669" t="s">
        <v>972</v>
      </c>
      <c r="L78" s="670" t="s">
        <v>973</v>
      </c>
      <c r="M78" s="669" t="s">
        <v>972</v>
      </c>
      <c r="N78" s="670" t="s">
        <v>973</v>
      </c>
      <c r="O78" s="660">
        <v>1950</v>
      </c>
      <c r="P78" s="2900"/>
      <c r="Q78" s="2658"/>
      <c r="R78" s="583">
        <f>W78/S77</f>
        <v>0.15254237288135594</v>
      </c>
      <c r="S78" s="3161"/>
      <c r="T78" s="2876"/>
      <c r="U78" s="2321"/>
      <c r="V78" s="453" t="s">
        <v>974</v>
      </c>
      <c r="W78" s="661">
        <v>18000000</v>
      </c>
      <c r="X78" s="342" t="s">
        <v>975</v>
      </c>
      <c r="Y78" s="584">
        <v>20</v>
      </c>
      <c r="Z78" s="149" t="s">
        <v>694</v>
      </c>
      <c r="AA78" s="2355"/>
      <c r="AB78" s="2355"/>
      <c r="AC78" s="2355"/>
      <c r="AD78" s="2355"/>
      <c r="AE78" s="2355"/>
      <c r="AF78" s="2355"/>
      <c r="AG78" s="2355"/>
      <c r="AH78" s="2355"/>
      <c r="AI78" s="2355"/>
      <c r="AJ78" s="2355"/>
      <c r="AK78" s="2355"/>
      <c r="AL78" s="2355"/>
      <c r="AM78" s="2355"/>
      <c r="AN78" s="2355"/>
      <c r="AO78" s="2355"/>
      <c r="AP78" s="2355"/>
      <c r="AQ78" s="2973"/>
      <c r="AR78" s="2973"/>
      <c r="AS78" s="2976"/>
    </row>
    <row r="79" spans="1:45" ht="57" customHeight="1" x14ac:dyDescent="0.25">
      <c r="A79" s="2424"/>
      <c r="B79" s="2425"/>
      <c r="C79" s="2134"/>
      <c r="D79" s="2110"/>
      <c r="E79" s="655"/>
      <c r="F79" s="655"/>
      <c r="G79" s="662">
        <v>3206015</v>
      </c>
      <c r="H79" s="663" t="s">
        <v>976</v>
      </c>
      <c r="I79" s="662" t="s">
        <v>977</v>
      </c>
      <c r="J79" s="663" t="s">
        <v>976</v>
      </c>
      <c r="K79" s="671" t="s">
        <v>978</v>
      </c>
      <c r="L79" s="672" t="s">
        <v>979</v>
      </c>
      <c r="M79" s="671" t="s">
        <v>978</v>
      </c>
      <c r="N79" s="672" t="s">
        <v>979</v>
      </c>
      <c r="O79" s="150">
        <v>20</v>
      </c>
      <c r="P79" s="2904"/>
      <c r="Q79" s="3159"/>
      <c r="R79" s="673">
        <f>W79/S77</f>
        <v>0.63559322033898302</v>
      </c>
      <c r="S79" s="3161"/>
      <c r="T79" s="2876"/>
      <c r="U79" s="2321"/>
      <c r="V79" s="249" t="s">
        <v>980</v>
      </c>
      <c r="W79" s="674">
        <v>75000000</v>
      </c>
      <c r="X79" s="347" t="s">
        <v>981</v>
      </c>
      <c r="Y79" s="605">
        <v>20</v>
      </c>
      <c r="Z79" s="248" t="s">
        <v>694</v>
      </c>
      <c r="AA79" s="2355"/>
      <c r="AB79" s="2355"/>
      <c r="AC79" s="2355"/>
      <c r="AD79" s="2355"/>
      <c r="AE79" s="2355"/>
      <c r="AF79" s="2355"/>
      <c r="AG79" s="2355"/>
      <c r="AH79" s="2355"/>
      <c r="AI79" s="2355"/>
      <c r="AJ79" s="2355"/>
      <c r="AK79" s="2355"/>
      <c r="AL79" s="2355"/>
      <c r="AM79" s="2355"/>
      <c r="AN79" s="2355"/>
      <c r="AO79" s="2355"/>
      <c r="AP79" s="2355"/>
      <c r="AQ79" s="2973"/>
      <c r="AR79" s="2973"/>
      <c r="AS79" s="2976"/>
    </row>
    <row r="80" spans="1:45" ht="27" customHeight="1" x14ac:dyDescent="0.25">
      <c r="A80" s="675"/>
      <c r="B80" s="676"/>
      <c r="C80" s="676"/>
      <c r="D80" s="676"/>
      <c r="E80" s="676"/>
      <c r="F80" s="676"/>
      <c r="G80" s="676"/>
      <c r="H80" s="677"/>
      <c r="I80" s="676"/>
      <c r="J80" s="677"/>
      <c r="K80" s="676"/>
      <c r="L80" s="677"/>
      <c r="M80" s="676"/>
      <c r="N80" s="677"/>
      <c r="O80" s="676"/>
      <c r="P80" s="676"/>
      <c r="Q80" s="677"/>
      <c r="R80" s="678"/>
      <c r="S80" s="679">
        <f>SUM(S10:S79)</f>
        <v>3854290501.6300001</v>
      </c>
      <c r="T80" s="680"/>
      <c r="U80" s="681"/>
      <c r="V80" s="121" t="s">
        <v>113</v>
      </c>
      <c r="W80" s="357">
        <f>SUM(W10:W79)</f>
        <v>3854290501.6300001</v>
      </c>
      <c r="X80" s="682"/>
      <c r="Y80" s="683"/>
      <c r="Z80" s="676"/>
      <c r="AA80" s="676"/>
      <c r="AB80" s="676"/>
      <c r="AC80" s="676"/>
      <c r="AD80" s="676"/>
      <c r="AE80" s="676"/>
      <c r="AF80" s="676"/>
      <c r="AG80" s="676"/>
      <c r="AH80" s="676"/>
      <c r="AI80" s="676"/>
      <c r="AJ80" s="676"/>
      <c r="AK80" s="676"/>
      <c r="AL80" s="676"/>
      <c r="AM80" s="676"/>
      <c r="AN80" s="676"/>
      <c r="AO80" s="676"/>
      <c r="AP80" s="676"/>
      <c r="AQ80" s="684"/>
      <c r="AR80" s="684"/>
      <c r="AS80" s="562"/>
    </row>
    <row r="81" spans="23:46" ht="15" x14ac:dyDescent="0.25">
      <c r="W81" s="554"/>
      <c r="AR81" s="685"/>
      <c r="AS81" s="3"/>
      <c r="AT81" s="3"/>
    </row>
    <row r="82" spans="23:46" ht="15" x14ac:dyDescent="0.25">
      <c r="W82" s="686"/>
      <c r="AR82" s="685"/>
      <c r="AS82" s="3"/>
      <c r="AT82" s="3"/>
    </row>
    <row r="83" spans="23:46" ht="27" customHeight="1" x14ac:dyDescent="0.25">
      <c r="AR83" s="685"/>
      <c r="AS83" s="3"/>
      <c r="AT83" s="3"/>
    </row>
    <row r="84" spans="23:46" ht="27" customHeight="1" x14ac:dyDescent="0.25">
      <c r="AR84" s="685"/>
      <c r="AS84" s="3"/>
      <c r="AT84" s="3"/>
    </row>
    <row r="85" spans="23:46" ht="27" customHeight="1" x14ac:dyDescent="0.25">
      <c r="AR85" s="685"/>
      <c r="AS85" s="3"/>
      <c r="AT85" s="3"/>
    </row>
    <row r="86" spans="23:46" ht="27" customHeight="1" x14ac:dyDescent="0.25">
      <c r="AR86" s="685"/>
      <c r="AS86" s="3"/>
      <c r="AT86" s="3"/>
    </row>
    <row r="87" spans="23:46" ht="27" customHeight="1" x14ac:dyDescent="0.25">
      <c r="AR87" s="685"/>
      <c r="AS87" s="3"/>
      <c r="AT87" s="3"/>
    </row>
    <row r="88" spans="23:46" ht="27" customHeight="1" x14ac:dyDescent="0.25">
      <c r="AR88" s="685"/>
      <c r="AS88" s="3"/>
      <c r="AT88" s="3"/>
    </row>
    <row r="89" spans="23:46" ht="27" customHeight="1" x14ac:dyDescent="0.25">
      <c r="AR89" s="685"/>
      <c r="AS89" s="3"/>
      <c r="AT89" s="3"/>
    </row>
    <row r="90" spans="23:46" ht="27" customHeight="1" x14ac:dyDescent="0.25">
      <c r="AR90" s="685"/>
      <c r="AS90" s="3"/>
      <c r="AT90" s="3"/>
    </row>
    <row r="91" spans="23:46" ht="27" customHeight="1" x14ac:dyDescent="0.25">
      <c r="AR91" s="685"/>
      <c r="AS91" s="3"/>
      <c r="AT91" s="3"/>
    </row>
    <row r="92" spans="23:46" ht="27" customHeight="1" x14ac:dyDescent="0.25">
      <c r="AR92" s="685"/>
      <c r="AS92" s="3"/>
      <c r="AT92" s="3"/>
    </row>
    <row r="93" spans="23:46" ht="27" customHeight="1" x14ac:dyDescent="0.25">
      <c r="AR93" s="685"/>
      <c r="AS93" s="3"/>
      <c r="AT93" s="3"/>
    </row>
    <row r="94" spans="23:46" ht="27" customHeight="1" x14ac:dyDescent="0.25">
      <c r="AR94" s="685"/>
      <c r="AS94" s="3"/>
      <c r="AT94" s="3"/>
    </row>
    <row r="95" spans="23:46" ht="27" customHeight="1" x14ac:dyDescent="0.25">
      <c r="AR95" s="685"/>
      <c r="AS95" s="3"/>
      <c r="AT95" s="3"/>
    </row>
    <row r="96" spans="23:46" ht="27" customHeight="1" x14ac:dyDescent="0.25">
      <c r="AR96" s="685"/>
      <c r="AS96" s="3"/>
      <c r="AT96" s="3"/>
    </row>
    <row r="97" spans="44:46" ht="27" customHeight="1" x14ac:dyDescent="0.25">
      <c r="AR97" s="685"/>
      <c r="AS97" s="3"/>
      <c r="AT97" s="3"/>
    </row>
    <row r="98" spans="44:46" ht="27" customHeight="1" x14ac:dyDescent="0.25">
      <c r="AR98" s="685"/>
      <c r="AS98" s="3"/>
      <c r="AT98" s="3"/>
    </row>
    <row r="99" spans="44:46" ht="27" customHeight="1" x14ac:dyDescent="0.25">
      <c r="AR99" s="685"/>
      <c r="AS99" s="3"/>
      <c r="AT99" s="3"/>
    </row>
    <row r="100" spans="44:46" ht="27" customHeight="1" x14ac:dyDescent="0.25">
      <c r="AR100" s="685"/>
      <c r="AS100" s="3"/>
      <c r="AT100" s="3"/>
    </row>
    <row r="101" spans="44:46" ht="27" customHeight="1" x14ac:dyDescent="0.25">
      <c r="AR101" s="685"/>
      <c r="AS101" s="3"/>
      <c r="AT101" s="3"/>
    </row>
    <row r="102" spans="44:46" ht="27" customHeight="1" x14ac:dyDescent="0.25">
      <c r="AR102" s="685"/>
      <c r="AS102" s="3"/>
      <c r="AT102" s="3"/>
    </row>
    <row r="103" spans="44:46" ht="27" customHeight="1" x14ac:dyDescent="0.25">
      <c r="AR103" s="685"/>
      <c r="AS103" s="3"/>
      <c r="AT103" s="3"/>
    </row>
    <row r="104" spans="44:46" ht="27" customHeight="1" x14ac:dyDescent="0.25">
      <c r="AR104" s="685"/>
      <c r="AS104" s="3"/>
      <c r="AT104" s="3"/>
    </row>
    <row r="105" spans="44:46" ht="27" customHeight="1" x14ac:dyDescent="0.25">
      <c r="AR105" s="685"/>
      <c r="AS105" s="3"/>
      <c r="AT105" s="3"/>
    </row>
    <row r="106" spans="44:46" ht="27" customHeight="1" x14ac:dyDescent="0.25">
      <c r="AR106" s="685"/>
      <c r="AS106" s="3"/>
      <c r="AT106" s="3"/>
    </row>
    <row r="107" spans="44:46" ht="27" customHeight="1" x14ac:dyDescent="0.25">
      <c r="AR107" s="685"/>
      <c r="AS107" s="3"/>
      <c r="AT107" s="3"/>
    </row>
    <row r="108" spans="44:46" ht="27" customHeight="1" x14ac:dyDescent="0.25">
      <c r="AR108" s="685"/>
      <c r="AS108" s="3"/>
      <c r="AT108" s="3"/>
    </row>
    <row r="109" spans="44:46" ht="27" customHeight="1" x14ac:dyDescent="0.25">
      <c r="AR109" s="685"/>
      <c r="AS109" s="3"/>
      <c r="AT109" s="3"/>
    </row>
    <row r="110" spans="44:46" ht="27" customHeight="1" x14ac:dyDescent="0.25">
      <c r="AR110" s="685"/>
      <c r="AS110" s="3"/>
      <c r="AT110" s="3"/>
    </row>
    <row r="111" spans="44:46" ht="27" customHeight="1" x14ac:dyDescent="0.25">
      <c r="AR111" s="685"/>
      <c r="AS111" s="3"/>
      <c r="AT111" s="3"/>
    </row>
    <row r="112" spans="44:46" ht="27" customHeight="1" x14ac:dyDescent="0.25">
      <c r="AR112" s="685"/>
      <c r="AS112" s="3"/>
      <c r="AT112" s="3"/>
    </row>
    <row r="113" spans="44:46" ht="27" customHeight="1" x14ac:dyDescent="0.25">
      <c r="AR113" s="685"/>
      <c r="AS113" s="3"/>
      <c r="AT113" s="3"/>
    </row>
    <row r="114" spans="44:46" ht="27" customHeight="1" x14ac:dyDescent="0.25">
      <c r="AR114" s="685"/>
      <c r="AS114" s="3"/>
      <c r="AT114" s="3"/>
    </row>
    <row r="115" spans="44:46" ht="27" customHeight="1" x14ac:dyDescent="0.25">
      <c r="AR115" s="685"/>
      <c r="AS115" s="3"/>
      <c r="AT115" s="3"/>
    </row>
    <row r="116" spans="44:46" ht="27" customHeight="1" x14ac:dyDescent="0.25">
      <c r="AR116" s="685"/>
      <c r="AS116" s="3"/>
      <c r="AT116" s="3"/>
    </row>
    <row r="117" spans="44:46" ht="27" customHeight="1" x14ac:dyDescent="0.25">
      <c r="AR117" s="685"/>
      <c r="AS117" s="3"/>
      <c r="AT117" s="3"/>
    </row>
    <row r="118" spans="44:46" ht="27" customHeight="1" x14ac:dyDescent="0.25">
      <c r="AR118" s="685"/>
      <c r="AS118" s="3"/>
      <c r="AT118" s="3"/>
    </row>
    <row r="119" spans="44:46" ht="27" customHeight="1" x14ac:dyDescent="0.25">
      <c r="AR119" s="685"/>
      <c r="AS119" s="3"/>
      <c r="AT119" s="3"/>
    </row>
    <row r="120" spans="44:46" ht="27" customHeight="1" x14ac:dyDescent="0.25">
      <c r="AR120" s="685"/>
      <c r="AS120" s="3"/>
      <c r="AT120" s="3"/>
    </row>
    <row r="121" spans="44:46" ht="27" customHeight="1" x14ac:dyDescent="0.25">
      <c r="AR121" s="685"/>
      <c r="AS121" s="3"/>
      <c r="AT121" s="3"/>
    </row>
    <row r="122" spans="44:46" ht="27" customHeight="1" x14ac:dyDescent="0.25">
      <c r="AR122" s="685"/>
      <c r="AS122" s="3"/>
      <c r="AT122" s="3"/>
    </row>
    <row r="123" spans="44:46" ht="27" customHeight="1" x14ac:dyDescent="0.25">
      <c r="AR123" s="685"/>
      <c r="AS123" s="3"/>
      <c r="AT123" s="3"/>
    </row>
    <row r="124" spans="44:46" ht="27" customHeight="1" x14ac:dyDescent="0.25">
      <c r="AR124" s="685"/>
      <c r="AS124" s="3"/>
      <c r="AT124" s="3"/>
    </row>
    <row r="125" spans="44:46" ht="27" customHeight="1" x14ac:dyDescent="0.25">
      <c r="AR125" s="685"/>
      <c r="AS125" s="3"/>
      <c r="AT125" s="3"/>
    </row>
    <row r="126" spans="44:46" ht="27" customHeight="1" x14ac:dyDescent="0.25">
      <c r="AR126" s="685"/>
      <c r="AS126" s="3"/>
      <c r="AT126" s="3"/>
    </row>
    <row r="127" spans="44:46" ht="27" customHeight="1" x14ac:dyDescent="0.25">
      <c r="AR127" s="685"/>
      <c r="AS127" s="3"/>
      <c r="AT127" s="3"/>
    </row>
    <row r="128" spans="44:46" ht="27" customHeight="1" x14ac:dyDescent="0.25">
      <c r="AR128" s="685"/>
      <c r="AS128" s="3"/>
      <c r="AT128" s="3"/>
    </row>
    <row r="129" spans="44:46" ht="27" customHeight="1" x14ac:dyDescent="0.25">
      <c r="AR129" s="685"/>
      <c r="AS129" s="3"/>
      <c r="AT129" s="3"/>
    </row>
    <row r="130" spans="44:46" ht="27" customHeight="1" x14ac:dyDescent="0.25">
      <c r="AR130" s="685"/>
      <c r="AS130" s="3"/>
      <c r="AT130" s="3"/>
    </row>
    <row r="131" spans="44:46" ht="27" customHeight="1" x14ac:dyDescent="0.25">
      <c r="AR131" s="685"/>
      <c r="AS131" s="3"/>
      <c r="AT131" s="3"/>
    </row>
    <row r="132" spans="44:46" ht="27" customHeight="1" x14ac:dyDescent="0.25">
      <c r="AR132" s="685"/>
      <c r="AS132" s="3"/>
      <c r="AT132" s="3"/>
    </row>
    <row r="133" spans="44:46" ht="27" customHeight="1" x14ac:dyDescent="0.25">
      <c r="AR133" s="685"/>
      <c r="AS133" s="3"/>
      <c r="AT133" s="3"/>
    </row>
    <row r="134" spans="44:46" ht="27" customHeight="1" x14ac:dyDescent="0.25">
      <c r="AR134" s="685"/>
      <c r="AS134" s="3"/>
      <c r="AT134" s="3"/>
    </row>
    <row r="135" spans="44:46" ht="27" customHeight="1" x14ac:dyDescent="0.25">
      <c r="AR135" s="685"/>
      <c r="AS135" s="3"/>
      <c r="AT135" s="3"/>
    </row>
    <row r="136" spans="44:46" ht="27" customHeight="1" x14ac:dyDescent="0.25">
      <c r="AR136" s="685"/>
      <c r="AS136" s="3"/>
      <c r="AT136" s="3"/>
    </row>
    <row r="137" spans="44:46" ht="27" customHeight="1" x14ac:dyDescent="0.25">
      <c r="AR137" s="685"/>
      <c r="AS137" s="3"/>
      <c r="AT137" s="3"/>
    </row>
    <row r="138" spans="44:46" ht="27" customHeight="1" x14ac:dyDescent="0.25">
      <c r="AR138" s="685"/>
      <c r="AS138" s="3"/>
      <c r="AT138" s="3"/>
    </row>
    <row r="139" spans="44:46" ht="27" customHeight="1" x14ac:dyDescent="0.25">
      <c r="AR139" s="685"/>
      <c r="AS139" s="3"/>
      <c r="AT139" s="3"/>
    </row>
    <row r="140" spans="44:46" ht="27" customHeight="1" x14ac:dyDescent="0.25">
      <c r="AR140" s="685"/>
      <c r="AS140" s="3"/>
      <c r="AT140" s="3"/>
    </row>
    <row r="141" spans="44:46" ht="27" customHeight="1" x14ac:dyDescent="0.25">
      <c r="AR141" s="685"/>
      <c r="AS141" s="3"/>
      <c r="AT141" s="3"/>
    </row>
    <row r="142" spans="44:46" ht="27" customHeight="1" x14ac:dyDescent="0.25">
      <c r="AR142" s="685"/>
      <c r="AS142" s="3"/>
      <c r="AT142" s="3"/>
    </row>
    <row r="143" spans="44:46" ht="27" customHeight="1" x14ac:dyDescent="0.25">
      <c r="AR143" s="685"/>
      <c r="AS143" s="3"/>
      <c r="AT143" s="3"/>
    </row>
    <row r="144" spans="44:46" ht="27" customHeight="1" x14ac:dyDescent="0.25">
      <c r="AR144" s="685"/>
      <c r="AS144" s="3"/>
      <c r="AT144" s="3"/>
    </row>
    <row r="145" spans="44:46" ht="27" customHeight="1" x14ac:dyDescent="0.25">
      <c r="AR145" s="685"/>
      <c r="AS145" s="3"/>
      <c r="AT145" s="3"/>
    </row>
    <row r="146" spans="44:46" ht="27" customHeight="1" x14ac:dyDescent="0.25">
      <c r="AR146" s="685"/>
      <c r="AS146" s="3"/>
      <c r="AT146" s="3"/>
    </row>
    <row r="147" spans="44:46" ht="27" customHeight="1" x14ac:dyDescent="0.25">
      <c r="AR147" s="685"/>
      <c r="AS147" s="3"/>
      <c r="AT147" s="3"/>
    </row>
    <row r="148" spans="44:46" ht="27" customHeight="1" x14ac:dyDescent="0.25">
      <c r="AR148" s="685"/>
      <c r="AS148" s="3"/>
      <c r="AT148" s="3"/>
    </row>
    <row r="149" spans="44:46" ht="27" customHeight="1" x14ac:dyDescent="0.25">
      <c r="AR149" s="685"/>
      <c r="AS149" s="3"/>
      <c r="AT149" s="3"/>
    </row>
    <row r="150" spans="44:46" ht="27" customHeight="1" x14ac:dyDescent="0.25">
      <c r="AR150" s="685"/>
      <c r="AS150" s="3"/>
      <c r="AT150" s="3"/>
    </row>
    <row r="151" spans="44:46" ht="27" customHeight="1" x14ac:dyDescent="0.25">
      <c r="AR151" s="685"/>
      <c r="AS151" s="3"/>
      <c r="AT151" s="3"/>
    </row>
    <row r="152" spans="44:46" ht="27" customHeight="1" x14ac:dyDescent="0.25">
      <c r="AR152" s="685"/>
      <c r="AS152" s="3"/>
      <c r="AT152" s="3"/>
    </row>
    <row r="153" spans="44:46" ht="27" customHeight="1" x14ac:dyDescent="0.25">
      <c r="AR153" s="685"/>
      <c r="AS153" s="3"/>
      <c r="AT153" s="3"/>
    </row>
    <row r="154" spans="44:46" ht="27" customHeight="1" x14ac:dyDescent="0.25">
      <c r="AR154" s="685"/>
      <c r="AS154" s="3"/>
      <c r="AT154" s="3"/>
    </row>
    <row r="155" spans="44:46" ht="27" customHeight="1" x14ac:dyDescent="0.25">
      <c r="AR155" s="685"/>
      <c r="AS155" s="3"/>
      <c r="AT155" s="3"/>
    </row>
    <row r="156" spans="44:46" ht="27" customHeight="1" x14ac:dyDescent="0.25">
      <c r="AR156" s="685"/>
      <c r="AS156" s="3"/>
      <c r="AT156" s="3"/>
    </row>
    <row r="157" spans="44:46" ht="27" customHeight="1" x14ac:dyDescent="0.25">
      <c r="AR157" s="685"/>
      <c r="AS157" s="3"/>
      <c r="AT157" s="3"/>
    </row>
    <row r="158" spans="44:46" ht="27" customHeight="1" x14ac:dyDescent="0.25">
      <c r="AR158" s="685"/>
      <c r="AS158" s="3"/>
      <c r="AT158" s="3"/>
    </row>
    <row r="159" spans="44:46" ht="27" customHeight="1" x14ac:dyDescent="0.25">
      <c r="AR159" s="685"/>
      <c r="AS159" s="3"/>
      <c r="AT159" s="3"/>
    </row>
    <row r="160" spans="44:46" ht="27" customHeight="1" x14ac:dyDescent="0.25">
      <c r="AR160" s="685"/>
      <c r="AS160" s="3"/>
      <c r="AT160" s="3"/>
    </row>
    <row r="161" spans="44:46" ht="27" customHeight="1" x14ac:dyDescent="0.25">
      <c r="AR161" s="685"/>
      <c r="AS161" s="3"/>
      <c r="AT161" s="3"/>
    </row>
    <row r="162" spans="44:46" ht="27" customHeight="1" x14ac:dyDescent="0.25">
      <c r="AR162" s="685"/>
      <c r="AS162" s="3"/>
      <c r="AT162" s="3"/>
    </row>
    <row r="163" spans="44:46" ht="27" customHeight="1" x14ac:dyDescent="0.25">
      <c r="AR163" s="685"/>
      <c r="AS163" s="3"/>
      <c r="AT163" s="3"/>
    </row>
    <row r="164" spans="44:46" ht="27" customHeight="1" x14ac:dyDescent="0.25">
      <c r="AR164" s="685"/>
      <c r="AS164" s="3"/>
      <c r="AT164" s="3"/>
    </row>
    <row r="165" spans="44:46" ht="27" customHeight="1" x14ac:dyDescent="0.25">
      <c r="AR165" s="685"/>
      <c r="AS165" s="3"/>
      <c r="AT165" s="3"/>
    </row>
    <row r="166" spans="44:46" ht="27" customHeight="1" x14ac:dyDescent="0.25">
      <c r="AR166" s="685"/>
      <c r="AS166" s="3"/>
      <c r="AT166" s="3"/>
    </row>
    <row r="167" spans="44:46" ht="27" customHeight="1" x14ac:dyDescent="0.25">
      <c r="AR167" s="685"/>
      <c r="AS167" s="3"/>
      <c r="AT167" s="3"/>
    </row>
    <row r="168" spans="44:46" ht="27" customHeight="1" x14ac:dyDescent="0.25">
      <c r="AR168" s="685"/>
      <c r="AS168" s="3"/>
      <c r="AT168" s="3"/>
    </row>
    <row r="169" spans="44:46" ht="27" customHeight="1" x14ac:dyDescent="0.25">
      <c r="AR169" s="685"/>
      <c r="AS169" s="3"/>
      <c r="AT169" s="3"/>
    </row>
    <row r="170" spans="44:46" ht="27" customHeight="1" x14ac:dyDescent="0.25">
      <c r="AR170" s="685"/>
      <c r="AS170" s="3"/>
      <c r="AT170" s="3"/>
    </row>
    <row r="171" spans="44:46" ht="27" customHeight="1" x14ac:dyDescent="0.25">
      <c r="AR171" s="685"/>
      <c r="AS171" s="3"/>
      <c r="AT171" s="3"/>
    </row>
    <row r="172" spans="44:46" ht="27" customHeight="1" x14ac:dyDescent="0.25">
      <c r="AR172" s="685"/>
      <c r="AS172" s="3"/>
      <c r="AT172" s="3"/>
    </row>
    <row r="173" spans="44:46" ht="27" customHeight="1" x14ac:dyDescent="0.25">
      <c r="AR173" s="685"/>
      <c r="AS173" s="3"/>
      <c r="AT173" s="3"/>
    </row>
    <row r="174" spans="44:46" ht="27" customHeight="1" x14ac:dyDescent="0.25">
      <c r="AR174" s="685"/>
      <c r="AS174" s="3"/>
      <c r="AT174" s="3"/>
    </row>
    <row r="175" spans="44:46" ht="27" customHeight="1" x14ac:dyDescent="0.25">
      <c r="AR175" s="685"/>
      <c r="AS175" s="3"/>
      <c r="AT175" s="3"/>
    </row>
    <row r="176" spans="44:46" ht="27" customHeight="1" x14ac:dyDescent="0.25">
      <c r="AR176" s="685"/>
      <c r="AS176" s="3"/>
      <c r="AT176" s="3"/>
    </row>
    <row r="177" spans="44:46" ht="27" customHeight="1" x14ac:dyDescent="0.25">
      <c r="AR177" s="685"/>
      <c r="AS177" s="3"/>
      <c r="AT177" s="3"/>
    </row>
    <row r="178" spans="44:46" ht="27" customHeight="1" x14ac:dyDescent="0.25">
      <c r="AR178" s="685"/>
      <c r="AS178" s="3"/>
      <c r="AT178" s="3"/>
    </row>
    <row r="179" spans="44:46" ht="27" customHeight="1" x14ac:dyDescent="0.25">
      <c r="AR179" s="685"/>
      <c r="AS179" s="3"/>
      <c r="AT179" s="3"/>
    </row>
    <row r="180" spans="44:46" ht="27" customHeight="1" x14ac:dyDescent="0.25">
      <c r="AR180" s="685"/>
      <c r="AS180" s="3"/>
      <c r="AT180" s="3"/>
    </row>
    <row r="181" spans="44:46" ht="27" customHeight="1" x14ac:dyDescent="0.25">
      <c r="AR181" s="685"/>
      <c r="AS181" s="3"/>
      <c r="AT181" s="3"/>
    </row>
    <row r="182" spans="44:46" ht="27" customHeight="1" x14ac:dyDescent="0.25">
      <c r="AR182" s="685"/>
      <c r="AS182" s="3"/>
      <c r="AT182" s="3"/>
    </row>
    <row r="183" spans="44:46" ht="27" customHeight="1" x14ac:dyDescent="0.25">
      <c r="AR183" s="685"/>
      <c r="AS183" s="3"/>
      <c r="AT183" s="3"/>
    </row>
    <row r="184" spans="44:46" ht="27" customHeight="1" x14ac:dyDescent="0.25">
      <c r="AR184" s="685"/>
      <c r="AS184" s="3"/>
      <c r="AT184" s="3"/>
    </row>
    <row r="185" spans="44:46" ht="27" customHeight="1" x14ac:dyDescent="0.25">
      <c r="AR185" s="685"/>
      <c r="AS185" s="3"/>
      <c r="AT185" s="3"/>
    </row>
    <row r="186" spans="44:46" ht="27" customHeight="1" x14ac:dyDescent="0.25">
      <c r="AR186" s="685"/>
      <c r="AS186" s="3"/>
      <c r="AT186" s="3"/>
    </row>
    <row r="187" spans="44:46" ht="27" customHeight="1" x14ac:dyDescent="0.25">
      <c r="AR187" s="685"/>
      <c r="AS187" s="3"/>
      <c r="AT187" s="3"/>
    </row>
    <row r="188" spans="44:46" ht="27" customHeight="1" x14ac:dyDescent="0.25">
      <c r="AR188" s="685"/>
      <c r="AS188" s="3"/>
      <c r="AT188" s="3"/>
    </row>
    <row r="189" spans="44:46" ht="27" customHeight="1" x14ac:dyDescent="0.25">
      <c r="AR189" s="685"/>
      <c r="AS189" s="3"/>
      <c r="AT189" s="3"/>
    </row>
    <row r="190" spans="44:46" ht="27" customHeight="1" x14ac:dyDescent="0.25">
      <c r="AR190" s="685"/>
      <c r="AS190" s="3"/>
      <c r="AT190" s="3"/>
    </row>
    <row r="191" spans="44:46" ht="27" customHeight="1" x14ac:dyDescent="0.25">
      <c r="AR191" s="685"/>
      <c r="AS191" s="3"/>
      <c r="AT191" s="3"/>
    </row>
    <row r="192" spans="44:46" ht="27" customHeight="1" x14ac:dyDescent="0.25">
      <c r="AR192" s="685"/>
      <c r="AS192" s="3"/>
      <c r="AT192" s="3"/>
    </row>
    <row r="193" spans="44:46" ht="27" customHeight="1" x14ac:dyDescent="0.25">
      <c r="AR193" s="685"/>
      <c r="AS193" s="3"/>
      <c r="AT193" s="3"/>
    </row>
    <row r="194" spans="44:46" ht="27" customHeight="1" x14ac:dyDescent="0.25">
      <c r="AR194" s="685"/>
      <c r="AS194" s="3"/>
      <c r="AT194" s="3"/>
    </row>
    <row r="195" spans="44:46" ht="27" customHeight="1" x14ac:dyDescent="0.25">
      <c r="AR195" s="685"/>
      <c r="AS195" s="3"/>
      <c r="AT195" s="3"/>
    </row>
    <row r="196" spans="44:46" ht="27" customHeight="1" x14ac:dyDescent="0.25">
      <c r="AR196" s="685"/>
      <c r="AS196" s="3"/>
      <c r="AT196" s="3"/>
    </row>
    <row r="197" spans="44:46" ht="27" customHeight="1" x14ac:dyDescent="0.25">
      <c r="AR197" s="685"/>
      <c r="AS197" s="3"/>
      <c r="AT197" s="3"/>
    </row>
    <row r="198" spans="44:46" ht="27" customHeight="1" x14ac:dyDescent="0.25">
      <c r="AR198" s="685"/>
      <c r="AS198" s="3"/>
      <c r="AT198" s="3"/>
    </row>
    <row r="199" spans="44:46" ht="27" customHeight="1" x14ac:dyDescent="0.25">
      <c r="AR199" s="685"/>
      <c r="AS199" s="3"/>
      <c r="AT199" s="3"/>
    </row>
    <row r="200" spans="44:46" ht="27" customHeight="1" x14ac:dyDescent="0.25">
      <c r="AR200" s="685"/>
      <c r="AS200" s="3"/>
      <c r="AT200" s="3"/>
    </row>
    <row r="201" spans="44:46" ht="27" customHeight="1" x14ac:dyDescent="0.25">
      <c r="AR201" s="685"/>
      <c r="AS201" s="3"/>
      <c r="AT201" s="3"/>
    </row>
    <row r="202" spans="44:46" ht="27" customHeight="1" x14ac:dyDescent="0.25">
      <c r="AR202" s="685"/>
      <c r="AS202" s="3"/>
      <c r="AT202" s="3"/>
    </row>
    <row r="203" spans="44:46" ht="27" customHeight="1" x14ac:dyDescent="0.25">
      <c r="AR203" s="685"/>
      <c r="AS203" s="3"/>
      <c r="AT203" s="3"/>
    </row>
    <row r="204" spans="44:46" ht="27" customHeight="1" x14ac:dyDescent="0.25">
      <c r="AR204" s="685"/>
      <c r="AS204" s="3"/>
      <c r="AT204" s="3"/>
    </row>
    <row r="205" spans="44:46" ht="27" customHeight="1" x14ac:dyDescent="0.25">
      <c r="AR205" s="685"/>
      <c r="AS205" s="3"/>
      <c r="AT205" s="3"/>
    </row>
    <row r="206" spans="44:46" ht="27" customHeight="1" x14ac:dyDescent="0.25">
      <c r="AR206" s="685"/>
      <c r="AS206" s="3"/>
      <c r="AT206" s="3"/>
    </row>
    <row r="207" spans="44:46" ht="27" customHeight="1" x14ac:dyDescent="0.25">
      <c r="AR207" s="685"/>
      <c r="AS207" s="3"/>
      <c r="AT207" s="3"/>
    </row>
    <row r="208" spans="44:46" ht="27" customHeight="1" x14ac:dyDescent="0.25">
      <c r="AR208" s="685"/>
      <c r="AS208" s="3"/>
      <c r="AT208" s="3"/>
    </row>
    <row r="209" spans="44:46" ht="27" customHeight="1" x14ac:dyDescent="0.25">
      <c r="AR209" s="685"/>
      <c r="AS209" s="3"/>
      <c r="AT209" s="3"/>
    </row>
    <row r="210" spans="44:46" ht="27" customHeight="1" x14ac:dyDescent="0.25">
      <c r="AR210" s="685"/>
      <c r="AS210" s="3"/>
      <c r="AT210" s="3"/>
    </row>
    <row r="211" spans="44:46" ht="27" customHeight="1" x14ac:dyDescent="0.25">
      <c r="AR211" s="685"/>
      <c r="AS211" s="3"/>
      <c r="AT211" s="3"/>
    </row>
    <row r="212" spans="44:46" ht="27" customHeight="1" x14ac:dyDescent="0.25">
      <c r="AR212" s="685"/>
      <c r="AS212" s="3"/>
      <c r="AT212" s="3"/>
    </row>
    <row r="213" spans="44:46" ht="27" customHeight="1" x14ac:dyDescent="0.25">
      <c r="AR213" s="685"/>
      <c r="AS213" s="3"/>
      <c r="AT213" s="3"/>
    </row>
    <row r="214" spans="44:46" ht="27" customHeight="1" x14ac:dyDescent="0.25">
      <c r="AR214" s="685"/>
      <c r="AS214" s="3"/>
      <c r="AT214" s="3"/>
    </row>
    <row r="215" spans="44:46" ht="27" customHeight="1" x14ac:dyDescent="0.25">
      <c r="AR215" s="685"/>
      <c r="AS215" s="3"/>
      <c r="AT215" s="3"/>
    </row>
    <row r="216" spans="44:46" ht="27" customHeight="1" x14ac:dyDescent="0.25">
      <c r="AR216" s="685"/>
      <c r="AS216" s="3"/>
      <c r="AT216" s="3"/>
    </row>
    <row r="217" spans="44:46" ht="27" customHeight="1" x14ac:dyDescent="0.25">
      <c r="AR217" s="685"/>
      <c r="AS217" s="3"/>
      <c r="AT217" s="3"/>
    </row>
    <row r="218" spans="44:46" ht="27" customHeight="1" x14ac:dyDescent="0.25">
      <c r="AR218" s="685"/>
      <c r="AS218" s="3"/>
      <c r="AT218" s="3"/>
    </row>
    <row r="219" spans="44:46" ht="27" customHeight="1" x14ac:dyDescent="0.25">
      <c r="AR219" s="685"/>
      <c r="AS219" s="3"/>
      <c r="AT219" s="3"/>
    </row>
    <row r="220" spans="44:46" ht="27" customHeight="1" x14ac:dyDescent="0.25">
      <c r="AR220" s="685"/>
      <c r="AS220" s="3"/>
      <c r="AT220" s="3"/>
    </row>
    <row r="221" spans="44:46" ht="27" customHeight="1" x14ac:dyDescent="0.25">
      <c r="AR221" s="685"/>
      <c r="AS221" s="3"/>
      <c r="AT221" s="3"/>
    </row>
    <row r="222" spans="44:46" ht="27" customHeight="1" x14ac:dyDescent="0.25">
      <c r="AR222" s="685"/>
      <c r="AS222" s="3"/>
      <c r="AT222" s="3"/>
    </row>
    <row r="223" spans="44:46" ht="27" customHeight="1" x14ac:dyDescent="0.25">
      <c r="AR223" s="685"/>
      <c r="AS223" s="3"/>
      <c r="AT223" s="3"/>
    </row>
    <row r="224" spans="44:46" ht="27" customHeight="1" x14ac:dyDescent="0.25">
      <c r="AR224" s="685"/>
      <c r="AS224" s="3"/>
      <c r="AT224" s="3"/>
    </row>
    <row r="225" spans="44:46" ht="27" customHeight="1" x14ac:dyDescent="0.25">
      <c r="AR225" s="685"/>
      <c r="AS225" s="3"/>
      <c r="AT225" s="3"/>
    </row>
    <row r="226" spans="44:46" ht="27" customHeight="1" x14ac:dyDescent="0.25">
      <c r="AR226" s="685"/>
      <c r="AS226" s="3"/>
      <c r="AT226" s="3"/>
    </row>
    <row r="227" spans="44:46" ht="27" customHeight="1" x14ac:dyDescent="0.25">
      <c r="AR227" s="685"/>
      <c r="AS227" s="3"/>
      <c r="AT227" s="3"/>
    </row>
    <row r="228" spans="44:46" ht="27" customHeight="1" x14ac:dyDescent="0.25">
      <c r="AR228" s="685"/>
      <c r="AS228" s="3"/>
      <c r="AT228" s="3"/>
    </row>
    <row r="229" spans="44:46" ht="27" customHeight="1" x14ac:dyDescent="0.25">
      <c r="AR229" s="685"/>
      <c r="AS229" s="3"/>
      <c r="AT229" s="3"/>
    </row>
    <row r="230" spans="44:46" ht="27" customHeight="1" x14ac:dyDescent="0.25">
      <c r="AR230" s="685"/>
      <c r="AS230" s="3"/>
      <c r="AT230" s="3"/>
    </row>
    <row r="231" spans="44:46" ht="27" customHeight="1" x14ac:dyDescent="0.25">
      <c r="AR231" s="685"/>
      <c r="AS231" s="3"/>
      <c r="AT231" s="3"/>
    </row>
    <row r="232" spans="44:46" ht="27" customHeight="1" x14ac:dyDescent="0.25">
      <c r="AR232" s="685"/>
      <c r="AS232" s="3"/>
      <c r="AT232" s="3"/>
    </row>
    <row r="233" spans="44:46" ht="27" customHeight="1" x14ac:dyDescent="0.25">
      <c r="AR233" s="685"/>
      <c r="AS233" s="3"/>
      <c r="AT233" s="3"/>
    </row>
    <row r="234" spans="44:46" ht="27" customHeight="1" x14ac:dyDescent="0.25">
      <c r="AR234" s="685"/>
      <c r="AS234" s="3"/>
      <c r="AT234" s="3"/>
    </row>
    <row r="235" spans="44:46" ht="27" customHeight="1" x14ac:dyDescent="0.25">
      <c r="AR235" s="685"/>
      <c r="AS235" s="3"/>
      <c r="AT235" s="3"/>
    </row>
    <row r="236" spans="44:46" ht="27" customHeight="1" x14ac:dyDescent="0.25">
      <c r="AR236" s="685"/>
      <c r="AS236" s="3"/>
      <c r="AT236" s="3"/>
    </row>
    <row r="237" spans="44:46" ht="27" customHeight="1" x14ac:dyDescent="0.25">
      <c r="AR237" s="685"/>
      <c r="AS237" s="3"/>
      <c r="AT237" s="3"/>
    </row>
    <row r="238" spans="44:46" ht="27" customHeight="1" x14ac:dyDescent="0.25">
      <c r="AR238" s="685"/>
      <c r="AS238" s="3"/>
      <c r="AT238" s="3"/>
    </row>
    <row r="239" spans="44:46" ht="27" customHeight="1" x14ac:dyDescent="0.25">
      <c r="AR239" s="685"/>
      <c r="AS239" s="3"/>
      <c r="AT239" s="3"/>
    </row>
    <row r="240" spans="44:46" ht="27" customHeight="1" x14ac:dyDescent="0.25">
      <c r="AR240" s="685"/>
      <c r="AS240" s="3"/>
      <c r="AT240" s="3"/>
    </row>
    <row r="241" spans="44:46" ht="27" customHeight="1" x14ac:dyDescent="0.25">
      <c r="AR241" s="685"/>
      <c r="AS241" s="3"/>
      <c r="AT241" s="3"/>
    </row>
    <row r="242" spans="44:46" ht="27" customHeight="1" x14ac:dyDescent="0.25">
      <c r="AR242" s="685"/>
      <c r="AS242" s="3"/>
      <c r="AT242" s="3"/>
    </row>
    <row r="243" spans="44:46" ht="27" customHeight="1" x14ac:dyDescent="0.25">
      <c r="AR243" s="685"/>
      <c r="AS243" s="3"/>
      <c r="AT243" s="3"/>
    </row>
    <row r="244" spans="44:46" ht="27" customHeight="1" x14ac:dyDescent="0.25">
      <c r="AR244" s="685"/>
      <c r="AS244" s="3"/>
      <c r="AT244" s="3"/>
    </row>
    <row r="245" spans="44:46" ht="27" customHeight="1" x14ac:dyDescent="0.25">
      <c r="AR245" s="685"/>
      <c r="AS245" s="3"/>
      <c r="AT245" s="3"/>
    </row>
    <row r="246" spans="44:46" ht="27" customHeight="1" x14ac:dyDescent="0.25">
      <c r="AR246" s="685"/>
      <c r="AS246" s="3"/>
      <c r="AT246" s="3"/>
    </row>
    <row r="247" spans="44:46" ht="27" customHeight="1" x14ac:dyDescent="0.25">
      <c r="AR247" s="685"/>
      <c r="AS247" s="3"/>
      <c r="AT247" s="3"/>
    </row>
    <row r="248" spans="44:46" ht="27" customHeight="1" x14ac:dyDescent="0.25">
      <c r="AR248" s="685"/>
      <c r="AS248" s="3"/>
      <c r="AT248" s="3"/>
    </row>
    <row r="249" spans="44:46" ht="27" customHeight="1" x14ac:dyDescent="0.25">
      <c r="AR249" s="685"/>
      <c r="AS249" s="3"/>
      <c r="AT249" s="3"/>
    </row>
    <row r="250" spans="44:46" ht="27" customHeight="1" x14ac:dyDescent="0.25">
      <c r="AR250" s="685"/>
      <c r="AS250" s="3"/>
      <c r="AT250" s="3"/>
    </row>
    <row r="251" spans="44:46" ht="27" customHeight="1" x14ac:dyDescent="0.25">
      <c r="AR251" s="685"/>
      <c r="AS251" s="3"/>
      <c r="AT251" s="3"/>
    </row>
    <row r="252" spans="44:46" ht="27" customHeight="1" x14ac:dyDescent="0.25">
      <c r="AR252" s="685"/>
      <c r="AS252" s="3"/>
      <c r="AT252" s="3"/>
    </row>
    <row r="253" spans="44:46" ht="27" customHeight="1" x14ac:dyDescent="0.25">
      <c r="AR253" s="685"/>
      <c r="AS253" s="3"/>
      <c r="AT253" s="3"/>
    </row>
    <row r="254" spans="44:46" ht="27" customHeight="1" x14ac:dyDescent="0.25">
      <c r="AR254" s="685"/>
      <c r="AS254" s="3"/>
      <c r="AT254" s="3"/>
    </row>
    <row r="255" spans="44:46" ht="27" customHeight="1" x14ac:dyDescent="0.25">
      <c r="AR255" s="685"/>
      <c r="AS255" s="3"/>
      <c r="AT255" s="3"/>
    </row>
    <row r="256" spans="44:46" ht="27" customHeight="1" x14ac:dyDescent="0.25">
      <c r="AR256" s="685"/>
      <c r="AS256" s="3"/>
      <c r="AT256" s="3"/>
    </row>
    <row r="257" spans="44:46" ht="27" customHeight="1" x14ac:dyDescent="0.25">
      <c r="AR257" s="685"/>
      <c r="AS257" s="3"/>
      <c r="AT257" s="3"/>
    </row>
    <row r="258" spans="44:46" ht="27" customHeight="1" x14ac:dyDescent="0.25">
      <c r="AR258" s="685"/>
      <c r="AS258" s="3"/>
      <c r="AT258" s="3"/>
    </row>
    <row r="259" spans="44:46" ht="27" customHeight="1" x14ac:dyDescent="0.25">
      <c r="AR259" s="685"/>
      <c r="AS259" s="3"/>
      <c r="AT259" s="3"/>
    </row>
    <row r="260" spans="44:46" ht="27" customHeight="1" x14ac:dyDescent="0.25">
      <c r="AR260" s="685"/>
      <c r="AS260" s="3"/>
      <c r="AT260" s="3"/>
    </row>
    <row r="261" spans="44:46" ht="27" customHeight="1" x14ac:dyDescent="0.25">
      <c r="AR261" s="685"/>
      <c r="AS261" s="3"/>
      <c r="AT261" s="3"/>
    </row>
    <row r="262" spans="44:46" ht="27" customHeight="1" x14ac:dyDescent="0.25">
      <c r="AR262" s="685"/>
      <c r="AS262" s="3"/>
      <c r="AT262" s="3"/>
    </row>
    <row r="263" spans="44:46" ht="27" customHeight="1" x14ac:dyDescent="0.25">
      <c r="AR263" s="685"/>
      <c r="AS263" s="3"/>
      <c r="AT263" s="3"/>
    </row>
    <row r="264" spans="44:46" ht="27" customHeight="1" x14ac:dyDescent="0.25">
      <c r="AR264" s="685"/>
      <c r="AS264" s="3"/>
      <c r="AT264" s="3"/>
    </row>
    <row r="265" spans="44:46" ht="27" customHeight="1" x14ac:dyDescent="0.25">
      <c r="AR265" s="685"/>
      <c r="AS265" s="3"/>
      <c r="AT265" s="3"/>
    </row>
    <row r="266" spans="44:46" ht="27" customHeight="1" x14ac:dyDescent="0.25">
      <c r="AR266" s="685"/>
      <c r="AS266" s="3"/>
      <c r="AT266" s="3"/>
    </row>
    <row r="267" spans="44:46" ht="27" customHeight="1" x14ac:dyDescent="0.25">
      <c r="AR267" s="685"/>
      <c r="AS267" s="3"/>
      <c r="AT267" s="3"/>
    </row>
    <row r="268" spans="44:46" ht="27" customHeight="1" x14ac:dyDescent="0.25">
      <c r="AR268" s="685"/>
      <c r="AS268" s="3"/>
      <c r="AT268" s="3"/>
    </row>
    <row r="269" spans="44:46" ht="27" customHeight="1" x14ac:dyDescent="0.25">
      <c r="AR269" s="685"/>
      <c r="AS269" s="3"/>
      <c r="AT269" s="3"/>
    </row>
    <row r="270" spans="44:46" ht="27" customHeight="1" x14ac:dyDescent="0.25">
      <c r="AR270" s="685"/>
      <c r="AS270" s="3"/>
      <c r="AT270" s="3"/>
    </row>
    <row r="271" spans="44:46" ht="27" customHeight="1" x14ac:dyDescent="0.25">
      <c r="AR271" s="685"/>
      <c r="AS271" s="3"/>
      <c r="AT271" s="3"/>
    </row>
    <row r="272" spans="44:46" ht="27" customHeight="1" x14ac:dyDescent="0.25">
      <c r="AR272" s="685"/>
      <c r="AS272" s="3"/>
      <c r="AT272" s="3"/>
    </row>
    <row r="273" spans="44:46" ht="27" customHeight="1" x14ac:dyDescent="0.25">
      <c r="AR273" s="685"/>
      <c r="AS273" s="3"/>
      <c r="AT273" s="3"/>
    </row>
    <row r="274" spans="44:46" ht="27" customHeight="1" x14ac:dyDescent="0.25">
      <c r="AR274" s="685"/>
      <c r="AS274" s="3"/>
      <c r="AT274" s="3"/>
    </row>
    <row r="275" spans="44:46" ht="27" customHeight="1" x14ac:dyDescent="0.25">
      <c r="AR275" s="685"/>
      <c r="AS275" s="3"/>
      <c r="AT275" s="3"/>
    </row>
    <row r="276" spans="44:46" ht="27" customHeight="1" x14ac:dyDescent="0.25">
      <c r="AR276" s="685"/>
      <c r="AS276" s="3"/>
      <c r="AT276" s="3"/>
    </row>
    <row r="277" spans="44:46" ht="27" customHeight="1" x14ac:dyDescent="0.25">
      <c r="AR277" s="685"/>
      <c r="AS277" s="3"/>
      <c r="AT277" s="3"/>
    </row>
    <row r="278" spans="44:46" ht="27" customHeight="1" x14ac:dyDescent="0.25">
      <c r="AR278" s="685"/>
      <c r="AS278" s="3"/>
      <c r="AT278" s="3"/>
    </row>
    <row r="279" spans="44:46" ht="27" customHeight="1" x14ac:dyDescent="0.25">
      <c r="AR279" s="685"/>
      <c r="AS279" s="3"/>
      <c r="AT279" s="3"/>
    </row>
    <row r="280" spans="44:46" ht="27" customHeight="1" x14ac:dyDescent="0.25">
      <c r="AR280" s="685"/>
      <c r="AS280" s="3"/>
      <c r="AT280" s="3"/>
    </row>
    <row r="281" spans="44:46" ht="27" customHeight="1" x14ac:dyDescent="0.25">
      <c r="AR281" s="685"/>
      <c r="AS281" s="3"/>
      <c r="AT281" s="3"/>
    </row>
    <row r="282" spans="44:46" ht="27" customHeight="1" x14ac:dyDescent="0.25">
      <c r="AR282" s="685"/>
      <c r="AS282" s="3"/>
      <c r="AT282" s="3"/>
    </row>
    <row r="283" spans="44:46" ht="27" customHeight="1" x14ac:dyDescent="0.25">
      <c r="AR283" s="685"/>
      <c r="AS283" s="3"/>
      <c r="AT283" s="3"/>
    </row>
    <row r="284" spans="44:46" ht="27" customHeight="1" x14ac:dyDescent="0.25">
      <c r="AR284" s="685"/>
      <c r="AS284" s="3"/>
      <c r="AT284" s="3"/>
    </row>
    <row r="285" spans="44:46" ht="27" customHeight="1" x14ac:dyDescent="0.25">
      <c r="AR285" s="685"/>
      <c r="AS285" s="3"/>
      <c r="AT285" s="3"/>
    </row>
    <row r="286" spans="44:46" ht="27" customHeight="1" x14ac:dyDescent="0.25">
      <c r="AR286" s="685"/>
      <c r="AS286" s="3"/>
      <c r="AT286" s="3"/>
    </row>
    <row r="287" spans="44:46" ht="27" customHeight="1" x14ac:dyDescent="0.25">
      <c r="AR287" s="685"/>
      <c r="AS287" s="3"/>
      <c r="AT287" s="3"/>
    </row>
    <row r="288" spans="44:46" ht="27" customHeight="1" x14ac:dyDescent="0.25">
      <c r="AR288" s="685"/>
      <c r="AS288" s="3"/>
      <c r="AT288" s="3"/>
    </row>
    <row r="289" spans="44:46" ht="27" customHeight="1" x14ac:dyDescent="0.25">
      <c r="AR289" s="685"/>
      <c r="AS289" s="3"/>
      <c r="AT289" s="3"/>
    </row>
    <row r="290" spans="44:46" ht="27" customHeight="1" x14ac:dyDescent="0.25">
      <c r="AR290" s="685"/>
      <c r="AS290" s="3"/>
      <c r="AT290" s="3"/>
    </row>
    <row r="291" spans="44:46" ht="27" customHeight="1" x14ac:dyDescent="0.25">
      <c r="AR291" s="685"/>
      <c r="AS291" s="3"/>
      <c r="AT291" s="3"/>
    </row>
    <row r="292" spans="44:46" ht="27" customHeight="1" x14ac:dyDescent="0.25">
      <c r="AR292" s="685"/>
      <c r="AS292" s="3"/>
      <c r="AT292" s="3"/>
    </row>
    <row r="293" spans="44:46" ht="27" customHeight="1" x14ac:dyDescent="0.25">
      <c r="AR293" s="685"/>
      <c r="AS293" s="3"/>
      <c r="AT293" s="3"/>
    </row>
    <row r="294" spans="44:46" ht="27" customHeight="1" x14ac:dyDescent="0.25">
      <c r="AR294" s="685"/>
      <c r="AS294" s="3"/>
      <c r="AT294" s="3"/>
    </row>
    <row r="295" spans="44:46" ht="27" customHeight="1" x14ac:dyDescent="0.25">
      <c r="AR295" s="685"/>
      <c r="AS295" s="3"/>
      <c r="AT295" s="3"/>
    </row>
    <row r="296" spans="44:46" ht="27" customHeight="1" x14ac:dyDescent="0.25">
      <c r="AR296" s="685"/>
      <c r="AS296" s="3"/>
      <c r="AT296" s="3"/>
    </row>
    <row r="297" spans="44:46" ht="27" customHeight="1" x14ac:dyDescent="0.25">
      <c r="AR297" s="685"/>
      <c r="AS297" s="3"/>
      <c r="AT297" s="3"/>
    </row>
    <row r="298" spans="44:46" ht="27" customHeight="1" x14ac:dyDescent="0.25">
      <c r="AR298" s="685"/>
      <c r="AS298" s="3"/>
      <c r="AT298" s="3"/>
    </row>
    <row r="299" spans="44:46" ht="27" customHeight="1" x14ac:dyDescent="0.25">
      <c r="AR299" s="685"/>
      <c r="AS299" s="3"/>
      <c r="AT299" s="3"/>
    </row>
    <row r="300" spans="44:46" ht="27" customHeight="1" x14ac:dyDescent="0.25">
      <c r="AR300" s="685"/>
      <c r="AS300" s="3"/>
      <c r="AT300" s="3"/>
    </row>
    <row r="301" spans="44:46" ht="27" customHeight="1" x14ac:dyDescent="0.25">
      <c r="AR301" s="685"/>
      <c r="AS301" s="3"/>
      <c r="AT301" s="3"/>
    </row>
    <row r="302" spans="44:46" ht="27" customHeight="1" x14ac:dyDescent="0.25">
      <c r="AR302" s="685"/>
      <c r="AS302" s="3"/>
      <c r="AT302" s="3"/>
    </row>
    <row r="303" spans="44:46" ht="27" customHeight="1" x14ac:dyDescent="0.25">
      <c r="AR303" s="685"/>
      <c r="AS303" s="3"/>
      <c r="AT303" s="3"/>
    </row>
    <row r="304" spans="44:46" ht="27" customHeight="1" x14ac:dyDescent="0.25">
      <c r="AR304" s="685"/>
      <c r="AS304" s="3"/>
      <c r="AT304" s="3"/>
    </row>
    <row r="305" spans="44:46" ht="27" customHeight="1" x14ac:dyDescent="0.25">
      <c r="AR305" s="685"/>
      <c r="AS305" s="3"/>
      <c r="AT305" s="3"/>
    </row>
    <row r="306" spans="44:46" ht="27" customHeight="1" x14ac:dyDescent="0.25">
      <c r="AR306" s="685"/>
      <c r="AS306" s="3"/>
      <c r="AT306" s="3"/>
    </row>
    <row r="307" spans="44:46" ht="27" customHeight="1" x14ac:dyDescent="0.25">
      <c r="AR307" s="685"/>
      <c r="AS307" s="3"/>
      <c r="AT307" s="3"/>
    </row>
    <row r="308" spans="44:46" ht="27" customHeight="1" x14ac:dyDescent="0.25">
      <c r="AR308" s="685"/>
      <c r="AS308" s="3"/>
      <c r="AT308" s="3"/>
    </row>
    <row r="309" spans="44:46" ht="27" customHeight="1" x14ac:dyDescent="0.25">
      <c r="AR309" s="685"/>
      <c r="AS309" s="3"/>
      <c r="AT309" s="3"/>
    </row>
    <row r="310" spans="44:46" ht="27" customHeight="1" x14ac:dyDescent="0.25">
      <c r="AR310" s="685"/>
      <c r="AS310" s="3"/>
      <c r="AT310" s="3"/>
    </row>
    <row r="311" spans="44:46" ht="27" customHeight="1" x14ac:dyDescent="0.25">
      <c r="AR311" s="685"/>
      <c r="AS311" s="3"/>
      <c r="AT311" s="3"/>
    </row>
    <row r="312" spans="44:46" ht="27" customHeight="1" x14ac:dyDescent="0.25">
      <c r="AR312" s="685"/>
      <c r="AS312" s="3"/>
      <c r="AT312" s="3"/>
    </row>
    <row r="313" spans="44:46" ht="27" customHeight="1" x14ac:dyDescent="0.25">
      <c r="AR313" s="685"/>
      <c r="AS313" s="3"/>
      <c r="AT313" s="3"/>
    </row>
    <row r="314" spans="44:46" ht="27" customHeight="1" x14ac:dyDescent="0.25">
      <c r="AR314" s="685"/>
      <c r="AS314" s="3"/>
      <c r="AT314" s="3"/>
    </row>
    <row r="315" spans="44:46" ht="27" customHeight="1" x14ac:dyDescent="0.25">
      <c r="AR315" s="685"/>
      <c r="AS315" s="3"/>
      <c r="AT315" s="3"/>
    </row>
    <row r="316" spans="44:46" ht="27" customHeight="1" x14ac:dyDescent="0.25">
      <c r="AR316" s="685"/>
      <c r="AS316" s="3"/>
      <c r="AT316" s="3"/>
    </row>
    <row r="317" spans="44:46" ht="27" customHeight="1" x14ac:dyDescent="0.25">
      <c r="AR317" s="685"/>
      <c r="AS317" s="3"/>
      <c r="AT317" s="3"/>
    </row>
    <row r="318" spans="44:46" ht="27" customHeight="1" x14ac:dyDescent="0.25">
      <c r="AR318" s="685"/>
      <c r="AS318" s="3"/>
      <c r="AT318" s="3"/>
    </row>
    <row r="319" spans="44:46" ht="27" customHeight="1" x14ac:dyDescent="0.25">
      <c r="AR319" s="685"/>
      <c r="AS319" s="3"/>
      <c r="AT319" s="3"/>
    </row>
    <row r="320" spans="44:46" ht="27" customHeight="1" x14ac:dyDescent="0.25">
      <c r="AR320" s="685"/>
      <c r="AS320" s="3"/>
      <c r="AT320" s="3"/>
    </row>
    <row r="321" spans="44:46" ht="27" customHeight="1" x14ac:dyDescent="0.25">
      <c r="AR321" s="685"/>
      <c r="AS321" s="3"/>
      <c r="AT321" s="3"/>
    </row>
    <row r="322" spans="44:46" ht="27" customHeight="1" x14ac:dyDescent="0.25">
      <c r="AR322" s="685"/>
      <c r="AS322" s="3"/>
      <c r="AT322" s="3"/>
    </row>
    <row r="323" spans="44:46" ht="27" customHeight="1" x14ac:dyDescent="0.25">
      <c r="AR323" s="685"/>
      <c r="AS323" s="3"/>
      <c r="AT323" s="3"/>
    </row>
    <row r="324" spans="44:46" ht="27" customHeight="1" x14ac:dyDescent="0.25">
      <c r="AR324" s="685"/>
      <c r="AS324" s="3"/>
      <c r="AT324" s="3"/>
    </row>
    <row r="325" spans="44:46" ht="27" customHeight="1" x14ac:dyDescent="0.25">
      <c r="AR325" s="685"/>
      <c r="AS325" s="3"/>
      <c r="AT325" s="3"/>
    </row>
    <row r="326" spans="44:46" ht="27" customHeight="1" x14ac:dyDescent="0.25">
      <c r="AR326" s="685"/>
      <c r="AS326" s="3"/>
      <c r="AT326" s="3"/>
    </row>
    <row r="327" spans="44:46" ht="27" customHeight="1" x14ac:dyDescent="0.25">
      <c r="AR327" s="685"/>
      <c r="AS327" s="3"/>
      <c r="AT327" s="3"/>
    </row>
    <row r="328" spans="44:46" ht="27" customHeight="1" x14ac:dyDescent="0.25">
      <c r="AR328" s="685"/>
      <c r="AS328" s="3"/>
      <c r="AT328" s="3"/>
    </row>
    <row r="329" spans="44:46" ht="27" customHeight="1" x14ac:dyDescent="0.25">
      <c r="AR329" s="685"/>
      <c r="AS329" s="3"/>
      <c r="AT329" s="3"/>
    </row>
    <row r="330" spans="44:46" ht="27" customHeight="1" x14ac:dyDescent="0.25">
      <c r="AR330" s="685"/>
      <c r="AS330" s="3"/>
      <c r="AT330" s="3"/>
    </row>
    <row r="331" spans="44:46" ht="27" customHeight="1" x14ac:dyDescent="0.25">
      <c r="AR331" s="685"/>
      <c r="AS331" s="3"/>
      <c r="AT331" s="3"/>
    </row>
    <row r="332" spans="44:46" ht="27" customHeight="1" x14ac:dyDescent="0.25">
      <c r="AR332" s="685"/>
      <c r="AS332" s="3"/>
      <c r="AT332" s="3"/>
    </row>
    <row r="333" spans="44:46" ht="27" customHeight="1" x14ac:dyDescent="0.25">
      <c r="AR333" s="685"/>
      <c r="AS333" s="3"/>
      <c r="AT333" s="3"/>
    </row>
    <row r="334" spans="44:46" ht="27" customHeight="1" x14ac:dyDescent="0.25">
      <c r="AR334" s="685"/>
      <c r="AS334" s="3"/>
      <c r="AT334" s="3"/>
    </row>
    <row r="335" spans="44:46" ht="27" customHeight="1" x14ac:dyDescent="0.25">
      <c r="AR335" s="685"/>
      <c r="AS335" s="3"/>
      <c r="AT335" s="3"/>
    </row>
    <row r="336" spans="44:46" ht="27" customHeight="1" x14ac:dyDescent="0.25">
      <c r="AR336" s="685"/>
      <c r="AS336" s="3"/>
      <c r="AT336" s="3"/>
    </row>
    <row r="337" spans="44:46" ht="27" customHeight="1" x14ac:dyDescent="0.25">
      <c r="AR337" s="685"/>
      <c r="AS337" s="3"/>
      <c r="AT337" s="3"/>
    </row>
    <row r="338" spans="44:46" ht="27" customHeight="1" x14ac:dyDescent="0.25">
      <c r="AR338" s="685"/>
      <c r="AS338" s="3"/>
      <c r="AT338" s="3"/>
    </row>
    <row r="339" spans="44:46" ht="27" customHeight="1" x14ac:dyDescent="0.25">
      <c r="AR339" s="685"/>
      <c r="AS339" s="3"/>
      <c r="AT339" s="3"/>
    </row>
    <row r="340" spans="44:46" ht="27" customHeight="1" x14ac:dyDescent="0.25">
      <c r="AR340" s="685"/>
      <c r="AS340" s="3"/>
      <c r="AT340" s="3"/>
    </row>
    <row r="341" spans="44:46" ht="27" customHeight="1" x14ac:dyDescent="0.25">
      <c r="AR341" s="685"/>
      <c r="AS341" s="3"/>
      <c r="AT341" s="3"/>
    </row>
    <row r="342" spans="44:46" ht="27" customHeight="1" x14ac:dyDescent="0.25">
      <c r="AR342" s="685"/>
      <c r="AS342" s="3"/>
      <c r="AT342" s="3"/>
    </row>
    <row r="343" spans="44:46" ht="27" customHeight="1" x14ac:dyDescent="0.25">
      <c r="AR343" s="685"/>
      <c r="AS343" s="3"/>
      <c r="AT343" s="3"/>
    </row>
    <row r="344" spans="44:46" ht="27" customHeight="1" x14ac:dyDescent="0.25">
      <c r="AR344" s="685"/>
      <c r="AS344" s="3"/>
      <c r="AT344" s="3"/>
    </row>
    <row r="345" spans="44:46" ht="27" customHeight="1" x14ac:dyDescent="0.25">
      <c r="AR345" s="685"/>
      <c r="AS345" s="3"/>
      <c r="AT345" s="3"/>
    </row>
    <row r="346" spans="44:46" ht="27" customHeight="1" x14ac:dyDescent="0.25">
      <c r="AR346" s="685"/>
      <c r="AS346" s="3"/>
      <c r="AT346" s="3"/>
    </row>
    <row r="347" spans="44:46" ht="27" customHeight="1" x14ac:dyDescent="0.25">
      <c r="AR347" s="685"/>
      <c r="AS347" s="3"/>
      <c r="AT347" s="3"/>
    </row>
    <row r="348" spans="44:46" ht="27" customHeight="1" x14ac:dyDescent="0.25">
      <c r="AR348" s="685"/>
      <c r="AS348" s="3"/>
      <c r="AT348" s="3"/>
    </row>
    <row r="349" spans="44:46" ht="27" customHeight="1" x14ac:dyDescent="0.25">
      <c r="AR349" s="685"/>
      <c r="AS349" s="3"/>
      <c r="AT349" s="3"/>
    </row>
    <row r="350" spans="44:46" ht="27" customHeight="1" x14ac:dyDescent="0.25">
      <c r="AR350" s="685"/>
      <c r="AS350" s="3"/>
      <c r="AT350" s="3"/>
    </row>
    <row r="351" spans="44:46" ht="27" customHeight="1" x14ac:dyDescent="0.25">
      <c r="AR351" s="685"/>
      <c r="AS351" s="3"/>
      <c r="AT351" s="3"/>
    </row>
    <row r="352" spans="44:46" ht="27" customHeight="1" x14ac:dyDescent="0.25">
      <c r="AR352" s="685"/>
      <c r="AS352" s="3"/>
      <c r="AT352" s="3"/>
    </row>
    <row r="353" spans="44:46" ht="27" customHeight="1" x14ac:dyDescent="0.25">
      <c r="AR353" s="685"/>
      <c r="AS353" s="3"/>
      <c r="AT353" s="3"/>
    </row>
    <row r="354" spans="44:46" ht="27" customHeight="1" x14ac:dyDescent="0.25">
      <c r="AR354" s="685"/>
      <c r="AS354" s="3"/>
      <c r="AT354" s="3"/>
    </row>
    <row r="355" spans="44:46" ht="27" customHeight="1" x14ac:dyDescent="0.25">
      <c r="AR355" s="685"/>
      <c r="AS355" s="3"/>
      <c r="AT355" s="3"/>
    </row>
    <row r="356" spans="44:46" ht="27" customHeight="1" x14ac:dyDescent="0.25">
      <c r="AR356" s="685"/>
      <c r="AS356" s="3"/>
      <c r="AT356" s="3"/>
    </row>
    <row r="357" spans="44:46" ht="27" customHeight="1" x14ac:dyDescent="0.25">
      <c r="AR357" s="685"/>
      <c r="AS357" s="3"/>
      <c r="AT357" s="3"/>
    </row>
    <row r="358" spans="44:46" ht="27" customHeight="1" x14ac:dyDescent="0.25">
      <c r="AR358" s="685"/>
      <c r="AS358" s="3"/>
      <c r="AT358" s="3"/>
    </row>
    <row r="359" spans="44:46" ht="27" customHeight="1" x14ac:dyDescent="0.25">
      <c r="AR359" s="685"/>
      <c r="AS359" s="3"/>
      <c r="AT359" s="3"/>
    </row>
    <row r="360" spans="44:46" ht="27" customHeight="1" x14ac:dyDescent="0.25">
      <c r="AR360" s="685"/>
      <c r="AS360" s="3"/>
      <c r="AT360" s="3"/>
    </row>
    <row r="361" spans="44:46" ht="27" customHeight="1" x14ac:dyDescent="0.25">
      <c r="AR361" s="685"/>
      <c r="AS361" s="3"/>
      <c r="AT361" s="3"/>
    </row>
    <row r="362" spans="44:46" ht="27" customHeight="1" x14ac:dyDescent="0.25">
      <c r="AR362" s="685"/>
      <c r="AS362" s="3"/>
      <c r="AT362" s="3"/>
    </row>
    <row r="363" spans="44:46" ht="27" customHeight="1" x14ac:dyDescent="0.25">
      <c r="AR363" s="685"/>
      <c r="AS363" s="3"/>
      <c r="AT363" s="3"/>
    </row>
    <row r="364" spans="44:46" ht="27" customHeight="1" x14ac:dyDescent="0.25">
      <c r="AR364" s="685"/>
      <c r="AS364" s="3"/>
      <c r="AT364" s="3"/>
    </row>
    <row r="365" spans="44:46" ht="27" customHeight="1" x14ac:dyDescent="0.25">
      <c r="AR365" s="685"/>
      <c r="AS365" s="3"/>
      <c r="AT365" s="3"/>
    </row>
    <row r="366" spans="44:46" ht="27" customHeight="1" x14ac:dyDescent="0.25">
      <c r="AR366" s="685"/>
      <c r="AS366" s="3"/>
      <c r="AT366" s="3"/>
    </row>
    <row r="367" spans="44:46" ht="27" customHeight="1" x14ac:dyDescent="0.25">
      <c r="AR367" s="685"/>
      <c r="AS367" s="3"/>
      <c r="AT367" s="3"/>
    </row>
    <row r="368" spans="44:46" ht="27" customHeight="1" x14ac:dyDescent="0.25">
      <c r="AR368" s="685"/>
      <c r="AS368" s="3"/>
      <c r="AT368" s="3"/>
    </row>
    <row r="369" spans="44:46" ht="27" customHeight="1" x14ac:dyDescent="0.25">
      <c r="AR369" s="685"/>
      <c r="AS369" s="3"/>
      <c r="AT369" s="3"/>
    </row>
    <row r="370" spans="44:46" ht="27" customHeight="1" x14ac:dyDescent="0.25">
      <c r="AR370" s="685"/>
      <c r="AS370" s="3"/>
      <c r="AT370" s="3"/>
    </row>
    <row r="371" spans="44:46" ht="27" customHeight="1" x14ac:dyDescent="0.25">
      <c r="AR371" s="685"/>
      <c r="AS371" s="3"/>
      <c r="AT371" s="3"/>
    </row>
    <row r="372" spans="44:46" ht="27" customHeight="1" x14ac:dyDescent="0.25">
      <c r="AR372" s="685"/>
      <c r="AS372" s="3"/>
      <c r="AT372" s="3"/>
    </row>
    <row r="373" spans="44:46" ht="27" customHeight="1" x14ac:dyDescent="0.25">
      <c r="AR373" s="685"/>
      <c r="AS373" s="3"/>
      <c r="AT373" s="3"/>
    </row>
    <row r="374" spans="44:46" ht="27" customHeight="1" x14ac:dyDescent="0.25">
      <c r="AR374" s="685"/>
      <c r="AS374" s="3"/>
      <c r="AT374" s="3"/>
    </row>
    <row r="375" spans="44:46" ht="27" customHeight="1" x14ac:dyDescent="0.25">
      <c r="AR375" s="685"/>
      <c r="AS375" s="3"/>
      <c r="AT375" s="3"/>
    </row>
    <row r="376" spans="44:46" ht="27" customHeight="1" x14ac:dyDescent="0.25">
      <c r="AR376" s="685"/>
      <c r="AS376" s="3"/>
      <c r="AT376" s="3"/>
    </row>
    <row r="377" spans="44:46" ht="27" customHeight="1" x14ac:dyDescent="0.25">
      <c r="AR377" s="685"/>
      <c r="AS377" s="3"/>
      <c r="AT377" s="3"/>
    </row>
    <row r="378" spans="44:46" ht="27" customHeight="1" x14ac:dyDescent="0.25">
      <c r="AR378" s="685"/>
      <c r="AS378" s="3"/>
      <c r="AT378" s="3"/>
    </row>
    <row r="379" spans="44:46" ht="27" customHeight="1" x14ac:dyDescent="0.25">
      <c r="AR379" s="685"/>
      <c r="AS379" s="3"/>
      <c r="AT379" s="3"/>
    </row>
    <row r="380" spans="44:46" ht="27" customHeight="1" x14ac:dyDescent="0.25">
      <c r="AR380" s="685"/>
      <c r="AS380" s="3"/>
      <c r="AT380" s="3"/>
    </row>
    <row r="381" spans="44:46" ht="27" customHeight="1" x14ac:dyDescent="0.25">
      <c r="AR381" s="685"/>
      <c r="AS381" s="3"/>
      <c r="AT381" s="3"/>
    </row>
    <row r="382" spans="44:46" ht="27" customHeight="1" x14ac:dyDescent="0.25">
      <c r="AR382" s="685"/>
      <c r="AS382" s="3"/>
      <c r="AT382" s="3"/>
    </row>
    <row r="383" spans="44:46" ht="27" customHeight="1" x14ac:dyDescent="0.25">
      <c r="AR383" s="685"/>
      <c r="AS383" s="3"/>
      <c r="AT383" s="3"/>
    </row>
    <row r="384" spans="44:46" ht="27" customHeight="1" x14ac:dyDescent="0.25">
      <c r="AR384" s="685"/>
      <c r="AS384" s="3"/>
      <c r="AT384" s="3"/>
    </row>
    <row r="385" spans="44:46" ht="27" customHeight="1" x14ac:dyDescent="0.25">
      <c r="AR385" s="685"/>
      <c r="AS385" s="3"/>
      <c r="AT385" s="3"/>
    </row>
    <row r="386" spans="44:46" ht="27" customHeight="1" x14ac:dyDescent="0.25">
      <c r="AR386" s="685"/>
      <c r="AS386" s="3"/>
      <c r="AT386" s="3"/>
    </row>
    <row r="387" spans="44:46" ht="27" customHeight="1" x14ac:dyDescent="0.25">
      <c r="AR387" s="685"/>
      <c r="AS387" s="3"/>
      <c r="AT387" s="3"/>
    </row>
    <row r="388" spans="44:46" ht="27" customHeight="1" x14ac:dyDescent="0.25">
      <c r="AR388" s="685"/>
      <c r="AS388" s="3"/>
      <c r="AT388" s="3"/>
    </row>
    <row r="389" spans="44:46" ht="27" customHeight="1" x14ac:dyDescent="0.25">
      <c r="AR389" s="685"/>
      <c r="AS389" s="3"/>
      <c r="AT389" s="3"/>
    </row>
    <row r="390" spans="44:46" ht="27" customHeight="1" x14ac:dyDescent="0.25">
      <c r="AR390" s="685"/>
      <c r="AS390" s="3"/>
      <c r="AT390" s="3"/>
    </row>
    <row r="391" spans="44:46" ht="27" customHeight="1" x14ac:dyDescent="0.25">
      <c r="AR391" s="685"/>
      <c r="AS391" s="3"/>
      <c r="AT391" s="3"/>
    </row>
    <row r="392" spans="44:46" ht="27" customHeight="1" x14ac:dyDescent="0.25">
      <c r="AR392" s="685"/>
      <c r="AS392" s="3"/>
      <c r="AT392" s="3"/>
    </row>
    <row r="393" spans="44:46" ht="27" customHeight="1" x14ac:dyDescent="0.25">
      <c r="AR393" s="685"/>
      <c r="AS393" s="3"/>
      <c r="AT393" s="3"/>
    </row>
    <row r="394" spans="44:46" ht="27" customHeight="1" x14ac:dyDescent="0.25">
      <c r="AR394" s="685"/>
      <c r="AS394" s="3"/>
      <c r="AT394" s="3"/>
    </row>
    <row r="395" spans="44:46" ht="27" customHeight="1" x14ac:dyDescent="0.25">
      <c r="AR395" s="685"/>
      <c r="AS395" s="3"/>
      <c r="AT395" s="3"/>
    </row>
    <row r="396" spans="44:46" ht="27" customHeight="1" x14ac:dyDescent="0.25">
      <c r="AR396" s="685"/>
      <c r="AS396" s="3"/>
      <c r="AT396" s="3"/>
    </row>
    <row r="397" spans="44:46" ht="27" customHeight="1" x14ac:dyDescent="0.25">
      <c r="AR397" s="685"/>
      <c r="AS397" s="3"/>
      <c r="AT397" s="3"/>
    </row>
    <row r="398" spans="44:46" ht="27" customHeight="1" x14ac:dyDescent="0.25">
      <c r="AR398" s="685"/>
      <c r="AS398" s="3"/>
      <c r="AT398" s="3"/>
    </row>
    <row r="399" spans="44:46" ht="27" customHeight="1" x14ac:dyDescent="0.25">
      <c r="AR399" s="685"/>
      <c r="AS399" s="3"/>
      <c r="AT399" s="3"/>
    </row>
    <row r="400" spans="44:46" ht="27" customHeight="1" x14ac:dyDescent="0.25">
      <c r="AR400" s="685"/>
      <c r="AS400" s="3"/>
      <c r="AT400" s="3"/>
    </row>
    <row r="401" spans="44:46" ht="27" customHeight="1" x14ac:dyDescent="0.25">
      <c r="AR401" s="685"/>
      <c r="AS401" s="3"/>
      <c r="AT401" s="3"/>
    </row>
    <row r="402" spans="44:46" ht="27" customHeight="1" x14ac:dyDescent="0.25">
      <c r="AR402" s="685"/>
      <c r="AS402" s="3"/>
      <c r="AT402" s="3"/>
    </row>
    <row r="403" spans="44:46" ht="27" customHeight="1" x14ac:dyDescent="0.25">
      <c r="AR403" s="685"/>
      <c r="AS403" s="3"/>
      <c r="AT403" s="3"/>
    </row>
    <row r="404" spans="44:46" ht="27" customHeight="1" x14ac:dyDescent="0.25">
      <c r="AR404" s="685"/>
      <c r="AS404" s="3"/>
      <c r="AT404" s="3"/>
    </row>
    <row r="405" spans="44:46" ht="27" customHeight="1" x14ac:dyDescent="0.25">
      <c r="AR405" s="685"/>
      <c r="AS405" s="3"/>
      <c r="AT405" s="3"/>
    </row>
    <row r="406" spans="44:46" ht="27" customHeight="1" x14ac:dyDescent="0.25">
      <c r="AR406" s="685"/>
      <c r="AS406" s="3"/>
      <c r="AT406" s="3"/>
    </row>
    <row r="407" spans="44:46" ht="27" customHeight="1" x14ac:dyDescent="0.25">
      <c r="AR407" s="685"/>
      <c r="AS407" s="3"/>
      <c r="AT407" s="3"/>
    </row>
    <row r="408" spans="44:46" ht="27" customHeight="1" x14ac:dyDescent="0.25">
      <c r="AR408" s="685"/>
      <c r="AS408" s="3"/>
      <c r="AT408" s="3"/>
    </row>
    <row r="409" spans="44:46" ht="27" customHeight="1" x14ac:dyDescent="0.25">
      <c r="AR409" s="685"/>
      <c r="AS409" s="3"/>
      <c r="AT409" s="3"/>
    </row>
    <row r="410" spans="44:46" ht="27" customHeight="1" x14ac:dyDescent="0.25">
      <c r="AR410" s="685"/>
      <c r="AS410" s="3"/>
      <c r="AT410" s="3"/>
    </row>
    <row r="411" spans="44:46" ht="27" customHeight="1" x14ac:dyDescent="0.25">
      <c r="AR411" s="685"/>
      <c r="AS411" s="3"/>
      <c r="AT411" s="3"/>
    </row>
    <row r="412" spans="44:46" ht="27" customHeight="1" x14ac:dyDescent="0.25">
      <c r="AR412" s="685"/>
      <c r="AS412" s="3"/>
      <c r="AT412" s="3"/>
    </row>
    <row r="413" spans="44:46" ht="27" customHeight="1" x14ac:dyDescent="0.25">
      <c r="AR413" s="685"/>
      <c r="AS413" s="3"/>
      <c r="AT413" s="3"/>
    </row>
    <row r="414" spans="44:46" ht="27" customHeight="1" x14ac:dyDescent="0.25">
      <c r="AR414" s="685"/>
      <c r="AS414" s="3"/>
      <c r="AT414" s="3"/>
    </row>
    <row r="415" spans="44:46" ht="27" customHeight="1" x14ac:dyDescent="0.25">
      <c r="AR415" s="685"/>
      <c r="AS415" s="3"/>
      <c r="AT415" s="3"/>
    </row>
    <row r="416" spans="44:46" ht="27" customHeight="1" x14ac:dyDescent="0.25">
      <c r="AR416" s="685"/>
      <c r="AS416" s="3"/>
      <c r="AT416" s="3"/>
    </row>
    <row r="417" spans="44:46" ht="27" customHeight="1" x14ac:dyDescent="0.25">
      <c r="AR417" s="685"/>
      <c r="AS417" s="3"/>
      <c r="AT417" s="3"/>
    </row>
    <row r="418" spans="44:46" ht="27" customHeight="1" x14ac:dyDescent="0.25">
      <c r="AR418" s="685"/>
      <c r="AS418" s="3"/>
      <c r="AT418" s="3"/>
    </row>
    <row r="419" spans="44:46" ht="27" customHeight="1" x14ac:dyDescent="0.25">
      <c r="AR419" s="685"/>
      <c r="AS419" s="3"/>
      <c r="AT419" s="3"/>
    </row>
    <row r="420" spans="44:46" ht="27" customHeight="1" x14ac:dyDescent="0.25">
      <c r="AR420" s="685"/>
      <c r="AS420" s="3"/>
      <c r="AT420" s="3"/>
    </row>
    <row r="421" spans="44:46" ht="27" customHeight="1" x14ac:dyDescent="0.25">
      <c r="AR421" s="685"/>
      <c r="AS421" s="3"/>
      <c r="AT421" s="3"/>
    </row>
    <row r="422" spans="44:46" ht="27" customHeight="1" x14ac:dyDescent="0.25">
      <c r="AR422" s="685"/>
      <c r="AS422" s="3"/>
      <c r="AT422" s="3"/>
    </row>
    <row r="423" spans="44:46" ht="27" customHeight="1" x14ac:dyDescent="0.25">
      <c r="AR423" s="685"/>
      <c r="AS423" s="3"/>
      <c r="AT423" s="3"/>
    </row>
    <row r="424" spans="44:46" ht="27" customHeight="1" x14ac:dyDescent="0.25">
      <c r="AR424" s="685"/>
      <c r="AS424" s="3"/>
      <c r="AT424" s="3"/>
    </row>
    <row r="425" spans="44:46" ht="27" customHeight="1" x14ac:dyDescent="0.25">
      <c r="AR425" s="685"/>
      <c r="AS425" s="3"/>
      <c r="AT425" s="3"/>
    </row>
    <row r="426" spans="44:46" ht="27" customHeight="1" x14ac:dyDescent="0.25">
      <c r="AR426" s="685"/>
      <c r="AS426" s="3"/>
      <c r="AT426" s="3"/>
    </row>
    <row r="427" spans="44:46" ht="27" customHeight="1" x14ac:dyDescent="0.25">
      <c r="AR427" s="685"/>
      <c r="AS427" s="3"/>
      <c r="AT427" s="3"/>
    </row>
    <row r="428" spans="44:46" ht="27" customHeight="1" x14ac:dyDescent="0.25">
      <c r="AR428" s="685"/>
      <c r="AS428" s="3"/>
      <c r="AT428" s="3"/>
    </row>
    <row r="429" spans="44:46" ht="27" customHeight="1" x14ac:dyDescent="0.25">
      <c r="AR429" s="685"/>
      <c r="AS429" s="3"/>
      <c r="AT429" s="3"/>
    </row>
    <row r="430" spans="44:46" ht="27" customHeight="1" x14ac:dyDescent="0.25">
      <c r="AR430" s="685"/>
      <c r="AS430" s="3"/>
      <c r="AT430" s="3"/>
    </row>
    <row r="431" spans="44:46" ht="27" customHeight="1" x14ac:dyDescent="0.25">
      <c r="AR431" s="685"/>
      <c r="AS431" s="3"/>
      <c r="AT431" s="3"/>
    </row>
    <row r="432" spans="44:46" ht="27" customHeight="1" x14ac:dyDescent="0.25">
      <c r="AR432" s="685"/>
      <c r="AS432" s="3"/>
      <c r="AT432" s="3"/>
    </row>
    <row r="433" spans="44:46" ht="27" customHeight="1" x14ac:dyDescent="0.25">
      <c r="AR433" s="685"/>
      <c r="AS433" s="3"/>
      <c r="AT433" s="3"/>
    </row>
    <row r="434" spans="44:46" ht="27" customHeight="1" x14ac:dyDescent="0.25">
      <c r="AR434" s="685"/>
      <c r="AS434" s="3"/>
      <c r="AT434" s="3"/>
    </row>
    <row r="435" spans="44:46" ht="27" customHeight="1" x14ac:dyDescent="0.25">
      <c r="AR435" s="685"/>
      <c r="AS435" s="3"/>
      <c r="AT435" s="3"/>
    </row>
    <row r="436" spans="44:46" ht="27" customHeight="1" x14ac:dyDescent="0.25">
      <c r="AR436" s="685"/>
      <c r="AS436" s="3"/>
      <c r="AT436" s="3"/>
    </row>
    <row r="437" spans="44:46" ht="27" customHeight="1" x14ac:dyDescent="0.25">
      <c r="AR437" s="685"/>
      <c r="AS437" s="3"/>
      <c r="AT437" s="3"/>
    </row>
    <row r="438" spans="44:46" ht="27" customHeight="1" x14ac:dyDescent="0.25">
      <c r="AR438" s="685"/>
      <c r="AS438" s="3"/>
      <c r="AT438" s="3"/>
    </row>
    <row r="439" spans="44:46" ht="27" customHeight="1" x14ac:dyDescent="0.25">
      <c r="AR439" s="685"/>
      <c r="AS439" s="3"/>
      <c r="AT439" s="3"/>
    </row>
    <row r="440" spans="44:46" ht="27" customHeight="1" x14ac:dyDescent="0.25">
      <c r="AR440" s="685"/>
      <c r="AS440" s="3"/>
      <c r="AT440" s="3"/>
    </row>
    <row r="441" spans="44:46" ht="27" customHeight="1" x14ac:dyDescent="0.25">
      <c r="AR441" s="685"/>
      <c r="AS441" s="3"/>
      <c r="AT441" s="3"/>
    </row>
    <row r="442" spans="44:46" ht="27" customHeight="1" x14ac:dyDescent="0.25">
      <c r="AR442" s="685"/>
      <c r="AS442" s="3"/>
      <c r="AT442" s="3"/>
    </row>
    <row r="443" spans="44:46" ht="27" customHeight="1" x14ac:dyDescent="0.25">
      <c r="AR443" s="685"/>
      <c r="AS443" s="3"/>
      <c r="AT443" s="3"/>
    </row>
    <row r="444" spans="44:46" ht="27" customHeight="1" x14ac:dyDescent="0.25">
      <c r="AR444" s="685"/>
      <c r="AS444" s="3"/>
      <c r="AT444" s="3"/>
    </row>
    <row r="445" spans="44:46" ht="27" customHeight="1" x14ac:dyDescent="0.25">
      <c r="AR445" s="685"/>
      <c r="AS445" s="3"/>
      <c r="AT445" s="3"/>
    </row>
    <row r="446" spans="44:46" ht="27" customHeight="1" x14ac:dyDescent="0.25">
      <c r="AR446" s="685"/>
      <c r="AS446" s="3"/>
      <c r="AT446" s="3"/>
    </row>
    <row r="447" spans="44:46" ht="27" customHeight="1" x14ac:dyDescent="0.25">
      <c r="AR447" s="685"/>
      <c r="AS447" s="3"/>
      <c r="AT447" s="3"/>
    </row>
    <row r="448" spans="44:46" ht="27" customHeight="1" x14ac:dyDescent="0.25">
      <c r="AR448" s="685"/>
      <c r="AS448" s="3"/>
      <c r="AT448" s="3"/>
    </row>
    <row r="449" spans="44:46" ht="27" customHeight="1" x14ac:dyDescent="0.25">
      <c r="AR449" s="685"/>
      <c r="AS449" s="3"/>
      <c r="AT449" s="3"/>
    </row>
    <row r="450" spans="44:46" ht="27" customHeight="1" x14ac:dyDescent="0.25">
      <c r="AR450" s="685"/>
      <c r="AS450" s="3"/>
      <c r="AT450" s="3"/>
    </row>
    <row r="451" spans="44:46" ht="27" customHeight="1" x14ac:dyDescent="0.25">
      <c r="AR451" s="685"/>
      <c r="AS451" s="3"/>
      <c r="AT451" s="3"/>
    </row>
    <row r="452" spans="44:46" ht="27" customHeight="1" x14ac:dyDescent="0.25">
      <c r="AR452" s="685"/>
      <c r="AS452" s="3"/>
      <c r="AT452" s="3"/>
    </row>
    <row r="453" spans="44:46" ht="27" customHeight="1" x14ac:dyDescent="0.25">
      <c r="AR453" s="685"/>
      <c r="AS453" s="3"/>
      <c r="AT453" s="3"/>
    </row>
    <row r="454" spans="44:46" ht="27" customHeight="1" x14ac:dyDescent="0.25">
      <c r="AR454" s="685"/>
      <c r="AS454" s="3"/>
      <c r="AT454" s="3"/>
    </row>
    <row r="455" spans="44:46" ht="27" customHeight="1" x14ac:dyDescent="0.25">
      <c r="AR455" s="685"/>
      <c r="AS455" s="3"/>
      <c r="AT455" s="3"/>
    </row>
    <row r="456" spans="44:46" ht="27" customHeight="1" x14ac:dyDescent="0.25">
      <c r="AR456" s="685"/>
      <c r="AS456" s="3"/>
      <c r="AT456" s="3"/>
    </row>
    <row r="457" spans="44:46" ht="27" customHeight="1" x14ac:dyDescent="0.25">
      <c r="AR457" s="685"/>
      <c r="AS457" s="3"/>
      <c r="AT457" s="3"/>
    </row>
    <row r="458" spans="44:46" ht="27" customHeight="1" x14ac:dyDescent="0.25">
      <c r="AR458" s="685"/>
      <c r="AS458" s="3"/>
      <c r="AT458" s="3"/>
    </row>
    <row r="459" spans="44:46" ht="27" customHeight="1" x14ac:dyDescent="0.25">
      <c r="AR459" s="685"/>
      <c r="AS459" s="3"/>
      <c r="AT459" s="3"/>
    </row>
    <row r="460" spans="44:46" ht="27" customHeight="1" x14ac:dyDescent="0.25">
      <c r="AR460" s="685"/>
      <c r="AS460" s="3"/>
      <c r="AT460" s="3"/>
    </row>
    <row r="461" spans="44:46" ht="27" customHeight="1" x14ac:dyDescent="0.25">
      <c r="AR461" s="685"/>
      <c r="AS461" s="3"/>
      <c r="AT461" s="3"/>
    </row>
    <row r="462" spans="44:46" ht="27" customHeight="1" x14ac:dyDescent="0.25">
      <c r="AR462" s="685"/>
      <c r="AS462" s="3"/>
      <c r="AT462" s="3"/>
    </row>
    <row r="463" spans="44:46" ht="27" customHeight="1" x14ac:dyDescent="0.25">
      <c r="AR463" s="685"/>
      <c r="AS463" s="3"/>
      <c r="AT463" s="3"/>
    </row>
    <row r="464" spans="44:46" ht="27" customHeight="1" x14ac:dyDescent="0.25">
      <c r="AR464" s="685"/>
      <c r="AS464" s="3"/>
      <c r="AT464" s="3"/>
    </row>
    <row r="465" spans="44:46" ht="27" customHeight="1" x14ac:dyDescent="0.25">
      <c r="AR465" s="685"/>
      <c r="AS465" s="3"/>
      <c r="AT465" s="3"/>
    </row>
    <row r="466" spans="44:46" ht="27" customHeight="1" x14ac:dyDescent="0.25">
      <c r="AR466" s="685"/>
      <c r="AS466" s="3"/>
      <c r="AT466" s="3"/>
    </row>
    <row r="467" spans="44:46" ht="27" customHeight="1" x14ac:dyDescent="0.25">
      <c r="AR467" s="685"/>
      <c r="AS467" s="3"/>
      <c r="AT467" s="3"/>
    </row>
    <row r="468" spans="44:46" ht="27" customHeight="1" x14ac:dyDescent="0.25">
      <c r="AR468" s="685"/>
      <c r="AS468" s="3"/>
      <c r="AT468" s="3"/>
    </row>
    <row r="469" spans="44:46" ht="27" customHeight="1" x14ac:dyDescent="0.25">
      <c r="AR469" s="685"/>
      <c r="AS469" s="3"/>
      <c r="AT469" s="3"/>
    </row>
    <row r="470" spans="44:46" ht="27" customHeight="1" x14ac:dyDescent="0.25">
      <c r="AR470" s="685"/>
      <c r="AS470" s="3"/>
      <c r="AT470" s="3"/>
    </row>
    <row r="471" spans="44:46" ht="27" customHeight="1" x14ac:dyDescent="0.25">
      <c r="AR471" s="685"/>
      <c r="AS471" s="3"/>
      <c r="AT471" s="3"/>
    </row>
    <row r="472" spans="44:46" ht="27" customHeight="1" x14ac:dyDescent="0.25">
      <c r="AR472" s="685"/>
      <c r="AS472" s="3"/>
      <c r="AT472" s="3"/>
    </row>
    <row r="473" spans="44:46" ht="27" customHeight="1" x14ac:dyDescent="0.25">
      <c r="AR473" s="685"/>
      <c r="AS473" s="3"/>
      <c r="AT473" s="3"/>
    </row>
    <row r="474" spans="44:46" ht="27" customHeight="1" x14ac:dyDescent="0.25">
      <c r="AR474" s="685"/>
      <c r="AS474" s="3"/>
      <c r="AT474" s="3"/>
    </row>
    <row r="475" spans="44:46" ht="27" customHeight="1" x14ac:dyDescent="0.25">
      <c r="AR475" s="685"/>
      <c r="AS475" s="3"/>
      <c r="AT475" s="3"/>
    </row>
    <row r="476" spans="44:46" ht="27" customHeight="1" x14ac:dyDescent="0.25">
      <c r="AR476" s="685"/>
      <c r="AS476" s="3"/>
      <c r="AT476" s="3"/>
    </row>
    <row r="477" spans="44:46" ht="27" customHeight="1" x14ac:dyDescent="0.25">
      <c r="AR477" s="685"/>
      <c r="AS477" s="3"/>
      <c r="AT477" s="3"/>
    </row>
    <row r="478" spans="44:46" ht="27" customHeight="1" x14ac:dyDescent="0.25">
      <c r="AR478" s="685"/>
      <c r="AS478" s="3"/>
      <c r="AT478" s="3"/>
    </row>
    <row r="479" spans="44:46" ht="27" customHeight="1" x14ac:dyDescent="0.25">
      <c r="AR479" s="685"/>
      <c r="AS479" s="3"/>
      <c r="AT479" s="3"/>
    </row>
    <row r="480" spans="44:46" ht="27" customHeight="1" x14ac:dyDescent="0.25">
      <c r="AR480" s="685"/>
      <c r="AS480" s="3"/>
      <c r="AT480" s="3"/>
    </row>
    <row r="481" spans="44:46" ht="27" customHeight="1" x14ac:dyDescent="0.25">
      <c r="AR481" s="685"/>
      <c r="AS481" s="3"/>
      <c r="AT481" s="3"/>
    </row>
    <row r="482" spans="44:46" ht="27" customHeight="1" x14ac:dyDescent="0.25">
      <c r="AR482" s="685"/>
      <c r="AS482" s="3"/>
      <c r="AT482" s="3"/>
    </row>
    <row r="483" spans="44:46" ht="27" customHeight="1" x14ac:dyDescent="0.25">
      <c r="AR483" s="685"/>
      <c r="AS483" s="3"/>
      <c r="AT483" s="3"/>
    </row>
    <row r="484" spans="44:46" ht="27" customHeight="1" x14ac:dyDescent="0.25">
      <c r="AR484" s="685"/>
      <c r="AS484" s="3"/>
      <c r="AT484" s="3"/>
    </row>
    <row r="485" spans="44:46" ht="27" customHeight="1" x14ac:dyDescent="0.25">
      <c r="AR485" s="685"/>
      <c r="AS485" s="3"/>
      <c r="AT485" s="3"/>
    </row>
    <row r="486" spans="44:46" ht="27" customHeight="1" x14ac:dyDescent="0.25">
      <c r="AR486" s="685"/>
      <c r="AS486" s="3"/>
      <c r="AT486" s="3"/>
    </row>
    <row r="487" spans="44:46" ht="27" customHeight="1" x14ac:dyDescent="0.25">
      <c r="AR487" s="685"/>
      <c r="AS487" s="3"/>
      <c r="AT487" s="3"/>
    </row>
    <row r="488" spans="44:46" ht="27" customHeight="1" x14ac:dyDescent="0.25">
      <c r="AR488" s="685"/>
      <c r="AS488" s="3"/>
      <c r="AT488" s="3"/>
    </row>
    <row r="489" spans="44:46" ht="27" customHeight="1" x14ac:dyDescent="0.25">
      <c r="AR489" s="685"/>
      <c r="AS489" s="3"/>
      <c r="AT489" s="3"/>
    </row>
    <row r="490" spans="44:46" ht="27" customHeight="1" x14ac:dyDescent="0.25">
      <c r="AR490" s="685"/>
      <c r="AS490" s="3"/>
      <c r="AT490" s="3"/>
    </row>
    <row r="491" spans="44:46" ht="27" customHeight="1" x14ac:dyDescent="0.25">
      <c r="AR491" s="685"/>
      <c r="AS491" s="3"/>
      <c r="AT491" s="3"/>
    </row>
    <row r="492" spans="44:46" ht="27" customHeight="1" x14ac:dyDescent="0.25">
      <c r="AR492" s="685"/>
      <c r="AS492" s="3"/>
      <c r="AT492" s="3"/>
    </row>
    <row r="493" spans="44:46" ht="27" customHeight="1" x14ac:dyDescent="0.25">
      <c r="AR493" s="685"/>
      <c r="AS493" s="3"/>
      <c r="AT493" s="3"/>
    </row>
    <row r="494" spans="44:46" ht="27" customHeight="1" x14ac:dyDescent="0.25">
      <c r="AR494" s="685"/>
      <c r="AS494" s="3"/>
      <c r="AT494" s="3"/>
    </row>
    <row r="495" spans="44:46" ht="27" customHeight="1" x14ac:dyDescent="0.25">
      <c r="AR495" s="685"/>
      <c r="AS495" s="3"/>
      <c r="AT495" s="3"/>
    </row>
    <row r="496" spans="44:46" ht="27" customHeight="1" x14ac:dyDescent="0.25">
      <c r="AR496" s="685"/>
      <c r="AS496" s="3"/>
      <c r="AT496" s="3"/>
    </row>
    <row r="497" spans="44:46" ht="27" customHeight="1" x14ac:dyDescent="0.25">
      <c r="AR497" s="685"/>
      <c r="AS497" s="3"/>
      <c r="AT497" s="3"/>
    </row>
    <row r="498" spans="44:46" ht="27" customHeight="1" x14ac:dyDescent="0.25">
      <c r="AR498" s="685"/>
      <c r="AS498" s="3"/>
      <c r="AT498" s="3"/>
    </row>
    <row r="499" spans="44:46" ht="27" customHeight="1" x14ac:dyDescent="0.25">
      <c r="AR499" s="685"/>
      <c r="AS499" s="3"/>
      <c r="AT499" s="3"/>
    </row>
    <row r="500" spans="44:46" ht="27" customHeight="1" x14ac:dyDescent="0.25">
      <c r="AR500" s="685"/>
      <c r="AS500" s="3"/>
      <c r="AT500" s="3"/>
    </row>
    <row r="501" spans="44:46" ht="27" customHeight="1" x14ac:dyDescent="0.25">
      <c r="AR501" s="685"/>
      <c r="AS501" s="3"/>
      <c r="AT501" s="3"/>
    </row>
    <row r="502" spans="44:46" ht="27" customHeight="1" x14ac:dyDescent="0.25">
      <c r="AR502" s="685"/>
      <c r="AS502" s="3"/>
      <c r="AT502" s="3"/>
    </row>
    <row r="503" spans="44:46" ht="27" customHeight="1" x14ac:dyDescent="0.25">
      <c r="AR503" s="685"/>
      <c r="AS503" s="3"/>
      <c r="AT503" s="3"/>
    </row>
    <row r="504" spans="44:46" ht="27" customHeight="1" x14ac:dyDescent="0.25">
      <c r="AR504" s="685"/>
      <c r="AS504" s="3"/>
      <c r="AT504" s="3"/>
    </row>
    <row r="505" spans="44:46" ht="27" customHeight="1" x14ac:dyDescent="0.25">
      <c r="AR505" s="685"/>
      <c r="AS505" s="3"/>
      <c r="AT505" s="3"/>
    </row>
    <row r="506" spans="44:46" ht="27" customHeight="1" x14ac:dyDescent="0.25">
      <c r="AR506" s="685"/>
      <c r="AS506" s="3"/>
      <c r="AT506" s="3"/>
    </row>
    <row r="507" spans="44:46" ht="27" customHeight="1" x14ac:dyDescent="0.25">
      <c r="AR507" s="685"/>
      <c r="AS507" s="3"/>
      <c r="AT507" s="3"/>
    </row>
    <row r="508" spans="44:46" ht="27" customHeight="1" x14ac:dyDescent="0.25">
      <c r="AR508" s="685"/>
      <c r="AS508" s="3"/>
      <c r="AT508" s="3"/>
    </row>
    <row r="509" spans="44:46" ht="27" customHeight="1" x14ac:dyDescent="0.25">
      <c r="AR509" s="685"/>
      <c r="AS509" s="3"/>
      <c r="AT509" s="3"/>
    </row>
    <row r="510" spans="44:46" ht="27" customHeight="1" x14ac:dyDescent="0.25">
      <c r="AR510" s="685"/>
      <c r="AS510" s="3"/>
      <c r="AT510" s="3"/>
    </row>
    <row r="511" spans="44:46" ht="27" customHeight="1" x14ac:dyDescent="0.25">
      <c r="AR511" s="685"/>
      <c r="AS511" s="3"/>
      <c r="AT511" s="3"/>
    </row>
    <row r="512" spans="44:46" ht="27" customHeight="1" x14ac:dyDescent="0.25">
      <c r="AR512" s="685"/>
      <c r="AS512" s="3"/>
      <c r="AT512" s="3"/>
    </row>
    <row r="513" spans="44:46" ht="27" customHeight="1" x14ac:dyDescent="0.25">
      <c r="AR513" s="685"/>
      <c r="AS513" s="3"/>
      <c r="AT513" s="3"/>
    </row>
    <row r="514" spans="44:46" ht="27" customHeight="1" x14ac:dyDescent="0.25">
      <c r="AR514" s="685"/>
      <c r="AS514" s="3"/>
      <c r="AT514" s="3"/>
    </row>
    <row r="515" spans="44:46" ht="27" customHeight="1" x14ac:dyDescent="0.25">
      <c r="AR515" s="685"/>
      <c r="AS515" s="3"/>
      <c r="AT515" s="3"/>
    </row>
    <row r="516" spans="44:46" ht="27" customHeight="1" x14ac:dyDescent="0.25">
      <c r="AR516" s="685"/>
      <c r="AS516" s="3"/>
      <c r="AT516" s="3"/>
    </row>
    <row r="517" spans="44:46" ht="27" customHeight="1" x14ac:dyDescent="0.25">
      <c r="AR517" s="685"/>
      <c r="AS517" s="3"/>
      <c r="AT517" s="3"/>
    </row>
    <row r="518" spans="44:46" ht="27" customHeight="1" x14ac:dyDescent="0.25">
      <c r="AR518" s="685"/>
      <c r="AS518" s="3"/>
      <c r="AT518" s="3"/>
    </row>
    <row r="519" spans="44:46" ht="27" customHeight="1" x14ac:dyDescent="0.25">
      <c r="AR519" s="685"/>
      <c r="AS519" s="3"/>
      <c r="AT519" s="3"/>
    </row>
    <row r="520" spans="44:46" ht="27" customHeight="1" x14ac:dyDescent="0.25">
      <c r="AR520" s="685"/>
      <c r="AS520" s="3"/>
      <c r="AT520" s="3"/>
    </row>
    <row r="521" spans="44:46" ht="27" customHeight="1" x14ac:dyDescent="0.25">
      <c r="AR521" s="685"/>
      <c r="AS521" s="3"/>
      <c r="AT521" s="3"/>
    </row>
    <row r="522" spans="44:46" ht="27" customHeight="1" x14ac:dyDescent="0.25">
      <c r="AR522" s="685"/>
      <c r="AS522" s="3"/>
      <c r="AT522" s="3"/>
    </row>
    <row r="523" spans="44:46" ht="27" customHeight="1" x14ac:dyDescent="0.25">
      <c r="AR523" s="685"/>
      <c r="AS523" s="3"/>
      <c r="AT523" s="3"/>
    </row>
    <row r="524" spans="44:46" ht="27" customHeight="1" x14ac:dyDescent="0.25">
      <c r="AR524" s="685"/>
      <c r="AS524" s="3"/>
      <c r="AT524" s="3"/>
    </row>
    <row r="525" spans="44:46" ht="27" customHeight="1" x14ac:dyDescent="0.25">
      <c r="AR525" s="685"/>
      <c r="AS525" s="3"/>
      <c r="AT525" s="3"/>
    </row>
    <row r="526" spans="44:46" ht="27" customHeight="1" x14ac:dyDescent="0.25">
      <c r="AR526" s="685"/>
      <c r="AS526" s="3"/>
      <c r="AT526" s="3"/>
    </row>
    <row r="527" spans="44:46" ht="27" customHeight="1" x14ac:dyDescent="0.25">
      <c r="AR527" s="685"/>
      <c r="AS527" s="3"/>
      <c r="AT527" s="3"/>
    </row>
    <row r="528" spans="44:46" ht="27" customHeight="1" x14ac:dyDescent="0.25">
      <c r="AR528" s="685"/>
      <c r="AS528" s="3"/>
      <c r="AT528" s="3"/>
    </row>
    <row r="529" spans="44:46" ht="27" customHeight="1" x14ac:dyDescent="0.25">
      <c r="AR529" s="685"/>
      <c r="AS529" s="3"/>
      <c r="AT529" s="3"/>
    </row>
    <row r="530" spans="44:46" ht="27" customHeight="1" x14ac:dyDescent="0.25">
      <c r="AR530" s="685"/>
      <c r="AS530" s="3"/>
      <c r="AT530" s="3"/>
    </row>
    <row r="531" spans="44:46" ht="27" customHeight="1" x14ac:dyDescent="0.25">
      <c r="AR531" s="685"/>
      <c r="AS531" s="3"/>
      <c r="AT531" s="3"/>
    </row>
    <row r="532" spans="44:46" ht="27" customHeight="1" x14ac:dyDescent="0.25">
      <c r="AR532" s="685"/>
      <c r="AS532" s="3"/>
      <c r="AT532" s="3"/>
    </row>
    <row r="533" spans="44:46" ht="27" customHeight="1" x14ac:dyDescent="0.25">
      <c r="AR533" s="685"/>
      <c r="AS533" s="3"/>
      <c r="AT533" s="3"/>
    </row>
    <row r="534" spans="44:46" ht="27" customHeight="1" x14ac:dyDescent="0.25">
      <c r="AR534" s="685"/>
      <c r="AS534" s="3"/>
      <c r="AT534" s="3"/>
    </row>
    <row r="535" spans="44:46" ht="27" customHeight="1" x14ac:dyDescent="0.25">
      <c r="AR535" s="685"/>
      <c r="AS535" s="3"/>
      <c r="AT535" s="3"/>
    </row>
    <row r="536" spans="44:46" ht="27" customHeight="1" x14ac:dyDescent="0.25">
      <c r="AR536" s="685"/>
      <c r="AS536" s="3"/>
      <c r="AT536" s="3"/>
    </row>
    <row r="537" spans="44:46" ht="27" customHeight="1" x14ac:dyDescent="0.25">
      <c r="AR537" s="685"/>
      <c r="AS537" s="3"/>
      <c r="AT537" s="3"/>
    </row>
    <row r="538" spans="44:46" ht="27" customHeight="1" x14ac:dyDescent="0.25">
      <c r="AR538" s="685"/>
      <c r="AS538" s="3"/>
      <c r="AT538" s="3"/>
    </row>
    <row r="539" spans="44:46" ht="27" customHeight="1" x14ac:dyDescent="0.25">
      <c r="AR539" s="685"/>
      <c r="AS539" s="3"/>
      <c r="AT539" s="3"/>
    </row>
    <row r="540" spans="44:46" ht="27" customHeight="1" x14ac:dyDescent="0.25">
      <c r="AR540" s="685"/>
      <c r="AS540" s="3"/>
      <c r="AT540" s="3"/>
    </row>
    <row r="541" spans="44:46" ht="27" customHeight="1" x14ac:dyDescent="0.25">
      <c r="AR541" s="685"/>
      <c r="AS541" s="3"/>
      <c r="AT541" s="3"/>
    </row>
    <row r="542" spans="44:46" ht="27" customHeight="1" x14ac:dyDescent="0.25">
      <c r="AR542" s="685"/>
      <c r="AS542" s="3"/>
      <c r="AT542" s="3"/>
    </row>
    <row r="543" spans="44:46" ht="27" customHeight="1" x14ac:dyDescent="0.25">
      <c r="AR543" s="685"/>
      <c r="AS543" s="3"/>
      <c r="AT543" s="3"/>
    </row>
    <row r="544" spans="44:46" ht="27" customHeight="1" x14ac:dyDescent="0.25">
      <c r="AR544" s="685"/>
      <c r="AS544" s="3"/>
      <c r="AT544" s="3"/>
    </row>
    <row r="545" spans="44:46" ht="27" customHeight="1" x14ac:dyDescent="0.25">
      <c r="AR545" s="685"/>
      <c r="AS545" s="3"/>
      <c r="AT545" s="3"/>
    </row>
    <row r="546" spans="44:46" ht="27" customHeight="1" x14ac:dyDescent="0.25">
      <c r="AR546" s="685"/>
      <c r="AS546" s="3"/>
      <c r="AT546" s="3"/>
    </row>
    <row r="547" spans="44:46" ht="27" customHeight="1" x14ac:dyDescent="0.25">
      <c r="AR547" s="685"/>
      <c r="AS547" s="3"/>
      <c r="AT547" s="3"/>
    </row>
    <row r="548" spans="44:46" ht="27" customHeight="1" x14ac:dyDescent="0.25">
      <c r="AR548" s="685"/>
      <c r="AS548" s="3"/>
      <c r="AT548" s="3"/>
    </row>
    <row r="549" spans="44:46" ht="27" customHeight="1" x14ac:dyDescent="0.25">
      <c r="AR549" s="685"/>
      <c r="AS549" s="3"/>
      <c r="AT549" s="3"/>
    </row>
    <row r="550" spans="44:46" ht="27" customHeight="1" x14ac:dyDescent="0.25">
      <c r="AR550" s="685"/>
      <c r="AS550" s="3"/>
      <c r="AT550" s="3"/>
    </row>
    <row r="551" spans="44:46" ht="27" customHeight="1" x14ac:dyDescent="0.25">
      <c r="AR551" s="685"/>
      <c r="AS551" s="3"/>
      <c r="AT551" s="3"/>
    </row>
    <row r="552" spans="44:46" ht="27" customHeight="1" x14ac:dyDescent="0.25">
      <c r="AR552" s="685"/>
      <c r="AS552" s="3"/>
      <c r="AT552" s="3"/>
    </row>
    <row r="553" spans="44:46" ht="27" customHeight="1" x14ac:dyDescent="0.25">
      <c r="AR553" s="685"/>
      <c r="AS553" s="3"/>
      <c r="AT553" s="3"/>
    </row>
    <row r="554" spans="44:46" ht="27" customHeight="1" x14ac:dyDescent="0.25">
      <c r="AR554" s="685"/>
      <c r="AS554" s="3"/>
      <c r="AT554" s="3"/>
    </row>
    <row r="555" spans="44:46" ht="27" customHeight="1" x14ac:dyDescent="0.25">
      <c r="AR555" s="685"/>
      <c r="AS555" s="3"/>
      <c r="AT555" s="3"/>
    </row>
    <row r="556" spans="44:46" ht="27" customHeight="1" x14ac:dyDescent="0.25">
      <c r="AR556" s="685"/>
      <c r="AS556" s="3"/>
      <c r="AT556" s="3"/>
    </row>
    <row r="557" spans="44:46" ht="27" customHeight="1" x14ac:dyDescent="0.25">
      <c r="AR557" s="685"/>
      <c r="AS557" s="3"/>
      <c r="AT557" s="3"/>
    </row>
    <row r="558" spans="44:46" ht="27" customHeight="1" x14ac:dyDescent="0.25">
      <c r="AR558" s="685"/>
      <c r="AS558" s="3"/>
      <c r="AT558" s="3"/>
    </row>
    <row r="559" spans="44:46" ht="27" customHeight="1" x14ac:dyDescent="0.25">
      <c r="AR559" s="685"/>
      <c r="AS559" s="3"/>
      <c r="AT559" s="3"/>
    </row>
    <row r="560" spans="44:46" ht="27" customHeight="1" x14ac:dyDescent="0.25">
      <c r="AR560" s="685"/>
      <c r="AS560" s="3"/>
      <c r="AT560" s="3"/>
    </row>
    <row r="561" spans="44:46" ht="27" customHeight="1" x14ac:dyDescent="0.25">
      <c r="AR561" s="685"/>
      <c r="AS561" s="3"/>
      <c r="AT561" s="3"/>
    </row>
    <row r="562" spans="44:46" ht="27" customHeight="1" x14ac:dyDescent="0.25">
      <c r="AR562" s="685"/>
      <c r="AS562" s="3"/>
      <c r="AT562" s="3"/>
    </row>
    <row r="563" spans="44:46" ht="27" customHeight="1" x14ac:dyDescent="0.25">
      <c r="AR563" s="685"/>
      <c r="AS563" s="3"/>
      <c r="AT563" s="3"/>
    </row>
    <row r="564" spans="44:46" ht="27" customHeight="1" x14ac:dyDescent="0.25">
      <c r="AR564" s="685"/>
      <c r="AS564" s="3"/>
      <c r="AT564" s="3"/>
    </row>
    <row r="565" spans="44:46" ht="27" customHeight="1" x14ac:dyDescent="0.25">
      <c r="AR565" s="685"/>
      <c r="AS565" s="3"/>
      <c r="AT565" s="3"/>
    </row>
    <row r="566" spans="44:46" ht="27" customHeight="1" x14ac:dyDescent="0.25">
      <c r="AR566" s="685"/>
      <c r="AS566" s="3"/>
      <c r="AT566" s="3"/>
    </row>
    <row r="567" spans="44:46" ht="27" customHeight="1" x14ac:dyDescent="0.25">
      <c r="AR567" s="685"/>
      <c r="AS567" s="3"/>
      <c r="AT567" s="3"/>
    </row>
    <row r="568" spans="44:46" ht="27" customHeight="1" x14ac:dyDescent="0.25">
      <c r="AR568" s="685"/>
      <c r="AS568" s="3"/>
      <c r="AT568" s="3"/>
    </row>
    <row r="569" spans="44:46" ht="27" customHeight="1" x14ac:dyDescent="0.25">
      <c r="AR569" s="685"/>
      <c r="AS569" s="3"/>
      <c r="AT569" s="3"/>
    </row>
    <row r="570" spans="44:46" ht="27" customHeight="1" x14ac:dyDescent="0.25">
      <c r="AR570" s="685"/>
      <c r="AS570" s="3"/>
      <c r="AT570" s="3"/>
    </row>
    <row r="571" spans="44:46" ht="27" customHeight="1" x14ac:dyDescent="0.25">
      <c r="AR571" s="685"/>
      <c r="AS571" s="3"/>
      <c r="AT571" s="3"/>
    </row>
    <row r="572" spans="44:46" ht="27" customHeight="1" x14ac:dyDescent="0.25">
      <c r="AR572" s="685"/>
      <c r="AS572" s="3"/>
      <c r="AT572" s="3"/>
    </row>
    <row r="573" spans="44:46" ht="27" customHeight="1" x14ac:dyDescent="0.25">
      <c r="AR573" s="685"/>
      <c r="AS573" s="3"/>
      <c r="AT573" s="3"/>
    </row>
    <row r="574" spans="44:46" ht="27" customHeight="1" x14ac:dyDescent="0.25">
      <c r="AR574" s="685"/>
      <c r="AS574" s="3"/>
      <c r="AT574" s="3"/>
    </row>
    <row r="575" spans="44:46" ht="27" customHeight="1" x14ac:dyDescent="0.25">
      <c r="AR575" s="685"/>
      <c r="AS575" s="3"/>
      <c r="AT575" s="3"/>
    </row>
    <row r="576" spans="44:46" ht="27" customHeight="1" x14ac:dyDescent="0.25">
      <c r="AR576" s="685"/>
      <c r="AS576" s="3"/>
      <c r="AT576" s="3"/>
    </row>
    <row r="577" spans="44:46" ht="27" customHeight="1" x14ac:dyDescent="0.25">
      <c r="AR577" s="685"/>
      <c r="AS577" s="3"/>
      <c r="AT577" s="3"/>
    </row>
    <row r="578" spans="44:46" ht="27" customHeight="1" x14ac:dyDescent="0.25">
      <c r="AR578" s="685"/>
      <c r="AS578" s="3"/>
      <c r="AT578" s="3"/>
    </row>
    <row r="579" spans="44:46" ht="27" customHeight="1" x14ac:dyDescent="0.25">
      <c r="AR579" s="685"/>
      <c r="AS579" s="3"/>
      <c r="AT579" s="3"/>
    </row>
    <row r="580" spans="44:46" ht="27" customHeight="1" x14ac:dyDescent="0.25">
      <c r="AR580" s="685"/>
      <c r="AS580" s="3"/>
      <c r="AT580" s="3"/>
    </row>
    <row r="581" spans="44:46" ht="27" customHeight="1" x14ac:dyDescent="0.25">
      <c r="AR581" s="685"/>
      <c r="AS581" s="3"/>
      <c r="AT581" s="3"/>
    </row>
    <row r="582" spans="44:46" ht="27" customHeight="1" x14ac:dyDescent="0.25">
      <c r="AR582" s="685"/>
      <c r="AS582" s="3"/>
      <c r="AT582" s="3"/>
    </row>
    <row r="583" spans="44:46" ht="27" customHeight="1" x14ac:dyDescent="0.25">
      <c r="AR583" s="685"/>
      <c r="AS583" s="3"/>
      <c r="AT583" s="3"/>
    </row>
    <row r="584" spans="44:46" ht="27" customHeight="1" x14ac:dyDescent="0.25">
      <c r="AR584" s="685"/>
      <c r="AS584" s="3"/>
      <c r="AT584" s="3"/>
    </row>
    <row r="585" spans="44:46" ht="27" customHeight="1" x14ac:dyDescent="0.25">
      <c r="AR585" s="685"/>
      <c r="AS585" s="3"/>
      <c r="AT585" s="3"/>
    </row>
    <row r="586" spans="44:46" ht="27" customHeight="1" x14ac:dyDescent="0.25">
      <c r="AR586" s="685"/>
      <c r="AS586" s="3"/>
      <c r="AT586" s="3"/>
    </row>
    <row r="587" spans="44:46" ht="27" customHeight="1" x14ac:dyDescent="0.25">
      <c r="AR587" s="685"/>
      <c r="AS587" s="3"/>
      <c r="AT587" s="3"/>
    </row>
    <row r="588" spans="44:46" ht="27" customHeight="1" x14ac:dyDescent="0.25">
      <c r="AR588" s="685"/>
      <c r="AS588" s="3"/>
      <c r="AT588" s="3"/>
    </row>
    <row r="589" spans="44:46" ht="27" customHeight="1" x14ac:dyDescent="0.25">
      <c r="AR589" s="685"/>
      <c r="AS589" s="3"/>
      <c r="AT589" s="3"/>
    </row>
    <row r="590" spans="44:46" ht="27" customHeight="1" x14ac:dyDescent="0.25">
      <c r="AR590" s="685"/>
      <c r="AS590" s="3"/>
      <c r="AT590" s="3"/>
    </row>
    <row r="591" spans="44:46" ht="27" customHeight="1" x14ac:dyDescent="0.25">
      <c r="AR591" s="685"/>
      <c r="AS591" s="3"/>
      <c r="AT591" s="3"/>
    </row>
    <row r="592" spans="44:46" ht="27" customHeight="1" x14ac:dyDescent="0.25">
      <c r="AR592" s="685"/>
      <c r="AS592" s="3"/>
      <c r="AT592" s="3"/>
    </row>
    <row r="593" spans="44:46" ht="27" customHeight="1" x14ac:dyDescent="0.25">
      <c r="AR593" s="685"/>
      <c r="AS593" s="3"/>
      <c r="AT593" s="3"/>
    </row>
    <row r="594" spans="44:46" ht="27" customHeight="1" x14ac:dyDescent="0.25">
      <c r="AR594" s="685"/>
      <c r="AS594" s="3"/>
      <c r="AT594" s="3"/>
    </row>
    <row r="595" spans="44:46" ht="27" customHeight="1" x14ac:dyDescent="0.25">
      <c r="AR595" s="685"/>
      <c r="AS595" s="3"/>
      <c r="AT595" s="3"/>
    </row>
    <row r="596" spans="44:46" ht="27" customHeight="1" x14ac:dyDescent="0.25">
      <c r="AR596" s="685"/>
      <c r="AS596" s="3"/>
      <c r="AT596" s="3"/>
    </row>
    <row r="597" spans="44:46" ht="27" customHeight="1" x14ac:dyDescent="0.25">
      <c r="AR597" s="685"/>
      <c r="AS597" s="3"/>
      <c r="AT597" s="3"/>
    </row>
    <row r="598" spans="44:46" ht="27" customHeight="1" x14ac:dyDescent="0.25">
      <c r="AR598" s="685"/>
      <c r="AS598" s="3"/>
      <c r="AT598" s="3"/>
    </row>
    <row r="599" spans="44:46" ht="27" customHeight="1" x14ac:dyDescent="0.25">
      <c r="AR599" s="685"/>
      <c r="AS599" s="3"/>
      <c r="AT599" s="3"/>
    </row>
    <row r="600" spans="44:46" ht="27" customHeight="1" x14ac:dyDescent="0.25">
      <c r="AR600" s="685"/>
      <c r="AS600" s="3"/>
      <c r="AT600" s="3"/>
    </row>
    <row r="601" spans="44:46" ht="27" customHeight="1" x14ac:dyDescent="0.25">
      <c r="AR601" s="685"/>
      <c r="AS601" s="3"/>
      <c r="AT601" s="3"/>
    </row>
    <row r="602" spans="44:46" ht="27" customHeight="1" x14ac:dyDescent="0.25">
      <c r="AR602" s="685"/>
      <c r="AS602" s="3"/>
      <c r="AT602" s="3"/>
    </row>
    <row r="603" spans="44:46" ht="27" customHeight="1" x14ac:dyDescent="0.25">
      <c r="AR603" s="685"/>
      <c r="AS603" s="3"/>
      <c r="AT603" s="3"/>
    </row>
    <row r="604" spans="44:46" ht="27" customHeight="1" x14ac:dyDescent="0.25">
      <c r="AR604" s="685"/>
      <c r="AS604" s="3"/>
      <c r="AT604" s="3"/>
    </row>
    <row r="605" spans="44:46" ht="27" customHeight="1" x14ac:dyDescent="0.25">
      <c r="AR605" s="685"/>
      <c r="AS605" s="3"/>
      <c r="AT605" s="3"/>
    </row>
    <row r="606" spans="44:46" ht="27" customHeight="1" x14ac:dyDescent="0.25">
      <c r="AR606" s="685"/>
      <c r="AS606" s="3"/>
      <c r="AT606" s="3"/>
    </row>
    <row r="607" spans="44:46" ht="27" customHeight="1" x14ac:dyDescent="0.25">
      <c r="AR607" s="685"/>
      <c r="AS607" s="3"/>
      <c r="AT607" s="3"/>
    </row>
    <row r="608" spans="44:46" ht="27" customHeight="1" x14ac:dyDescent="0.25">
      <c r="AR608" s="685"/>
      <c r="AS608" s="3"/>
      <c r="AT608" s="3"/>
    </row>
    <row r="609" spans="44:46" ht="27" customHeight="1" x14ac:dyDescent="0.25">
      <c r="AR609" s="685"/>
      <c r="AS609" s="3"/>
      <c r="AT609" s="3"/>
    </row>
    <row r="610" spans="44:46" ht="27" customHeight="1" x14ac:dyDescent="0.25">
      <c r="AR610" s="685"/>
      <c r="AS610" s="3"/>
      <c r="AT610" s="3"/>
    </row>
    <row r="611" spans="44:46" ht="27" customHeight="1" x14ac:dyDescent="0.25">
      <c r="AR611" s="685"/>
      <c r="AS611" s="3"/>
      <c r="AT611" s="3"/>
    </row>
    <row r="612" spans="44:46" ht="27" customHeight="1" x14ac:dyDescent="0.25">
      <c r="AR612" s="685"/>
      <c r="AS612" s="3"/>
      <c r="AT612" s="3"/>
    </row>
    <row r="613" spans="44:46" ht="27" customHeight="1" x14ac:dyDescent="0.25">
      <c r="AR613" s="685"/>
      <c r="AS613" s="3"/>
      <c r="AT613" s="3"/>
    </row>
    <row r="614" spans="44:46" ht="27" customHeight="1" x14ac:dyDescent="0.25">
      <c r="AR614" s="685"/>
      <c r="AS614" s="3"/>
      <c r="AT614" s="3"/>
    </row>
    <row r="615" spans="44:46" ht="27" customHeight="1" x14ac:dyDescent="0.25">
      <c r="AR615" s="685"/>
      <c r="AS615" s="3"/>
      <c r="AT615" s="3"/>
    </row>
    <row r="616" spans="44:46" ht="27" customHeight="1" x14ac:dyDescent="0.25">
      <c r="AR616" s="685"/>
      <c r="AS616" s="3"/>
      <c r="AT616" s="3"/>
    </row>
    <row r="617" spans="44:46" ht="27" customHeight="1" x14ac:dyDescent="0.25">
      <c r="AR617" s="685"/>
      <c r="AS617" s="3"/>
      <c r="AT617" s="3"/>
    </row>
    <row r="618" spans="44:46" ht="27" customHeight="1" x14ac:dyDescent="0.25">
      <c r="AR618" s="685"/>
      <c r="AS618" s="3"/>
      <c r="AT618" s="3"/>
    </row>
    <row r="619" spans="44:46" ht="27" customHeight="1" x14ac:dyDescent="0.25">
      <c r="AR619" s="685"/>
      <c r="AS619" s="3"/>
      <c r="AT619" s="3"/>
    </row>
    <row r="620" spans="44:46" ht="27" customHeight="1" x14ac:dyDescent="0.25">
      <c r="AR620" s="685"/>
      <c r="AS620" s="3"/>
      <c r="AT620" s="3"/>
    </row>
    <row r="621" spans="44:46" ht="27" customHeight="1" x14ac:dyDescent="0.25">
      <c r="AR621" s="685"/>
      <c r="AS621" s="3"/>
      <c r="AT621" s="3"/>
    </row>
    <row r="622" spans="44:46" ht="27" customHeight="1" x14ac:dyDescent="0.25">
      <c r="AR622" s="685"/>
      <c r="AS622" s="3"/>
      <c r="AT622" s="3"/>
    </row>
    <row r="623" spans="44:46" ht="27" customHeight="1" x14ac:dyDescent="0.25">
      <c r="AR623" s="685"/>
      <c r="AS623" s="3"/>
      <c r="AT623" s="3"/>
    </row>
    <row r="624" spans="44:46" ht="27" customHeight="1" x14ac:dyDescent="0.25">
      <c r="AR624" s="685"/>
      <c r="AS624" s="3"/>
      <c r="AT624" s="3"/>
    </row>
    <row r="625" spans="44:46" ht="27" customHeight="1" x14ac:dyDescent="0.25">
      <c r="AR625" s="685"/>
      <c r="AS625" s="3"/>
      <c r="AT625" s="3"/>
    </row>
    <row r="626" spans="44:46" ht="27" customHeight="1" x14ac:dyDescent="0.25">
      <c r="AR626" s="685"/>
      <c r="AS626" s="3"/>
      <c r="AT626" s="3"/>
    </row>
    <row r="627" spans="44:46" ht="27" customHeight="1" x14ac:dyDescent="0.25">
      <c r="AR627" s="685"/>
      <c r="AS627" s="3"/>
      <c r="AT627" s="3"/>
    </row>
    <row r="628" spans="44:46" ht="27" customHeight="1" x14ac:dyDescent="0.25">
      <c r="AR628" s="685"/>
      <c r="AS628" s="3"/>
      <c r="AT628" s="3"/>
    </row>
    <row r="629" spans="44:46" ht="27" customHeight="1" x14ac:dyDescent="0.25">
      <c r="AR629" s="685"/>
      <c r="AS629" s="3"/>
      <c r="AT629" s="3"/>
    </row>
    <row r="630" spans="44:46" ht="27" customHeight="1" x14ac:dyDescent="0.25">
      <c r="AR630" s="685"/>
      <c r="AS630" s="3"/>
      <c r="AT630" s="3"/>
    </row>
    <row r="631" spans="44:46" ht="27" customHeight="1" x14ac:dyDescent="0.25">
      <c r="AR631" s="685"/>
      <c r="AS631" s="3"/>
      <c r="AT631" s="3"/>
    </row>
    <row r="632" spans="44:46" ht="27" customHeight="1" x14ac:dyDescent="0.25">
      <c r="AR632" s="685"/>
      <c r="AS632" s="3"/>
      <c r="AT632" s="3"/>
    </row>
    <row r="633" spans="44:46" ht="27" customHeight="1" x14ac:dyDescent="0.25">
      <c r="AR633" s="685"/>
      <c r="AS633" s="3"/>
      <c r="AT633" s="3"/>
    </row>
    <row r="634" spans="44:46" ht="27" customHeight="1" x14ac:dyDescent="0.25">
      <c r="AR634" s="685"/>
      <c r="AS634" s="3"/>
      <c r="AT634" s="3"/>
    </row>
    <row r="635" spans="44:46" ht="27" customHeight="1" x14ac:dyDescent="0.25">
      <c r="AR635" s="685"/>
      <c r="AS635" s="3"/>
      <c r="AT635" s="3"/>
    </row>
    <row r="636" spans="44:46" ht="27" customHeight="1" x14ac:dyDescent="0.25">
      <c r="AR636" s="685"/>
      <c r="AS636" s="3"/>
      <c r="AT636" s="3"/>
    </row>
    <row r="637" spans="44:46" ht="27" customHeight="1" x14ac:dyDescent="0.25">
      <c r="AR637" s="685"/>
      <c r="AS637" s="3"/>
      <c r="AT637" s="3"/>
    </row>
    <row r="638" spans="44:46" ht="27" customHeight="1" x14ac:dyDescent="0.25">
      <c r="AR638" s="685"/>
      <c r="AS638" s="3"/>
      <c r="AT638" s="3"/>
    </row>
    <row r="639" spans="44:46" ht="27" customHeight="1" x14ac:dyDescent="0.25">
      <c r="AR639" s="685"/>
      <c r="AS639" s="3"/>
      <c r="AT639" s="3"/>
    </row>
    <row r="640" spans="44:46" ht="27" customHeight="1" x14ac:dyDescent="0.25">
      <c r="AR640" s="685"/>
      <c r="AS640" s="3"/>
      <c r="AT640" s="3"/>
    </row>
    <row r="641" spans="44:46" ht="27" customHeight="1" x14ac:dyDescent="0.25">
      <c r="AR641" s="685"/>
      <c r="AS641" s="3"/>
      <c r="AT641" s="3"/>
    </row>
    <row r="642" spans="44:46" ht="27" customHeight="1" x14ac:dyDescent="0.25">
      <c r="AR642" s="685"/>
      <c r="AS642" s="3"/>
      <c r="AT642" s="3"/>
    </row>
    <row r="643" spans="44:46" ht="27" customHeight="1" x14ac:dyDescent="0.25">
      <c r="AR643" s="685"/>
      <c r="AS643" s="3"/>
      <c r="AT643" s="3"/>
    </row>
    <row r="644" spans="44:46" ht="27" customHeight="1" x14ac:dyDescent="0.25">
      <c r="AR644" s="685"/>
      <c r="AS644" s="3"/>
      <c r="AT644" s="3"/>
    </row>
    <row r="645" spans="44:46" ht="27" customHeight="1" x14ac:dyDescent="0.25">
      <c r="AR645" s="685"/>
      <c r="AS645" s="3"/>
      <c r="AT645" s="3"/>
    </row>
    <row r="646" spans="44:46" ht="27" customHeight="1" x14ac:dyDescent="0.25">
      <c r="AR646" s="685"/>
      <c r="AS646" s="3"/>
      <c r="AT646" s="3"/>
    </row>
    <row r="647" spans="44:46" ht="27" customHeight="1" x14ac:dyDescent="0.25">
      <c r="AR647" s="685"/>
      <c r="AS647" s="3"/>
      <c r="AT647" s="3"/>
    </row>
    <row r="648" spans="44:46" ht="27" customHeight="1" x14ac:dyDescent="0.25">
      <c r="AR648" s="685"/>
      <c r="AS648" s="3"/>
      <c r="AT648" s="3"/>
    </row>
    <row r="649" spans="44:46" ht="27" customHeight="1" x14ac:dyDescent="0.25">
      <c r="AR649" s="685"/>
      <c r="AS649" s="3"/>
      <c r="AT649" s="3"/>
    </row>
    <row r="650" spans="44:46" ht="27" customHeight="1" x14ac:dyDescent="0.25">
      <c r="AR650" s="685"/>
      <c r="AS650" s="3"/>
      <c r="AT650" s="3"/>
    </row>
    <row r="651" spans="44:46" ht="27" customHeight="1" x14ac:dyDescent="0.25">
      <c r="AR651" s="685"/>
      <c r="AS651" s="3"/>
      <c r="AT651" s="3"/>
    </row>
    <row r="652" spans="44:46" ht="27" customHeight="1" x14ac:dyDescent="0.25">
      <c r="AR652" s="685"/>
      <c r="AS652" s="3"/>
      <c r="AT652" s="3"/>
    </row>
    <row r="653" spans="44:46" ht="27" customHeight="1" x14ac:dyDescent="0.25">
      <c r="AR653" s="685"/>
      <c r="AS653" s="3"/>
      <c r="AT653" s="3"/>
    </row>
    <row r="654" spans="44:46" ht="27" customHeight="1" x14ac:dyDescent="0.25">
      <c r="AR654" s="685"/>
      <c r="AS654" s="3"/>
      <c r="AT654" s="3"/>
    </row>
    <row r="655" spans="44:46" ht="27" customHeight="1" x14ac:dyDescent="0.25">
      <c r="AR655" s="685"/>
      <c r="AS655" s="3"/>
      <c r="AT655" s="3"/>
    </row>
    <row r="656" spans="44:46" ht="27" customHeight="1" x14ac:dyDescent="0.25">
      <c r="AR656" s="685"/>
      <c r="AS656" s="3"/>
      <c r="AT656" s="3"/>
    </row>
    <row r="657" spans="44:46" ht="27" customHeight="1" x14ac:dyDescent="0.25">
      <c r="AR657" s="685"/>
      <c r="AS657" s="3"/>
      <c r="AT657" s="3"/>
    </row>
    <row r="658" spans="44:46" ht="27" customHeight="1" x14ac:dyDescent="0.25">
      <c r="AR658" s="685"/>
      <c r="AS658" s="3"/>
      <c r="AT658" s="3"/>
    </row>
    <row r="659" spans="44:46" ht="27" customHeight="1" x14ac:dyDescent="0.25">
      <c r="AR659" s="685"/>
      <c r="AS659" s="3"/>
      <c r="AT659" s="3"/>
    </row>
    <row r="660" spans="44:46" ht="27" customHeight="1" x14ac:dyDescent="0.25">
      <c r="AR660" s="685"/>
      <c r="AS660" s="3"/>
      <c r="AT660" s="3"/>
    </row>
    <row r="661" spans="44:46" ht="27" customHeight="1" x14ac:dyDescent="0.25">
      <c r="AR661" s="685"/>
      <c r="AS661" s="3"/>
      <c r="AT661" s="3"/>
    </row>
    <row r="662" spans="44:46" ht="27" customHeight="1" x14ac:dyDescent="0.25">
      <c r="AR662" s="685"/>
      <c r="AS662" s="3"/>
      <c r="AT662" s="3"/>
    </row>
    <row r="663" spans="44:46" ht="27" customHeight="1" x14ac:dyDescent="0.25">
      <c r="AR663" s="685"/>
      <c r="AS663" s="3"/>
      <c r="AT663" s="3"/>
    </row>
    <row r="664" spans="44:46" ht="27" customHeight="1" x14ac:dyDescent="0.25">
      <c r="AR664" s="685"/>
      <c r="AS664" s="3"/>
      <c r="AT664" s="3"/>
    </row>
    <row r="665" spans="44:46" ht="27" customHeight="1" x14ac:dyDescent="0.25">
      <c r="AR665" s="685"/>
      <c r="AS665" s="3"/>
      <c r="AT665" s="3"/>
    </row>
    <row r="666" spans="44:46" ht="27" customHeight="1" x14ac:dyDescent="0.25">
      <c r="AR666" s="685"/>
      <c r="AS666" s="3"/>
      <c r="AT666" s="3"/>
    </row>
    <row r="667" spans="44:46" ht="27" customHeight="1" x14ac:dyDescent="0.25">
      <c r="AR667" s="685"/>
      <c r="AS667" s="3"/>
      <c r="AT667" s="3"/>
    </row>
    <row r="668" spans="44:46" ht="27" customHeight="1" x14ac:dyDescent="0.25">
      <c r="AR668" s="685"/>
      <c r="AS668" s="3"/>
      <c r="AT668" s="3"/>
    </row>
    <row r="669" spans="44:46" ht="27" customHeight="1" x14ac:dyDescent="0.25">
      <c r="AR669" s="685"/>
      <c r="AS669" s="3"/>
      <c r="AT669" s="3"/>
    </row>
    <row r="670" spans="44:46" ht="27" customHeight="1" x14ac:dyDescent="0.25">
      <c r="AR670" s="685"/>
      <c r="AS670" s="3"/>
      <c r="AT670" s="3"/>
    </row>
    <row r="671" spans="44:46" ht="27" customHeight="1" x14ac:dyDescent="0.25">
      <c r="AR671" s="685"/>
      <c r="AS671" s="3"/>
      <c r="AT671" s="3"/>
    </row>
    <row r="672" spans="44:46" ht="27" customHeight="1" x14ac:dyDescent="0.25">
      <c r="AR672" s="685"/>
      <c r="AS672" s="3"/>
      <c r="AT672" s="3"/>
    </row>
    <row r="673" spans="44:46" ht="27" customHeight="1" x14ac:dyDescent="0.25">
      <c r="AR673" s="685"/>
      <c r="AS673" s="3"/>
      <c r="AT673" s="3"/>
    </row>
    <row r="674" spans="44:46" ht="27" customHeight="1" x14ac:dyDescent="0.25">
      <c r="AR674" s="685"/>
      <c r="AS674" s="3"/>
      <c r="AT674" s="3"/>
    </row>
    <row r="675" spans="44:46" ht="27" customHeight="1" x14ac:dyDescent="0.25">
      <c r="AR675" s="685"/>
      <c r="AS675" s="3"/>
      <c r="AT675" s="3"/>
    </row>
    <row r="676" spans="44:46" ht="27" customHeight="1" x14ac:dyDescent="0.25">
      <c r="AR676" s="685"/>
      <c r="AS676" s="3"/>
      <c r="AT676" s="3"/>
    </row>
    <row r="677" spans="44:46" ht="27" customHeight="1" x14ac:dyDescent="0.25">
      <c r="AR677" s="685"/>
      <c r="AS677" s="3"/>
      <c r="AT677" s="3"/>
    </row>
    <row r="678" spans="44:46" ht="27" customHeight="1" x14ac:dyDescent="0.25">
      <c r="AR678" s="685"/>
      <c r="AS678" s="3"/>
      <c r="AT678" s="3"/>
    </row>
    <row r="679" spans="44:46" ht="27" customHeight="1" x14ac:dyDescent="0.25">
      <c r="AR679" s="685"/>
      <c r="AS679" s="3"/>
      <c r="AT679" s="3"/>
    </row>
    <row r="680" spans="44:46" ht="27" customHeight="1" x14ac:dyDescent="0.25">
      <c r="AR680" s="685"/>
      <c r="AS680" s="3"/>
      <c r="AT680" s="3"/>
    </row>
    <row r="681" spans="44:46" ht="27" customHeight="1" x14ac:dyDescent="0.25">
      <c r="AR681" s="685"/>
      <c r="AS681" s="3"/>
      <c r="AT681" s="3"/>
    </row>
    <row r="682" spans="44:46" ht="27" customHeight="1" x14ac:dyDescent="0.25">
      <c r="AR682" s="685"/>
      <c r="AS682" s="3"/>
      <c r="AT682" s="3"/>
    </row>
    <row r="683" spans="44:46" ht="27" customHeight="1" x14ac:dyDescent="0.25">
      <c r="AR683" s="685"/>
      <c r="AS683" s="3"/>
      <c r="AT683" s="3"/>
    </row>
    <row r="684" spans="44:46" ht="27" customHeight="1" x14ac:dyDescent="0.25">
      <c r="AR684" s="685"/>
      <c r="AS684" s="3"/>
      <c r="AT684" s="3"/>
    </row>
    <row r="685" spans="44:46" ht="27" customHeight="1" x14ac:dyDescent="0.25">
      <c r="AR685" s="685"/>
      <c r="AS685" s="3"/>
      <c r="AT685" s="3"/>
    </row>
    <row r="686" spans="44:46" ht="27" customHeight="1" x14ac:dyDescent="0.25">
      <c r="AR686" s="685"/>
      <c r="AS686" s="3"/>
      <c r="AT686" s="3"/>
    </row>
    <row r="687" spans="44:46" ht="27" customHeight="1" x14ac:dyDescent="0.25">
      <c r="AR687" s="685"/>
      <c r="AS687" s="3"/>
      <c r="AT687" s="3"/>
    </row>
    <row r="688" spans="44:46" ht="27" customHeight="1" x14ac:dyDescent="0.25">
      <c r="AR688" s="685"/>
      <c r="AS688" s="3"/>
      <c r="AT688" s="3"/>
    </row>
    <row r="689" spans="44:46" ht="27" customHeight="1" x14ac:dyDescent="0.25">
      <c r="AR689" s="685"/>
      <c r="AS689" s="3"/>
      <c r="AT689" s="3"/>
    </row>
    <row r="690" spans="44:46" ht="27" customHeight="1" x14ac:dyDescent="0.25">
      <c r="AR690" s="685"/>
      <c r="AS690" s="3"/>
      <c r="AT690" s="3"/>
    </row>
    <row r="691" spans="44:46" ht="27" customHeight="1" x14ac:dyDescent="0.25">
      <c r="AR691" s="685"/>
      <c r="AS691" s="3"/>
      <c r="AT691" s="3"/>
    </row>
    <row r="692" spans="44:46" ht="27" customHeight="1" x14ac:dyDescent="0.25">
      <c r="AR692" s="685"/>
      <c r="AS692" s="3"/>
      <c r="AT692" s="3"/>
    </row>
    <row r="693" spans="44:46" ht="27" customHeight="1" x14ac:dyDescent="0.25">
      <c r="AR693" s="685"/>
      <c r="AS693" s="3"/>
      <c r="AT693" s="3"/>
    </row>
    <row r="694" spans="44:46" ht="27" customHeight="1" x14ac:dyDescent="0.25">
      <c r="AR694" s="685"/>
      <c r="AS694" s="3"/>
      <c r="AT694" s="3"/>
    </row>
    <row r="695" spans="44:46" ht="27" customHeight="1" x14ac:dyDescent="0.25">
      <c r="AR695" s="685"/>
      <c r="AS695" s="3"/>
      <c r="AT695" s="3"/>
    </row>
    <row r="696" spans="44:46" ht="27" customHeight="1" x14ac:dyDescent="0.25">
      <c r="AR696" s="685"/>
      <c r="AS696" s="3"/>
      <c r="AT696" s="3"/>
    </row>
    <row r="697" spans="44:46" ht="27" customHeight="1" x14ac:dyDescent="0.25">
      <c r="AR697" s="685"/>
      <c r="AS697" s="3"/>
      <c r="AT697" s="3"/>
    </row>
    <row r="698" spans="44:46" ht="27" customHeight="1" x14ac:dyDescent="0.25">
      <c r="AR698" s="685"/>
      <c r="AS698" s="3"/>
      <c r="AT698" s="3"/>
    </row>
    <row r="699" spans="44:46" ht="27" customHeight="1" x14ac:dyDescent="0.25">
      <c r="AR699" s="685"/>
      <c r="AS699" s="3"/>
      <c r="AT699" s="3"/>
    </row>
    <row r="700" spans="44:46" ht="27" customHeight="1" x14ac:dyDescent="0.25">
      <c r="AR700" s="685"/>
      <c r="AS700" s="3"/>
      <c r="AT700" s="3"/>
    </row>
    <row r="701" spans="44:46" ht="27" customHeight="1" x14ac:dyDescent="0.25">
      <c r="AR701" s="685"/>
      <c r="AS701" s="3"/>
      <c r="AT701" s="3"/>
    </row>
    <row r="702" spans="44:46" ht="27" customHeight="1" x14ac:dyDescent="0.25">
      <c r="AR702" s="685"/>
      <c r="AS702" s="3"/>
      <c r="AT702" s="3"/>
    </row>
    <row r="703" spans="44:46" ht="27" customHeight="1" x14ac:dyDescent="0.25">
      <c r="AR703" s="685"/>
      <c r="AS703" s="3"/>
      <c r="AT703" s="3"/>
    </row>
    <row r="704" spans="44:46" ht="27" customHeight="1" x14ac:dyDescent="0.25">
      <c r="AR704" s="685"/>
      <c r="AS704" s="3"/>
      <c r="AT704" s="3"/>
    </row>
    <row r="705" spans="44:46" ht="27" customHeight="1" x14ac:dyDescent="0.25">
      <c r="AR705" s="685"/>
      <c r="AS705" s="3"/>
      <c r="AT705" s="3"/>
    </row>
    <row r="706" spans="44:46" ht="27" customHeight="1" x14ac:dyDescent="0.25">
      <c r="AR706" s="685"/>
      <c r="AS706" s="3"/>
      <c r="AT706" s="3"/>
    </row>
    <row r="707" spans="44:46" ht="27" customHeight="1" x14ac:dyDescent="0.25">
      <c r="AR707" s="685"/>
      <c r="AS707" s="3"/>
      <c r="AT707" s="3"/>
    </row>
    <row r="708" spans="44:46" ht="27" customHeight="1" x14ac:dyDescent="0.25">
      <c r="AR708" s="685"/>
      <c r="AS708" s="3"/>
      <c r="AT708" s="3"/>
    </row>
    <row r="709" spans="44:46" ht="27" customHeight="1" x14ac:dyDescent="0.25">
      <c r="AR709" s="685"/>
      <c r="AS709" s="3"/>
      <c r="AT709" s="3"/>
    </row>
    <row r="710" spans="44:46" ht="27" customHeight="1" x14ac:dyDescent="0.25">
      <c r="AR710" s="685"/>
      <c r="AS710" s="3"/>
      <c r="AT710" s="3"/>
    </row>
    <row r="711" spans="44:46" ht="27" customHeight="1" x14ac:dyDescent="0.25">
      <c r="AR711" s="685"/>
      <c r="AS711" s="3"/>
      <c r="AT711" s="3"/>
    </row>
    <row r="712" spans="44:46" ht="27" customHeight="1" x14ac:dyDescent="0.25">
      <c r="AR712" s="685"/>
      <c r="AS712" s="3"/>
      <c r="AT712" s="3"/>
    </row>
    <row r="713" spans="44:46" ht="27" customHeight="1" x14ac:dyDescent="0.25">
      <c r="AR713" s="685"/>
      <c r="AS713" s="3"/>
      <c r="AT713" s="3"/>
    </row>
    <row r="714" spans="44:46" ht="27" customHeight="1" x14ac:dyDescent="0.25">
      <c r="AR714" s="685"/>
      <c r="AS714" s="3"/>
      <c r="AT714" s="3"/>
    </row>
    <row r="715" spans="44:46" ht="27" customHeight="1" x14ac:dyDescent="0.25">
      <c r="AR715" s="685"/>
      <c r="AS715" s="3"/>
      <c r="AT715" s="3"/>
    </row>
    <row r="716" spans="44:46" ht="27" customHeight="1" x14ac:dyDescent="0.25">
      <c r="AR716" s="685"/>
      <c r="AS716" s="3"/>
      <c r="AT716" s="3"/>
    </row>
    <row r="717" spans="44:46" ht="27" customHeight="1" x14ac:dyDescent="0.25">
      <c r="AR717" s="685"/>
      <c r="AS717" s="3"/>
      <c r="AT717" s="3"/>
    </row>
    <row r="718" spans="44:46" ht="27" customHeight="1" x14ac:dyDescent="0.25">
      <c r="AR718" s="685"/>
      <c r="AS718" s="3"/>
      <c r="AT718" s="3"/>
    </row>
    <row r="719" spans="44:46" ht="27" customHeight="1" x14ac:dyDescent="0.25">
      <c r="AR719" s="685"/>
      <c r="AS719" s="3"/>
      <c r="AT719" s="3"/>
    </row>
    <row r="720" spans="44:46" ht="27" customHeight="1" x14ac:dyDescent="0.25">
      <c r="AR720" s="685"/>
      <c r="AS720" s="3"/>
      <c r="AT720" s="3"/>
    </row>
    <row r="721" spans="44:46" ht="27" customHeight="1" x14ac:dyDescent="0.25">
      <c r="AR721" s="685"/>
      <c r="AS721" s="3"/>
      <c r="AT721" s="3"/>
    </row>
    <row r="722" spans="44:46" ht="27" customHeight="1" x14ac:dyDescent="0.25">
      <c r="AR722" s="685"/>
      <c r="AS722" s="3"/>
      <c r="AT722" s="3"/>
    </row>
    <row r="723" spans="44:46" ht="27" customHeight="1" x14ac:dyDescent="0.25">
      <c r="AR723" s="685"/>
      <c r="AS723" s="3"/>
      <c r="AT723" s="3"/>
    </row>
    <row r="724" spans="44:46" ht="27" customHeight="1" x14ac:dyDescent="0.25">
      <c r="AR724" s="685"/>
      <c r="AS724" s="3"/>
      <c r="AT724" s="3"/>
    </row>
    <row r="725" spans="44:46" ht="27" customHeight="1" x14ac:dyDescent="0.25">
      <c r="AR725" s="685"/>
      <c r="AS725" s="3"/>
      <c r="AT725" s="3"/>
    </row>
    <row r="726" spans="44:46" ht="27" customHeight="1" x14ac:dyDescent="0.25">
      <c r="AR726" s="685"/>
      <c r="AS726" s="3"/>
      <c r="AT726" s="3"/>
    </row>
    <row r="727" spans="44:46" ht="27" customHeight="1" x14ac:dyDescent="0.25">
      <c r="AR727" s="685"/>
      <c r="AS727" s="3"/>
      <c r="AT727" s="3"/>
    </row>
    <row r="728" spans="44:46" ht="27" customHeight="1" x14ac:dyDescent="0.25">
      <c r="AR728" s="685"/>
      <c r="AS728" s="3"/>
      <c r="AT728" s="3"/>
    </row>
    <row r="729" spans="44:46" ht="27" customHeight="1" x14ac:dyDescent="0.25">
      <c r="AR729" s="685"/>
      <c r="AS729" s="3"/>
      <c r="AT729" s="3"/>
    </row>
    <row r="730" spans="44:46" ht="27" customHeight="1" x14ac:dyDescent="0.25">
      <c r="AR730" s="685"/>
      <c r="AS730" s="3"/>
      <c r="AT730" s="3"/>
    </row>
    <row r="731" spans="44:46" ht="27" customHeight="1" x14ac:dyDescent="0.25">
      <c r="AR731" s="685"/>
      <c r="AS731" s="3"/>
      <c r="AT731" s="3"/>
    </row>
    <row r="732" spans="44:46" ht="27" customHeight="1" x14ac:dyDescent="0.25">
      <c r="AR732" s="685"/>
      <c r="AS732" s="3"/>
      <c r="AT732" s="3"/>
    </row>
    <row r="733" spans="44:46" ht="27" customHeight="1" x14ac:dyDescent="0.25">
      <c r="AR733" s="685"/>
      <c r="AS733" s="3"/>
      <c r="AT733" s="3"/>
    </row>
    <row r="734" spans="44:46" ht="27" customHeight="1" x14ac:dyDescent="0.25">
      <c r="AR734" s="685"/>
      <c r="AS734" s="3"/>
      <c r="AT734" s="3"/>
    </row>
    <row r="735" spans="44:46" ht="27" customHeight="1" x14ac:dyDescent="0.25">
      <c r="AR735" s="685"/>
      <c r="AS735" s="3"/>
      <c r="AT735" s="3"/>
    </row>
    <row r="736" spans="44:46" ht="27" customHeight="1" x14ac:dyDescent="0.25">
      <c r="AR736" s="685"/>
      <c r="AS736" s="3"/>
      <c r="AT736" s="3"/>
    </row>
    <row r="737" spans="44:46" ht="27" customHeight="1" x14ac:dyDescent="0.25">
      <c r="AR737" s="685"/>
      <c r="AS737" s="3"/>
      <c r="AT737" s="3"/>
    </row>
    <row r="738" spans="44:46" ht="27" customHeight="1" x14ac:dyDescent="0.25">
      <c r="AR738" s="685"/>
      <c r="AS738" s="3"/>
      <c r="AT738" s="3"/>
    </row>
    <row r="739" spans="44:46" ht="27" customHeight="1" x14ac:dyDescent="0.25">
      <c r="AR739" s="685"/>
      <c r="AS739" s="3"/>
      <c r="AT739" s="3"/>
    </row>
    <row r="740" spans="44:46" ht="27" customHeight="1" x14ac:dyDescent="0.25">
      <c r="AR740" s="685"/>
      <c r="AS740" s="3"/>
      <c r="AT740" s="3"/>
    </row>
    <row r="741" spans="44:46" ht="27" customHeight="1" x14ac:dyDescent="0.25">
      <c r="AR741" s="685"/>
      <c r="AS741" s="3"/>
      <c r="AT741" s="3"/>
    </row>
    <row r="742" spans="44:46" ht="27" customHeight="1" x14ac:dyDescent="0.25">
      <c r="AR742" s="685"/>
      <c r="AS742" s="3"/>
      <c r="AT742" s="3"/>
    </row>
    <row r="743" spans="44:46" ht="27" customHeight="1" x14ac:dyDescent="0.25">
      <c r="AR743" s="685"/>
      <c r="AS743" s="3"/>
      <c r="AT743" s="3"/>
    </row>
    <row r="744" spans="44:46" ht="27" customHeight="1" x14ac:dyDescent="0.25">
      <c r="AR744" s="685"/>
      <c r="AS744" s="3"/>
      <c r="AT744" s="3"/>
    </row>
    <row r="745" spans="44:46" ht="27" customHeight="1" x14ac:dyDescent="0.25">
      <c r="AR745" s="685"/>
      <c r="AS745" s="3"/>
      <c r="AT745" s="3"/>
    </row>
    <row r="746" spans="44:46" ht="27" customHeight="1" x14ac:dyDescent="0.25">
      <c r="AR746" s="685"/>
      <c r="AS746" s="3"/>
      <c r="AT746" s="3"/>
    </row>
    <row r="747" spans="44:46" ht="27" customHeight="1" x14ac:dyDescent="0.25">
      <c r="AR747" s="685"/>
      <c r="AS747" s="3"/>
      <c r="AT747" s="3"/>
    </row>
    <row r="748" spans="44:46" ht="27" customHeight="1" x14ac:dyDescent="0.25">
      <c r="AR748" s="685"/>
      <c r="AS748" s="3"/>
      <c r="AT748" s="3"/>
    </row>
    <row r="749" spans="44:46" ht="27" customHeight="1" x14ac:dyDescent="0.25">
      <c r="AR749" s="685"/>
      <c r="AS749" s="3"/>
      <c r="AT749" s="3"/>
    </row>
    <row r="750" spans="44:46" ht="27" customHeight="1" x14ac:dyDescent="0.25">
      <c r="AR750" s="685"/>
      <c r="AS750" s="3"/>
      <c r="AT750" s="3"/>
    </row>
    <row r="751" spans="44:46" ht="27" customHeight="1" x14ac:dyDescent="0.25">
      <c r="AR751" s="685"/>
      <c r="AS751" s="3"/>
      <c r="AT751" s="3"/>
    </row>
    <row r="752" spans="44:46" ht="27" customHeight="1" x14ac:dyDescent="0.25">
      <c r="AR752" s="685"/>
      <c r="AS752" s="3"/>
      <c r="AT752" s="3"/>
    </row>
    <row r="753" spans="44:46" ht="27" customHeight="1" x14ac:dyDescent="0.25">
      <c r="AR753" s="685"/>
      <c r="AS753" s="3"/>
      <c r="AT753" s="3"/>
    </row>
    <row r="754" spans="44:46" ht="27" customHeight="1" x14ac:dyDescent="0.25">
      <c r="AR754" s="685"/>
      <c r="AS754" s="3"/>
      <c r="AT754" s="3"/>
    </row>
    <row r="755" spans="44:46" ht="27" customHeight="1" x14ac:dyDescent="0.25">
      <c r="AR755" s="685"/>
      <c r="AS755" s="3"/>
      <c r="AT755" s="3"/>
    </row>
    <row r="756" spans="44:46" ht="27" customHeight="1" x14ac:dyDescent="0.25">
      <c r="AR756" s="685"/>
      <c r="AS756" s="3"/>
      <c r="AT756" s="3"/>
    </row>
    <row r="757" spans="44:46" ht="27" customHeight="1" x14ac:dyDescent="0.25">
      <c r="AR757" s="685"/>
      <c r="AS757" s="3"/>
      <c r="AT757" s="3"/>
    </row>
    <row r="758" spans="44:46" ht="27" customHeight="1" x14ac:dyDescent="0.25">
      <c r="AR758" s="685"/>
      <c r="AS758" s="3"/>
      <c r="AT758" s="3"/>
    </row>
    <row r="759" spans="44:46" ht="27" customHeight="1" x14ac:dyDescent="0.25">
      <c r="AR759" s="685"/>
      <c r="AS759" s="3"/>
      <c r="AT759" s="3"/>
    </row>
    <row r="760" spans="44:46" ht="27" customHeight="1" x14ac:dyDescent="0.25">
      <c r="AR760" s="685"/>
      <c r="AS760" s="3"/>
      <c r="AT760" s="3"/>
    </row>
    <row r="761" spans="44:46" ht="27" customHeight="1" x14ac:dyDescent="0.25">
      <c r="AR761" s="685"/>
      <c r="AS761" s="3"/>
      <c r="AT761" s="3"/>
    </row>
    <row r="762" spans="44:46" ht="27" customHeight="1" x14ac:dyDescent="0.25">
      <c r="AR762" s="685"/>
      <c r="AS762" s="3"/>
      <c r="AT762" s="3"/>
    </row>
    <row r="763" spans="44:46" ht="27" customHeight="1" x14ac:dyDescent="0.25">
      <c r="AR763" s="685"/>
      <c r="AS763" s="3"/>
      <c r="AT763" s="3"/>
    </row>
    <row r="764" spans="44:46" ht="27" customHeight="1" x14ac:dyDescent="0.25">
      <c r="AR764" s="685"/>
      <c r="AS764" s="3"/>
      <c r="AT764" s="3"/>
    </row>
    <row r="765" spans="44:46" ht="27" customHeight="1" x14ac:dyDescent="0.25">
      <c r="AR765" s="685"/>
      <c r="AS765" s="3"/>
      <c r="AT765" s="3"/>
    </row>
    <row r="766" spans="44:46" ht="27" customHeight="1" x14ac:dyDescent="0.25">
      <c r="AR766" s="685"/>
      <c r="AS766" s="3"/>
      <c r="AT766" s="3"/>
    </row>
    <row r="767" spans="44:46" ht="27" customHeight="1" x14ac:dyDescent="0.25">
      <c r="AR767" s="685"/>
      <c r="AS767" s="3"/>
      <c r="AT767" s="3"/>
    </row>
    <row r="768" spans="44:46" ht="27" customHeight="1" x14ac:dyDescent="0.25">
      <c r="AR768" s="685"/>
      <c r="AS768" s="3"/>
      <c r="AT768" s="3"/>
    </row>
    <row r="769" spans="44:46" ht="27" customHeight="1" x14ac:dyDescent="0.25">
      <c r="AR769" s="685"/>
      <c r="AS769" s="3"/>
      <c r="AT769" s="3"/>
    </row>
    <row r="770" spans="44:46" ht="27" customHeight="1" x14ac:dyDescent="0.25">
      <c r="AR770" s="685"/>
      <c r="AS770" s="3"/>
      <c r="AT770" s="3"/>
    </row>
    <row r="771" spans="44:46" ht="27" customHeight="1" x14ac:dyDescent="0.25">
      <c r="AR771" s="685"/>
      <c r="AS771" s="3"/>
      <c r="AT771" s="3"/>
    </row>
    <row r="772" spans="44:46" ht="27" customHeight="1" x14ac:dyDescent="0.25">
      <c r="AR772" s="685"/>
      <c r="AS772" s="3"/>
      <c r="AT772" s="3"/>
    </row>
    <row r="773" spans="44:46" ht="27" customHeight="1" x14ac:dyDescent="0.25">
      <c r="AR773" s="685"/>
      <c r="AS773" s="3"/>
      <c r="AT773" s="3"/>
    </row>
    <row r="774" spans="44:46" ht="27" customHeight="1" x14ac:dyDescent="0.25">
      <c r="AR774" s="685"/>
      <c r="AS774" s="3"/>
      <c r="AT774" s="3"/>
    </row>
    <row r="775" spans="44:46" ht="27" customHeight="1" x14ac:dyDescent="0.25">
      <c r="AR775" s="685"/>
      <c r="AS775" s="3"/>
      <c r="AT775" s="3"/>
    </row>
    <row r="776" spans="44:46" ht="27" customHeight="1" x14ac:dyDescent="0.25">
      <c r="AR776" s="685"/>
      <c r="AS776" s="3"/>
      <c r="AT776" s="3"/>
    </row>
    <row r="777" spans="44:46" ht="27" customHeight="1" x14ac:dyDescent="0.25">
      <c r="AR777" s="685"/>
      <c r="AS777" s="3"/>
      <c r="AT777" s="3"/>
    </row>
    <row r="778" spans="44:46" ht="27" customHeight="1" x14ac:dyDescent="0.25">
      <c r="AR778" s="685"/>
      <c r="AS778" s="3"/>
      <c r="AT778" s="3"/>
    </row>
    <row r="779" spans="44:46" ht="27" customHeight="1" x14ac:dyDescent="0.25">
      <c r="AR779" s="685"/>
      <c r="AS779" s="3"/>
      <c r="AT779" s="3"/>
    </row>
    <row r="780" spans="44:46" ht="27" customHeight="1" x14ac:dyDescent="0.25">
      <c r="AR780" s="685"/>
      <c r="AS780" s="3"/>
      <c r="AT780" s="3"/>
    </row>
    <row r="781" spans="44:46" ht="27" customHeight="1" x14ac:dyDescent="0.25">
      <c r="AR781" s="685"/>
      <c r="AS781" s="3"/>
      <c r="AT781" s="3"/>
    </row>
    <row r="782" spans="44:46" ht="27" customHeight="1" x14ac:dyDescent="0.25">
      <c r="AR782" s="685"/>
      <c r="AS782" s="3"/>
      <c r="AT782" s="3"/>
    </row>
    <row r="783" spans="44:46" ht="27" customHeight="1" x14ac:dyDescent="0.25">
      <c r="AR783" s="685"/>
      <c r="AS783" s="3"/>
      <c r="AT783" s="3"/>
    </row>
    <row r="784" spans="44:46" ht="27" customHeight="1" x14ac:dyDescent="0.25">
      <c r="AR784" s="685"/>
      <c r="AS784" s="3"/>
      <c r="AT784" s="3"/>
    </row>
    <row r="785" spans="44:46" ht="27" customHeight="1" x14ac:dyDescent="0.25">
      <c r="AR785" s="685"/>
      <c r="AS785" s="3"/>
      <c r="AT785" s="3"/>
    </row>
    <row r="786" spans="44:46" ht="27" customHeight="1" x14ac:dyDescent="0.25">
      <c r="AR786" s="685"/>
      <c r="AS786" s="3"/>
      <c r="AT786" s="3"/>
    </row>
    <row r="787" spans="44:46" ht="27" customHeight="1" x14ac:dyDescent="0.25">
      <c r="AR787" s="685"/>
      <c r="AS787" s="3"/>
      <c r="AT787" s="3"/>
    </row>
    <row r="788" spans="44:46" ht="27" customHeight="1" x14ac:dyDescent="0.25">
      <c r="AR788" s="685"/>
      <c r="AS788" s="3"/>
      <c r="AT788" s="3"/>
    </row>
    <row r="789" spans="44:46" ht="27" customHeight="1" x14ac:dyDescent="0.25">
      <c r="AR789" s="685"/>
      <c r="AS789" s="3"/>
      <c r="AT789" s="3"/>
    </row>
    <row r="790" spans="44:46" ht="27" customHeight="1" x14ac:dyDescent="0.25">
      <c r="AR790" s="685"/>
      <c r="AS790" s="3"/>
      <c r="AT790" s="3"/>
    </row>
    <row r="791" spans="44:46" ht="27" customHeight="1" x14ac:dyDescent="0.25">
      <c r="AR791" s="685"/>
      <c r="AS791" s="3"/>
      <c r="AT791" s="3"/>
    </row>
    <row r="792" spans="44:46" ht="27" customHeight="1" x14ac:dyDescent="0.25">
      <c r="AR792" s="685"/>
      <c r="AS792" s="3"/>
      <c r="AT792" s="3"/>
    </row>
    <row r="793" spans="44:46" ht="27" customHeight="1" x14ac:dyDescent="0.25">
      <c r="AR793" s="685"/>
      <c r="AS793" s="3"/>
      <c r="AT793" s="3"/>
    </row>
    <row r="794" spans="44:46" ht="27" customHeight="1" x14ac:dyDescent="0.25">
      <c r="AR794" s="685"/>
      <c r="AS794" s="3"/>
      <c r="AT794" s="3"/>
    </row>
    <row r="795" spans="44:46" ht="27" customHeight="1" x14ac:dyDescent="0.25">
      <c r="AR795" s="685"/>
      <c r="AS795" s="3"/>
      <c r="AT795" s="3"/>
    </row>
    <row r="796" spans="44:46" ht="27" customHeight="1" x14ac:dyDescent="0.25">
      <c r="AR796" s="685"/>
      <c r="AS796" s="3"/>
      <c r="AT796" s="3"/>
    </row>
    <row r="797" spans="44:46" ht="27" customHeight="1" x14ac:dyDescent="0.25">
      <c r="AR797" s="685"/>
      <c r="AS797" s="3"/>
      <c r="AT797" s="3"/>
    </row>
    <row r="798" spans="44:46" ht="27" customHeight="1" x14ac:dyDescent="0.25">
      <c r="AR798" s="685"/>
      <c r="AS798" s="3"/>
      <c r="AT798" s="3"/>
    </row>
    <row r="799" spans="44:46" ht="27" customHeight="1" x14ac:dyDescent="0.25">
      <c r="AR799" s="685"/>
      <c r="AS799" s="3"/>
      <c r="AT799" s="3"/>
    </row>
    <row r="800" spans="44:46" ht="27" customHeight="1" x14ac:dyDescent="0.25">
      <c r="AR800" s="685"/>
      <c r="AS800" s="3"/>
      <c r="AT800" s="3"/>
    </row>
    <row r="801" spans="44:46" ht="27" customHeight="1" x14ac:dyDescent="0.25">
      <c r="AR801" s="685"/>
      <c r="AS801" s="3"/>
      <c r="AT801" s="3"/>
    </row>
    <row r="802" spans="44:46" ht="27" customHeight="1" x14ac:dyDescent="0.25">
      <c r="AR802" s="685"/>
      <c r="AS802" s="3"/>
      <c r="AT802" s="3"/>
    </row>
    <row r="803" spans="44:46" ht="27" customHeight="1" x14ac:dyDescent="0.25">
      <c r="AR803" s="685"/>
      <c r="AS803" s="3"/>
      <c r="AT803" s="3"/>
    </row>
    <row r="804" spans="44:46" ht="27" customHeight="1" x14ac:dyDescent="0.25">
      <c r="AR804" s="685"/>
      <c r="AS804" s="3"/>
      <c r="AT804" s="3"/>
    </row>
    <row r="805" spans="44:46" ht="27" customHeight="1" x14ac:dyDescent="0.25">
      <c r="AR805" s="685"/>
      <c r="AS805" s="3"/>
      <c r="AT805" s="3"/>
    </row>
    <row r="806" spans="44:46" ht="27" customHeight="1" x14ac:dyDescent="0.25">
      <c r="AR806" s="685"/>
      <c r="AS806" s="3"/>
      <c r="AT806" s="3"/>
    </row>
    <row r="807" spans="44:46" ht="27" customHeight="1" x14ac:dyDescent="0.25">
      <c r="AR807" s="685"/>
      <c r="AS807" s="3"/>
      <c r="AT807" s="3"/>
    </row>
    <row r="808" spans="44:46" ht="27" customHeight="1" x14ac:dyDescent="0.25">
      <c r="AR808" s="685"/>
      <c r="AS808" s="3"/>
      <c r="AT808" s="3"/>
    </row>
    <row r="809" spans="44:46" ht="27" customHeight="1" x14ac:dyDescent="0.25">
      <c r="AR809" s="685"/>
      <c r="AS809" s="3"/>
      <c r="AT809" s="3"/>
    </row>
    <row r="810" spans="44:46" ht="27" customHeight="1" x14ac:dyDescent="0.25">
      <c r="AR810" s="685"/>
      <c r="AS810" s="3"/>
      <c r="AT810" s="3"/>
    </row>
    <row r="811" spans="44:46" ht="27" customHeight="1" x14ac:dyDescent="0.25">
      <c r="AR811" s="685"/>
      <c r="AS811" s="3"/>
      <c r="AT811" s="3"/>
    </row>
    <row r="812" spans="44:46" ht="27" customHeight="1" x14ac:dyDescent="0.25">
      <c r="AR812" s="685"/>
      <c r="AS812" s="3"/>
      <c r="AT812" s="3"/>
    </row>
    <row r="813" spans="44:46" ht="27" customHeight="1" x14ac:dyDescent="0.25">
      <c r="AR813" s="685"/>
      <c r="AS813" s="3"/>
      <c r="AT813" s="3"/>
    </row>
    <row r="814" spans="44:46" ht="27" customHeight="1" x14ac:dyDescent="0.25">
      <c r="AR814" s="685"/>
      <c r="AS814" s="3"/>
      <c r="AT814" s="3"/>
    </row>
    <row r="815" spans="44:46" ht="27" customHeight="1" x14ac:dyDescent="0.25">
      <c r="AR815" s="685"/>
      <c r="AS815" s="3"/>
      <c r="AT815" s="3"/>
    </row>
    <row r="816" spans="44:46" ht="27" customHeight="1" x14ac:dyDescent="0.25">
      <c r="AR816" s="685"/>
      <c r="AS816" s="3"/>
      <c r="AT816" s="3"/>
    </row>
    <row r="817" spans="44:46" ht="27" customHeight="1" x14ac:dyDescent="0.25">
      <c r="AR817" s="685"/>
      <c r="AS817" s="3"/>
      <c r="AT817" s="3"/>
    </row>
    <row r="818" spans="44:46" ht="27" customHeight="1" x14ac:dyDescent="0.25">
      <c r="AR818" s="685"/>
      <c r="AS818" s="3"/>
      <c r="AT818" s="3"/>
    </row>
    <row r="819" spans="44:46" ht="27" customHeight="1" x14ac:dyDescent="0.25">
      <c r="AR819" s="685"/>
      <c r="AS819" s="3"/>
      <c r="AT819" s="3"/>
    </row>
    <row r="820" spans="44:46" ht="27" customHeight="1" x14ac:dyDescent="0.25">
      <c r="AR820" s="685"/>
      <c r="AS820" s="3"/>
      <c r="AT820" s="3"/>
    </row>
    <row r="821" spans="44:46" ht="27" customHeight="1" x14ac:dyDescent="0.25">
      <c r="AR821" s="685"/>
      <c r="AS821" s="3"/>
      <c r="AT821" s="3"/>
    </row>
    <row r="822" spans="44:46" ht="27" customHeight="1" x14ac:dyDescent="0.25">
      <c r="AR822" s="685"/>
      <c r="AS822" s="3"/>
      <c r="AT822" s="3"/>
    </row>
    <row r="823" spans="44:46" ht="27" customHeight="1" x14ac:dyDescent="0.25">
      <c r="AR823" s="685"/>
      <c r="AS823" s="3"/>
      <c r="AT823" s="3"/>
    </row>
    <row r="824" spans="44:46" ht="27" customHeight="1" x14ac:dyDescent="0.25">
      <c r="AR824" s="685"/>
      <c r="AS824" s="3"/>
      <c r="AT824" s="3"/>
    </row>
    <row r="825" spans="44:46" ht="27" customHeight="1" x14ac:dyDescent="0.25">
      <c r="AR825" s="685"/>
      <c r="AS825" s="3"/>
      <c r="AT825" s="3"/>
    </row>
    <row r="826" spans="44:46" ht="27" customHeight="1" x14ac:dyDescent="0.25">
      <c r="AR826" s="685"/>
      <c r="AS826" s="3"/>
      <c r="AT826" s="3"/>
    </row>
    <row r="827" spans="44:46" ht="27" customHeight="1" x14ac:dyDescent="0.25">
      <c r="AR827" s="685"/>
      <c r="AS827" s="3"/>
      <c r="AT827" s="3"/>
    </row>
    <row r="828" spans="44:46" ht="27" customHeight="1" x14ac:dyDescent="0.25">
      <c r="AR828" s="685"/>
      <c r="AS828" s="3"/>
      <c r="AT828" s="3"/>
    </row>
    <row r="829" spans="44:46" ht="27" customHeight="1" x14ac:dyDescent="0.25">
      <c r="AR829" s="685"/>
      <c r="AS829" s="3"/>
      <c r="AT829" s="3"/>
    </row>
    <row r="830" spans="44:46" ht="27" customHeight="1" x14ac:dyDescent="0.25">
      <c r="AR830" s="685"/>
      <c r="AS830" s="3"/>
      <c r="AT830" s="3"/>
    </row>
    <row r="831" spans="44:46" ht="27" customHeight="1" x14ac:dyDescent="0.25">
      <c r="AR831" s="685"/>
      <c r="AS831" s="3"/>
      <c r="AT831" s="3"/>
    </row>
    <row r="832" spans="44:46" ht="27" customHeight="1" x14ac:dyDescent="0.25">
      <c r="AR832" s="685"/>
      <c r="AS832" s="3"/>
      <c r="AT832" s="3"/>
    </row>
    <row r="833" spans="44:46" ht="27" customHeight="1" x14ac:dyDescent="0.25">
      <c r="AR833" s="685"/>
      <c r="AS833" s="3"/>
      <c r="AT833" s="3"/>
    </row>
    <row r="834" spans="44:46" ht="27" customHeight="1" x14ac:dyDescent="0.25">
      <c r="AR834" s="685"/>
      <c r="AS834" s="3"/>
      <c r="AT834" s="3"/>
    </row>
    <row r="835" spans="44:46" ht="27" customHeight="1" x14ac:dyDescent="0.25">
      <c r="AR835" s="685"/>
      <c r="AS835" s="3"/>
      <c r="AT835" s="3"/>
    </row>
    <row r="836" spans="44:46" ht="27" customHeight="1" x14ac:dyDescent="0.25">
      <c r="AR836" s="685"/>
      <c r="AS836" s="3"/>
      <c r="AT836" s="3"/>
    </row>
    <row r="837" spans="44:46" ht="27" customHeight="1" x14ac:dyDescent="0.25">
      <c r="AR837" s="685"/>
      <c r="AS837" s="3"/>
      <c r="AT837" s="3"/>
    </row>
    <row r="838" spans="44:46" ht="27" customHeight="1" x14ac:dyDescent="0.25">
      <c r="AR838" s="685"/>
      <c r="AS838" s="3"/>
      <c r="AT838" s="3"/>
    </row>
    <row r="839" spans="44:46" ht="27" customHeight="1" x14ac:dyDescent="0.25">
      <c r="AR839" s="685"/>
      <c r="AS839" s="3"/>
      <c r="AT839" s="3"/>
    </row>
    <row r="840" spans="44:46" ht="27" customHeight="1" x14ac:dyDescent="0.25">
      <c r="AR840" s="685"/>
      <c r="AS840" s="3"/>
      <c r="AT840" s="3"/>
    </row>
    <row r="841" spans="44:46" ht="27" customHeight="1" x14ac:dyDescent="0.25">
      <c r="AR841" s="685"/>
      <c r="AS841" s="3"/>
      <c r="AT841" s="3"/>
    </row>
    <row r="842" spans="44:46" ht="27" customHeight="1" x14ac:dyDescent="0.25">
      <c r="AR842" s="685"/>
      <c r="AS842" s="3"/>
      <c r="AT842" s="3"/>
    </row>
    <row r="843" spans="44:46" ht="27" customHeight="1" x14ac:dyDescent="0.25">
      <c r="AR843" s="685"/>
      <c r="AS843" s="3"/>
      <c r="AT843" s="3"/>
    </row>
    <row r="844" spans="44:46" ht="27" customHeight="1" x14ac:dyDescent="0.25">
      <c r="AR844" s="685"/>
      <c r="AS844" s="3"/>
      <c r="AT844" s="3"/>
    </row>
    <row r="845" spans="44:46" ht="27" customHeight="1" x14ac:dyDescent="0.25">
      <c r="AR845" s="685"/>
      <c r="AS845" s="3"/>
      <c r="AT845" s="3"/>
    </row>
    <row r="846" spans="44:46" ht="27" customHeight="1" x14ac:dyDescent="0.25">
      <c r="AR846" s="685"/>
      <c r="AS846" s="3"/>
      <c r="AT846" s="3"/>
    </row>
    <row r="847" spans="44:46" ht="27" customHeight="1" x14ac:dyDescent="0.25">
      <c r="AR847" s="685"/>
      <c r="AS847" s="3"/>
      <c r="AT847" s="3"/>
    </row>
    <row r="848" spans="44:46" ht="27" customHeight="1" x14ac:dyDescent="0.25">
      <c r="AR848" s="685"/>
      <c r="AS848" s="3"/>
      <c r="AT848" s="3"/>
    </row>
    <row r="849" spans="44:46" ht="27" customHeight="1" x14ac:dyDescent="0.25">
      <c r="AR849" s="685"/>
      <c r="AS849" s="3"/>
      <c r="AT849" s="3"/>
    </row>
    <row r="850" spans="44:46" ht="27" customHeight="1" x14ac:dyDescent="0.25">
      <c r="AR850" s="685"/>
      <c r="AS850" s="3"/>
      <c r="AT850" s="3"/>
    </row>
    <row r="851" spans="44:46" ht="27" customHeight="1" x14ac:dyDescent="0.25">
      <c r="AR851" s="685"/>
      <c r="AS851" s="3"/>
      <c r="AT851" s="3"/>
    </row>
    <row r="852" spans="44:46" ht="27" customHeight="1" x14ac:dyDescent="0.25">
      <c r="AR852" s="685"/>
      <c r="AS852" s="3"/>
      <c r="AT852" s="3"/>
    </row>
    <row r="853" spans="44:46" ht="27" customHeight="1" x14ac:dyDescent="0.25">
      <c r="AR853" s="685"/>
      <c r="AS853" s="3"/>
      <c r="AT853" s="3"/>
    </row>
    <row r="854" spans="44:46" ht="27" customHeight="1" x14ac:dyDescent="0.25">
      <c r="AR854" s="685"/>
      <c r="AS854" s="3"/>
      <c r="AT854" s="3"/>
    </row>
    <row r="855" spans="44:46" ht="27" customHeight="1" x14ac:dyDescent="0.25">
      <c r="AR855" s="685"/>
      <c r="AS855" s="3"/>
      <c r="AT855" s="3"/>
    </row>
    <row r="856" spans="44:46" ht="27" customHeight="1" x14ac:dyDescent="0.25">
      <c r="AR856" s="685"/>
      <c r="AS856" s="3"/>
      <c r="AT856" s="3"/>
    </row>
    <row r="857" spans="44:46" ht="27" customHeight="1" x14ac:dyDescent="0.25">
      <c r="AR857" s="685"/>
      <c r="AS857" s="3"/>
      <c r="AT857" s="3"/>
    </row>
    <row r="858" spans="44:46" ht="27" customHeight="1" x14ac:dyDescent="0.25">
      <c r="AR858" s="685"/>
      <c r="AS858" s="3"/>
      <c r="AT858" s="3"/>
    </row>
    <row r="859" spans="44:46" ht="27" customHeight="1" x14ac:dyDescent="0.25">
      <c r="AR859" s="685"/>
      <c r="AS859" s="3"/>
      <c r="AT859" s="3"/>
    </row>
    <row r="860" spans="44:46" ht="27" customHeight="1" x14ac:dyDescent="0.25">
      <c r="AR860" s="685"/>
      <c r="AS860" s="3"/>
      <c r="AT860" s="3"/>
    </row>
    <row r="861" spans="44:46" ht="27" customHeight="1" x14ac:dyDescent="0.25">
      <c r="AR861" s="685"/>
      <c r="AS861" s="3"/>
      <c r="AT861" s="3"/>
    </row>
    <row r="862" spans="44:46" ht="27" customHeight="1" x14ac:dyDescent="0.25">
      <c r="AR862" s="685"/>
      <c r="AS862" s="3"/>
      <c r="AT862" s="3"/>
    </row>
    <row r="863" spans="44:46" ht="27" customHeight="1" x14ac:dyDescent="0.25">
      <c r="AR863" s="685"/>
      <c r="AS863" s="3"/>
      <c r="AT863" s="3"/>
    </row>
    <row r="864" spans="44:46" ht="27" customHeight="1" x14ac:dyDescent="0.25">
      <c r="AR864" s="685"/>
      <c r="AS864" s="3"/>
      <c r="AT864" s="3"/>
    </row>
    <row r="865" spans="44:46" ht="27" customHeight="1" x14ac:dyDescent="0.25">
      <c r="AR865" s="685"/>
      <c r="AS865" s="3"/>
      <c r="AT865" s="3"/>
    </row>
    <row r="866" spans="44:46" ht="27" customHeight="1" x14ac:dyDescent="0.25">
      <c r="AR866" s="685"/>
      <c r="AS866" s="3"/>
      <c r="AT866" s="3"/>
    </row>
    <row r="867" spans="44:46" ht="27" customHeight="1" x14ac:dyDescent="0.25">
      <c r="AR867" s="685"/>
      <c r="AS867" s="3"/>
      <c r="AT867" s="3"/>
    </row>
    <row r="868" spans="44:46" ht="27" customHeight="1" x14ac:dyDescent="0.25">
      <c r="AR868" s="685"/>
      <c r="AS868" s="3"/>
      <c r="AT868" s="3"/>
    </row>
    <row r="869" spans="44:46" ht="27" customHeight="1" x14ac:dyDescent="0.25">
      <c r="AR869" s="685"/>
      <c r="AS869" s="3"/>
      <c r="AT869" s="3"/>
    </row>
    <row r="870" spans="44:46" ht="27" customHeight="1" x14ac:dyDescent="0.25">
      <c r="AR870" s="685"/>
      <c r="AS870" s="3"/>
      <c r="AT870" s="3"/>
    </row>
    <row r="871" spans="44:46" ht="27" customHeight="1" x14ac:dyDescent="0.25">
      <c r="AR871" s="685"/>
      <c r="AS871" s="3"/>
      <c r="AT871" s="3"/>
    </row>
    <row r="872" spans="44:46" ht="27" customHeight="1" x14ac:dyDescent="0.25">
      <c r="AR872" s="685"/>
      <c r="AS872" s="3"/>
      <c r="AT872" s="3"/>
    </row>
    <row r="873" spans="44:46" ht="27" customHeight="1" x14ac:dyDescent="0.25">
      <c r="AR873" s="685"/>
      <c r="AS873" s="3"/>
      <c r="AT873" s="3"/>
    </row>
    <row r="874" spans="44:46" ht="27" customHeight="1" x14ac:dyDescent="0.25">
      <c r="AR874" s="685"/>
      <c r="AS874" s="3"/>
      <c r="AT874" s="3"/>
    </row>
    <row r="875" spans="44:46" ht="27" customHeight="1" x14ac:dyDescent="0.25">
      <c r="AR875" s="685"/>
      <c r="AS875" s="3"/>
      <c r="AT875" s="3"/>
    </row>
    <row r="876" spans="44:46" ht="27" customHeight="1" x14ac:dyDescent="0.25">
      <c r="AR876" s="685"/>
      <c r="AS876" s="3"/>
      <c r="AT876" s="3"/>
    </row>
    <row r="877" spans="44:46" ht="27" customHeight="1" x14ac:dyDescent="0.25">
      <c r="AR877" s="685"/>
      <c r="AS877" s="3"/>
      <c r="AT877" s="3"/>
    </row>
    <row r="878" spans="44:46" ht="27" customHeight="1" x14ac:dyDescent="0.25">
      <c r="AR878" s="685"/>
      <c r="AS878" s="3"/>
      <c r="AT878" s="3"/>
    </row>
    <row r="879" spans="44:46" ht="27" customHeight="1" x14ac:dyDescent="0.25">
      <c r="AR879" s="685"/>
      <c r="AS879" s="3"/>
      <c r="AT879" s="3"/>
    </row>
    <row r="880" spans="44:46" ht="27" customHeight="1" x14ac:dyDescent="0.25">
      <c r="AR880" s="685"/>
      <c r="AS880" s="3"/>
      <c r="AT880" s="3"/>
    </row>
    <row r="881" spans="44:46" ht="27" customHeight="1" x14ac:dyDescent="0.25">
      <c r="AR881" s="685"/>
      <c r="AS881" s="3"/>
      <c r="AT881" s="3"/>
    </row>
    <row r="882" spans="44:46" ht="27" customHeight="1" x14ac:dyDescent="0.25">
      <c r="AR882" s="685"/>
      <c r="AS882" s="3"/>
      <c r="AT882" s="3"/>
    </row>
    <row r="883" spans="44:46" ht="27" customHeight="1" x14ac:dyDescent="0.25">
      <c r="AR883" s="685"/>
      <c r="AS883" s="3"/>
      <c r="AT883" s="3"/>
    </row>
    <row r="884" spans="44:46" ht="27" customHeight="1" x14ac:dyDescent="0.25">
      <c r="AR884" s="685"/>
      <c r="AS884" s="3"/>
      <c r="AT884" s="3"/>
    </row>
    <row r="885" spans="44:46" ht="27" customHeight="1" x14ac:dyDescent="0.25">
      <c r="AR885" s="685"/>
      <c r="AS885" s="3"/>
      <c r="AT885" s="3"/>
    </row>
    <row r="886" spans="44:46" ht="27" customHeight="1" x14ac:dyDescent="0.25">
      <c r="AR886" s="685"/>
      <c r="AS886" s="3"/>
      <c r="AT886" s="3"/>
    </row>
    <row r="887" spans="44:46" ht="27" customHeight="1" x14ac:dyDescent="0.25">
      <c r="AR887" s="685"/>
      <c r="AS887" s="3"/>
      <c r="AT887" s="3"/>
    </row>
    <row r="888" spans="44:46" ht="27" customHeight="1" x14ac:dyDescent="0.25">
      <c r="AR888" s="685"/>
      <c r="AS888" s="3"/>
      <c r="AT888" s="3"/>
    </row>
    <row r="889" spans="44:46" ht="27" customHeight="1" x14ac:dyDescent="0.25">
      <c r="AR889" s="685"/>
      <c r="AS889" s="3"/>
      <c r="AT889" s="3"/>
    </row>
    <row r="890" spans="44:46" ht="27" customHeight="1" x14ac:dyDescent="0.25">
      <c r="AR890" s="685"/>
      <c r="AS890" s="3"/>
      <c r="AT890" s="3"/>
    </row>
    <row r="891" spans="44:46" ht="27" customHeight="1" x14ac:dyDescent="0.25">
      <c r="AR891" s="685"/>
      <c r="AS891" s="3"/>
      <c r="AT891" s="3"/>
    </row>
    <row r="892" spans="44:46" ht="27" customHeight="1" x14ac:dyDescent="0.25">
      <c r="AR892" s="685"/>
      <c r="AS892" s="3"/>
      <c r="AT892" s="3"/>
    </row>
    <row r="893" spans="44:46" ht="27" customHeight="1" x14ac:dyDescent="0.25">
      <c r="AR893" s="685"/>
      <c r="AS893" s="3"/>
      <c r="AT893" s="3"/>
    </row>
    <row r="894" spans="44:46" ht="27" customHeight="1" x14ac:dyDescent="0.25">
      <c r="AR894" s="685"/>
      <c r="AS894" s="3"/>
      <c r="AT894" s="3"/>
    </row>
    <row r="895" spans="44:46" ht="27" customHeight="1" x14ac:dyDescent="0.25">
      <c r="AR895" s="685"/>
      <c r="AS895" s="3"/>
      <c r="AT895" s="3"/>
    </row>
    <row r="896" spans="44:46" ht="27" customHeight="1" x14ac:dyDescent="0.25">
      <c r="AR896" s="685"/>
      <c r="AS896" s="3"/>
      <c r="AT896" s="3"/>
    </row>
    <row r="897" spans="44:46" ht="27" customHeight="1" x14ac:dyDescent="0.25">
      <c r="AR897" s="685"/>
      <c r="AS897" s="3"/>
      <c r="AT897" s="3"/>
    </row>
    <row r="898" spans="44:46" ht="27" customHeight="1" x14ac:dyDescent="0.25">
      <c r="AR898" s="685"/>
      <c r="AS898" s="3"/>
      <c r="AT898" s="3"/>
    </row>
    <row r="899" spans="44:46" ht="27" customHeight="1" x14ac:dyDescent="0.25">
      <c r="AR899" s="685"/>
      <c r="AS899" s="3"/>
      <c r="AT899" s="3"/>
    </row>
    <row r="900" spans="44:46" ht="27" customHeight="1" x14ac:dyDescent="0.25">
      <c r="AR900" s="685"/>
      <c r="AS900" s="3"/>
      <c r="AT900" s="3"/>
    </row>
    <row r="901" spans="44:46" ht="27" customHeight="1" x14ac:dyDescent="0.25">
      <c r="AR901" s="685"/>
      <c r="AS901" s="3"/>
      <c r="AT901" s="3"/>
    </row>
    <row r="902" spans="44:46" ht="27" customHeight="1" x14ac:dyDescent="0.25">
      <c r="AR902" s="685"/>
      <c r="AS902" s="3"/>
      <c r="AT902" s="3"/>
    </row>
    <row r="903" spans="44:46" ht="27" customHeight="1" x14ac:dyDescent="0.25">
      <c r="AR903" s="685"/>
      <c r="AS903" s="3"/>
      <c r="AT903" s="3"/>
    </row>
    <row r="904" spans="44:46" ht="27" customHeight="1" x14ac:dyDescent="0.25">
      <c r="AR904" s="685"/>
      <c r="AS904" s="3"/>
      <c r="AT904" s="3"/>
    </row>
    <row r="905" spans="44:46" ht="27" customHeight="1" x14ac:dyDescent="0.25">
      <c r="AR905" s="685"/>
      <c r="AS905" s="3"/>
      <c r="AT905" s="3"/>
    </row>
    <row r="906" spans="44:46" ht="27" customHeight="1" x14ac:dyDescent="0.25">
      <c r="AR906" s="685"/>
      <c r="AS906" s="3"/>
      <c r="AT906" s="3"/>
    </row>
    <row r="907" spans="44:46" ht="27" customHeight="1" x14ac:dyDescent="0.25">
      <c r="AR907" s="685"/>
      <c r="AS907" s="3"/>
      <c r="AT907" s="3"/>
    </row>
    <row r="908" spans="44:46" ht="27" customHeight="1" x14ac:dyDescent="0.25">
      <c r="AR908" s="685"/>
      <c r="AS908" s="3"/>
      <c r="AT908" s="3"/>
    </row>
    <row r="909" spans="44:46" ht="27" customHeight="1" x14ac:dyDescent="0.25">
      <c r="AR909" s="685"/>
      <c r="AS909" s="3"/>
      <c r="AT909" s="3"/>
    </row>
    <row r="910" spans="44:46" ht="27" customHeight="1" x14ac:dyDescent="0.25">
      <c r="AR910" s="685"/>
      <c r="AS910" s="3"/>
      <c r="AT910" s="3"/>
    </row>
    <row r="911" spans="44:46" ht="27" customHeight="1" x14ac:dyDescent="0.25">
      <c r="AR911" s="685"/>
      <c r="AS911" s="3"/>
      <c r="AT911" s="3"/>
    </row>
    <row r="912" spans="44:46" ht="27" customHeight="1" x14ac:dyDescent="0.25">
      <c r="AR912" s="685"/>
      <c r="AS912" s="3"/>
      <c r="AT912" s="3"/>
    </row>
    <row r="913" spans="44:46" ht="27" customHeight="1" x14ac:dyDescent="0.25">
      <c r="AR913" s="685"/>
      <c r="AS913" s="3"/>
      <c r="AT913" s="3"/>
    </row>
    <row r="914" spans="44:46" ht="27" customHeight="1" x14ac:dyDescent="0.25">
      <c r="AR914" s="685"/>
      <c r="AS914" s="3"/>
      <c r="AT914" s="3"/>
    </row>
    <row r="915" spans="44:46" ht="27" customHeight="1" x14ac:dyDescent="0.25">
      <c r="AR915" s="685"/>
      <c r="AS915" s="3"/>
      <c r="AT915" s="3"/>
    </row>
    <row r="916" spans="44:46" ht="27" customHeight="1" x14ac:dyDescent="0.25">
      <c r="AR916" s="685"/>
      <c r="AS916" s="3"/>
      <c r="AT916" s="3"/>
    </row>
    <row r="917" spans="44:46" ht="27" customHeight="1" x14ac:dyDescent="0.25">
      <c r="AR917" s="685"/>
      <c r="AS917" s="3"/>
      <c r="AT917" s="3"/>
    </row>
    <row r="918" spans="44:46" ht="27" customHeight="1" x14ac:dyDescent="0.25">
      <c r="AR918" s="685"/>
      <c r="AS918" s="3"/>
      <c r="AT918" s="3"/>
    </row>
    <row r="919" spans="44:46" ht="27" customHeight="1" x14ac:dyDescent="0.25">
      <c r="AR919" s="685"/>
      <c r="AS919" s="3"/>
      <c r="AT919" s="3"/>
    </row>
    <row r="920" spans="44:46" ht="27" customHeight="1" x14ac:dyDescent="0.25">
      <c r="AR920" s="685"/>
      <c r="AS920" s="3"/>
      <c r="AT920" s="3"/>
    </row>
    <row r="921" spans="44:46" ht="27" customHeight="1" x14ac:dyDescent="0.25">
      <c r="AR921" s="685"/>
      <c r="AS921" s="3"/>
      <c r="AT921" s="3"/>
    </row>
    <row r="922" spans="44:46" ht="27" customHeight="1" x14ac:dyDescent="0.25">
      <c r="AR922" s="685"/>
      <c r="AS922" s="3"/>
      <c r="AT922" s="3"/>
    </row>
    <row r="923" spans="44:46" ht="27" customHeight="1" x14ac:dyDescent="0.25">
      <c r="AR923" s="685"/>
      <c r="AS923" s="3"/>
      <c r="AT923" s="3"/>
    </row>
    <row r="924" spans="44:46" ht="27" customHeight="1" x14ac:dyDescent="0.25">
      <c r="AR924" s="685"/>
      <c r="AS924" s="3"/>
      <c r="AT924" s="3"/>
    </row>
    <row r="925" spans="44:46" ht="27" customHeight="1" x14ac:dyDescent="0.25">
      <c r="AR925" s="685"/>
      <c r="AS925" s="3"/>
      <c r="AT925" s="3"/>
    </row>
    <row r="926" spans="44:46" ht="27" customHeight="1" x14ac:dyDescent="0.25">
      <c r="AR926" s="685"/>
      <c r="AS926" s="3"/>
      <c r="AT926" s="3"/>
    </row>
    <row r="927" spans="44:46" ht="27" customHeight="1" x14ac:dyDescent="0.25">
      <c r="AR927" s="685"/>
      <c r="AS927" s="3"/>
      <c r="AT927" s="3"/>
    </row>
    <row r="928" spans="44:46" ht="27" customHeight="1" x14ac:dyDescent="0.25">
      <c r="AR928" s="685"/>
      <c r="AS928" s="3"/>
      <c r="AT928" s="3"/>
    </row>
    <row r="929" spans="44:46" ht="27" customHeight="1" x14ac:dyDescent="0.25">
      <c r="AR929" s="685"/>
      <c r="AS929" s="3"/>
      <c r="AT929" s="3"/>
    </row>
    <row r="930" spans="44:46" ht="27" customHeight="1" x14ac:dyDescent="0.25">
      <c r="AR930" s="685"/>
      <c r="AS930" s="3"/>
      <c r="AT930" s="3"/>
    </row>
    <row r="931" spans="44:46" ht="27" customHeight="1" x14ac:dyDescent="0.25">
      <c r="AR931" s="685"/>
      <c r="AS931" s="3"/>
      <c r="AT931" s="3"/>
    </row>
    <row r="932" spans="44:46" ht="27" customHeight="1" x14ac:dyDescent="0.25">
      <c r="AR932" s="685"/>
      <c r="AS932" s="3"/>
      <c r="AT932" s="3"/>
    </row>
    <row r="933" spans="44:46" ht="27" customHeight="1" x14ac:dyDescent="0.25">
      <c r="AR933" s="685"/>
      <c r="AS933" s="3"/>
      <c r="AT933" s="3"/>
    </row>
    <row r="934" spans="44:46" ht="27" customHeight="1" x14ac:dyDescent="0.25">
      <c r="AR934" s="685"/>
      <c r="AS934" s="3"/>
      <c r="AT934" s="3"/>
    </row>
    <row r="935" spans="44:46" ht="27" customHeight="1" x14ac:dyDescent="0.25">
      <c r="AR935" s="685"/>
      <c r="AS935" s="3"/>
      <c r="AT935" s="3"/>
    </row>
    <row r="936" spans="44:46" ht="27" customHeight="1" x14ac:dyDescent="0.25">
      <c r="AR936" s="685"/>
      <c r="AS936" s="3"/>
      <c r="AT936" s="3"/>
    </row>
    <row r="937" spans="44:46" ht="27" customHeight="1" x14ac:dyDescent="0.25">
      <c r="AR937" s="685"/>
      <c r="AS937" s="3"/>
      <c r="AT937" s="3"/>
    </row>
    <row r="938" spans="44:46" ht="27" customHeight="1" x14ac:dyDescent="0.25">
      <c r="AR938" s="685"/>
      <c r="AS938" s="3"/>
      <c r="AT938" s="3"/>
    </row>
    <row r="939" spans="44:46" ht="27" customHeight="1" x14ac:dyDescent="0.25">
      <c r="AR939" s="685"/>
      <c r="AS939" s="3"/>
      <c r="AT939" s="3"/>
    </row>
    <row r="940" spans="44:46" ht="27" customHeight="1" x14ac:dyDescent="0.25">
      <c r="AR940" s="685"/>
      <c r="AS940" s="3"/>
      <c r="AT940" s="3"/>
    </row>
    <row r="941" spans="44:46" ht="27" customHeight="1" x14ac:dyDescent="0.25">
      <c r="AR941" s="685"/>
      <c r="AS941" s="3"/>
      <c r="AT941" s="3"/>
    </row>
    <row r="942" spans="44:46" ht="27" customHeight="1" x14ac:dyDescent="0.25">
      <c r="AR942" s="685"/>
      <c r="AS942" s="3"/>
      <c r="AT942" s="3"/>
    </row>
    <row r="943" spans="44:46" ht="27" customHeight="1" x14ac:dyDescent="0.25">
      <c r="AR943" s="685"/>
      <c r="AS943" s="3"/>
      <c r="AT943" s="3"/>
    </row>
    <row r="944" spans="44:46" ht="27" customHeight="1" x14ac:dyDescent="0.25">
      <c r="AR944" s="685"/>
      <c r="AS944" s="3"/>
      <c r="AT944" s="3"/>
    </row>
    <row r="945" spans="44:46" ht="27" customHeight="1" x14ac:dyDescent="0.25">
      <c r="AR945" s="685"/>
      <c r="AS945" s="3"/>
      <c r="AT945" s="3"/>
    </row>
    <row r="946" spans="44:46" ht="27" customHeight="1" x14ac:dyDescent="0.25">
      <c r="AR946" s="685"/>
      <c r="AS946" s="3"/>
      <c r="AT946" s="3"/>
    </row>
    <row r="947" spans="44:46" ht="27" customHeight="1" x14ac:dyDescent="0.25">
      <c r="AR947" s="685"/>
      <c r="AS947" s="3"/>
      <c r="AT947" s="3"/>
    </row>
    <row r="948" spans="44:46" ht="27" customHeight="1" x14ac:dyDescent="0.25">
      <c r="AR948" s="685"/>
      <c r="AS948" s="3"/>
      <c r="AT948" s="3"/>
    </row>
    <row r="949" spans="44:46" ht="27" customHeight="1" x14ac:dyDescent="0.25">
      <c r="AR949" s="685"/>
      <c r="AS949" s="3"/>
      <c r="AT949" s="3"/>
    </row>
    <row r="950" spans="44:46" ht="27" customHeight="1" x14ac:dyDescent="0.25">
      <c r="AR950" s="685"/>
      <c r="AS950" s="3"/>
      <c r="AT950" s="3"/>
    </row>
    <row r="951" spans="44:46" ht="27" customHeight="1" x14ac:dyDescent="0.25">
      <c r="AR951" s="685"/>
      <c r="AS951" s="3"/>
      <c r="AT951" s="3"/>
    </row>
    <row r="952" spans="44:46" ht="27" customHeight="1" x14ac:dyDescent="0.25">
      <c r="AR952" s="685"/>
      <c r="AS952" s="3"/>
      <c r="AT952" s="3"/>
    </row>
    <row r="953" spans="44:46" ht="27" customHeight="1" x14ac:dyDescent="0.25">
      <c r="AR953" s="685"/>
      <c r="AS953" s="3"/>
      <c r="AT953" s="3"/>
    </row>
    <row r="954" spans="44:46" ht="27" customHeight="1" x14ac:dyDescent="0.25">
      <c r="AR954" s="685"/>
      <c r="AS954" s="3"/>
      <c r="AT954" s="3"/>
    </row>
    <row r="955" spans="44:46" ht="27" customHeight="1" x14ac:dyDescent="0.25">
      <c r="AR955" s="685"/>
      <c r="AS955" s="3"/>
      <c r="AT955" s="3"/>
    </row>
    <row r="956" spans="44:46" ht="27" customHeight="1" x14ac:dyDescent="0.25">
      <c r="AR956" s="685"/>
      <c r="AS956" s="3"/>
      <c r="AT956" s="3"/>
    </row>
    <row r="957" spans="44:46" ht="27" customHeight="1" x14ac:dyDescent="0.25">
      <c r="AR957" s="685"/>
      <c r="AS957" s="3"/>
      <c r="AT957" s="3"/>
    </row>
    <row r="958" spans="44:46" ht="27" customHeight="1" x14ac:dyDescent="0.25">
      <c r="AR958" s="685"/>
      <c r="AS958" s="3"/>
      <c r="AT958" s="3"/>
    </row>
    <row r="959" spans="44:46" ht="27" customHeight="1" x14ac:dyDescent="0.25">
      <c r="AR959" s="685"/>
      <c r="AS959" s="3"/>
      <c r="AT959" s="3"/>
    </row>
    <row r="960" spans="44:46" ht="27" customHeight="1" x14ac:dyDescent="0.25">
      <c r="AR960" s="685"/>
      <c r="AS960" s="3"/>
      <c r="AT960" s="3"/>
    </row>
    <row r="961" spans="44:46" ht="27" customHeight="1" x14ac:dyDescent="0.25">
      <c r="AR961" s="685"/>
      <c r="AS961" s="3"/>
      <c r="AT961" s="3"/>
    </row>
    <row r="962" spans="44:46" ht="27" customHeight="1" x14ac:dyDescent="0.25">
      <c r="AR962" s="685"/>
      <c r="AS962" s="3"/>
      <c r="AT962" s="3"/>
    </row>
    <row r="963" spans="44:46" ht="27" customHeight="1" x14ac:dyDescent="0.25">
      <c r="AR963" s="685"/>
      <c r="AS963" s="3"/>
      <c r="AT963" s="3"/>
    </row>
    <row r="964" spans="44:46" ht="27" customHeight="1" x14ac:dyDescent="0.25">
      <c r="AR964" s="685"/>
      <c r="AS964" s="3"/>
      <c r="AT964" s="3"/>
    </row>
    <row r="965" spans="44:46" ht="27" customHeight="1" x14ac:dyDescent="0.25">
      <c r="AR965" s="685"/>
      <c r="AS965" s="3"/>
      <c r="AT965" s="3"/>
    </row>
    <row r="966" spans="44:46" ht="27" customHeight="1" x14ac:dyDescent="0.25">
      <c r="AR966" s="685"/>
      <c r="AS966" s="3"/>
      <c r="AT966" s="3"/>
    </row>
    <row r="967" spans="44:46" ht="27" customHeight="1" x14ac:dyDescent="0.25">
      <c r="AR967" s="685"/>
      <c r="AS967" s="3"/>
      <c r="AT967" s="3"/>
    </row>
    <row r="968" spans="44:46" ht="27" customHeight="1" x14ac:dyDescent="0.25">
      <c r="AR968" s="685"/>
      <c r="AS968" s="3"/>
      <c r="AT968" s="3"/>
    </row>
    <row r="969" spans="44:46" ht="27" customHeight="1" x14ac:dyDescent="0.25">
      <c r="AR969" s="685"/>
      <c r="AS969" s="3"/>
      <c r="AT969" s="3"/>
    </row>
    <row r="970" spans="44:46" ht="27" customHeight="1" x14ac:dyDescent="0.25">
      <c r="AR970" s="685"/>
      <c r="AS970" s="3"/>
      <c r="AT970" s="3"/>
    </row>
    <row r="971" spans="44:46" ht="27" customHeight="1" x14ac:dyDescent="0.25">
      <c r="AR971" s="685"/>
      <c r="AS971" s="3"/>
      <c r="AT971" s="3"/>
    </row>
    <row r="972" spans="44:46" ht="27" customHeight="1" x14ac:dyDescent="0.25">
      <c r="AR972" s="685"/>
      <c r="AS972" s="3"/>
      <c r="AT972" s="3"/>
    </row>
    <row r="973" spans="44:46" ht="27" customHeight="1" x14ac:dyDescent="0.25">
      <c r="AR973" s="685"/>
      <c r="AS973" s="3"/>
      <c r="AT973" s="3"/>
    </row>
    <row r="974" spans="44:46" ht="27" customHeight="1" x14ac:dyDescent="0.25">
      <c r="AR974" s="685"/>
      <c r="AS974" s="3"/>
      <c r="AT974" s="3"/>
    </row>
    <row r="975" spans="44:46" ht="27" customHeight="1" x14ac:dyDescent="0.25">
      <c r="AR975" s="685"/>
      <c r="AS975" s="3"/>
      <c r="AT975" s="3"/>
    </row>
    <row r="976" spans="44:46" ht="27" customHeight="1" x14ac:dyDescent="0.25">
      <c r="AR976" s="685"/>
      <c r="AS976" s="3"/>
      <c r="AT976" s="3"/>
    </row>
    <row r="977" spans="44:46" ht="27" customHeight="1" x14ac:dyDescent="0.25">
      <c r="AR977" s="685"/>
      <c r="AS977" s="3"/>
      <c r="AT977" s="3"/>
    </row>
    <row r="978" spans="44:46" ht="27" customHeight="1" x14ac:dyDescent="0.25">
      <c r="AR978" s="685"/>
      <c r="AS978" s="3"/>
      <c r="AT978" s="3"/>
    </row>
    <row r="979" spans="44:46" ht="27" customHeight="1" x14ac:dyDescent="0.25">
      <c r="AR979" s="685"/>
      <c r="AS979" s="3"/>
      <c r="AT979" s="3"/>
    </row>
    <row r="980" spans="44:46" ht="27" customHeight="1" x14ac:dyDescent="0.25">
      <c r="AR980" s="685"/>
      <c r="AS980" s="3"/>
      <c r="AT980" s="3"/>
    </row>
    <row r="981" spans="44:46" ht="27" customHeight="1" x14ac:dyDescent="0.25">
      <c r="AR981" s="685"/>
      <c r="AS981" s="3"/>
      <c r="AT981" s="3"/>
    </row>
    <row r="982" spans="44:46" ht="27" customHeight="1" x14ac:dyDescent="0.25">
      <c r="AR982" s="685"/>
      <c r="AS982" s="3"/>
      <c r="AT982" s="3"/>
    </row>
    <row r="983" spans="44:46" ht="27" customHeight="1" x14ac:dyDescent="0.25">
      <c r="AR983" s="685"/>
      <c r="AS983" s="3"/>
      <c r="AT983" s="3"/>
    </row>
    <row r="984" spans="44:46" ht="27" customHeight="1" x14ac:dyDescent="0.25">
      <c r="AR984" s="685"/>
      <c r="AS984" s="3"/>
      <c r="AT984" s="3"/>
    </row>
    <row r="985" spans="44:46" ht="27" customHeight="1" x14ac:dyDescent="0.25">
      <c r="AR985" s="685"/>
      <c r="AS985" s="3"/>
      <c r="AT985" s="3"/>
    </row>
    <row r="986" spans="44:46" ht="27" customHeight="1" x14ac:dyDescent="0.25">
      <c r="AR986" s="685"/>
      <c r="AS986" s="3"/>
      <c r="AT986" s="3"/>
    </row>
    <row r="987" spans="44:46" ht="27" customHeight="1" x14ac:dyDescent="0.25">
      <c r="AR987" s="685"/>
      <c r="AS987" s="3"/>
      <c r="AT987" s="3"/>
    </row>
    <row r="988" spans="44:46" ht="27" customHeight="1" x14ac:dyDescent="0.25">
      <c r="AR988" s="685"/>
      <c r="AS988" s="3"/>
      <c r="AT988" s="3"/>
    </row>
    <row r="989" spans="44:46" ht="27" customHeight="1" x14ac:dyDescent="0.25">
      <c r="AR989" s="685"/>
      <c r="AS989" s="3"/>
      <c r="AT989" s="3"/>
    </row>
    <row r="990" spans="44:46" ht="27" customHeight="1" x14ac:dyDescent="0.25">
      <c r="AR990" s="685"/>
      <c r="AS990" s="3"/>
      <c r="AT990" s="3"/>
    </row>
    <row r="991" spans="44:46" ht="27" customHeight="1" x14ac:dyDescent="0.25">
      <c r="AR991" s="685"/>
      <c r="AS991" s="3"/>
      <c r="AT991" s="3"/>
    </row>
    <row r="992" spans="44:46" ht="27" customHeight="1" x14ac:dyDescent="0.25">
      <c r="AR992" s="685"/>
      <c r="AS992" s="3"/>
      <c r="AT992" s="3"/>
    </row>
    <row r="993" spans="44:46" ht="27" customHeight="1" x14ac:dyDescent="0.25">
      <c r="AR993" s="685"/>
      <c r="AS993" s="3"/>
      <c r="AT993" s="3"/>
    </row>
    <row r="994" spans="44:46" ht="27" customHeight="1" x14ac:dyDescent="0.25">
      <c r="AR994" s="685"/>
      <c r="AS994" s="3"/>
      <c r="AT994" s="3"/>
    </row>
    <row r="995" spans="44:46" ht="27" customHeight="1" x14ac:dyDescent="0.25">
      <c r="AR995" s="685"/>
      <c r="AS995" s="3"/>
      <c r="AT995" s="3"/>
    </row>
    <row r="996" spans="44:46" ht="27" customHeight="1" x14ac:dyDescent="0.25">
      <c r="AR996" s="685"/>
      <c r="AS996" s="3"/>
      <c r="AT996" s="3"/>
    </row>
    <row r="997" spans="44:46" ht="27" customHeight="1" x14ac:dyDescent="0.25">
      <c r="AR997" s="685"/>
      <c r="AS997" s="3"/>
      <c r="AT997" s="3"/>
    </row>
    <row r="998" spans="44:46" ht="27" customHeight="1" x14ac:dyDescent="0.25">
      <c r="AR998" s="685"/>
      <c r="AS998" s="3"/>
      <c r="AT998" s="3"/>
    </row>
    <row r="999" spans="44:46" ht="27" customHeight="1" x14ac:dyDescent="0.25">
      <c r="AR999" s="685"/>
      <c r="AS999" s="3"/>
      <c r="AT999" s="3"/>
    </row>
    <row r="1000" spans="44:46" ht="27" customHeight="1" x14ac:dyDescent="0.25">
      <c r="AR1000" s="685"/>
      <c r="AS1000" s="3"/>
      <c r="AT1000" s="3"/>
    </row>
    <row r="1001" spans="44:46" ht="27" customHeight="1" x14ac:dyDescent="0.25">
      <c r="AR1001" s="685"/>
      <c r="AS1001" s="3"/>
      <c r="AT1001" s="3"/>
    </row>
    <row r="1002" spans="44:46" ht="27" customHeight="1" x14ac:dyDescent="0.25">
      <c r="AR1002" s="685"/>
      <c r="AS1002" s="3"/>
      <c r="AT1002" s="3"/>
    </row>
    <row r="1003" spans="44:46" ht="27" customHeight="1" x14ac:dyDescent="0.25">
      <c r="AR1003" s="685"/>
      <c r="AS1003" s="3"/>
      <c r="AT1003" s="3"/>
    </row>
    <row r="1004" spans="44:46" ht="27" customHeight="1" x14ac:dyDescent="0.25">
      <c r="AR1004" s="685"/>
      <c r="AS1004" s="3"/>
      <c r="AT1004" s="3"/>
    </row>
    <row r="1005" spans="44:46" ht="27" customHeight="1" x14ac:dyDescent="0.25">
      <c r="AR1005" s="685"/>
      <c r="AS1005" s="3"/>
      <c r="AT1005" s="3"/>
    </row>
    <row r="1006" spans="44:46" ht="27" customHeight="1" x14ac:dyDescent="0.25">
      <c r="AR1006" s="685"/>
      <c r="AS1006" s="3"/>
      <c r="AT1006" s="3"/>
    </row>
    <row r="1007" spans="44:46" ht="27" customHeight="1" x14ac:dyDescent="0.25">
      <c r="AR1007" s="685"/>
      <c r="AS1007" s="3"/>
      <c r="AT1007" s="3"/>
    </row>
    <row r="1008" spans="44:46" ht="27" customHeight="1" x14ac:dyDescent="0.25">
      <c r="AR1008" s="685"/>
      <c r="AS1008" s="3"/>
      <c r="AT1008" s="3"/>
    </row>
    <row r="1009" spans="44:46" ht="27" customHeight="1" x14ac:dyDescent="0.25">
      <c r="AR1009" s="685"/>
      <c r="AS1009" s="3"/>
      <c r="AT1009" s="3"/>
    </row>
    <row r="1010" spans="44:46" ht="27" customHeight="1" x14ac:dyDescent="0.25">
      <c r="AR1010" s="685"/>
      <c r="AS1010" s="3"/>
      <c r="AT1010" s="3"/>
    </row>
    <row r="1011" spans="44:46" ht="27" customHeight="1" x14ac:dyDescent="0.25">
      <c r="AR1011" s="685"/>
      <c r="AS1011" s="3"/>
      <c r="AT1011" s="3"/>
    </row>
    <row r="1012" spans="44:46" ht="27" customHeight="1" x14ac:dyDescent="0.25">
      <c r="AR1012" s="685"/>
      <c r="AS1012" s="3"/>
      <c r="AT1012" s="3"/>
    </row>
    <row r="1013" spans="44:46" ht="27" customHeight="1" x14ac:dyDescent="0.25">
      <c r="AR1013" s="685"/>
      <c r="AS1013" s="3"/>
      <c r="AT1013" s="3"/>
    </row>
    <row r="1014" spans="44:46" ht="27" customHeight="1" x14ac:dyDescent="0.25">
      <c r="AR1014" s="685"/>
      <c r="AS1014" s="3"/>
      <c r="AT1014" s="3"/>
    </row>
    <row r="1015" spans="44:46" ht="27" customHeight="1" x14ac:dyDescent="0.25">
      <c r="AR1015" s="685"/>
      <c r="AS1015" s="3"/>
      <c r="AT1015" s="3"/>
    </row>
    <row r="1016" spans="44:46" ht="27" customHeight="1" x14ac:dyDescent="0.25">
      <c r="AR1016" s="685"/>
      <c r="AS1016" s="3"/>
      <c r="AT1016" s="3"/>
    </row>
    <row r="1017" spans="44:46" ht="27" customHeight="1" x14ac:dyDescent="0.25">
      <c r="AR1017" s="685"/>
      <c r="AS1017" s="3"/>
      <c r="AT1017" s="3"/>
    </row>
    <row r="1018" spans="44:46" ht="27" customHeight="1" x14ac:dyDescent="0.25">
      <c r="AR1018" s="685"/>
      <c r="AS1018" s="3"/>
      <c r="AT1018" s="3"/>
    </row>
    <row r="1019" spans="44:46" ht="27" customHeight="1" x14ac:dyDescent="0.25">
      <c r="AR1019" s="685"/>
      <c r="AS1019" s="3"/>
      <c r="AT1019" s="3"/>
    </row>
    <row r="1020" spans="44:46" ht="27" customHeight="1" x14ac:dyDescent="0.25">
      <c r="AR1020" s="685"/>
      <c r="AS1020" s="3"/>
      <c r="AT1020" s="3"/>
    </row>
    <row r="1021" spans="44:46" ht="27" customHeight="1" x14ac:dyDescent="0.25">
      <c r="AR1021" s="685"/>
      <c r="AS1021" s="3"/>
      <c r="AT1021" s="3"/>
    </row>
    <row r="1022" spans="44:46" ht="27" customHeight="1" x14ac:dyDescent="0.25">
      <c r="AR1022" s="685"/>
      <c r="AS1022" s="3"/>
      <c r="AT1022" s="3"/>
    </row>
    <row r="1023" spans="44:46" ht="27" customHeight="1" x14ac:dyDescent="0.25">
      <c r="AR1023" s="685"/>
      <c r="AS1023" s="3"/>
      <c r="AT1023" s="3"/>
    </row>
    <row r="1024" spans="44:46" ht="27" customHeight="1" x14ac:dyDescent="0.25">
      <c r="AR1024" s="685"/>
      <c r="AS1024" s="3"/>
      <c r="AT1024" s="3"/>
    </row>
    <row r="1025" spans="44:46" ht="27" customHeight="1" x14ac:dyDescent="0.25">
      <c r="AR1025" s="685"/>
      <c r="AS1025" s="3"/>
      <c r="AT1025" s="3"/>
    </row>
    <row r="1026" spans="44:46" ht="27" customHeight="1" x14ac:dyDescent="0.25">
      <c r="AR1026" s="685"/>
      <c r="AS1026" s="3"/>
      <c r="AT1026" s="3"/>
    </row>
    <row r="1027" spans="44:46" ht="27" customHeight="1" x14ac:dyDescent="0.25">
      <c r="AR1027" s="685"/>
      <c r="AS1027" s="3"/>
      <c r="AT1027" s="3"/>
    </row>
    <row r="1028" spans="44:46" ht="27" customHeight="1" x14ac:dyDescent="0.25">
      <c r="AR1028" s="685"/>
      <c r="AS1028" s="3"/>
      <c r="AT1028" s="3"/>
    </row>
    <row r="1029" spans="44:46" ht="27" customHeight="1" x14ac:dyDescent="0.25">
      <c r="AR1029" s="685"/>
      <c r="AS1029" s="3"/>
      <c r="AT1029" s="3"/>
    </row>
    <row r="1030" spans="44:46" ht="27" customHeight="1" x14ac:dyDescent="0.25">
      <c r="AR1030" s="685"/>
      <c r="AS1030" s="3"/>
      <c r="AT1030" s="3"/>
    </row>
    <row r="1031" spans="44:46" ht="27" customHeight="1" x14ac:dyDescent="0.25">
      <c r="AR1031" s="685"/>
      <c r="AS1031" s="3"/>
      <c r="AT1031" s="3"/>
    </row>
    <row r="1032" spans="44:46" ht="27" customHeight="1" x14ac:dyDescent="0.25">
      <c r="AR1032" s="685"/>
      <c r="AS1032" s="3"/>
      <c r="AT1032" s="3"/>
    </row>
    <row r="1033" spans="44:46" ht="27" customHeight="1" x14ac:dyDescent="0.25">
      <c r="AR1033" s="685"/>
      <c r="AS1033" s="3"/>
      <c r="AT1033" s="3"/>
    </row>
    <row r="1034" spans="44:46" ht="27" customHeight="1" x14ac:dyDescent="0.25">
      <c r="AR1034" s="685"/>
      <c r="AS1034" s="3"/>
      <c r="AT1034" s="3"/>
    </row>
    <row r="1035" spans="44:46" ht="27" customHeight="1" x14ac:dyDescent="0.25">
      <c r="AR1035" s="685"/>
      <c r="AS1035" s="3"/>
      <c r="AT1035" s="3"/>
    </row>
    <row r="1036" spans="44:46" ht="27" customHeight="1" x14ac:dyDescent="0.25">
      <c r="AR1036" s="685"/>
      <c r="AS1036" s="3"/>
      <c r="AT1036" s="3"/>
    </row>
    <row r="1037" spans="44:46" ht="27" customHeight="1" x14ac:dyDescent="0.25">
      <c r="AR1037" s="685"/>
      <c r="AS1037" s="3"/>
      <c r="AT1037" s="3"/>
    </row>
    <row r="1038" spans="44:46" ht="27" customHeight="1" x14ac:dyDescent="0.25">
      <c r="AR1038" s="685"/>
      <c r="AS1038" s="3"/>
      <c r="AT1038" s="3"/>
    </row>
    <row r="1039" spans="44:46" ht="27" customHeight="1" x14ac:dyDescent="0.25">
      <c r="AR1039" s="685"/>
      <c r="AS1039" s="3"/>
      <c r="AT1039" s="3"/>
    </row>
    <row r="1040" spans="44:46" ht="27" customHeight="1" x14ac:dyDescent="0.25">
      <c r="AR1040" s="685"/>
      <c r="AS1040" s="3"/>
      <c r="AT1040" s="3"/>
    </row>
    <row r="1041" spans="44:46" ht="27" customHeight="1" x14ac:dyDescent="0.25">
      <c r="AR1041" s="685"/>
      <c r="AS1041" s="3"/>
      <c r="AT1041" s="3"/>
    </row>
    <row r="1042" spans="44:46" ht="27" customHeight="1" x14ac:dyDescent="0.25">
      <c r="AR1042" s="685"/>
      <c r="AS1042" s="3"/>
      <c r="AT1042" s="3"/>
    </row>
    <row r="1043" spans="44:46" ht="27" customHeight="1" x14ac:dyDescent="0.25">
      <c r="AR1043" s="685"/>
      <c r="AS1043" s="3"/>
      <c r="AT1043" s="3"/>
    </row>
    <row r="1044" spans="44:46" ht="27" customHeight="1" x14ac:dyDescent="0.25">
      <c r="AR1044" s="685"/>
      <c r="AS1044" s="3"/>
      <c r="AT1044" s="3"/>
    </row>
    <row r="1045" spans="44:46" ht="27" customHeight="1" x14ac:dyDescent="0.25">
      <c r="AR1045" s="685"/>
      <c r="AS1045" s="3"/>
      <c r="AT1045" s="3"/>
    </row>
    <row r="1046" spans="44:46" ht="27" customHeight="1" x14ac:dyDescent="0.25">
      <c r="AR1046" s="685"/>
      <c r="AS1046" s="3"/>
      <c r="AT1046" s="3"/>
    </row>
    <row r="1047" spans="44:46" ht="27" customHeight="1" x14ac:dyDescent="0.25">
      <c r="AR1047" s="685"/>
      <c r="AS1047" s="3"/>
      <c r="AT1047" s="3"/>
    </row>
    <row r="1048" spans="44:46" ht="27" customHeight="1" x14ac:dyDescent="0.25">
      <c r="AR1048" s="685"/>
      <c r="AS1048" s="3"/>
      <c r="AT1048" s="3"/>
    </row>
    <row r="1049" spans="44:46" ht="27" customHeight="1" x14ac:dyDescent="0.25">
      <c r="AR1049" s="685"/>
      <c r="AS1049" s="3"/>
      <c r="AT1049" s="3"/>
    </row>
    <row r="1050" spans="44:46" ht="27" customHeight="1" x14ac:dyDescent="0.25">
      <c r="AR1050" s="685"/>
      <c r="AS1050" s="3"/>
      <c r="AT1050" s="3"/>
    </row>
    <row r="1051" spans="44:46" ht="27" customHeight="1" x14ac:dyDescent="0.25">
      <c r="AR1051" s="685"/>
      <c r="AS1051" s="3"/>
      <c r="AT1051" s="3"/>
    </row>
    <row r="1052" spans="44:46" ht="27" customHeight="1" x14ac:dyDescent="0.25">
      <c r="AR1052" s="685"/>
      <c r="AS1052" s="3"/>
      <c r="AT1052" s="3"/>
    </row>
    <row r="1053" spans="44:46" ht="27" customHeight="1" x14ac:dyDescent="0.25">
      <c r="AR1053" s="685"/>
      <c r="AS1053" s="3"/>
      <c r="AT1053" s="3"/>
    </row>
    <row r="1054" spans="44:46" ht="27" customHeight="1" x14ac:dyDescent="0.25">
      <c r="AR1054" s="685"/>
      <c r="AS1054" s="3"/>
      <c r="AT1054" s="3"/>
    </row>
    <row r="1055" spans="44:46" ht="27" customHeight="1" x14ac:dyDescent="0.25">
      <c r="AR1055" s="685"/>
      <c r="AS1055" s="3"/>
      <c r="AT1055" s="3"/>
    </row>
    <row r="1056" spans="44:46" ht="27" customHeight="1" x14ac:dyDescent="0.25">
      <c r="AR1056" s="685"/>
      <c r="AS1056" s="3"/>
      <c r="AT1056" s="3"/>
    </row>
    <row r="1057" spans="44:46" ht="27" customHeight="1" x14ac:dyDescent="0.25">
      <c r="AR1057" s="685"/>
      <c r="AS1057" s="3"/>
      <c r="AT1057" s="3"/>
    </row>
    <row r="1058" spans="44:46" ht="27" customHeight="1" x14ac:dyDescent="0.25">
      <c r="AR1058" s="685"/>
      <c r="AS1058" s="3"/>
      <c r="AT1058" s="3"/>
    </row>
    <row r="1059" spans="44:46" ht="27" customHeight="1" x14ac:dyDescent="0.25">
      <c r="AR1059" s="685"/>
      <c r="AS1059" s="3"/>
      <c r="AT1059" s="3"/>
    </row>
    <row r="1060" spans="44:46" ht="27" customHeight="1" x14ac:dyDescent="0.25">
      <c r="AR1060" s="685"/>
      <c r="AS1060" s="3"/>
      <c r="AT1060" s="3"/>
    </row>
    <row r="1061" spans="44:46" ht="27" customHeight="1" x14ac:dyDescent="0.25">
      <c r="AR1061" s="685"/>
      <c r="AS1061" s="3"/>
      <c r="AT1061" s="3"/>
    </row>
    <row r="1062" spans="44:46" ht="27" customHeight="1" x14ac:dyDescent="0.25">
      <c r="AR1062" s="685"/>
      <c r="AS1062" s="3"/>
      <c r="AT1062" s="3"/>
    </row>
    <row r="1063" spans="44:46" ht="27" customHeight="1" x14ac:dyDescent="0.25">
      <c r="AR1063" s="685"/>
      <c r="AS1063" s="3"/>
      <c r="AT1063" s="3"/>
    </row>
    <row r="1064" spans="44:46" ht="27" customHeight="1" x14ac:dyDescent="0.25">
      <c r="AR1064" s="685"/>
      <c r="AS1064" s="3"/>
      <c r="AT1064" s="3"/>
    </row>
    <row r="1065" spans="44:46" ht="27" customHeight="1" x14ac:dyDescent="0.25">
      <c r="AR1065" s="685"/>
      <c r="AS1065" s="3"/>
      <c r="AT1065" s="3"/>
    </row>
    <row r="1066" spans="44:46" ht="27" customHeight="1" x14ac:dyDescent="0.25">
      <c r="AR1066" s="685"/>
      <c r="AS1066" s="3"/>
      <c r="AT1066" s="3"/>
    </row>
    <row r="1067" spans="44:46" ht="27" customHeight="1" x14ac:dyDescent="0.25">
      <c r="AR1067" s="685"/>
      <c r="AS1067" s="3"/>
      <c r="AT1067" s="3"/>
    </row>
    <row r="1068" spans="44:46" ht="27" customHeight="1" x14ac:dyDescent="0.25">
      <c r="AR1068" s="685"/>
      <c r="AS1068" s="3"/>
      <c r="AT1068" s="3"/>
    </row>
    <row r="1069" spans="44:46" ht="27" customHeight="1" x14ac:dyDescent="0.25">
      <c r="AR1069" s="685"/>
      <c r="AS1069" s="3"/>
      <c r="AT1069" s="3"/>
    </row>
    <row r="1070" spans="44:46" ht="27" customHeight="1" x14ac:dyDescent="0.25">
      <c r="AR1070" s="685"/>
      <c r="AS1070" s="3"/>
      <c r="AT1070" s="3"/>
    </row>
    <row r="1071" spans="44:46" ht="27" customHeight="1" x14ac:dyDescent="0.25">
      <c r="AR1071" s="685"/>
      <c r="AS1071" s="3"/>
      <c r="AT1071" s="3"/>
    </row>
    <row r="1072" spans="44:46" ht="27" customHeight="1" x14ac:dyDescent="0.25">
      <c r="AR1072" s="685"/>
      <c r="AS1072" s="3"/>
      <c r="AT1072" s="3"/>
    </row>
    <row r="1073" spans="44:46" ht="27" customHeight="1" x14ac:dyDescent="0.25">
      <c r="AR1073" s="685"/>
      <c r="AS1073" s="3"/>
      <c r="AT1073" s="3"/>
    </row>
    <row r="1074" spans="44:46" ht="27" customHeight="1" x14ac:dyDescent="0.25">
      <c r="AR1074" s="685"/>
      <c r="AS1074" s="3"/>
      <c r="AT1074" s="3"/>
    </row>
    <row r="1075" spans="44:46" ht="27" customHeight="1" x14ac:dyDescent="0.25">
      <c r="AR1075" s="685"/>
      <c r="AS1075" s="3"/>
      <c r="AT1075" s="3"/>
    </row>
    <row r="1076" spans="44:46" ht="27" customHeight="1" x14ac:dyDescent="0.25">
      <c r="AR1076" s="685"/>
      <c r="AS1076" s="3"/>
      <c r="AT1076" s="3"/>
    </row>
    <row r="1077" spans="44:46" ht="27" customHeight="1" x14ac:dyDescent="0.25">
      <c r="AR1077" s="685"/>
      <c r="AS1077" s="3"/>
      <c r="AT1077" s="3"/>
    </row>
    <row r="1078" spans="44:46" ht="27" customHeight="1" x14ac:dyDescent="0.25">
      <c r="AR1078" s="685"/>
      <c r="AS1078" s="3"/>
      <c r="AT1078" s="3"/>
    </row>
    <row r="1079" spans="44:46" ht="27" customHeight="1" x14ac:dyDescent="0.25">
      <c r="AR1079" s="685"/>
      <c r="AS1079" s="3"/>
      <c r="AT1079" s="3"/>
    </row>
    <row r="1080" spans="44:46" ht="27" customHeight="1" x14ac:dyDescent="0.25">
      <c r="AR1080" s="685"/>
      <c r="AS1080" s="3"/>
      <c r="AT1080" s="3"/>
    </row>
    <row r="1081" spans="44:46" ht="27" customHeight="1" x14ac:dyDescent="0.25">
      <c r="AR1081" s="685"/>
      <c r="AS1081" s="3"/>
      <c r="AT1081" s="3"/>
    </row>
    <row r="1082" spans="44:46" ht="27" customHeight="1" x14ac:dyDescent="0.25">
      <c r="AR1082" s="685"/>
      <c r="AS1082" s="3"/>
      <c r="AT1082" s="3"/>
    </row>
    <row r="1083" spans="44:46" ht="27" customHeight="1" x14ac:dyDescent="0.25">
      <c r="AR1083" s="685"/>
      <c r="AS1083" s="3"/>
      <c r="AT1083" s="3"/>
    </row>
    <row r="1084" spans="44:46" ht="27" customHeight="1" x14ac:dyDescent="0.25">
      <c r="AR1084" s="685"/>
      <c r="AS1084" s="3"/>
      <c r="AT1084" s="3"/>
    </row>
    <row r="1085" spans="44:46" ht="27" customHeight="1" x14ac:dyDescent="0.25">
      <c r="AR1085" s="685"/>
      <c r="AS1085" s="3"/>
      <c r="AT1085" s="3"/>
    </row>
    <row r="1086" spans="44:46" ht="27" customHeight="1" x14ac:dyDescent="0.25">
      <c r="AR1086" s="685"/>
      <c r="AS1086" s="3"/>
      <c r="AT1086" s="3"/>
    </row>
    <row r="1087" spans="44:46" ht="27" customHeight="1" x14ac:dyDescent="0.25">
      <c r="AR1087" s="685"/>
      <c r="AS1087" s="3"/>
      <c r="AT1087" s="3"/>
    </row>
    <row r="1088" spans="44:46" ht="27" customHeight="1" x14ac:dyDescent="0.25">
      <c r="AR1088" s="685"/>
      <c r="AS1088" s="3"/>
      <c r="AT1088" s="3"/>
    </row>
    <row r="1089" spans="44:46" ht="27" customHeight="1" x14ac:dyDescent="0.25">
      <c r="AR1089" s="685"/>
      <c r="AS1089" s="3"/>
      <c r="AT1089" s="3"/>
    </row>
    <row r="1090" spans="44:46" ht="27" customHeight="1" x14ac:dyDescent="0.25">
      <c r="AR1090" s="685"/>
      <c r="AS1090" s="3"/>
      <c r="AT1090" s="3"/>
    </row>
    <row r="1091" spans="44:46" ht="27" customHeight="1" x14ac:dyDescent="0.25">
      <c r="AR1091" s="685"/>
      <c r="AS1091" s="3"/>
      <c r="AT1091" s="3"/>
    </row>
    <row r="1092" spans="44:46" ht="27" customHeight="1" x14ac:dyDescent="0.25">
      <c r="AR1092" s="685"/>
      <c r="AS1092" s="3"/>
      <c r="AT1092" s="3"/>
    </row>
    <row r="1093" spans="44:46" ht="27" customHeight="1" x14ac:dyDescent="0.25">
      <c r="AR1093" s="685"/>
      <c r="AS1093" s="3"/>
      <c r="AT1093" s="3"/>
    </row>
    <row r="1094" spans="44:46" ht="27" customHeight="1" x14ac:dyDescent="0.25">
      <c r="AR1094" s="685"/>
      <c r="AS1094" s="3"/>
      <c r="AT1094" s="3"/>
    </row>
    <row r="1095" spans="44:46" ht="27" customHeight="1" x14ac:dyDescent="0.25">
      <c r="AR1095" s="685"/>
      <c r="AS1095" s="3"/>
      <c r="AT1095" s="3"/>
    </row>
    <row r="1096" spans="44:46" ht="27" customHeight="1" x14ac:dyDescent="0.25">
      <c r="AR1096" s="685"/>
      <c r="AS1096" s="3"/>
      <c r="AT1096" s="3"/>
    </row>
    <row r="1097" spans="44:46" ht="27" customHeight="1" x14ac:dyDescent="0.25">
      <c r="AR1097" s="685"/>
      <c r="AS1097" s="3"/>
      <c r="AT1097" s="3"/>
    </row>
    <row r="1098" spans="44:46" ht="27" customHeight="1" x14ac:dyDescent="0.25">
      <c r="AR1098" s="685"/>
      <c r="AS1098" s="3"/>
      <c r="AT1098" s="3"/>
    </row>
    <row r="1099" spans="44:46" ht="27" customHeight="1" x14ac:dyDescent="0.25">
      <c r="AR1099" s="685"/>
      <c r="AS1099" s="3"/>
      <c r="AT1099" s="3"/>
    </row>
    <row r="1100" spans="44:46" ht="27" customHeight="1" x14ac:dyDescent="0.25">
      <c r="AR1100" s="685"/>
      <c r="AS1100" s="3"/>
      <c r="AT1100" s="3"/>
    </row>
    <row r="1101" spans="44:46" ht="27" customHeight="1" x14ac:dyDescent="0.25">
      <c r="AR1101" s="685"/>
      <c r="AS1101" s="3"/>
      <c r="AT1101" s="3"/>
    </row>
    <row r="1102" spans="44:46" ht="27" customHeight="1" x14ac:dyDescent="0.25">
      <c r="AR1102" s="685"/>
      <c r="AS1102" s="3"/>
      <c r="AT1102" s="3"/>
    </row>
    <row r="1103" spans="44:46" ht="27" customHeight="1" x14ac:dyDescent="0.25">
      <c r="AR1103" s="685"/>
      <c r="AS1103" s="3"/>
      <c r="AT1103" s="3"/>
    </row>
    <row r="1104" spans="44:46" ht="27" customHeight="1" x14ac:dyDescent="0.25">
      <c r="AR1104" s="685"/>
      <c r="AS1104" s="3"/>
      <c r="AT1104" s="3"/>
    </row>
    <row r="1105" spans="44:46" ht="27" customHeight="1" x14ac:dyDescent="0.25">
      <c r="AR1105" s="685"/>
      <c r="AS1105" s="3"/>
      <c r="AT1105" s="3"/>
    </row>
    <row r="1106" spans="44:46" ht="27" customHeight="1" x14ac:dyDescent="0.25">
      <c r="AR1106" s="685"/>
      <c r="AS1106" s="3"/>
      <c r="AT1106" s="3"/>
    </row>
    <row r="1107" spans="44:46" ht="27" customHeight="1" x14ac:dyDescent="0.25">
      <c r="AR1107" s="685"/>
      <c r="AS1107" s="3"/>
      <c r="AT1107" s="3"/>
    </row>
    <row r="1108" spans="44:46" ht="27" customHeight="1" x14ac:dyDescent="0.25">
      <c r="AR1108" s="685"/>
      <c r="AS1108" s="3"/>
      <c r="AT1108" s="3"/>
    </row>
    <row r="1109" spans="44:46" ht="27" customHeight="1" x14ac:dyDescent="0.25">
      <c r="AR1109" s="685"/>
      <c r="AS1109" s="3"/>
      <c r="AT1109" s="3"/>
    </row>
    <row r="1110" spans="44:46" ht="27" customHeight="1" x14ac:dyDescent="0.25">
      <c r="AR1110" s="685"/>
      <c r="AS1110" s="3"/>
      <c r="AT1110" s="3"/>
    </row>
    <row r="1111" spans="44:46" ht="27" customHeight="1" x14ac:dyDescent="0.25">
      <c r="AR1111" s="685"/>
      <c r="AS1111" s="3"/>
      <c r="AT1111" s="3"/>
    </row>
    <row r="1112" spans="44:46" ht="27" customHeight="1" x14ac:dyDescent="0.25">
      <c r="AR1112" s="685"/>
      <c r="AS1112" s="3"/>
      <c r="AT1112" s="3"/>
    </row>
    <row r="1113" spans="44:46" ht="27" customHeight="1" x14ac:dyDescent="0.25">
      <c r="AR1113" s="685"/>
      <c r="AS1113" s="3"/>
      <c r="AT1113" s="3"/>
    </row>
    <row r="1114" spans="44:46" ht="27" customHeight="1" x14ac:dyDescent="0.25">
      <c r="AR1114" s="685"/>
      <c r="AS1114" s="3"/>
      <c r="AT1114" s="3"/>
    </row>
    <row r="1115" spans="44:46" ht="27" customHeight="1" x14ac:dyDescent="0.25">
      <c r="AR1115" s="685"/>
      <c r="AS1115" s="3"/>
      <c r="AT1115" s="3"/>
    </row>
    <row r="1116" spans="44:46" ht="27" customHeight="1" x14ac:dyDescent="0.25">
      <c r="AR1116" s="685"/>
      <c r="AS1116" s="3"/>
      <c r="AT1116" s="3"/>
    </row>
    <row r="1117" spans="44:46" ht="27" customHeight="1" x14ac:dyDescent="0.25">
      <c r="AR1117" s="685"/>
      <c r="AS1117" s="3"/>
      <c r="AT1117" s="3"/>
    </row>
    <row r="1118" spans="44:46" ht="27" customHeight="1" x14ac:dyDescent="0.25">
      <c r="AR1118" s="685"/>
      <c r="AS1118" s="3"/>
      <c r="AT1118" s="3"/>
    </row>
    <row r="1119" spans="44:46" ht="27" customHeight="1" x14ac:dyDescent="0.25">
      <c r="AR1119" s="685"/>
      <c r="AS1119" s="3"/>
      <c r="AT1119" s="3"/>
    </row>
    <row r="1120" spans="44:46" ht="27" customHeight="1" x14ac:dyDescent="0.25">
      <c r="AR1120" s="685"/>
      <c r="AS1120" s="3"/>
      <c r="AT1120" s="3"/>
    </row>
    <row r="1121" spans="44:46" ht="27" customHeight="1" x14ac:dyDescent="0.25">
      <c r="AR1121" s="685"/>
      <c r="AS1121" s="3"/>
      <c r="AT1121" s="3"/>
    </row>
    <row r="1122" spans="44:46" ht="27" customHeight="1" x14ac:dyDescent="0.25">
      <c r="AR1122" s="685"/>
      <c r="AS1122" s="3"/>
      <c r="AT1122" s="3"/>
    </row>
    <row r="1123" spans="44:46" ht="27" customHeight="1" x14ac:dyDescent="0.25">
      <c r="AR1123" s="685"/>
      <c r="AS1123" s="3"/>
      <c r="AT1123" s="3"/>
    </row>
    <row r="1124" spans="44:46" ht="27" customHeight="1" x14ac:dyDescent="0.25">
      <c r="AR1124" s="685"/>
      <c r="AS1124" s="3"/>
      <c r="AT1124" s="3"/>
    </row>
    <row r="1125" spans="44:46" ht="27" customHeight="1" x14ac:dyDescent="0.25">
      <c r="AR1125" s="685"/>
      <c r="AS1125" s="3"/>
      <c r="AT1125" s="3"/>
    </row>
    <row r="1126" spans="44:46" ht="27" customHeight="1" x14ac:dyDescent="0.25">
      <c r="AR1126" s="685"/>
      <c r="AS1126" s="3"/>
      <c r="AT1126" s="3"/>
    </row>
    <row r="1127" spans="44:46" ht="27" customHeight="1" x14ac:dyDescent="0.25">
      <c r="AR1127" s="685"/>
      <c r="AS1127" s="3"/>
      <c r="AT1127" s="3"/>
    </row>
    <row r="1128" spans="44:46" ht="27" customHeight="1" x14ac:dyDescent="0.25">
      <c r="AR1128" s="685"/>
      <c r="AS1128" s="3"/>
      <c r="AT1128" s="3"/>
    </row>
    <row r="1129" spans="44:46" ht="27" customHeight="1" x14ac:dyDescent="0.25">
      <c r="AR1129" s="685"/>
      <c r="AS1129" s="3"/>
      <c r="AT1129" s="3"/>
    </row>
    <row r="1130" spans="44:46" ht="27" customHeight="1" x14ac:dyDescent="0.25">
      <c r="AR1130" s="685"/>
      <c r="AS1130" s="3"/>
      <c r="AT1130" s="3"/>
    </row>
    <row r="1131" spans="44:46" ht="27" customHeight="1" x14ac:dyDescent="0.25">
      <c r="AR1131" s="685"/>
      <c r="AS1131" s="3"/>
      <c r="AT1131" s="3"/>
    </row>
    <row r="1132" spans="44:46" ht="27" customHeight="1" x14ac:dyDescent="0.25">
      <c r="AR1132" s="685"/>
      <c r="AS1132" s="3"/>
      <c r="AT1132" s="3"/>
    </row>
    <row r="1133" spans="44:46" ht="27" customHeight="1" x14ac:dyDescent="0.25">
      <c r="AR1133" s="685"/>
      <c r="AS1133" s="3"/>
      <c r="AT1133" s="3"/>
    </row>
    <row r="1134" spans="44:46" ht="27" customHeight="1" x14ac:dyDescent="0.25">
      <c r="AR1134" s="685"/>
      <c r="AS1134" s="3"/>
      <c r="AT1134" s="3"/>
    </row>
    <row r="1135" spans="44:46" ht="27" customHeight="1" x14ac:dyDescent="0.25">
      <c r="AR1135" s="685"/>
      <c r="AS1135" s="3"/>
      <c r="AT1135" s="3"/>
    </row>
    <row r="1136" spans="44:46" ht="27" customHeight="1" x14ac:dyDescent="0.25">
      <c r="AR1136" s="685"/>
      <c r="AS1136" s="3"/>
      <c r="AT1136" s="3"/>
    </row>
    <row r="1137" spans="44:46" ht="27" customHeight="1" x14ac:dyDescent="0.25">
      <c r="AR1137" s="685"/>
      <c r="AS1137" s="3"/>
      <c r="AT1137" s="3"/>
    </row>
    <row r="1138" spans="44:46" ht="27" customHeight="1" x14ac:dyDescent="0.25">
      <c r="AR1138" s="685"/>
      <c r="AS1138" s="3"/>
      <c r="AT1138" s="3"/>
    </row>
    <row r="1139" spans="44:46" ht="27" customHeight="1" x14ac:dyDescent="0.25">
      <c r="AR1139" s="685"/>
      <c r="AS1139" s="3"/>
      <c r="AT1139" s="3"/>
    </row>
    <row r="1140" spans="44:46" ht="27" customHeight="1" x14ac:dyDescent="0.25">
      <c r="AR1140" s="685"/>
      <c r="AS1140" s="3"/>
      <c r="AT1140" s="3"/>
    </row>
    <row r="1141" spans="44:46" ht="27" customHeight="1" x14ac:dyDescent="0.25">
      <c r="AR1141" s="685"/>
      <c r="AS1141" s="3"/>
      <c r="AT1141" s="3"/>
    </row>
    <row r="1142" spans="44:46" ht="27" customHeight="1" x14ac:dyDescent="0.25">
      <c r="AR1142" s="685"/>
      <c r="AS1142" s="3"/>
      <c r="AT1142" s="3"/>
    </row>
    <row r="1143" spans="44:46" ht="27" customHeight="1" x14ac:dyDescent="0.25">
      <c r="AR1143" s="685"/>
      <c r="AS1143" s="3"/>
      <c r="AT1143" s="3"/>
    </row>
    <row r="1144" spans="44:46" ht="27" customHeight="1" x14ac:dyDescent="0.25">
      <c r="AR1144" s="685"/>
      <c r="AS1144" s="3"/>
      <c r="AT1144" s="3"/>
    </row>
    <row r="1145" spans="44:46" ht="27" customHeight="1" x14ac:dyDescent="0.25">
      <c r="AR1145" s="685"/>
      <c r="AS1145" s="3"/>
      <c r="AT1145" s="3"/>
    </row>
    <row r="1146" spans="44:46" ht="27" customHeight="1" x14ac:dyDescent="0.25">
      <c r="AR1146" s="685"/>
      <c r="AS1146" s="3"/>
      <c r="AT1146" s="3"/>
    </row>
    <row r="1147" spans="44:46" ht="27" customHeight="1" x14ac:dyDescent="0.25">
      <c r="AR1147" s="685"/>
      <c r="AS1147" s="3"/>
      <c r="AT1147" s="3"/>
    </row>
    <row r="1148" spans="44:46" ht="27" customHeight="1" x14ac:dyDescent="0.25">
      <c r="AR1148" s="685"/>
      <c r="AS1148" s="3"/>
      <c r="AT1148" s="3"/>
    </row>
    <row r="1149" spans="44:46" ht="27" customHeight="1" x14ac:dyDescent="0.25">
      <c r="AR1149" s="685"/>
      <c r="AS1149" s="3"/>
      <c r="AT1149" s="3"/>
    </row>
    <row r="1150" spans="44:46" ht="27" customHeight="1" x14ac:dyDescent="0.25">
      <c r="AR1150" s="685"/>
      <c r="AS1150" s="3"/>
      <c r="AT1150" s="3"/>
    </row>
    <row r="1151" spans="44:46" ht="27" customHeight="1" x14ac:dyDescent="0.25">
      <c r="AR1151" s="685"/>
      <c r="AS1151" s="3"/>
      <c r="AT1151" s="3"/>
    </row>
    <row r="1152" spans="44:46" ht="27" customHeight="1" x14ac:dyDescent="0.25">
      <c r="AR1152" s="685"/>
      <c r="AS1152" s="3"/>
      <c r="AT1152" s="3"/>
    </row>
    <row r="1153" spans="44:46" ht="27" customHeight="1" x14ac:dyDescent="0.25">
      <c r="AR1153" s="685"/>
      <c r="AS1153" s="3"/>
      <c r="AT1153" s="3"/>
    </row>
    <row r="1154" spans="44:46" ht="27" customHeight="1" x14ac:dyDescent="0.25">
      <c r="AR1154" s="685"/>
      <c r="AS1154" s="3"/>
      <c r="AT1154" s="3"/>
    </row>
    <row r="1155" spans="44:46" ht="27" customHeight="1" x14ac:dyDescent="0.25">
      <c r="AR1155" s="685"/>
      <c r="AS1155" s="3"/>
      <c r="AT1155" s="3"/>
    </row>
    <row r="1156" spans="44:46" ht="27" customHeight="1" x14ac:dyDescent="0.25">
      <c r="AR1156" s="685"/>
      <c r="AS1156" s="3"/>
      <c r="AT1156" s="3"/>
    </row>
    <row r="1157" spans="44:46" ht="27" customHeight="1" x14ac:dyDescent="0.25">
      <c r="AR1157" s="685"/>
      <c r="AS1157" s="3"/>
      <c r="AT1157" s="3"/>
    </row>
    <row r="1158" spans="44:46" ht="27" customHeight="1" x14ac:dyDescent="0.25">
      <c r="AR1158" s="685"/>
      <c r="AS1158" s="3"/>
      <c r="AT1158" s="3"/>
    </row>
    <row r="1159" spans="44:46" ht="27" customHeight="1" x14ac:dyDescent="0.25">
      <c r="AR1159" s="685"/>
      <c r="AS1159" s="3"/>
      <c r="AT1159" s="3"/>
    </row>
    <row r="1160" spans="44:46" ht="27" customHeight="1" x14ac:dyDescent="0.25">
      <c r="AR1160" s="685"/>
      <c r="AS1160" s="3"/>
      <c r="AT1160" s="3"/>
    </row>
    <row r="1161" spans="44:46" ht="27" customHeight="1" x14ac:dyDescent="0.25">
      <c r="AR1161" s="685"/>
      <c r="AS1161" s="3"/>
      <c r="AT1161" s="3"/>
    </row>
    <row r="1162" spans="44:46" ht="27" customHeight="1" x14ac:dyDescent="0.25">
      <c r="AR1162" s="685"/>
      <c r="AS1162" s="3"/>
      <c r="AT1162" s="3"/>
    </row>
    <row r="1163" spans="44:46" ht="27" customHeight="1" x14ac:dyDescent="0.25">
      <c r="AR1163" s="685"/>
      <c r="AS1163" s="3"/>
      <c r="AT1163" s="3"/>
    </row>
    <row r="1164" spans="44:46" ht="27" customHeight="1" x14ac:dyDescent="0.25">
      <c r="AR1164" s="685"/>
      <c r="AS1164" s="3"/>
      <c r="AT1164" s="3"/>
    </row>
    <row r="1165" spans="44:46" ht="27" customHeight="1" x14ac:dyDescent="0.25">
      <c r="AR1165" s="685"/>
      <c r="AS1165" s="3"/>
      <c r="AT1165" s="3"/>
    </row>
    <row r="1166" spans="44:46" ht="27" customHeight="1" x14ac:dyDescent="0.25">
      <c r="AR1166" s="685"/>
      <c r="AS1166" s="3"/>
      <c r="AT1166" s="3"/>
    </row>
    <row r="1167" spans="44:46" ht="27" customHeight="1" x14ac:dyDescent="0.25">
      <c r="AR1167" s="685"/>
      <c r="AS1167" s="3"/>
      <c r="AT1167" s="3"/>
    </row>
    <row r="1168" spans="44:46" ht="27" customHeight="1" x14ac:dyDescent="0.25">
      <c r="AR1168" s="685"/>
      <c r="AS1168" s="3"/>
      <c r="AT1168" s="3"/>
    </row>
    <row r="1169" spans="44:46" ht="27" customHeight="1" x14ac:dyDescent="0.25">
      <c r="AR1169" s="685"/>
      <c r="AS1169" s="3"/>
      <c r="AT1169" s="3"/>
    </row>
    <row r="1170" spans="44:46" ht="27" customHeight="1" x14ac:dyDescent="0.25">
      <c r="AR1170" s="685"/>
      <c r="AS1170" s="3"/>
      <c r="AT1170" s="3"/>
    </row>
    <row r="1171" spans="44:46" ht="27" customHeight="1" x14ac:dyDescent="0.25">
      <c r="AR1171" s="685"/>
      <c r="AS1171" s="3"/>
      <c r="AT1171" s="3"/>
    </row>
    <row r="1172" spans="44:46" ht="27" customHeight="1" x14ac:dyDescent="0.25">
      <c r="AR1172" s="685"/>
      <c r="AS1172" s="3"/>
      <c r="AT1172" s="3"/>
    </row>
    <row r="1173" spans="44:46" ht="27" customHeight="1" x14ac:dyDescent="0.25">
      <c r="AR1173" s="685"/>
      <c r="AS1173" s="3"/>
      <c r="AT1173" s="3"/>
    </row>
    <row r="1174" spans="44:46" ht="27" customHeight="1" x14ac:dyDescent="0.25">
      <c r="AR1174" s="685"/>
      <c r="AS1174" s="3"/>
      <c r="AT1174" s="3"/>
    </row>
    <row r="1175" spans="44:46" ht="27" customHeight="1" x14ac:dyDescent="0.25">
      <c r="AR1175" s="685"/>
      <c r="AS1175" s="3"/>
      <c r="AT1175" s="3"/>
    </row>
    <row r="1176" spans="44:46" ht="27" customHeight="1" x14ac:dyDescent="0.25">
      <c r="AR1176" s="685"/>
      <c r="AS1176" s="3"/>
      <c r="AT1176" s="3"/>
    </row>
    <row r="1177" spans="44:46" ht="27" customHeight="1" x14ac:dyDescent="0.25">
      <c r="AR1177" s="685"/>
      <c r="AS1177" s="3"/>
      <c r="AT1177" s="3"/>
    </row>
    <row r="1178" spans="44:46" ht="27" customHeight="1" x14ac:dyDescent="0.25">
      <c r="AR1178" s="685"/>
      <c r="AS1178" s="3"/>
      <c r="AT1178" s="3"/>
    </row>
    <row r="1179" spans="44:46" ht="27" customHeight="1" x14ac:dyDescent="0.25">
      <c r="AR1179" s="685"/>
      <c r="AS1179" s="3"/>
      <c r="AT1179" s="3"/>
    </row>
    <row r="1180" spans="44:46" ht="27" customHeight="1" x14ac:dyDescent="0.25">
      <c r="AR1180" s="685"/>
      <c r="AS1180" s="3"/>
      <c r="AT1180" s="3"/>
    </row>
    <row r="1181" spans="44:46" ht="27" customHeight="1" x14ac:dyDescent="0.25">
      <c r="AR1181" s="685"/>
      <c r="AS1181" s="3"/>
      <c r="AT1181" s="3"/>
    </row>
    <row r="1182" spans="44:46" ht="27" customHeight="1" x14ac:dyDescent="0.25">
      <c r="AR1182" s="685"/>
      <c r="AS1182" s="3"/>
      <c r="AT1182" s="3"/>
    </row>
    <row r="1183" spans="44:46" ht="27" customHeight="1" x14ac:dyDescent="0.25">
      <c r="AR1183" s="685"/>
      <c r="AS1183" s="3"/>
      <c r="AT1183" s="3"/>
    </row>
    <row r="1184" spans="44:46" ht="27" customHeight="1" x14ac:dyDescent="0.25">
      <c r="AR1184" s="685"/>
      <c r="AS1184" s="3"/>
      <c r="AT1184" s="3"/>
    </row>
    <row r="1185" spans="44:46" ht="27" customHeight="1" x14ac:dyDescent="0.25">
      <c r="AR1185" s="685"/>
      <c r="AS1185" s="3"/>
      <c r="AT1185" s="3"/>
    </row>
    <row r="1186" spans="44:46" ht="27" customHeight="1" x14ac:dyDescent="0.25">
      <c r="AR1186" s="685"/>
      <c r="AS1186" s="3"/>
      <c r="AT1186" s="3"/>
    </row>
    <row r="1187" spans="44:46" ht="27" customHeight="1" x14ac:dyDescent="0.25">
      <c r="AR1187" s="685"/>
      <c r="AS1187" s="3"/>
      <c r="AT1187" s="3"/>
    </row>
    <row r="1188" spans="44:46" ht="27" customHeight="1" x14ac:dyDescent="0.25">
      <c r="AR1188" s="685"/>
      <c r="AS1188" s="3"/>
      <c r="AT1188" s="3"/>
    </row>
    <row r="1189" spans="44:46" ht="27" customHeight="1" x14ac:dyDescent="0.25">
      <c r="AR1189" s="685"/>
      <c r="AS1189" s="3"/>
      <c r="AT1189" s="3"/>
    </row>
    <row r="1190" spans="44:46" ht="27" customHeight="1" x14ac:dyDescent="0.25">
      <c r="AR1190" s="685"/>
      <c r="AS1190" s="3"/>
      <c r="AT1190" s="3"/>
    </row>
    <row r="1191" spans="44:46" ht="27" customHeight="1" x14ac:dyDescent="0.25">
      <c r="AR1191" s="685"/>
      <c r="AS1191" s="3"/>
      <c r="AT1191" s="3"/>
    </row>
    <row r="1192" spans="44:46" ht="27" customHeight="1" x14ac:dyDescent="0.25">
      <c r="AR1192" s="685"/>
      <c r="AS1192" s="3"/>
      <c r="AT1192" s="3"/>
    </row>
    <row r="1193" spans="44:46" ht="27" customHeight="1" x14ac:dyDescent="0.25">
      <c r="AR1193" s="685"/>
      <c r="AS1193" s="3"/>
      <c r="AT1193" s="3"/>
    </row>
    <row r="1194" spans="44:46" ht="27" customHeight="1" x14ac:dyDescent="0.25">
      <c r="AR1194" s="685"/>
      <c r="AS1194" s="3"/>
      <c r="AT1194" s="3"/>
    </row>
    <row r="1195" spans="44:46" ht="27" customHeight="1" x14ac:dyDescent="0.25">
      <c r="AR1195" s="685"/>
      <c r="AS1195" s="3"/>
      <c r="AT1195" s="3"/>
    </row>
    <row r="1196" spans="44:46" ht="27" customHeight="1" x14ac:dyDescent="0.25">
      <c r="AR1196" s="685"/>
      <c r="AS1196" s="3"/>
      <c r="AT1196" s="3"/>
    </row>
    <row r="1197" spans="44:46" ht="27" customHeight="1" x14ac:dyDescent="0.25">
      <c r="AR1197" s="685"/>
      <c r="AS1197" s="3"/>
      <c r="AT1197" s="3"/>
    </row>
    <row r="1198" spans="44:46" ht="27" customHeight="1" x14ac:dyDescent="0.25">
      <c r="AR1198" s="685"/>
      <c r="AS1198" s="3"/>
      <c r="AT1198" s="3"/>
    </row>
    <row r="1199" spans="44:46" ht="27" customHeight="1" x14ac:dyDescent="0.25">
      <c r="AR1199" s="685"/>
      <c r="AS1199" s="3"/>
      <c r="AT1199" s="3"/>
    </row>
    <row r="1200" spans="44:46" ht="27" customHeight="1" x14ac:dyDescent="0.25">
      <c r="AR1200" s="685"/>
      <c r="AS1200" s="3"/>
      <c r="AT1200" s="3"/>
    </row>
    <row r="1201" spans="44:46" ht="27" customHeight="1" x14ac:dyDescent="0.25">
      <c r="AR1201" s="685"/>
      <c r="AS1201" s="3"/>
      <c r="AT1201" s="3"/>
    </row>
    <row r="1202" spans="44:46" ht="27" customHeight="1" x14ac:dyDescent="0.25">
      <c r="AR1202" s="685"/>
      <c r="AS1202" s="3"/>
      <c r="AT1202" s="3"/>
    </row>
    <row r="1203" spans="44:46" ht="27" customHeight="1" x14ac:dyDescent="0.25">
      <c r="AR1203" s="685"/>
      <c r="AS1203" s="3"/>
      <c r="AT1203" s="3"/>
    </row>
    <row r="1204" spans="44:46" ht="27" customHeight="1" x14ac:dyDescent="0.25">
      <c r="AR1204" s="685"/>
      <c r="AS1204" s="3"/>
      <c r="AT1204" s="3"/>
    </row>
    <row r="1205" spans="44:46" ht="27" customHeight="1" x14ac:dyDescent="0.25">
      <c r="AR1205" s="685"/>
      <c r="AS1205" s="3"/>
      <c r="AT1205" s="3"/>
    </row>
    <row r="1206" spans="44:46" ht="27" customHeight="1" x14ac:dyDescent="0.25">
      <c r="AR1206" s="685"/>
      <c r="AS1206" s="3"/>
      <c r="AT1206" s="3"/>
    </row>
    <row r="1207" spans="44:46" ht="27" customHeight="1" x14ac:dyDescent="0.25">
      <c r="AR1207" s="685"/>
      <c r="AS1207" s="3"/>
      <c r="AT1207" s="3"/>
    </row>
    <row r="1208" spans="44:46" ht="27" customHeight="1" x14ac:dyDescent="0.25">
      <c r="AR1208" s="685"/>
      <c r="AS1208" s="3"/>
      <c r="AT1208" s="3"/>
    </row>
    <row r="1209" spans="44:46" ht="27" customHeight="1" x14ac:dyDescent="0.25">
      <c r="AR1209" s="685"/>
      <c r="AS1209" s="3"/>
      <c r="AT1209" s="3"/>
    </row>
    <row r="1210" spans="44:46" ht="27" customHeight="1" x14ac:dyDescent="0.25">
      <c r="AR1210" s="685"/>
      <c r="AS1210" s="3"/>
      <c r="AT1210" s="3"/>
    </row>
    <row r="1211" spans="44:46" ht="27" customHeight="1" x14ac:dyDescent="0.25">
      <c r="AR1211" s="685"/>
      <c r="AS1211" s="3"/>
      <c r="AT1211" s="3"/>
    </row>
    <row r="1212" spans="44:46" ht="27" customHeight="1" x14ac:dyDescent="0.25">
      <c r="AR1212" s="685"/>
      <c r="AS1212" s="3"/>
      <c r="AT1212" s="3"/>
    </row>
    <row r="1213" spans="44:46" ht="27" customHeight="1" x14ac:dyDescent="0.25">
      <c r="AR1213" s="685"/>
      <c r="AS1213" s="3"/>
      <c r="AT1213" s="3"/>
    </row>
    <row r="1214" spans="44:46" ht="27" customHeight="1" x14ac:dyDescent="0.25">
      <c r="AR1214" s="685"/>
      <c r="AS1214" s="3"/>
      <c r="AT1214" s="3"/>
    </row>
    <row r="1215" spans="44:46" ht="27" customHeight="1" x14ac:dyDescent="0.25">
      <c r="AR1215" s="685"/>
      <c r="AS1215" s="3"/>
      <c r="AT1215" s="3"/>
    </row>
    <row r="1216" spans="44:46" ht="27" customHeight="1" x14ac:dyDescent="0.25">
      <c r="AR1216" s="685"/>
      <c r="AS1216" s="3"/>
      <c r="AT1216" s="3"/>
    </row>
    <row r="1217" spans="44:46" ht="27" customHeight="1" x14ac:dyDescent="0.25">
      <c r="AR1217" s="685"/>
      <c r="AS1217" s="3"/>
      <c r="AT1217" s="3"/>
    </row>
    <row r="1218" spans="44:46" ht="27" customHeight="1" x14ac:dyDescent="0.25">
      <c r="AR1218" s="685"/>
      <c r="AS1218" s="3"/>
      <c r="AT1218" s="3"/>
    </row>
    <row r="1219" spans="44:46" ht="27" customHeight="1" x14ac:dyDescent="0.25">
      <c r="AR1219" s="685"/>
      <c r="AS1219" s="3"/>
      <c r="AT1219" s="3"/>
    </row>
    <row r="1220" spans="44:46" ht="27" customHeight="1" x14ac:dyDescent="0.25">
      <c r="AR1220" s="685"/>
      <c r="AS1220" s="3"/>
      <c r="AT1220" s="3"/>
    </row>
    <row r="1221" spans="44:46" ht="27" customHeight="1" x14ac:dyDescent="0.25">
      <c r="AR1221" s="685"/>
      <c r="AS1221" s="3"/>
      <c r="AT1221" s="3"/>
    </row>
    <row r="1222" spans="44:46" ht="27" customHeight="1" x14ac:dyDescent="0.25">
      <c r="AR1222" s="685"/>
      <c r="AS1222" s="3"/>
      <c r="AT1222" s="3"/>
    </row>
    <row r="1223" spans="44:46" ht="27" customHeight="1" x14ac:dyDescent="0.25">
      <c r="AR1223" s="685"/>
      <c r="AS1223" s="3"/>
      <c r="AT1223" s="3"/>
    </row>
    <row r="1224" spans="44:46" ht="27" customHeight="1" x14ac:dyDescent="0.25">
      <c r="AR1224" s="685"/>
      <c r="AS1224" s="3"/>
      <c r="AT1224" s="3"/>
    </row>
    <row r="1225" spans="44:46" ht="27" customHeight="1" x14ac:dyDescent="0.25">
      <c r="AR1225" s="685"/>
      <c r="AS1225" s="3"/>
      <c r="AT1225" s="3"/>
    </row>
    <row r="1226" spans="44:46" ht="27" customHeight="1" x14ac:dyDescent="0.25">
      <c r="AR1226" s="685"/>
      <c r="AS1226" s="3"/>
      <c r="AT1226" s="3"/>
    </row>
    <row r="1227" spans="44:46" ht="27" customHeight="1" x14ac:dyDescent="0.25">
      <c r="AR1227" s="685"/>
      <c r="AS1227" s="3"/>
      <c r="AT1227" s="3"/>
    </row>
    <row r="1228" spans="44:46" ht="27" customHeight="1" x14ac:dyDescent="0.25">
      <c r="AR1228" s="685"/>
      <c r="AS1228" s="3"/>
      <c r="AT1228" s="3"/>
    </row>
    <row r="1229" spans="44:46" ht="27" customHeight="1" x14ac:dyDescent="0.25">
      <c r="AR1229" s="685"/>
      <c r="AS1229" s="3"/>
      <c r="AT1229" s="3"/>
    </row>
    <row r="1230" spans="44:46" ht="27" customHeight="1" x14ac:dyDescent="0.25">
      <c r="AR1230" s="685"/>
      <c r="AS1230" s="3"/>
      <c r="AT1230" s="3"/>
    </row>
    <row r="1231" spans="44:46" ht="27" customHeight="1" x14ac:dyDescent="0.25">
      <c r="AR1231" s="685"/>
      <c r="AS1231" s="3"/>
      <c r="AT1231" s="3"/>
    </row>
    <row r="1232" spans="44:46" ht="27" customHeight="1" x14ac:dyDescent="0.25">
      <c r="AR1232" s="685"/>
      <c r="AS1232" s="3"/>
      <c r="AT1232" s="3"/>
    </row>
    <row r="1233" spans="44:46" ht="27" customHeight="1" x14ac:dyDescent="0.25">
      <c r="AR1233" s="685"/>
      <c r="AS1233" s="3"/>
      <c r="AT1233" s="3"/>
    </row>
    <row r="1234" spans="44:46" ht="27" customHeight="1" x14ac:dyDescent="0.25">
      <c r="AR1234" s="685"/>
      <c r="AS1234" s="3"/>
      <c r="AT1234" s="3"/>
    </row>
    <row r="1235" spans="44:46" ht="27" customHeight="1" x14ac:dyDescent="0.25">
      <c r="AR1235" s="685"/>
      <c r="AS1235" s="3"/>
      <c r="AT1235" s="3"/>
    </row>
    <row r="1236" spans="44:46" ht="27" customHeight="1" x14ac:dyDescent="0.25">
      <c r="AR1236" s="685"/>
      <c r="AS1236" s="3"/>
      <c r="AT1236" s="3"/>
    </row>
    <row r="1237" spans="44:46" ht="27" customHeight="1" x14ac:dyDescent="0.25">
      <c r="AR1237" s="685"/>
      <c r="AS1237" s="3"/>
      <c r="AT1237" s="3"/>
    </row>
    <row r="1238" spans="44:46" ht="27" customHeight="1" x14ac:dyDescent="0.25">
      <c r="AR1238" s="685"/>
      <c r="AS1238" s="3"/>
      <c r="AT1238" s="3"/>
    </row>
    <row r="1239" spans="44:46" ht="27" customHeight="1" x14ac:dyDescent="0.25">
      <c r="AR1239" s="685"/>
      <c r="AS1239" s="3"/>
      <c r="AT1239" s="3"/>
    </row>
    <row r="1240" spans="44:46" ht="27" customHeight="1" x14ac:dyDescent="0.25">
      <c r="AR1240" s="685"/>
      <c r="AS1240" s="3"/>
      <c r="AT1240" s="3"/>
    </row>
    <row r="1241" spans="44:46" ht="27" customHeight="1" x14ac:dyDescent="0.25">
      <c r="AR1241" s="685"/>
      <c r="AS1241" s="3"/>
      <c r="AT1241" s="3"/>
    </row>
    <row r="1242" spans="44:46" ht="27" customHeight="1" x14ac:dyDescent="0.25">
      <c r="AR1242" s="685"/>
      <c r="AS1242" s="3"/>
      <c r="AT1242" s="3"/>
    </row>
    <row r="1243" spans="44:46" ht="27" customHeight="1" x14ac:dyDescent="0.25">
      <c r="AR1243" s="685"/>
      <c r="AS1243" s="3"/>
      <c r="AT1243" s="3"/>
    </row>
    <row r="1244" spans="44:46" ht="27" customHeight="1" x14ac:dyDescent="0.25">
      <c r="AR1244" s="685"/>
      <c r="AS1244" s="3"/>
      <c r="AT1244" s="3"/>
    </row>
    <row r="1245" spans="44:46" ht="27" customHeight="1" x14ac:dyDescent="0.25">
      <c r="AR1245" s="685"/>
      <c r="AS1245" s="3"/>
      <c r="AT1245" s="3"/>
    </row>
    <row r="1246" spans="44:46" ht="27" customHeight="1" x14ac:dyDescent="0.25">
      <c r="AR1246" s="685"/>
      <c r="AS1246" s="3"/>
      <c r="AT1246" s="3"/>
    </row>
    <row r="1247" spans="44:46" ht="27" customHeight="1" x14ac:dyDescent="0.25">
      <c r="AR1247" s="685"/>
      <c r="AS1247" s="3"/>
      <c r="AT1247" s="3"/>
    </row>
    <row r="1248" spans="44:46" ht="27" customHeight="1" x14ac:dyDescent="0.25">
      <c r="AR1248" s="685"/>
      <c r="AS1248" s="3"/>
      <c r="AT1248" s="3"/>
    </row>
    <row r="1249" spans="44:46" ht="27" customHeight="1" x14ac:dyDescent="0.25">
      <c r="AR1249" s="685"/>
      <c r="AS1249" s="3"/>
      <c r="AT1249" s="3"/>
    </row>
    <row r="1250" spans="44:46" ht="27" customHeight="1" x14ac:dyDescent="0.25">
      <c r="AR1250" s="685"/>
      <c r="AS1250" s="3"/>
      <c r="AT1250" s="3"/>
    </row>
    <row r="1251" spans="44:46" ht="27" customHeight="1" x14ac:dyDescent="0.25">
      <c r="AR1251" s="685"/>
      <c r="AS1251" s="3"/>
      <c r="AT1251" s="3"/>
    </row>
    <row r="1252" spans="44:46" ht="27" customHeight="1" x14ac:dyDescent="0.25">
      <c r="AR1252" s="685"/>
      <c r="AS1252" s="3"/>
      <c r="AT1252" s="3"/>
    </row>
    <row r="1253" spans="44:46" ht="27" customHeight="1" x14ac:dyDescent="0.25">
      <c r="AR1253" s="685"/>
      <c r="AS1253" s="3"/>
      <c r="AT1253" s="3"/>
    </row>
    <row r="1254" spans="44:46" ht="27" customHeight="1" x14ac:dyDescent="0.25">
      <c r="AR1254" s="685"/>
      <c r="AS1254" s="3"/>
      <c r="AT1254" s="3"/>
    </row>
    <row r="1255" spans="44:46" ht="27" customHeight="1" x14ac:dyDescent="0.25">
      <c r="AR1255" s="685"/>
      <c r="AS1255" s="3"/>
      <c r="AT1255" s="3"/>
    </row>
    <row r="1256" spans="44:46" ht="27" customHeight="1" x14ac:dyDescent="0.25">
      <c r="AR1256" s="685"/>
      <c r="AS1256" s="3"/>
      <c r="AT1256" s="3"/>
    </row>
    <row r="1257" spans="44:46" ht="27" customHeight="1" x14ac:dyDescent="0.25">
      <c r="AR1257" s="685"/>
      <c r="AS1257" s="3"/>
      <c r="AT1257" s="3"/>
    </row>
    <row r="1258" spans="44:46" ht="27" customHeight="1" x14ac:dyDescent="0.25">
      <c r="AR1258" s="685"/>
      <c r="AS1258" s="3"/>
      <c r="AT1258" s="3"/>
    </row>
    <row r="1259" spans="44:46" ht="27" customHeight="1" x14ac:dyDescent="0.25">
      <c r="AR1259" s="685"/>
      <c r="AS1259" s="3"/>
      <c r="AT1259" s="3"/>
    </row>
    <row r="1260" spans="44:46" ht="27" customHeight="1" x14ac:dyDescent="0.25">
      <c r="AR1260" s="685"/>
      <c r="AS1260" s="3"/>
      <c r="AT1260" s="3"/>
    </row>
    <row r="1261" spans="44:46" ht="27" customHeight="1" x14ac:dyDescent="0.25">
      <c r="AR1261" s="685"/>
      <c r="AS1261" s="3"/>
      <c r="AT1261" s="3"/>
    </row>
    <row r="1262" spans="44:46" ht="27" customHeight="1" x14ac:dyDescent="0.25">
      <c r="AR1262" s="685"/>
      <c r="AS1262" s="3"/>
      <c r="AT1262" s="3"/>
    </row>
    <row r="1263" spans="44:46" ht="27" customHeight="1" x14ac:dyDescent="0.25">
      <c r="AR1263" s="685"/>
      <c r="AS1263" s="3"/>
      <c r="AT1263" s="3"/>
    </row>
    <row r="1264" spans="44:46" ht="27" customHeight="1" x14ac:dyDescent="0.25">
      <c r="AR1264" s="685"/>
      <c r="AS1264" s="3"/>
      <c r="AT1264" s="3"/>
    </row>
    <row r="1265" spans="44:46" ht="27" customHeight="1" x14ac:dyDescent="0.25">
      <c r="AR1265" s="685"/>
      <c r="AS1265" s="3"/>
      <c r="AT1265" s="3"/>
    </row>
    <row r="1266" spans="44:46" ht="27" customHeight="1" x14ac:dyDescent="0.25">
      <c r="AR1266" s="685"/>
      <c r="AS1266" s="3"/>
      <c r="AT1266" s="3"/>
    </row>
    <row r="1267" spans="44:46" ht="27" customHeight="1" x14ac:dyDescent="0.25">
      <c r="AR1267" s="685"/>
      <c r="AS1267" s="3"/>
      <c r="AT1267" s="3"/>
    </row>
    <row r="1268" spans="44:46" ht="27" customHeight="1" x14ac:dyDescent="0.25">
      <c r="AR1268" s="685"/>
      <c r="AS1268" s="3"/>
      <c r="AT1268" s="3"/>
    </row>
    <row r="1269" spans="44:46" ht="27" customHeight="1" x14ac:dyDescent="0.25">
      <c r="AR1269" s="685"/>
      <c r="AS1269" s="3"/>
      <c r="AT1269" s="3"/>
    </row>
    <row r="1270" spans="44:46" ht="27" customHeight="1" x14ac:dyDescent="0.25">
      <c r="AR1270" s="685"/>
      <c r="AS1270" s="3"/>
      <c r="AT1270" s="3"/>
    </row>
    <row r="1271" spans="44:46" ht="27" customHeight="1" x14ac:dyDescent="0.25">
      <c r="AR1271" s="685"/>
      <c r="AS1271" s="3"/>
      <c r="AT1271" s="3"/>
    </row>
    <row r="1272" spans="44:46" ht="27" customHeight="1" x14ac:dyDescent="0.25">
      <c r="AR1272" s="685"/>
      <c r="AS1272" s="3"/>
      <c r="AT1272" s="3"/>
    </row>
    <row r="1273" spans="44:46" ht="27" customHeight="1" x14ac:dyDescent="0.25">
      <c r="AR1273" s="685"/>
      <c r="AS1273" s="3"/>
      <c r="AT1273" s="3"/>
    </row>
    <row r="1274" spans="44:46" ht="27" customHeight="1" x14ac:dyDescent="0.25">
      <c r="AR1274" s="685"/>
      <c r="AS1274" s="3"/>
      <c r="AT1274" s="3"/>
    </row>
    <row r="1275" spans="44:46" ht="27" customHeight="1" x14ac:dyDescent="0.25">
      <c r="AR1275" s="685"/>
      <c r="AS1275" s="3"/>
      <c r="AT1275" s="3"/>
    </row>
    <row r="1276" spans="44:46" ht="27" customHeight="1" x14ac:dyDescent="0.25">
      <c r="AR1276" s="685"/>
      <c r="AS1276" s="3"/>
      <c r="AT1276" s="3"/>
    </row>
    <row r="1277" spans="44:46" ht="27" customHeight="1" x14ac:dyDescent="0.25">
      <c r="AR1277" s="685"/>
      <c r="AS1277" s="3"/>
      <c r="AT1277" s="3"/>
    </row>
    <row r="1278" spans="44:46" ht="27" customHeight="1" x14ac:dyDescent="0.25">
      <c r="AR1278" s="685"/>
      <c r="AS1278" s="3"/>
      <c r="AT1278" s="3"/>
    </row>
    <row r="1279" spans="44:46" ht="27" customHeight="1" x14ac:dyDescent="0.25">
      <c r="AR1279" s="685"/>
      <c r="AS1279" s="3"/>
      <c r="AT1279" s="3"/>
    </row>
    <row r="1280" spans="44:46" ht="27" customHeight="1" x14ac:dyDescent="0.25">
      <c r="AR1280" s="685"/>
      <c r="AS1280" s="3"/>
      <c r="AT1280" s="3"/>
    </row>
    <row r="1281" spans="44:46" ht="27" customHeight="1" x14ac:dyDescent="0.25">
      <c r="AR1281" s="685"/>
      <c r="AS1281" s="3"/>
      <c r="AT1281" s="3"/>
    </row>
    <row r="1282" spans="44:46" ht="27" customHeight="1" x14ac:dyDescent="0.25">
      <c r="AR1282" s="685"/>
      <c r="AS1282" s="3"/>
      <c r="AT1282" s="3"/>
    </row>
    <row r="1283" spans="44:46" ht="27" customHeight="1" x14ac:dyDescent="0.25">
      <c r="AR1283" s="685"/>
      <c r="AS1283" s="3"/>
      <c r="AT1283" s="3"/>
    </row>
    <row r="1284" spans="44:46" ht="27" customHeight="1" x14ac:dyDescent="0.25">
      <c r="AR1284" s="685"/>
      <c r="AS1284" s="3"/>
      <c r="AT1284" s="3"/>
    </row>
    <row r="1285" spans="44:46" ht="27" customHeight="1" x14ac:dyDescent="0.25">
      <c r="AR1285" s="685"/>
      <c r="AS1285" s="3"/>
      <c r="AT1285" s="3"/>
    </row>
    <row r="1286" spans="44:46" ht="27" customHeight="1" x14ac:dyDescent="0.25">
      <c r="AR1286" s="685"/>
      <c r="AS1286" s="3"/>
      <c r="AT1286" s="3"/>
    </row>
    <row r="1287" spans="44:46" ht="27" customHeight="1" x14ac:dyDescent="0.25">
      <c r="AR1287" s="685"/>
      <c r="AS1287" s="3"/>
      <c r="AT1287" s="3"/>
    </row>
    <row r="1288" spans="44:46" ht="27" customHeight="1" x14ac:dyDescent="0.25">
      <c r="AR1288" s="685"/>
      <c r="AS1288" s="3"/>
      <c r="AT1288" s="3"/>
    </row>
    <row r="1289" spans="44:46" ht="27" customHeight="1" x14ac:dyDescent="0.25">
      <c r="AR1289" s="685"/>
      <c r="AS1289" s="3"/>
      <c r="AT1289" s="3"/>
    </row>
    <row r="1290" spans="44:46" ht="27" customHeight="1" x14ac:dyDescent="0.25">
      <c r="AR1290" s="685"/>
      <c r="AS1290" s="3"/>
      <c r="AT1290" s="3"/>
    </row>
    <row r="1291" spans="44:46" ht="27" customHeight="1" x14ac:dyDescent="0.25">
      <c r="AR1291" s="685"/>
      <c r="AS1291" s="3"/>
      <c r="AT1291" s="3"/>
    </row>
    <row r="1292" spans="44:46" ht="27" customHeight="1" x14ac:dyDescent="0.25">
      <c r="AR1292" s="685"/>
      <c r="AS1292" s="3"/>
      <c r="AT1292" s="3"/>
    </row>
    <row r="1293" spans="44:46" ht="27" customHeight="1" x14ac:dyDescent="0.25">
      <c r="AR1293" s="685"/>
      <c r="AS1293" s="3"/>
      <c r="AT1293" s="3"/>
    </row>
    <row r="1294" spans="44:46" ht="27" customHeight="1" x14ac:dyDescent="0.25">
      <c r="AR1294" s="685"/>
      <c r="AS1294" s="3"/>
      <c r="AT1294" s="3"/>
    </row>
    <row r="1295" spans="44:46" ht="27" customHeight="1" x14ac:dyDescent="0.25">
      <c r="AR1295" s="685"/>
      <c r="AS1295" s="3"/>
      <c r="AT1295" s="3"/>
    </row>
    <row r="1296" spans="44:46" ht="27" customHeight="1" x14ac:dyDescent="0.25">
      <c r="AR1296" s="685"/>
      <c r="AS1296" s="3"/>
      <c r="AT1296" s="3"/>
    </row>
    <row r="1297" spans="44:46" ht="27" customHeight="1" x14ac:dyDescent="0.25">
      <c r="AR1297" s="685"/>
      <c r="AS1297" s="3"/>
      <c r="AT1297" s="3"/>
    </row>
    <row r="1298" spans="44:46" ht="27" customHeight="1" x14ac:dyDescent="0.25">
      <c r="AR1298" s="685"/>
      <c r="AS1298" s="3"/>
      <c r="AT1298" s="3"/>
    </row>
    <row r="1299" spans="44:46" ht="27" customHeight="1" x14ac:dyDescent="0.25">
      <c r="AR1299" s="685"/>
      <c r="AS1299" s="3"/>
      <c r="AT1299" s="3"/>
    </row>
    <row r="1300" spans="44:46" ht="27" customHeight="1" x14ac:dyDescent="0.25">
      <c r="AR1300" s="685"/>
      <c r="AS1300" s="3"/>
      <c r="AT1300" s="3"/>
    </row>
    <row r="1301" spans="44:46" ht="27" customHeight="1" x14ac:dyDescent="0.25">
      <c r="AR1301" s="685"/>
      <c r="AS1301" s="3"/>
      <c r="AT1301" s="3"/>
    </row>
    <row r="1302" spans="44:46" ht="27" customHeight="1" x14ac:dyDescent="0.25">
      <c r="AR1302" s="685"/>
      <c r="AS1302" s="3"/>
      <c r="AT1302" s="3"/>
    </row>
    <row r="1303" spans="44:46" ht="27" customHeight="1" x14ac:dyDescent="0.25">
      <c r="AR1303" s="685"/>
      <c r="AS1303" s="3"/>
      <c r="AT1303" s="3"/>
    </row>
    <row r="1304" spans="44:46" ht="27" customHeight="1" x14ac:dyDescent="0.25">
      <c r="AR1304" s="685"/>
      <c r="AS1304" s="3"/>
      <c r="AT1304" s="3"/>
    </row>
    <row r="1305" spans="44:46" ht="27" customHeight="1" x14ac:dyDescent="0.25">
      <c r="AR1305" s="685"/>
      <c r="AS1305" s="3"/>
      <c r="AT1305" s="3"/>
    </row>
    <row r="1306" spans="44:46" ht="27" customHeight="1" x14ac:dyDescent="0.25">
      <c r="AR1306" s="685"/>
      <c r="AS1306" s="3"/>
      <c r="AT1306" s="3"/>
    </row>
    <row r="1307" spans="44:46" ht="27" customHeight="1" x14ac:dyDescent="0.25">
      <c r="AR1307" s="685"/>
      <c r="AS1307" s="3"/>
      <c r="AT1307" s="3"/>
    </row>
    <row r="1308" spans="44:46" ht="27" customHeight="1" x14ac:dyDescent="0.25">
      <c r="AR1308" s="685"/>
      <c r="AS1308" s="3"/>
      <c r="AT1308" s="3"/>
    </row>
    <row r="1309" spans="44:46" ht="27" customHeight="1" x14ac:dyDescent="0.25">
      <c r="AR1309" s="685"/>
      <c r="AS1309" s="3"/>
      <c r="AT1309" s="3"/>
    </row>
    <row r="1310" spans="44:46" ht="27" customHeight="1" x14ac:dyDescent="0.25">
      <c r="AR1310" s="685"/>
      <c r="AS1310" s="3"/>
      <c r="AT1310" s="3"/>
    </row>
    <row r="1311" spans="44:46" ht="27" customHeight="1" x14ac:dyDescent="0.25">
      <c r="AR1311" s="685"/>
      <c r="AS1311" s="3"/>
      <c r="AT1311" s="3"/>
    </row>
    <row r="1312" spans="44:46" ht="27" customHeight="1" x14ac:dyDescent="0.25">
      <c r="AR1312" s="685"/>
      <c r="AS1312" s="3"/>
      <c r="AT1312" s="3"/>
    </row>
    <row r="1313" spans="44:46" ht="27" customHeight="1" x14ac:dyDescent="0.25">
      <c r="AR1313" s="685"/>
      <c r="AS1313" s="3"/>
      <c r="AT1313" s="3"/>
    </row>
    <row r="1314" spans="44:46" ht="27" customHeight="1" x14ac:dyDescent="0.25">
      <c r="AR1314" s="685"/>
      <c r="AS1314" s="3"/>
      <c r="AT1314" s="3"/>
    </row>
    <row r="1315" spans="44:46" ht="27" customHeight="1" x14ac:dyDescent="0.25">
      <c r="AR1315" s="685"/>
      <c r="AS1315" s="3"/>
      <c r="AT1315" s="3"/>
    </row>
    <row r="1316" spans="44:46" ht="27" customHeight="1" x14ac:dyDescent="0.25">
      <c r="AR1316" s="685"/>
      <c r="AS1316" s="3"/>
      <c r="AT1316" s="3"/>
    </row>
    <row r="1317" spans="44:46" ht="27" customHeight="1" x14ac:dyDescent="0.25">
      <c r="AR1317" s="685"/>
      <c r="AS1317" s="3"/>
      <c r="AT1317" s="3"/>
    </row>
    <row r="1318" spans="44:46" ht="27" customHeight="1" x14ac:dyDescent="0.25">
      <c r="AR1318" s="685"/>
      <c r="AS1318" s="3"/>
      <c r="AT1318" s="3"/>
    </row>
    <row r="1319" spans="44:46" ht="27" customHeight="1" x14ac:dyDescent="0.25">
      <c r="AR1319" s="685"/>
      <c r="AS1319" s="3"/>
      <c r="AT1319" s="3"/>
    </row>
    <row r="1320" spans="44:46" ht="27" customHeight="1" x14ac:dyDescent="0.25">
      <c r="AR1320" s="685"/>
      <c r="AS1320" s="3"/>
      <c r="AT1320" s="3"/>
    </row>
    <row r="1321" spans="44:46" ht="27" customHeight="1" x14ac:dyDescent="0.25">
      <c r="AR1321" s="685"/>
      <c r="AS1321" s="3"/>
      <c r="AT1321" s="3"/>
    </row>
    <row r="1322" spans="44:46" ht="27" customHeight="1" x14ac:dyDescent="0.25">
      <c r="AR1322" s="685"/>
      <c r="AS1322" s="3"/>
      <c r="AT1322" s="3"/>
    </row>
    <row r="1323" spans="44:46" ht="27" customHeight="1" x14ac:dyDescent="0.25">
      <c r="AR1323" s="685"/>
      <c r="AS1323" s="3"/>
      <c r="AT1323" s="3"/>
    </row>
    <row r="1324" spans="44:46" ht="27" customHeight="1" x14ac:dyDescent="0.25">
      <c r="AR1324" s="685"/>
      <c r="AS1324" s="3"/>
      <c r="AT1324" s="3"/>
    </row>
    <row r="1325" spans="44:46" ht="27" customHeight="1" x14ac:dyDescent="0.25">
      <c r="AR1325" s="685"/>
      <c r="AS1325" s="3"/>
      <c r="AT1325" s="3"/>
    </row>
    <row r="1326" spans="44:46" ht="27" customHeight="1" x14ac:dyDescent="0.25">
      <c r="AR1326" s="685"/>
      <c r="AS1326" s="3"/>
      <c r="AT1326" s="3"/>
    </row>
    <row r="1327" spans="44:46" ht="27" customHeight="1" x14ac:dyDescent="0.25">
      <c r="AR1327" s="685"/>
      <c r="AS1327" s="3"/>
      <c r="AT1327" s="3"/>
    </row>
    <row r="1328" spans="44:46" ht="27" customHeight="1" x14ac:dyDescent="0.25">
      <c r="AR1328" s="685"/>
      <c r="AS1328" s="3"/>
      <c r="AT1328" s="3"/>
    </row>
    <row r="1329" spans="44:46" ht="27" customHeight="1" x14ac:dyDescent="0.25">
      <c r="AR1329" s="685"/>
      <c r="AS1329" s="3"/>
      <c r="AT1329" s="3"/>
    </row>
    <row r="1330" spans="44:46" ht="27" customHeight="1" x14ac:dyDescent="0.25">
      <c r="AR1330" s="685"/>
      <c r="AS1330" s="3"/>
      <c r="AT1330" s="3"/>
    </row>
    <row r="1331" spans="44:46" ht="27" customHeight="1" x14ac:dyDescent="0.25">
      <c r="AR1331" s="685"/>
      <c r="AS1331" s="3"/>
      <c r="AT1331" s="3"/>
    </row>
    <row r="1332" spans="44:46" ht="27" customHeight="1" x14ac:dyDescent="0.25">
      <c r="AR1332" s="685"/>
      <c r="AS1332" s="3"/>
      <c r="AT1332" s="3"/>
    </row>
    <row r="1333" spans="44:46" ht="27" customHeight="1" x14ac:dyDescent="0.25">
      <c r="AR1333" s="685"/>
      <c r="AS1333" s="3"/>
      <c r="AT1333" s="3"/>
    </row>
    <row r="1334" spans="44:46" ht="27" customHeight="1" x14ac:dyDescent="0.25">
      <c r="AR1334" s="685"/>
      <c r="AS1334" s="3"/>
      <c r="AT1334" s="3"/>
    </row>
    <row r="1335" spans="44:46" ht="27" customHeight="1" x14ac:dyDescent="0.25">
      <c r="AR1335" s="685"/>
      <c r="AS1335" s="3"/>
      <c r="AT1335" s="3"/>
    </row>
    <row r="1336" spans="44:46" ht="27" customHeight="1" x14ac:dyDescent="0.25">
      <c r="AR1336" s="685"/>
      <c r="AS1336" s="3"/>
      <c r="AT1336" s="3"/>
    </row>
    <row r="1337" spans="44:46" ht="27" customHeight="1" x14ac:dyDescent="0.25">
      <c r="AR1337" s="685"/>
      <c r="AS1337" s="3"/>
      <c r="AT1337" s="3"/>
    </row>
    <row r="1338" spans="44:46" ht="27" customHeight="1" x14ac:dyDescent="0.25">
      <c r="AR1338" s="685"/>
      <c r="AS1338" s="3"/>
      <c r="AT1338" s="3"/>
    </row>
    <row r="1339" spans="44:46" ht="27" customHeight="1" x14ac:dyDescent="0.25">
      <c r="AR1339" s="685"/>
      <c r="AS1339" s="3"/>
      <c r="AT1339" s="3"/>
    </row>
    <row r="1340" spans="44:46" ht="27" customHeight="1" x14ac:dyDescent="0.25">
      <c r="AR1340" s="685"/>
      <c r="AS1340" s="3"/>
      <c r="AT1340" s="3"/>
    </row>
    <row r="1341" spans="44:46" ht="27" customHeight="1" x14ac:dyDescent="0.25">
      <c r="AR1341" s="685"/>
      <c r="AS1341" s="3"/>
      <c r="AT1341" s="3"/>
    </row>
    <row r="1342" spans="44:46" ht="27" customHeight="1" x14ac:dyDescent="0.25">
      <c r="AR1342" s="685"/>
      <c r="AS1342" s="3"/>
      <c r="AT1342" s="3"/>
    </row>
    <row r="1343" spans="44:46" ht="27" customHeight="1" x14ac:dyDescent="0.25">
      <c r="AR1343" s="685"/>
      <c r="AS1343" s="3"/>
      <c r="AT1343" s="3"/>
    </row>
    <row r="1344" spans="44:46" ht="27" customHeight="1" x14ac:dyDescent="0.25">
      <c r="AR1344" s="685"/>
      <c r="AS1344" s="3"/>
      <c r="AT1344" s="3"/>
    </row>
    <row r="1345" spans="44:46" ht="27" customHeight="1" x14ac:dyDescent="0.25">
      <c r="AR1345" s="685"/>
      <c r="AS1345" s="3"/>
      <c r="AT1345" s="3"/>
    </row>
    <row r="1346" spans="44:46" ht="27" customHeight="1" x14ac:dyDescent="0.25">
      <c r="AR1346" s="685"/>
      <c r="AS1346" s="3"/>
      <c r="AT1346" s="3"/>
    </row>
    <row r="1347" spans="44:46" ht="27" customHeight="1" x14ac:dyDescent="0.25">
      <c r="AR1347" s="685"/>
      <c r="AS1347" s="3"/>
      <c r="AT1347" s="3"/>
    </row>
    <row r="1348" spans="44:46" ht="27" customHeight="1" x14ac:dyDescent="0.25">
      <c r="AR1348" s="685"/>
      <c r="AS1348" s="3"/>
      <c r="AT1348" s="3"/>
    </row>
    <row r="1349" spans="44:46" ht="27" customHeight="1" x14ac:dyDescent="0.25">
      <c r="AR1349" s="685"/>
      <c r="AS1349" s="3"/>
      <c r="AT1349" s="3"/>
    </row>
    <row r="1350" spans="44:46" ht="27" customHeight="1" x14ac:dyDescent="0.25">
      <c r="AR1350" s="685"/>
      <c r="AS1350" s="3"/>
      <c r="AT1350" s="3"/>
    </row>
    <row r="1351" spans="44:46" ht="27" customHeight="1" x14ac:dyDescent="0.25">
      <c r="AR1351" s="685"/>
      <c r="AS1351" s="3"/>
      <c r="AT1351" s="3"/>
    </row>
    <row r="1352" spans="44:46" ht="27" customHeight="1" x14ac:dyDescent="0.25">
      <c r="AR1352" s="685"/>
      <c r="AS1352" s="3"/>
      <c r="AT1352" s="3"/>
    </row>
    <row r="1353" spans="44:46" ht="27" customHeight="1" x14ac:dyDescent="0.25">
      <c r="AR1353" s="685"/>
      <c r="AS1353" s="3"/>
      <c r="AT1353" s="3"/>
    </row>
    <row r="1354" spans="44:46" ht="27" customHeight="1" x14ac:dyDescent="0.25">
      <c r="AR1354" s="685"/>
      <c r="AS1354" s="3"/>
      <c r="AT1354" s="3"/>
    </row>
    <row r="1355" spans="44:46" ht="27" customHeight="1" x14ac:dyDescent="0.25">
      <c r="AR1355" s="685"/>
      <c r="AS1355" s="3"/>
      <c r="AT1355" s="3"/>
    </row>
    <row r="1356" spans="44:46" ht="27" customHeight="1" x14ac:dyDescent="0.25">
      <c r="AR1356" s="685"/>
      <c r="AS1356" s="3"/>
      <c r="AT1356" s="3"/>
    </row>
    <row r="1357" spans="44:46" ht="27" customHeight="1" x14ac:dyDescent="0.25">
      <c r="AR1357" s="685"/>
      <c r="AS1357" s="3"/>
      <c r="AT1357" s="3"/>
    </row>
    <row r="1358" spans="44:46" ht="27" customHeight="1" x14ac:dyDescent="0.25">
      <c r="AR1358" s="685"/>
      <c r="AS1358" s="3"/>
      <c r="AT1358" s="3"/>
    </row>
    <row r="1359" spans="44:46" ht="27" customHeight="1" x14ac:dyDescent="0.25">
      <c r="AR1359" s="685"/>
      <c r="AS1359" s="3"/>
      <c r="AT1359" s="3"/>
    </row>
    <row r="1360" spans="44:46" ht="27" customHeight="1" x14ac:dyDescent="0.25">
      <c r="AR1360" s="685"/>
      <c r="AS1360" s="3"/>
      <c r="AT1360" s="3"/>
    </row>
    <row r="1361" spans="44:46" ht="27" customHeight="1" x14ac:dyDescent="0.25">
      <c r="AR1361" s="685"/>
      <c r="AS1361" s="3"/>
      <c r="AT1361" s="3"/>
    </row>
    <row r="1362" spans="44:46" ht="27" customHeight="1" x14ac:dyDescent="0.25">
      <c r="AR1362" s="685"/>
      <c r="AS1362" s="3"/>
      <c r="AT1362" s="3"/>
    </row>
    <row r="1363" spans="44:46" ht="27" customHeight="1" x14ac:dyDescent="0.25">
      <c r="AR1363" s="685"/>
      <c r="AS1363" s="3"/>
      <c r="AT1363" s="3"/>
    </row>
    <row r="1364" spans="44:46" ht="27" customHeight="1" x14ac:dyDescent="0.25">
      <c r="AR1364" s="685"/>
      <c r="AS1364" s="3"/>
      <c r="AT1364" s="3"/>
    </row>
    <row r="1365" spans="44:46" ht="27" customHeight="1" x14ac:dyDescent="0.25">
      <c r="AR1365" s="685"/>
      <c r="AS1365" s="3"/>
      <c r="AT1365" s="3"/>
    </row>
    <row r="1366" spans="44:46" ht="27" customHeight="1" x14ac:dyDescent="0.25">
      <c r="AR1366" s="685"/>
      <c r="AS1366" s="3"/>
      <c r="AT1366" s="3"/>
    </row>
    <row r="1367" spans="44:46" ht="27" customHeight="1" x14ac:dyDescent="0.25">
      <c r="AR1367" s="685"/>
      <c r="AS1367" s="3"/>
      <c r="AT1367" s="3"/>
    </row>
    <row r="1368" spans="44:46" ht="27" customHeight="1" x14ac:dyDescent="0.25">
      <c r="AR1368" s="685"/>
      <c r="AS1368" s="3"/>
      <c r="AT1368" s="3"/>
    </row>
    <row r="1369" spans="44:46" ht="27" customHeight="1" x14ac:dyDescent="0.25">
      <c r="AR1369" s="685"/>
      <c r="AS1369" s="3"/>
      <c r="AT1369" s="3"/>
    </row>
    <row r="1370" spans="44:46" ht="27" customHeight="1" x14ac:dyDescent="0.25">
      <c r="AR1370" s="685"/>
      <c r="AS1370" s="3"/>
      <c r="AT1370" s="3"/>
    </row>
    <row r="1371" spans="44:46" ht="27" customHeight="1" x14ac:dyDescent="0.25">
      <c r="AR1371" s="685"/>
      <c r="AS1371" s="3"/>
      <c r="AT1371" s="3"/>
    </row>
    <row r="1372" spans="44:46" ht="27" customHeight="1" x14ac:dyDescent="0.25">
      <c r="AR1372" s="685"/>
      <c r="AS1372" s="3"/>
      <c r="AT1372" s="3"/>
    </row>
    <row r="1373" spans="44:46" ht="27" customHeight="1" x14ac:dyDescent="0.25">
      <c r="AR1373" s="685"/>
      <c r="AS1373" s="3"/>
      <c r="AT1373" s="3"/>
    </row>
    <row r="1374" spans="44:46" ht="27" customHeight="1" x14ac:dyDescent="0.25">
      <c r="AR1374" s="685"/>
      <c r="AS1374" s="3"/>
      <c r="AT1374" s="3"/>
    </row>
    <row r="1375" spans="44:46" ht="27" customHeight="1" x14ac:dyDescent="0.25">
      <c r="AR1375" s="685"/>
      <c r="AS1375" s="3"/>
      <c r="AT1375" s="3"/>
    </row>
    <row r="1376" spans="44:46" ht="27" customHeight="1" x14ac:dyDescent="0.25">
      <c r="AR1376" s="685"/>
      <c r="AS1376" s="3"/>
      <c r="AT1376" s="3"/>
    </row>
    <row r="1377" spans="44:46" ht="27" customHeight="1" x14ac:dyDescent="0.25">
      <c r="AR1377" s="685"/>
      <c r="AS1377" s="3"/>
      <c r="AT1377" s="3"/>
    </row>
    <row r="1378" spans="44:46" ht="27" customHeight="1" x14ac:dyDescent="0.25">
      <c r="AR1378" s="685"/>
      <c r="AS1378" s="3"/>
      <c r="AT1378" s="3"/>
    </row>
    <row r="1379" spans="44:46" ht="27" customHeight="1" x14ac:dyDescent="0.25">
      <c r="AR1379" s="685"/>
      <c r="AS1379" s="3"/>
      <c r="AT1379" s="3"/>
    </row>
    <row r="1380" spans="44:46" ht="27" customHeight="1" x14ac:dyDescent="0.25">
      <c r="AR1380" s="685"/>
      <c r="AS1380" s="3"/>
      <c r="AT1380" s="3"/>
    </row>
    <row r="1381" spans="44:46" ht="27" customHeight="1" x14ac:dyDescent="0.25">
      <c r="AR1381" s="685"/>
      <c r="AS1381" s="3"/>
      <c r="AT1381" s="3"/>
    </row>
    <row r="1382" spans="44:46" ht="27" customHeight="1" x14ac:dyDescent="0.25">
      <c r="AR1382" s="685"/>
      <c r="AS1382" s="3"/>
      <c r="AT1382" s="3"/>
    </row>
    <row r="1383" spans="44:46" ht="27" customHeight="1" x14ac:dyDescent="0.25">
      <c r="AR1383" s="685"/>
      <c r="AS1383" s="3"/>
      <c r="AT1383" s="3"/>
    </row>
    <row r="1384" spans="44:46" ht="27" customHeight="1" x14ac:dyDescent="0.25">
      <c r="AR1384" s="685"/>
      <c r="AS1384" s="3"/>
      <c r="AT1384" s="3"/>
    </row>
    <row r="1385" spans="44:46" ht="27" customHeight="1" x14ac:dyDescent="0.25">
      <c r="AR1385" s="685"/>
      <c r="AS1385" s="3"/>
      <c r="AT1385" s="3"/>
    </row>
    <row r="1386" spans="44:46" ht="27" customHeight="1" x14ac:dyDescent="0.25">
      <c r="AR1386" s="685"/>
      <c r="AS1386" s="3"/>
      <c r="AT1386" s="3"/>
    </row>
    <row r="1387" spans="44:46" ht="27" customHeight="1" x14ac:dyDescent="0.25">
      <c r="AR1387" s="685"/>
      <c r="AS1387" s="3"/>
      <c r="AT1387" s="3"/>
    </row>
    <row r="1388" spans="44:46" ht="27" customHeight="1" x14ac:dyDescent="0.25">
      <c r="AR1388" s="685"/>
      <c r="AS1388" s="3"/>
      <c r="AT1388" s="3"/>
    </row>
    <row r="1389" spans="44:46" ht="27" customHeight="1" x14ac:dyDescent="0.25">
      <c r="AR1389" s="685"/>
      <c r="AS1389" s="3"/>
      <c r="AT1389" s="3"/>
    </row>
    <row r="1390" spans="44:46" ht="27" customHeight="1" x14ac:dyDescent="0.25">
      <c r="AR1390" s="685"/>
      <c r="AS1390" s="3"/>
      <c r="AT1390" s="3"/>
    </row>
    <row r="1391" spans="44:46" ht="27" customHeight="1" x14ac:dyDescent="0.25">
      <c r="AR1391" s="685"/>
      <c r="AS1391" s="3"/>
      <c r="AT1391" s="3"/>
    </row>
    <row r="1392" spans="44:46" ht="27" customHeight="1" x14ac:dyDescent="0.25">
      <c r="AR1392" s="685"/>
      <c r="AS1392" s="3"/>
      <c r="AT1392" s="3"/>
    </row>
    <row r="1393" spans="44:46" ht="27" customHeight="1" x14ac:dyDescent="0.25">
      <c r="AR1393" s="685"/>
      <c r="AS1393" s="3"/>
      <c r="AT1393" s="3"/>
    </row>
    <row r="1394" spans="44:46" ht="27" customHeight="1" x14ac:dyDescent="0.25">
      <c r="AR1394" s="685"/>
      <c r="AS1394" s="3"/>
      <c r="AT1394" s="3"/>
    </row>
    <row r="1395" spans="44:46" ht="27" customHeight="1" x14ac:dyDescent="0.25">
      <c r="AR1395" s="685"/>
      <c r="AS1395" s="3"/>
      <c r="AT1395" s="3"/>
    </row>
    <row r="1396" spans="44:46" ht="27" customHeight="1" x14ac:dyDescent="0.25">
      <c r="AR1396" s="685"/>
      <c r="AS1396" s="3"/>
      <c r="AT1396" s="3"/>
    </row>
    <row r="1397" spans="44:46" ht="27" customHeight="1" x14ac:dyDescent="0.25">
      <c r="AR1397" s="685"/>
      <c r="AS1397" s="3"/>
      <c r="AT1397" s="3"/>
    </row>
    <row r="1398" spans="44:46" ht="27" customHeight="1" x14ac:dyDescent="0.25">
      <c r="AR1398" s="685"/>
      <c r="AS1398" s="3"/>
      <c r="AT1398" s="3"/>
    </row>
    <row r="1399" spans="44:46" ht="27" customHeight="1" x14ac:dyDescent="0.25">
      <c r="AR1399" s="685"/>
      <c r="AS1399" s="3"/>
      <c r="AT1399" s="3"/>
    </row>
    <row r="1400" spans="44:46" ht="27" customHeight="1" x14ac:dyDescent="0.25">
      <c r="AR1400" s="685"/>
      <c r="AS1400" s="3"/>
      <c r="AT1400" s="3"/>
    </row>
    <row r="1401" spans="44:46" ht="27" customHeight="1" x14ac:dyDescent="0.25">
      <c r="AR1401" s="685"/>
      <c r="AS1401" s="3"/>
      <c r="AT1401" s="3"/>
    </row>
    <row r="1402" spans="44:46" ht="27" customHeight="1" x14ac:dyDescent="0.25">
      <c r="AR1402" s="685"/>
      <c r="AS1402" s="3"/>
      <c r="AT1402" s="3"/>
    </row>
    <row r="1403" spans="44:46" ht="27" customHeight="1" x14ac:dyDescent="0.25">
      <c r="AR1403" s="685"/>
      <c r="AS1403" s="3"/>
      <c r="AT1403" s="3"/>
    </row>
    <row r="1404" spans="44:46" ht="27" customHeight="1" x14ac:dyDescent="0.25">
      <c r="AR1404" s="685"/>
      <c r="AS1404" s="3"/>
      <c r="AT1404" s="3"/>
    </row>
    <row r="1405" spans="44:46" ht="27" customHeight="1" x14ac:dyDescent="0.25">
      <c r="AR1405" s="685"/>
      <c r="AS1405" s="3"/>
      <c r="AT1405" s="3"/>
    </row>
    <row r="1406" spans="44:46" ht="27" customHeight="1" x14ac:dyDescent="0.25">
      <c r="AR1406" s="685"/>
      <c r="AS1406" s="3"/>
      <c r="AT1406" s="3"/>
    </row>
    <row r="1407" spans="44:46" ht="27" customHeight="1" x14ac:dyDescent="0.25">
      <c r="AR1407" s="685"/>
      <c r="AS1407" s="3"/>
      <c r="AT1407" s="3"/>
    </row>
    <row r="1408" spans="44:46" ht="27" customHeight="1" x14ac:dyDescent="0.25">
      <c r="AR1408" s="685"/>
      <c r="AS1408" s="3"/>
      <c r="AT1408" s="3"/>
    </row>
    <row r="1409" spans="44:46" ht="27" customHeight="1" x14ac:dyDescent="0.25">
      <c r="AR1409" s="685"/>
      <c r="AS1409" s="3"/>
      <c r="AT1409" s="3"/>
    </row>
    <row r="1410" spans="44:46" ht="27" customHeight="1" x14ac:dyDescent="0.25">
      <c r="AR1410" s="685"/>
      <c r="AS1410" s="3"/>
      <c r="AT1410" s="3"/>
    </row>
    <row r="1411" spans="44:46" ht="27" customHeight="1" x14ac:dyDescent="0.25">
      <c r="AR1411" s="685"/>
      <c r="AS1411" s="3"/>
      <c r="AT1411" s="3"/>
    </row>
    <row r="1412" spans="44:46" ht="27" customHeight="1" x14ac:dyDescent="0.25">
      <c r="AR1412" s="685"/>
      <c r="AS1412" s="3"/>
      <c r="AT1412" s="3"/>
    </row>
    <row r="1413" spans="44:46" ht="27" customHeight="1" x14ac:dyDescent="0.25">
      <c r="AR1413" s="685"/>
      <c r="AS1413" s="3"/>
      <c r="AT1413" s="3"/>
    </row>
    <row r="1414" spans="44:46" ht="27" customHeight="1" x14ac:dyDescent="0.25">
      <c r="AR1414" s="685"/>
      <c r="AS1414" s="3"/>
      <c r="AT1414" s="3"/>
    </row>
    <row r="1415" spans="44:46" ht="27" customHeight="1" x14ac:dyDescent="0.25">
      <c r="AR1415" s="685"/>
      <c r="AS1415" s="3"/>
      <c r="AT1415" s="3"/>
    </row>
    <row r="1416" spans="44:46" ht="27" customHeight="1" x14ac:dyDescent="0.25">
      <c r="AR1416" s="685"/>
      <c r="AS1416" s="3"/>
      <c r="AT1416" s="3"/>
    </row>
    <row r="1417" spans="44:46" ht="27" customHeight="1" x14ac:dyDescent="0.25">
      <c r="AR1417" s="685"/>
      <c r="AS1417" s="3"/>
      <c r="AT1417" s="3"/>
    </row>
    <row r="1418" spans="44:46" ht="27" customHeight="1" x14ac:dyDescent="0.25">
      <c r="AR1418" s="685"/>
      <c r="AS1418" s="3"/>
      <c r="AT1418" s="3"/>
    </row>
    <row r="1419" spans="44:46" ht="27" customHeight="1" x14ac:dyDescent="0.25">
      <c r="AR1419" s="685"/>
      <c r="AS1419" s="3"/>
      <c r="AT1419" s="3"/>
    </row>
    <row r="1420" spans="44:46" ht="27" customHeight="1" x14ac:dyDescent="0.25">
      <c r="AR1420" s="685"/>
      <c r="AS1420" s="3"/>
      <c r="AT1420" s="3"/>
    </row>
    <row r="1421" spans="44:46" ht="27" customHeight="1" x14ac:dyDescent="0.25">
      <c r="AR1421" s="685"/>
      <c r="AS1421" s="3"/>
      <c r="AT1421" s="3"/>
    </row>
    <row r="1422" spans="44:46" ht="27" customHeight="1" x14ac:dyDescent="0.25">
      <c r="AR1422" s="685"/>
      <c r="AS1422" s="3"/>
      <c r="AT1422" s="3"/>
    </row>
    <row r="1423" spans="44:46" ht="27" customHeight="1" x14ac:dyDescent="0.25">
      <c r="AR1423" s="685"/>
      <c r="AS1423" s="3"/>
      <c r="AT1423" s="3"/>
    </row>
    <row r="1424" spans="44:46" ht="27" customHeight="1" x14ac:dyDescent="0.25">
      <c r="AR1424" s="685"/>
      <c r="AS1424" s="3"/>
      <c r="AT1424" s="3"/>
    </row>
    <row r="1425" spans="44:46" ht="27" customHeight="1" x14ac:dyDescent="0.25">
      <c r="AR1425" s="685"/>
      <c r="AS1425" s="3"/>
      <c r="AT1425" s="3"/>
    </row>
    <row r="1426" spans="44:46" ht="27" customHeight="1" x14ac:dyDescent="0.25">
      <c r="AR1426" s="685"/>
      <c r="AS1426" s="3"/>
      <c r="AT1426" s="3"/>
    </row>
    <row r="1427" spans="44:46" ht="27" customHeight="1" x14ac:dyDescent="0.25">
      <c r="AR1427" s="685"/>
      <c r="AS1427" s="3"/>
      <c r="AT1427" s="3"/>
    </row>
    <row r="1428" spans="44:46" ht="27" customHeight="1" x14ac:dyDescent="0.25">
      <c r="AR1428" s="685"/>
      <c r="AS1428" s="3"/>
      <c r="AT1428" s="3"/>
    </row>
    <row r="1429" spans="44:46" ht="27" customHeight="1" x14ac:dyDescent="0.25">
      <c r="AR1429" s="685"/>
      <c r="AS1429" s="3"/>
      <c r="AT1429" s="3"/>
    </row>
    <row r="1430" spans="44:46" ht="27" customHeight="1" x14ac:dyDescent="0.25">
      <c r="AR1430" s="685"/>
      <c r="AS1430" s="3"/>
      <c r="AT1430" s="3"/>
    </row>
    <row r="1431" spans="44:46" ht="27" customHeight="1" x14ac:dyDescent="0.25">
      <c r="AR1431" s="685"/>
      <c r="AS1431" s="3"/>
      <c r="AT1431" s="3"/>
    </row>
    <row r="1432" spans="44:46" ht="27" customHeight="1" x14ac:dyDescent="0.25">
      <c r="AR1432" s="685"/>
      <c r="AS1432" s="3"/>
      <c r="AT1432" s="3"/>
    </row>
    <row r="1433" spans="44:46" ht="27" customHeight="1" x14ac:dyDescent="0.25">
      <c r="AR1433" s="685"/>
      <c r="AS1433" s="3"/>
      <c r="AT1433" s="3"/>
    </row>
    <row r="1434" spans="44:46" ht="27" customHeight="1" x14ac:dyDescent="0.25">
      <c r="AR1434" s="685"/>
      <c r="AS1434" s="3"/>
      <c r="AT1434" s="3"/>
    </row>
    <row r="1435" spans="44:46" ht="27" customHeight="1" x14ac:dyDescent="0.25">
      <c r="AR1435" s="685"/>
      <c r="AS1435" s="3"/>
      <c r="AT1435" s="3"/>
    </row>
    <row r="1436" spans="44:46" ht="27" customHeight="1" x14ac:dyDescent="0.25">
      <c r="AR1436" s="685"/>
      <c r="AS1436" s="3"/>
      <c r="AT1436" s="3"/>
    </row>
    <row r="1437" spans="44:46" ht="27" customHeight="1" x14ac:dyDescent="0.25">
      <c r="AR1437" s="685"/>
      <c r="AS1437" s="3"/>
      <c r="AT1437" s="3"/>
    </row>
    <row r="1438" spans="44:46" ht="27" customHeight="1" x14ac:dyDescent="0.25">
      <c r="AR1438" s="685"/>
      <c r="AS1438" s="3"/>
      <c r="AT1438" s="3"/>
    </row>
    <row r="1439" spans="44:46" ht="27" customHeight="1" x14ac:dyDescent="0.25">
      <c r="AR1439" s="685"/>
      <c r="AS1439" s="3"/>
      <c r="AT1439" s="3"/>
    </row>
    <row r="1440" spans="44:46" ht="27" customHeight="1" x14ac:dyDescent="0.25">
      <c r="AR1440" s="685"/>
      <c r="AS1440" s="3"/>
      <c r="AT1440" s="3"/>
    </row>
    <row r="1441" spans="44:46" ht="27" customHeight="1" x14ac:dyDescent="0.25">
      <c r="AR1441" s="685"/>
      <c r="AS1441" s="3"/>
      <c r="AT1441" s="3"/>
    </row>
    <row r="1442" spans="44:46" ht="27" customHeight="1" x14ac:dyDescent="0.25">
      <c r="AR1442" s="685"/>
      <c r="AS1442" s="3"/>
      <c r="AT1442" s="3"/>
    </row>
    <row r="1443" spans="44:46" ht="27" customHeight="1" x14ac:dyDescent="0.25">
      <c r="AR1443" s="685"/>
      <c r="AS1443" s="3"/>
      <c r="AT1443" s="3"/>
    </row>
    <row r="1444" spans="44:46" ht="27" customHeight="1" x14ac:dyDescent="0.25">
      <c r="AR1444" s="685"/>
      <c r="AS1444" s="3"/>
      <c r="AT1444" s="3"/>
    </row>
    <row r="1445" spans="44:46" ht="27" customHeight="1" x14ac:dyDescent="0.25">
      <c r="AR1445" s="685"/>
      <c r="AS1445" s="3"/>
      <c r="AT1445" s="3"/>
    </row>
    <row r="1446" spans="44:46" ht="27" customHeight="1" x14ac:dyDescent="0.25">
      <c r="AR1446" s="685"/>
      <c r="AS1446" s="3"/>
      <c r="AT1446" s="3"/>
    </row>
    <row r="1447" spans="44:46" ht="27" customHeight="1" x14ac:dyDescent="0.25">
      <c r="AR1447" s="685"/>
      <c r="AS1447" s="3"/>
      <c r="AT1447" s="3"/>
    </row>
    <row r="1448" spans="44:46" ht="27" customHeight="1" x14ac:dyDescent="0.25">
      <c r="AR1448" s="685"/>
      <c r="AS1448" s="3"/>
      <c r="AT1448" s="3"/>
    </row>
    <row r="1449" spans="44:46" ht="27" customHeight="1" x14ac:dyDescent="0.25">
      <c r="AR1449" s="685"/>
      <c r="AS1449" s="3"/>
      <c r="AT1449" s="3"/>
    </row>
    <row r="1450" spans="44:46" ht="27" customHeight="1" x14ac:dyDescent="0.25">
      <c r="AR1450" s="685"/>
      <c r="AS1450" s="3"/>
      <c r="AT1450" s="3"/>
    </row>
    <row r="1451" spans="44:46" ht="27" customHeight="1" x14ac:dyDescent="0.25">
      <c r="AR1451" s="685"/>
      <c r="AS1451" s="3"/>
      <c r="AT1451" s="3"/>
    </row>
    <row r="1452" spans="44:46" ht="27" customHeight="1" x14ac:dyDescent="0.25">
      <c r="AR1452" s="685"/>
      <c r="AS1452" s="3"/>
      <c r="AT1452" s="3"/>
    </row>
    <row r="1453" spans="44:46" ht="27" customHeight="1" x14ac:dyDescent="0.25">
      <c r="AR1453" s="685"/>
      <c r="AS1453" s="3"/>
      <c r="AT1453" s="3"/>
    </row>
    <row r="1454" spans="44:46" ht="27" customHeight="1" x14ac:dyDescent="0.25">
      <c r="AR1454" s="685"/>
      <c r="AS1454" s="3"/>
      <c r="AT1454" s="3"/>
    </row>
    <row r="1455" spans="44:46" ht="27" customHeight="1" x14ac:dyDescent="0.25">
      <c r="AR1455" s="685"/>
      <c r="AS1455" s="3"/>
      <c r="AT1455" s="3"/>
    </row>
    <row r="1456" spans="44:46" ht="27" customHeight="1" x14ac:dyDescent="0.25">
      <c r="AR1456" s="685"/>
      <c r="AS1456" s="3"/>
      <c r="AT1456" s="3"/>
    </row>
    <row r="1457" spans="44:46" ht="27" customHeight="1" x14ac:dyDescent="0.25">
      <c r="AR1457" s="685"/>
      <c r="AS1457" s="3"/>
      <c r="AT1457" s="3"/>
    </row>
    <row r="1458" spans="44:46" ht="27" customHeight="1" x14ac:dyDescent="0.25">
      <c r="AR1458" s="685"/>
      <c r="AS1458" s="3"/>
      <c r="AT1458" s="3"/>
    </row>
    <row r="1459" spans="44:46" ht="27" customHeight="1" x14ac:dyDescent="0.25">
      <c r="AR1459" s="685"/>
      <c r="AS1459" s="3"/>
      <c r="AT1459" s="3"/>
    </row>
    <row r="1460" spans="44:46" ht="27" customHeight="1" x14ac:dyDescent="0.25">
      <c r="AR1460" s="685"/>
      <c r="AS1460" s="3"/>
      <c r="AT1460" s="3"/>
    </row>
    <row r="1461" spans="44:46" ht="27" customHeight="1" x14ac:dyDescent="0.25">
      <c r="AR1461" s="685"/>
      <c r="AS1461" s="3"/>
      <c r="AT1461" s="3"/>
    </row>
    <row r="1462" spans="44:46" ht="27" customHeight="1" x14ac:dyDescent="0.25">
      <c r="AR1462" s="685"/>
      <c r="AS1462" s="3"/>
      <c r="AT1462" s="3"/>
    </row>
    <row r="1463" spans="44:46" ht="27" customHeight="1" x14ac:dyDescent="0.25">
      <c r="AR1463" s="685"/>
      <c r="AS1463" s="3"/>
      <c r="AT1463" s="3"/>
    </row>
    <row r="1464" spans="44:46" ht="27" customHeight="1" x14ac:dyDescent="0.25">
      <c r="AR1464" s="685"/>
      <c r="AS1464" s="3"/>
      <c r="AT1464" s="3"/>
    </row>
    <row r="1465" spans="44:46" ht="27" customHeight="1" x14ac:dyDescent="0.25">
      <c r="AR1465" s="685"/>
      <c r="AS1465" s="3"/>
      <c r="AT1465" s="3"/>
    </row>
    <row r="1466" spans="44:46" ht="27" customHeight="1" x14ac:dyDescent="0.25">
      <c r="AR1466" s="685"/>
      <c r="AS1466" s="3"/>
      <c r="AT1466" s="3"/>
    </row>
    <row r="1467" spans="44:46" ht="27" customHeight="1" x14ac:dyDescent="0.25">
      <c r="AR1467" s="685"/>
      <c r="AS1467" s="3"/>
      <c r="AT1467" s="3"/>
    </row>
    <row r="1468" spans="44:46" ht="27" customHeight="1" x14ac:dyDescent="0.25">
      <c r="AR1468" s="685"/>
      <c r="AS1468" s="3"/>
      <c r="AT1468" s="3"/>
    </row>
    <row r="1469" spans="44:46" ht="27" customHeight="1" x14ac:dyDescent="0.25">
      <c r="AR1469" s="685"/>
      <c r="AS1469" s="3"/>
      <c r="AT1469" s="3"/>
    </row>
    <row r="1470" spans="44:46" ht="27" customHeight="1" x14ac:dyDescent="0.25">
      <c r="AR1470" s="685"/>
      <c r="AS1470" s="3"/>
      <c r="AT1470" s="3"/>
    </row>
    <row r="1471" spans="44:46" ht="27" customHeight="1" x14ac:dyDescent="0.25">
      <c r="AR1471" s="685"/>
      <c r="AS1471" s="3"/>
      <c r="AT1471" s="3"/>
    </row>
    <row r="1472" spans="44:46" ht="27" customHeight="1" x14ac:dyDescent="0.25">
      <c r="AR1472" s="685"/>
      <c r="AS1472" s="3"/>
      <c r="AT1472" s="3"/>
    </row>
    <row r="1473" spans="44:46" ht="27" customHeight="1" x14ac:dyDescent="0.25">
      <c r="AR1473" s="685"/>
      <c r="AS1473" s="3"/>
      <c r="AT1473" s="3"/>
    </row>
    <row r="1474" spans="44:46" ht="27" customHeight="1" x14ac:dyDescent="0.25">
      <c r="AR1474" s="685"/>
      <c r="AS1474" s="3"/>
      <c r="AT1474" s="3"/>
    </row>
    <row r="1475" spans="44:46" ht="27" customHeight="1" x14ac:dyDescent="0.25">
      <c r="AR1475" s="685"/>
      <c r="AS1475" s="3"/>
      <c r="AT1475" s="3"/>
    </row>
    <row r="1476" spans="44:46" ht="27" customHeight="1" x14ac:dyDescent="0.25">
      <c r="AR1476" s="685"/>
      <c r="AS1476" s="3"/>
      <c r="AT1476" s="3"/>
    </row>
    <row r="1477" spans="44:46" ht="27" customHeight="1" x14ac:dyDescent="0.25">
      <c r="AR1477" s="685"/>
      <c r="AS1477" s="3"/>
      <c r="AT1477" s="3"/>
    </row>
    <row r="1478" spans="44:46" ht="27" customHeight="1" x14ac:dyDescent="0.25">
      <c r="AR1478" s="685"/>
      <c r="AS1478" s="3"/>
      <c r="AT1478" s="3"/>
    </row>
    <row r="1479" spans="44:46" ht="27" customHeight="1" x14ac:dyDescent="0.25">
      <c r="AR1479" s="685"/>
      <c r="AS1479" s="3"/>
      <c r="AT1479" s="3"/>
    </row>
    <row r="1480" spans="44:46" ht="27" customHeight="1" x14ac:dyDescent="0.25">
      <c r="AR1480" s="685"/>
      <c r="AS1480" s="3"/>
      <c r="AT1480" s="3"/>
    </row>
    <row r="1481" spans="44:46" ht="27" customHeight="1" x14ac:dyDescent="0.25">
      <c r="AR1481" s="685"/>
      <c r="AS1481" s="3"/>
      <c r="AT1481" s="3"/>
    </row>
    <row r="1482" spans="44:46" ht="27" customHeight="1" x14ac:dyDescent="0.25">
      <c r="AR1482" s="685"/>
      <c r="AS1482" s="3"/>
      <c r="AT1482" s="3"/>
    </row>
    <row r="1483" spans="44:46" ht="27" customHeight="1" x14ac:dyDescent="0.25">
      <c r="AR1483" s="685"/>
      <c r="AS1483" s="3"/>
      <c r="AT1483" s="3"/>
    </row>
    <row r="1484" spans="44:46" ht="27" customHeight="1" x14ac:dyDescent="0.25">
      <c r="AR1484" s="685"/>
      <c r="AS1484" s="3"/>
      <c r="AT1484" s="3"/>
    </row>
    <row r="1485" spans="44:46" ht="27" customHeight="1" x14ac:dyDescent="0.25">
      <c r="AR1485" s="685"/>
      <c r="AS1485" s="3"/>
      <c r="AT1485" s="3"/>
    </row>
    <row r="1486" spans="44:46" ht="27" customHeight="1" x14ac:dyDescent="0.25">
      <c r="AR1486" s="685"/>
      <c r="AS1486" s="3"/>
      <c r="AT1486" s="3"/>
    </row>
    <row r="1487" spans="44:46" ht="27" customHeight="1" x14ac:dyDescent="0.25">
      <c r="AR1487" s="685"/>
      <c r="AS1487" s="3"/>
      <c r="AT1487" s="3"/>
    </row>
    <row r="1488" spans="44:46" ht="27" customHeight="1" x14ac:dyDescent="0.25">
      <c r="AR1488" s="685"/>
      <c r="AS1488" s="3"/>
      <c r="AT1488" s="3"/>
    </row>
    <row r="1489" spans="44:46" ht="27" customHeight="1" x14ac:dyDescent="0.25">
      <c r="AR1489" s="685"/>
      <c r="AS1489" s="3"/>
      <c r="AT1489" s="3"/>
    </row>
    <row r="1490" spans="44:46" ht="27" customHeight="1" x14ac:dyDescent="0.25">
      <c r="AR1490" s="685"/>
      <c r="AS1490" s="3"/>
      <c r="AT1490" s="3"/>
    </row>
    <row r="1491" spans="44:46" ht="27" customHeight="1" x14ac:dyDescent="0.25">
      <c r="AR1491" s="685"/>
      <c r="AS1491" s="3"/>
      <c r="AT1491" s="3"/>
    </row>
    <row r="1492" spans="44:46" ht="27" customHeight="1" x14ac:dyDescent="0.25">
      <c r="AR1492" s="685"/>
      <c r="AS1492" s="3"/>
      <c r="AT1492" s="3"/>
    </row>
    <row r="1493" spans="44:46" ht="27" customHeight="1" x14ac:dyDescent="0.25">
      <c r="AR1493" s="685"/>
      <c r="AS1493" s="3"/>
      <c r="AT1493" s="3"/>
    </row>
    <row r="1494" spans="44:46" ht="27" customHeight="1" x14ac:dyDescent="0.25">
      <c r="AR1494" s="685"/>
      <c r="AS1494" s="3"/>
      <c r="AT1494" s="3"/>
    </row>
    <row r="1495" spans="44:46" ht="27" customHeight="1" x14ac:dyDescent="0.25">
      <c r="AR1495" s="685"/>
      <c r="AS1495" s="3"/>
      <c r="AT1495" s="3"/>
    </row>
    <row r="1496" spans="44:46" ht="27" customHeight="1" x14ac:dyDescent="0.25">
      <c r="AR1496" s="685"/>
      <c r="AS1496" s="3"/>
      <c r="AT1496" s="3"/>
    </row>
    <row r="1497" spans="44:46" ht="27" customHeight="1" x14ac:dyDescent="0.25">
      <c r="AR1497" s="685"/>
      <c r="AS1497" s="3"/>
      <c r="AT1497" s="3"/>
    </row>
    <row r="1498" spans="44:46" ht="27" customHeight="1" x14ac:dyDescent="0.25">
      <c r="AR1498" s="685"/>
      <c r="AS1498" s="3"/>
      <c r="AT1498" s="3"/>
    </row>
    <row r="1499" spans="44:46" ht="27" customHeight="1" x14ac:dyDescent="0.25">
      <c r="AR1499" s="685"/>
      <c r="AS1499" s="3"/>
      <c r="AT1499" s="3"/>
    </row>
    <row r="1500" spans="44:46" ht="27" customHeight="1" x14ac:dyDescent="0.25">
      <c r="AR1500" s="685"/>
      <c r="AS1500" s="3"/>
      <c r="AT1500" s="3"/>
    </row>
    <row r="1501" spans="44:46" ht="27" customHeight="1" x14ac:dyDescent="0.25">
      <c r="AR1501" s="685"/>
      <c r="AS1501" s="3"/>
      <c r="AT1501" s="3"/>
    </row>
    <row r="1502" spans="44:46" ht="27" customHeight="1" x14ac:dyDescent="0.25">
      <c r="AR1502" s="685"/>
      <c r="AS1502" s="3"/>
      <c r="AT1502" s="3"/>
    </row>
    <row r="1503" spans="44:46" ht="27" customHeight="1" x14ac:dyDescent="0.25">
      <c r="AR1503" s="685"/>
      <c r="AS1503" s="3"/>
      <c r="AT1503" s="3"/>
    </row>
    <row r="1504" spans="44:46" ht="27" customHeight="1" x14ac:dyDescent="0.25">
      <c r="AR1504" s="685"/>
      <c r="AS1504" s="3"/>
      <c r="AT1504" s="3"/>
    </row>
    <row r="1505" spans="44:46" ht="27" customHeight="1" x14ac:dyDescent="0.25">
      <c r="AR1505" s="685"/>
      <c r="AS1505" s="3"/>
      <c r="AT1505" s="3"/>
    </row>
    <row r="1506" spans="44:46" ht="27" customHeight="1" x14ac:dyDescent="0.25">
      <c r="AR1506" s="685"/>
      <c r="AS1506" s="3"/>
      <c r="AT1506" s="3"/>
    </row>
    <row r="1507" spans="44:46" ht="27" customHeight="1" x14ac:dyDescent="0.25">
      <c r="AR1507" s="685"/>
      <c r="AS1507" s="3"/>
      <c r="AT1507" s="3"/>
    </row>
    <row r="1508" spans="44:46" ht="27" customHeight="1" x14ac:dyDescent="0.25">
      <c r="AR1508" s="685"/>
      <c r="AS1508" s="3"/>
      <c r="AT1508" s="3"/>
    </row>
    <row r="1509" spans="44:46" ht="27" customHeight="1" x14ac:dyDescent="0.25">
      <c r="AR1509" s="685"/>
      <c r="AS1509" s="3"/>
      <c r="AT1509" s="3"/>
    </row>
    <row r="1510" spans="44:46" ht="27" customHeight="1" x14ac:dyDescent="0.25">
      <c r="AR1510" s="685"/>
      <c r="AS1510" s="3"/>
      <c r="AT1510" s="3"/>
    </row>
    <row r="1511" spans="44:46" ht="27" customHeight="1" x14ac:dyDescent="0.25">
      <c r="AR1511" s="685"/>
      <c r="AS1511" s="3"/>
      <c r="AT1511" s="3"/>
    </row>
    <row r="1512" spans="44:46" ht="27" customHeight="1" x14ac:dyDescent="0.25">
      <c r="AR1512" s="685"/>
      <c r="AS1512" s="3"/>
      <c r="AT1512" s="3"/>
    </row>
    <row r="1513" spans="44:46" ht="27" customHeight="1" x14ac:dyDescent="0.25">
      <c r="AR1513" s="685"/>
      <c r="AS1513" s="3"/>
      <c r="AT1513" s="3"/>
    </row>
    <row r="1514" spans="44:46" ht="27" customHeight="1" x14ac:dyDescent="0.25">
      <c r="AR1514" s="685"/>
      <c r="AS1514" s="3"/>
      <c r="AT1514" s="3"/>
    </row>
    <row r="1515" spans="44:46" ht="27" customHeight="1" x14ac:dyDescent="0.25">
      <c r="AR1515" s="685"/>
      <c r="AS1515" s="3"/>
      <c r="AT1515" s="3"/>
    </row>
    <row r="1516" spans="44:46" ht="27" customHeight="1" x14ac:dyDescent="0.25">
      <c r="AR1516" s="685"/>
      <c r="AS1516" s="3"/>
      <c r="AT1516" s="3"/>
    </row>
    <row r="1517" spans="44:46" ht="27" customHeight="1" x14ac:dyDescent="0.25">
      <c r="AR1517" s="685"/>
      <c r="AS1517" s="3"/>
      <c r="AT1517" s="3"/>
    </row>
    <row r="1518" spans="44:46" ht="27" customHeight="1" x14ac:dyDescent="0.25">
      <c r="AR1518" s="685"/>
      <c r="AS1518" s="3"/>
      <c r="AT1518" s="3"/>
    </row>
    <row r="1519" spans="44:46" ht="27" customHeight="1" x14ac:dyDescent="0.25">
      <c r="AR1519" s="685"/>
      <c r="AS1519" s="3"/>
      <c r="AT1519" s="3"/>
    </row>
    <row r="1520" spans="44:46" ht="27" customHeight="1" x14ac:dyDescent="0.25">
      <c r="AR1520" s="685"/>
      <c r="AS1520" s="3"/>
      <c r="AT1520" s="3"/>
    </row>
    <row r="1521" spans="44:46" ht="27" customHeight="1" x14ac:dyDescent="0.25">
      <c r="AR1521" s="685"/>
      <c r="AS1521" s="3"/>
      <c r="AT1521" s="3"/>
    </row>
    <row r="1522" spans="44:46" ht="27" customHeight="1" x14ac:dyDescent="0.25">
      <c r="AR1522" s="685"/>
      <c r="AS1522" s="3"/>
      <c r="AT1522" s="3"/>
    </row>
    <row r="1523" spans="44:46" ht="27" customHeight="1" x14ac:dyDescent="0.25">
      <c r="AR1523" s="685"/>
      <c r="AS1523" s="3"/>
      <c r="AT1523" s="3"/>
    </row>
    <row r="1524" spans="44:46" ht="27" customHeight="1" x14ac:dyDescent="0.25">
      <c r="AR1524" s="685"/>
      <c r="AS1524" s="3"/>
      <c r="AT1524" s="3"/>
    </row>
    <row r="1525" spans="44:46" ht="27" customHeight="1" x14ac:dyDescent="0.25">
      <c r="AR1525" s="685"/>
      <c r="AS1525" s="3"/>
      <c r="AT1525" s="3"/>
    </row>
    <row r="1526" spans="44:46" ht="27" customHeight="1" x14ac:dyDescent="0.25">
      <c r="AR1526" s="685"/>
      <c r="AS1526" s="3"/>
      <c r="AT1526" s="3"/>
    </row>
    <row r="1527" spans="44:46" ht="27" customHeight="1" x14ac:dyDescent="0.25">
      <c r="AR1527" s="685"/>
      <c r="AS1527" s="3"/>
      <c r="AT1527" s="3"/>
    </row>
    <row r="1528" spans="44:46" ht="27" customHeight="1" x14ac:dyDescent="0.25">
      <c r="AR1528" s="685"/>
      <c r="AS1528" s="3"/>
      <c r="AT1528" s="3"/>
    </row>
    <row r="1529" spans="44:46" ht="27" customHeight="1" x14ac:dyDescent="0.25">
      <c r="AR1529" s="685"/>
      <c r="AS1529" s="3"/>
      <c r="AT1529" s="3"/>
    </row>
    <row r="1530" spans="44:46" ht="27" customHeight="1" x14ac:dyDescent="0.25">
      <c r="AR1530" s="685"/>
      <c r="AS1530" s="3"/>
      <c r="AT1530" s="3"/>
    </row>
    <row r="1531" spans="44:46" ht="27" customHeight="1" x14ac:dyDescent="0.25">
      <c r="AR1531" s="685"/>
      <c r="AS1531" s="3"/>
      <c r="AT1531" s="3"/>
    </row>
    <row r="1532" spans="44:46" ht="27" customHeight="1" x14ac:dyDescent="0.25">
      <c r="AR1532" s="685"/>
      <c r="AS1532" s="3"/>
      <c r="AT1532" s="3"/>
    </row>
    <row r="1533" spans="44:46" ht="27" customHeight="1" x14ac:dyDescent="0.25">
      <c r="AR1533" s="685"/>
      <c r="AS1533" s="3"/>
      <c r="AT1533" s="3"/>
    </row>
    <row r="1534" spans="44:46" ht="27" customHeight="1" x14ac:dyDescent="0.25">
      <c r="AR1534" s="685"/>
      <c r="AS1534" s="3"/>
      <c r="AT1534" s="3"/>
    </row>
    <row r="1535" spans="44:46" ht="27" customHeight="1" x14ac:dyDescent="0.25">
      <c r="AR1535" s="685"/>
      <c r="AS1535" s="3"/>
      <c r="AT1535" s="3"/>
    </row>
    <row r="1536" spans="44:46" ht="27" customHeight="1" x14ac:dyDescent="0.25">
      <c r="AR1536" s="685"/>
      <c r="AS1536" s="3"/>
      <c r="AT1536" s="3"/>
    </row>
    <row r="1537" spans="44:46" ht="27" customHeight="1" x14ac:dyDescent="0.25">
      <c r="AR1537" s="685"/>
      <c r="AS1537" s="3"/>
      <c r="AT1537" s="3"/>
    </row>
    <row r="1538" spans="44:46" ht="27" customHeight="1" x14ac:dyDescent="0.25">
      <c r="AR1538" s="685"/>
      <c r="AS1538" s="3"/>
      <c r="AT1538" s="3"/>
    </row>
    <row r="1539" spans="44:46" ht="27" customHeight="1" x14ac:dyDescent="0.25">
      <c r="AR1539" s="685"/>
      <c r="AS1539" s="3"/>
      <c r="AT1539" s="3"/>
    </row>
    <row r="1540" spans="44:46" ht="27" customHeight="1" x14ac:dyDescent="0.25">
      <c r="AR1540" s="685"/>
      <c r="AS1540" s="3"/>
      <c r="AT1540" s="3"/>
    </row>
    <row r="1541" spans="44:46" ht="27" customHeight="1" x14ac:dyDescent="0.25">
      <c r="AR1541" s="685"/>
      <c r="AS1541" s="3"/>
      <c r="AT1541" s="3"/>
    </row>
    <row r="1542" spans="44:46" ht="27" customHeight="1" x14ac:dyDescent="0.25">
      <c r="AR1542" s="685"/>
      <c r="AS1542" s="3"/>
      <c r="AT1542" s="3"/>
    </row>
    <row r="1543" spans="44:46" ht="27" customHeight="1" x14ac:dyDescent="0.25">
      <c r="AR1543" s="685"/>
      <c r="AS1543" s="3"/>
      <c r="AT1543" s="3"/>
    </row>
    <row r="1544" spans="44:46" ht="27" customHeight="1" x14ac:dyDescent="0.25">
      <c r="AR1544" s="685"/>
      <c r="AS1544" s="3"/>
      <c r="AT1544" s="3"/>
    </row>
    <row r="1545" spans="44:46" ht="27" customHeight="1" x14ac:dyDescent="0.25">
      <c r="AR1545" s="685"/>
      <c r="AS1545" s="3"/>
      <c r="AT1545" s="3"/>
    </row>
    <row r="1546" spans="44:46" ht="27" customHeight="1" x14ac:dyDescent="0.25">
      <c r="AR1546" s="685"/>
      <c r="AS1546" s="3"/>
      <c r="AT1546" s="3"/>
    </row>
    <row r="1547" spans="44:46" ht="27" customHeight="1" x14ac:dyDescent="0.25">
      <c r="AR1547" s="685"/>
      <c r="AS1547" s="3"/>
      <c r="AT1547" s="3"/>
    </row>
    <row r="1548" spans="44:46" ht="27" customHeight="1" x14ac:dyDescent="0.25">
      <c r="AR1548" s="685"/>
      <c r="AS1548" s="3"/>
      <c r="AT1548" s="3"/>
    </row>
    <row r="1549" spans="44:46" ht="27" customHeight="1" x14ac:dyDescent="0.25">
      <c r="AR1549" s="685"/>
      <c r="AS1549" s="3"/>
      <c r="AT1549" s="3"/>
    </row>
    <row r="1550" spans="44:46" ht="27" customHeight="1" x14ac:dyDescent="0.25">
      <c r="AR1550" s="685"/>
      <c r="AS1550" s="3"/>
      <c r="AT1550" s="3"/>
    </row>
    <row r="1551" spans="44:46" ht="27" customHeight="1" x14ac:dyDescent="0.25">
      <c r="AR1551" s="685"/>
      <c r="AS1551" s="3"/>
      <c r="AT1551" s="3"/>
    </row>
    <row r="1552" spans="44:46" ht="27" customHeight="1" x14ac:dyDescent="0.25">
      <c r="AR1552" s="685"/>
      <c r="AS1552" s="3"/>
      <c r="AT1552" s="3"/>
    </row>
    <row r="1553" spans="44:46" ht="27" customHeight="1" x14ac:dyDescent="0.25">
      <c r="AR1553" s="685"/>
      <c r="AS1553" s="3"/>
      <c r="AT1553" s="3"/>
    </row>
    <row r="1554" spans="44:46" ht="27" customHeight="1" x14ac:dyDescent="0.25">
      <c r="AR1554" s="685"/>
      <c r="AS1554" s="3"/>
      <c r="AT1554" s="3"/>
    </row>
    <row r="1555" spans="44:46" ht="27" customHeight="1" x14ac:dyDescent="0.25">
      <c r="AR1555" s="685"/>
      <c r="AS1555" s="3"/>
      <c r="AT1555" s="3"/>
    </row>
    <row r="1556" spans="44:46" ht="27" customHeight="1" x14ac:dyDescent="0.25">
      <c r="AR1556" s="685"/>
      <c r="AS1556" s="3"/>
      <c r="AT1556" s="3"/>
    </row>
    <row r="1557" spans="44:46" ht="27" customHeight="1" x14ac:dyDescent="0.25">
      <c r="AR1557" s="685"/>
      <c r="AS1557" s="3"/>
      <c r="AT1557" s="3"/>
    </row>
    <row r="1558" spans="44:46" ht="27" customHeight="1" x14ac:dyDescent="0.25">
      <c r="AR1558" s="685"/>
      <c r="AS1558" s="3"/>
      <c r="AT1558" s="3"/>
    </row>
    <row r="1559" spans="44:46" ht="27" customHeight="1" x14ac:dyDescent="0.25">
      <c r="AR1559" s="685"/>
      <c r="AS1559" s="3"/>
      <c r="AT1559" s="3"/>
    </row>
    <row r="1560" spans="44:46" ht="27" customHeight="1" x14ac:dyDescent="0.25">
      <c r="AR1560" s="685"/>
      <c r="AS1560" s="3"/>
      <c r="AT1560" s="3"/>
    </row>
    <row r="1561" spans="44:46" ht="27" customHeight="1" x14ac:dyDescent="0.25">
      <c r="AR1561" s="685"/>
      <c r="AS1561" s="3"/>
      <c r="AT1561" s="3"/>
    </row>
    <row r="1562" spans="44:46" ht="27" customHeight="1" x14ac:dyDescent="0.25">
      <c r="AR1562" s="685"/>
      <c r="AS1562" s="3"/>
      <c r="AT1562" s="3"/>
    </row>
    <row r="1563" spans="44:46" ht="27" customHeight="1" x14ac:dyDescent="0.25">
      <c r="AR1563" s="685"/>
      <c r="AS1563" s="3"/>
      <c r="AT1563" s="3"/>
    </row>
    <row r="1564" spans="44:46" ht="27" customHeight="1" x14ac:dyDescent="0.25">
      <c r="AR1564" s="685"/>
      <c r="AS1564" s="3"/>
      <c r="AT1564" s="3"/>
    </row>
    <row r="1565" spans="44:46" ht="27" customHeight="1" x14ac:dyDescent="0.25">
      <c r="AR1565" s="685"/>
      <c r="AS1565" s="3"/>
      <c r="AT1565" s="3"/>
    </row>
    <row r="1566" spans="44:46" ht="27" customHeight="1" x14ac:dyDescent="0.25">
      <c r="AR1566" s="685"/>
      <c r="AS1566" s="3"/>
      <c r="AT1566" s="3"/>
    </row>
    <row r="1567" spans="44:46" ht="27" customHeight="1" x14ac:dyDescent="0.25">
      <c r="AR1567" s="685"/>
      <c r="AS1567" s="3"/>
      <c r="AT1567" s="3"/>
    </row>
    <row r="1568" spans="44:46" ht="27" customHeight="1" x14ac:dyDescent="0.25">
      <c r="AR1568" s="685"/>
      <c r="AS1568" s="3"/>
      <c r="AT1568" s="3"/>
    </row>
    <row r="1569" spans="44:46" ht="27" customHeight="1" x14ac:dyDescent="0.25">
      <c r="AR1569" s="685"/>
      <c r="AS1569" s="3"/>
      <c r="AT1569" s="3"/>
    </row>
    <row r="1570" spans="44:46" ht="27" customHeight="1" x14ac:dyDescent="0.25">
      <c r="AR1570" s="685"/>
      <c r="AS1570" s="3"/>
      <c r="AT1570" s="3"/>
    </row>
    <row r="1571" spans="44:46" ht="27" customHeight="1" x14ac:dyDescent="0.25">
      <c r="AR1571" s="685"/>
      <c r="AS1571" s="3"/>
      <c r="AT1571" s="3"/>
    </row>
    <row r="1572" spans="44:46" ht="27" customHeight="1" x14ac:dyDescent="0.25">
      <c r="AR1572" s="685"/>
      <c r="AS1572" s="3"/>
      <c r="AT1572" s="3"/>
    </row>
    <row r="1573" spans="44:46" ht="27" customHeight="1" x14ac:dyDescent="0.25">
      <c r="AR1573" s="685"/>
      <c r="AS1573" s="3"/>
      <c r="AT1573" s="3"/>
    </row>
    <row r="1574" spans="44:46" ht="27" customHeight="1" x14ac:dyDescent="0.25">
      <c r="AR1574" s="685"/>
      <c r="AS1574" s="3"/>
      <c r="AT1574" s="3"/>
    </row>
    <row r="1575" spans="44:46" ht="27" customHeight="1" x14ac:dyDescent="0.25">
      <c r="AR1575" s="685"/>
      <c r="AS1575" s="3"/>
      <c r="AT1575" s="3"/>
    </row>
    <row r="1576" spans="44:46" ht="27" customHeight="1" x14ac:dyDescent="0.25">
      <c r="AR1576" s="685"/>
      <c r="AS1576" s="3"/>
      <c r="AT1576" s="3"/>
    </row>
    <row r="1577" spans="44:46" ht="27" customHeight="1" x14ac:dyDescent="0.25">
      <c r="AR1577" s="685"/>
      <c r="AS1577" s="3"/>
      <c r="AT1577" s="3"/>
    </row>
    <row r="1578" spans="44:46" ht="27" customHeight="1" x14ac:dyDescent="0.25">
      <c r="AR1578" s="685"/>
      <c r="AS1578" s="3"/>
      <c r="AT1578" s="3"/>
    </row>
    <row r="1579" spans="44:46" ht="27" customHeight="1" x14ac:dyDescent="0.25">
      <c r="AR1579" s="685"/>
      <c r="AS1579" s="3"/>
      <c r="AT1579" s="3"/>
    </row>
    <row r="1580" spans="44:46" ht="27" customHeight="1" x14ac:dyDescent="0.25">
      <c r="AR1580" s="685"/>
      <c r="AS1580" s="3"/>
      <c r="AT1580" s="3"/>
    </row>
    <row r="1581" spans="44:46" ht="27" customHeight="1" x14ac:dyDescent="0.25">
      <c r="AR1581" s="685"/>
      <c r="AS1581" s="3"/>
      <c r="AT1581" s="3"/>
    </row>
    <row r="1582" spans="44:46" ht="27" customHeight="1" x14ac:dyDescent="0.25">
      <c r="AR1582" s="685"/>
      <c r="AS1582" s="3"/>
      <c r="AT1582" s="3"/>
    </row>
    <row r="1583" spans="44:46" ht="27" customHeight="1" x14ac:dyDescent="0.25">
      <c r="AR1583" s="685"/>
      <c r="AS1583" s="3"/>
      <c r="AT1583" s="3"/>
    </row>
    <row r="1584" spans="44:46" ht="27" customHeight="1" x14ac:dyDescent="0.25">
      <c r="AR1584" s="685"/>
      <c r="AS1584" s="3"/>
      <c r="AT1584" s="3"/>
    </row>
    <row r="1585" spans="44:46" ht="27" customHeight="1" x14ac:dyDescent="0.25">
      <c r="AR1585" s="685"/>
      <c r="AS1585" s="3"/>
      <c r="AT1585" s="3"/>
    </row>
    <row r="1586" spans="44:46" ht="27" customHeight="1" x14ac:dyDescent="0.25">
      <c r="AR1586" s="685"/>
      <c r="AS1586" s="3"/>
      <c r="AT1586" s="3"/>
    </row>
    <row r="1587" spans="44:46" ht="27" customHeight="1" x14ac:dyDescent="0.25">
      <c r="AR1587" s="685"/>
      <c r="AS1587" s="3"/>
      <c r="AT1587" s="3"/>
    </row>
    <row r="1588" spans="44:46" ht="27" customHeight="1" x14ac:dyDescent="0.25">
      <c r="AR1588" s="685"/>
      <c r="AS1588" s="3"/>
      <c r="AT1588" s="3"/>
    </row>
    <row r="1589" spans="44:46" ht="27" customHeight="1" x14ac:dyDescent="0.25">
      <c r="AR1589" s="685"/>
      <c r="AS1589" s="3"/>
      <c r="AT1589" s="3"/>
    </row>
    <row r="1590" spans="44:46" ht="27" customHeight="1" x14ac:dyDescent="0.25">
      <c r="AR1590" s="685"/>
      <c r="AS1590" s="3"/>
      <c r="AT1590" s="3"/>
    </row>
    <row r="1591" spans="44:46" ht="27" customHeight="1" x14ac:dyDescent="0.25">
      <c r="AR1591" s="685"/>
      <c r="AS1591" s="3"/>
      <c r="AT1591" s="3"/>
    </row>
    <row r="1592" spans="44:46" ht="27" customHeight="1" x14ac:dyDescent="0.25">
      <c r="AR1592" s="685"/>
      <c r="AS1592" s="3"/>
      <c r="AT1592" s="3"/>
    </row>
    <row r="1593" spans="44:46" ht="27" customHeight="1" x14ac:dyDescent="0.25">
      <c r="AR1593" s="685"/>
      <c r="AS1593" s="3"/>
      <c r="AT1593" s="3"/>
    </row>
    <row r="1594" spans="44:46" ht="27" customHeight="1" x14ac:dyDescent="0.25">
      <c r="AR1594" s="685"/>
      <c r="AS1594" s="3"/>
      <c r="AT1594" s="3"/>
    </row>
    <row r="1595" spans="44:46" ht="27" customHeight="1" x14ac:dyDescent="0.25">
      <c r="AR1595" s="685"/>
      <c r="AS1595" s="3"/>
      <c r="AT1595" s="3"/>
    </row>
    <row r="1596" spans="44:46" ht="27" customHeight="1" x14ac:dyDescent="0.25">
      <c r="AR1596" s="685"/>
      <c r="AS1596" s="3"/>
      <c r="AT1596" s="3"/>
    </row>
    <row r="1597" spans="44:46" ht="27" customHeight="1" x14ac:dyDescent="0.25">
      <c r="AR1597" s="685"/>
      <c r="AS1597" s="3"/>
      <c r="AT1597" s="3"/>
    </row>
    <row r="1598" spans="44:46" ht="27" customHeight="1" x14ac:dyDescent="0.25">
      <c r="AR1598" s="685"/>
      <c r="AS1598" s="3"/>
      <c r="AT1598" s="3"/>
    </row>
    <row r="1599" spans="44:46" ht="27" customHeight="1" x14ac:dyDescent="0.25">
      <c r="AR1599" s="685"/>
      <c r="AS1599" s="3"/>
      <c r="AT1599" s="3"/>
    </row>
    <row r="1600" spans="44:46" ht="27" customHeight="1" x14ac:dyDescent="0.25">
      <c r="AR1600" s="685"/>
      <c r="AS1600" s="3"/>
      <c r="AT1600" s="3"/>
    </row>
    <row r="1601" spans="44:46" ht="27" customHeight="1" x14ac:dyDescent="0.25">
      <c r="AR1601" s="685"/>
      <c r="AS1601" s="3"/>
      <c r="AT1601" s="3"/>
    </row>
    <row r="1602" spans="44:46" ht="27" customHeight="1" x14ac:dyDescent="0.25">
      <c r="AR1602" s="685"/>
      <c r="AS1602" s="3"/>
      <c r="AT1602" s="3"/>
    </row>
    <row r="1603" spans="44:46" ht="27" customHeight="1" x14ac:dyDescent="0.25">
      <c r="AR1603" s="685"/>
      <c r="AS1603" s="3"/>
      <c r="AT1603" s="3"/>
    </row>
    <row r="1604" spans="44:46" ht="27" customHeight="1" x14ac:dyDescent="0.25">
      <c r="AR1604" s="685"/>
      <c r="AS1604" s="3"/>
      <c r="AT1604" s="3"/>
    </row>
    <row r="1605" spans="44:46" ht="27" customHeight="1" x14ac:dyDescent="0.25">
      <c r="AR1605" s="685"/>
      <c r="AS1605" s="3"/>
      <c r="AT1605" s="3"/>
    </row>
    <row r="1606" spans="44:46" ht="27" customHeight="1" x14ac:dyDescent="0.25">
      <c r="AR1606" s="685"/>
      <c r="AS1606" s="3"/>
      <c r="AT1606" s="3"/>
    </row>
    <row r="1607" spans="44:46" ht="27" customHeight="1" x14ac:dyDescent="0.25">
      <c r="AR1607" s="685"/>
      <c r="AS1607" s="3"/>
      <c r="AT1607" s="3"/>
    </row>
    <row r="1608" spans="44:46" ht="27" customHeight="1" x14ac:dyDescent="0.25">
      <c r="AR1608" s="685"/>
      <c r="AS1608" s="3"/>
      <c r="AT1608" s="3"/>
    </row>
    <row r="1609" spans="44:46" ht="27" customHeight="1" x14ac:dyDescent="0.25">
      <c r="AR1609" s="685"/>
      <c r="AS1609" s="3"/>
      <c r="AT1609" s="3"/>
    </row>
    <row r="1610" spans="44:46" ht="27" customHeight="1" x14ac:dyDescent="0.25">
      <c r="AR1610" s="685"/>
      <c r="AS1610" s="3"/>
      <c r="AT1610" s="3"/>
    </row>
    <row r="1611" spans="44:46" ht="27" customHeight="1" x14ac:dyDescent="0.25">
      <c r="AR1611" s="685"/>
      <c r="AS1611" s="3"/>
      <c r="AT1611" s="3"/>
    </row>
    <row r="1612" spans="44:46" ht="27" customHeight="1" x14ac:dyDescent="0.25">
      <c r="AR1612" s="685"/>
      <c r="AS1612" s="3"/>
      <c r="AT1612" s="3"/>
    </row>
    <row r="1613" spans="44:46" ht="27" customHeight="1" x14ac:dyDescent="0.25">
      <c r="AR1613" s="685"/>
      <c r="AS1613" s="3"/>
      <c r="AT1613" s="3"/>
    </row>
    <row r="1614" spans="44:46" ht="27" customHeight="1" x14ac:dyDescent="0.25">
      <c r="AR1614" s="685"/>
      <c r="AS1614" s="3"/>
      <c r="AT1614" s="3"/>
    </row>
    <row r="1615" spans="44:46" ht="27" customHeight="1" x14ac:dyDescent="0.25">
      <c r="AR1615" s="685"/>
      <c r="AS1615" s="3"/>
      <c r="AT1615" s="3"/>
    </row>
    <row r="1616" spans="44:46" ht="27" customHeight="1" x14ac:dyDescent="0.25">
      <c r="AR1616" s="685"/>
      <c r="AS1616" s="3"/>
      <c r="AT1616" s="3"/>
    </row>
    <row r="1617" spans="44:46" ht="27" customHeight="1" x14ac:dyDescent="0.25">
      <c r="AR1617" s="685"/>
      <c r="AS1617" s="3"/>
      <c r="AT1617" s="3"/>
    </row>
    <row r="1618" spans="44:46" ht="27" customHeight="1" x14ac:dyDescent="0.25">
      <c r="AR1618" s="685"/>
      <c r="AS1618" s="3"/>
      <c r="AT1618" s="3"/>
    </row>
    <row r="1619" spans="44:46" ht="27" customHeight="1" x14ac:dyDescent="0.25">
      <c r="AR1619" s="685"/>
      <c r="AS1619" s="3"/>
      <c r="AT1619" s="3"/>
    </row>
    <row r="1620" spans="44:46" ht="27" customHeight="1" x14ac:dyDescent="0.25">
      <c r="AR1620" s="685"/>
      <c r="AS1620" s="3"/>
      <c r="AT1620" s="3"/>
    </row>
    <row r="1621" spans="44:46" ht="27" customHeight="1" x14ac:dyDescent="0.25">
      <c r="AR1621" s="685"/>
      <c r="AS1621" s="3"/>
      <c r="AT1621" s="3"/>
    </row>
    <row r="1622" spans="44:46" ht="27" customHeight="1" x14ac:dyDescent="0.25">
      <c r="AR1622" s="685"/>
      <c r="AS1622" s="3"/>
      <c r="AT1622" s="3"/>
    </row>
    <row r="1623" spans="44:46" ht="27" customHeight="1" x14ac:dyDescent="0.25">
      <c r="AR1623" s="685"/>
      <c r="AS1623" s="3"/>
      <c r="AT1623" s="3"/>
    </row>
    <row r="1624" spans="44:46" ht="27" customHeight="1" x14ac:dyDescent="0.25">
      <c r="AR1624" s="685"/>
      <c r="AS1624" s="3"/>
      <c r="AT1624" s="3"/>
    </row>
    <row r="1625" spans="44:46" ht="27" customHeight="1" x14ac:dyDescent="0.25">
      <c r="AR1625" s="685"/>
      <c r="AS1625" s="3"/>
      <c r="AT1625" s="3"/>
    </row>
    <row r="1626" spans="44:46" ht="27" customHeight="1" x14ac:dyDescent="0.25">
      <c r="AR1626" s="685"/>
      <c r="AS1626" s="3"/>
      <c r="AT1626" s="3"/>
    </row>
    <row r="1627" spans="44:46" ht="27" customHeight="1" x14ac:dyDescent="0.25">
      <c r="AR1627" s="685"/>
      <c r="AS1627" s="3"/>
      <c r="AT1627" s="3"/>
    </row>
    <row r="1628" spans="44:46" ht="27" customHeight="1" x14ac:dyDescent="0.25">
      <c r="AR1628" s="685"/>
      <c r="AS1628" s="3"/>
      <c r="AT1628" s="3"/>
    </row>
    <row r="1629" spans="44:46" ht="27" customHeight="1" x14ac:dyDescent="0.25">
      <c r="AR1629" s="685"/>
      <c r="AS1629" s="3"/>
      <c r="AT1629" s="3"/>
    </row>
    <row r="1630" spans="44:46" ht="27" customHeight="1" x14ac:dyDescent="0.25">
      <c r="AR1630" s="685"/>
      <c r="AS1630" s="3"/>
      <c r="AT1630" s="3"/>
    </row>
    <row r="1631" spans="44:46" ht="27" customHeight="1" x14ac:dyDescent="0.25">
      <c r="AR1631" s="685"/>
      <c r="AS1631" s="3"/>
      <c r="AT1631" s="3"/>
    </row>
    <row r="1632" spans="44:46" ht="27" customHeight="1" x14ac:dyDescent="0.25">
      <c r="AR1632" s="685"/>
      <c r="AS1632" s="3"/>
      <c r="AT1632" s="3"/>
    </row>
    <row r="1633" spans="44:46" ht="27" customHeight="1" x14ac:dyDescent="0.25">
      <c r="AR1633" s="685"/>
      <c r="AS1633" s="3"/>
      <c r="AT1633" s="3"/>
    </row>
    <row r="1634" spans="44:46" ht="27" customHeight="1" x14ac:dyDescent="0.25">
      <c r="AR1634" s="685"/>
      <c r="AS1634" s="3"/>
      <c r="AT1634" s="3"/>
    </row>
    <row r="1635" spans="44:46" ht="27" customHeight="1" x14ac:dyDescent="0.25">
      <c r="AR1635" s="685"/>
      <c r="AS1635" s="3"/>
      <c r="AT1635" s="3"/>
    </row>
  </sheetData>
  <sheetProtection algorithmName="SHA-512" hashValue="jHzOUcQ6ne8jgjrpv8485zlqPxbjjNYcHt4YEmYn9631ZTyOH4Q0GU7k5DHrTifwFE5g1EL8dv7ZS6euYwq+yw==" saltValue="XpCPharxVoCk08qFWLS5SQ==" spinCount="100000" sheet="1" objects="1" scenarios="1"/>
  <mergeCells count="533">
    <mergeCell ref="AS77:AS79"/>
    <mergeCell ref="AM77:AM79"/>
    <mergeCell ref="AN77:AN79"/>
    <mergeCell ref="AO77:AO79"/>
    <mergeCell ref="AP77:AP79"/>
    <mergeCell ref="AQ77:AQ79"/>
    <mergeCell ref="AR77:AR79"/>
    <mergeCell ref="AG77:AG79"/>
    <mergeCell ref="AH77:AH79"/>
    <mergeCell ref="AI77:AI79"/>
    <mergeCell ref="AJ77:AJ79"/>
    <mergeCell ref="AK77:AK79"/>
    <mergeCell ref="AL77:AL79"/>
    <mergeCell ref="AA77:AA79"/>
    <mergeCell ref="AB77:AB79"/>
    <mergeCell ref="AC77:AC79"/>
    <mergeCell ref="AD77:AD79"/>
    <mergeCell ref="AE77:AE79"/>
    <mergeCell ref="AF77:AF79"/>
    <mergeCell ref="AO73:AO75"/>
    <mergeCell ref="AP73:AP75"/>
    <mergeCell ref="AQ73:AQ75"/>
    <mergeCell ref="AB73:AB75"/>
    <mergeCell ref="AR73:AR75"/>
    <mergeCell ref="AS73:AS75"/>
    <mergeCell ref="P77:P79"/>
    <mergeCell ref="Q77:Q79"/>
    <mergeCell ref="S77:S79"/>
    <mergeCell ref="T77:T79"/>
    <mergeCell ref="U77:U79"/>
    <mergeCell ref="AI73:AI75"/>
    <mergeCell ref="AJ73:AJ75"/>
    <mergeCell ref="AK73:AK75"/>
    <mergeCell ref="AL73:AL75"/>
    <mergeCell ref="AM73:AM75"/>
    <mergeCell ref="AN73:AN75"/>
    <mergeCell ref="AC73:AC75"/>
    <mergeCell ref="AD73:AD75"/>
    <mergeCell ref="AE73:AE75"/>
    <mergeCell ref="AF73:AF75"/>
    <mergeCell ref="AG73:AG75"/>
    <mergeCell ref="AH73:AH75"/>
    <mergeCell ref="P73:P75"/>
    <mergeCell ref="Q73:Q75"/>
    <mergeCell ref="S73:S75"/>
    <mergeCell ref="T73:T75"/>
    <mergeCell ref="AA73:AA75"/>
    <mergeCell ref="F72:L72"/>
    <mergeCell ref="AI67:AI69"/>
    <mergeCell ref="AJ67:AJ69"/>
    <mergeCell ref="AK67:AK69"/>
    <mergeCell ref="AL67:AL69"/>
    <mergeCell ref="AM67:AM69"/>
    <mergeCell ref="AN67:AN69"/>
    <mergeCell ref="AC67:AC69"/>
    <mergeCell ref="AD67:AD69"/>
    <mergeCell ref="AE67:AE69"/>
    <mergeCell ref="AF67:AF69"/>
    <mergeCell ref="AG67:AG69"/>
    <mergeCell ref="AH67:AH69"/>
    <mergeCell ref="U67:U69"/>
    <mergeCell ref="V67:V69"/>
    <mergeCell ref="Y67:Y68"/>
    <mergeCell ref="Z67:Z68"/>
    <mergeCell ref="AA67:AA69"/>
    <mergeCell ref="AB67:AB69"/>
    <mergeCell ref="G67:G69"/>
    <mergeCell ref="H67:H69"/>
    <mergeCell ref="I67:I69"/>
    <mergeCell ref="J67:J69"/>
    <mergeCell ref="K67:K69"/>
    <mergeCell ref="L67:L69"/>
    <mergeCell ref="M67:M69"/>
    <mergeCell ref="N67:N69"/>
    <mergeCell ref="AL65:AL66"/>
    <mergeCell ref="AF65:AF66"/>
    <mergeCell ref="AG65:AG66"/>
    <mergeCell ref="AJ65:AJ66"/>
    <mergeCell ref="O67:O69"/>
    <mergeCell ref="P67:P69"/>
    <mergeCell ref="Q67:Q69"/>
    <mergeCell ref="R67:R69"/>
    <mergeCell ref="S67:S69"/>
    <mergeCell ref="T67:T69"/>
    <mergeCell ref="Y65:Y66"/>
    <mergeCell ref="AH65:AH66"/>
    <mergeCell ref="AI65:AI66"/>
    <mergeCell ref="AR65:AR66"/>
    <mergeCell ref="AS65:AS66"/>
    <mergeCell ref="AM65:AM66"/>
    <mergeCell ref="AN65:AN66"/>
    <mergeCell ref="AO65:AO66"/>
    <mergeCell ref="AP65:AP66"/>
    <mergeCell ref="AQ65:AQ66"/>
    <mergeCell ref="AO67:AO69"/>
    <mergeCell ref="AP67:AP69"/>
    <mergeCell ref="AQ67:AQ69"/>
    <mergeCell ref="AR67:AR69"/>
    <mergeCell ref="AS67:AS69"/>
    <mergeCell ref="M61:M63"/>
    <mergeCell ref="N61:N63"/>
    <mergeCell ref="O61:O63"/>
    <mergeCell ref="R61:R63"/>
    <mergeCell ref="V61:V63"/>
    <mergeCell ref="V65:V66"/>
    <mergeCell ref="AK65:AK66"/>
    <mergeCell ref="Z65:Z66"/>
    <mergeCell ref="AA65:AA66"/>
    <mergeCell ref="AB65:AB66"/>
    <mergeCell ref="AC65:AC66"/>
    <mergeCell ref="AD65:AD66"/>
    <mergeCell ref="AE65:AE66"/>
    <mergeCell ref="G65:G66"/>
    <mergeCell ref="H65:H66"/>
    <mergeCell ref="I65:I66"/>
    <mergeCell ref="J65:J66"/>
    <mergeCell ref="K65:K66"/>
    <mergeCell ref="R65:R66"/>
    <mergeCell ref="S65:S66"/>
    <mergeCell ref="T65:T66"/>
    <mergeCell ref="U65:U66"/>
    <mergeCell ref="L65:L66"/>
    <mergeCell ref="M65:M66"/>
    <mergeCell ref="N65:N66"/>
    <mergeCell ref="O65:O66"/>
    <mergeCell ref="P65:P66"/>
    <mergeCell ref="Q65:Q66"/>
    <mergeCell ref="AP57:AP64"/>
    <mergeCell ref="AQ57:AQ64"/>
    <mergeCell ref="AR57:AR64"/>
    <mergeCell ref="AS57:AS64"/>
    <mergeCell ref="G61:G63"/>
    <mergeCell ref="H61:H63"/>
    <mergeCell ref="I61:I63"/>
    <mergeCell ref="J61:J63"/>
    <mergeCell ref="K61:K63"/>
    <mergeCell ref="L61:L63"/>
    <mergeCell ref="AJ57:AJ64"/>
    <mergeCell ref="AK57:AK64"/>
    <mergeCell ref="AL57:AL64"/>
    <mergeCell ref="AM57:AM64"/>
    <mergeCell ref="AN57:AN64"/>
    <mergeCell ref="AO57:AO64"/>
    <mergeCell ref="AD57:AD64"/>
    <mergeCell ref="AE57:AE64"/>
    <mergeCell ref="AF57:AF64"/>
    <mergeCell ref="AG57:AG64"/>
    <mergeCell ref="AH57:AH64"/>
    <mergeCell ref="AI57:AI64"/>
    <mergeCell ref="T57:T64"/>
    <mergeCell ref="U57:U64"/>
    <mergeCell ref="V57:V59"/>
    <mergeCell ref="AA57:AA64"/>
    <mergeCell ref="AB57:AB64"/>
    <mergeCell ref="AC57:AC64"/>
    <mergeCell ref="N57:N59"/>
    <mergeCell ref="O57:O59"/>
    <mergeCell ref="P57:P64"/>
    <mergeCell ref="Q57:Q64"/>
    <mergeCell ref="R57:R59"/>
    <mergeCell ref="S57:S64"/>
    <mergeCell ref="AS54:AS55"/>
    <mergeCell ref="F56:L56"/>
    <mergeCell ref="E57:F69"/>
    <mergeCell ref="G57:G59"/>
    <mergeCell ref="H57:H59"/>
    <mergeCell ref="I57:I59"/>
    <mergeCell ref="J57:J59"/>
    <mergeCell ref="K57:K59"/>
    <mergeCell ref="L57:L59"/>
    <mergeCell ref="M57:M59"/>
    <mergeCell ref="AM54:AM55"/>
    <mergeCell ref="AN54:AN55"/>
    <mergeCell ref="AO54:AO55"/>
    <mergeCell ref="AP54:AP55"/>
    <mergeCell ref="AQ54:AQ55"/>
    <mergeCell ref="AR54:AR55"/>
    <mergeCell ref="AG54:AG55"/>
    <mergeCell ref="AH54:AH55"/>
    <mergeCell ref="AI54:AI55"/>
    <mergeCell ref="AJ54:AJ55"/>
    <mergeCell ref="AK54:AK55"/>
    <mergeCell ref="AL54:AL55"/>
    <mergeCell ref="AA54:AA55"/>
    <mergeCell ref="AB54:AB55"/>
    <mergeCell ref="AC54:AC55"/>
    <mergeCell ref="AD54:AD55"/>
    <mergeCell ref="AE54:AE55"/>
    <mergeCell ref="AF54:AF55"/>
    <mergeCell ref="Q54:Q55"/>
    <mergeCell ref="S54:S55"/>
    <mergeCell ref="T54:T55"/>
    <mergeCell ref="U54:U55"/>
    <mergeCell ref="Y54:Y55"/>
    <mergeCell ref="Z54:Z55"/>
    <mergeCell ref="AQ49:AQ50"/>
    <mergeCell ref="AR49:AR50"/>
    <mergeCell ref="AS49:AS50"/>
    <mergeCell ref="B51:H51"/>
    <mergeCell ref="A52:B79"/>
    <mergeCell ref="D52:K52"/>
    <mergeCell ref="C53:D79"/>
    <mergeCell ref="F53:L53"/>
    <mergeCell ref="E54:F55"/>
    <mergeCell ref="P54:P55"/>
    <mergeCell ref="AK49:AK50"/>
    <mergeCell ref="AL49:AL50"/>
    <mergeCell ref="AM49:AM50"/>
    <mergeCell ref="AN49:AN50"/>
    <mergeCell ref="AO49:AO50"/>
    <mergeCell ref="AP49:AP50"/>
    <mergeCell ref="AE49:AE50"/>
    <mergeCell ref="AF49:AF50"/>
    <mergeCell ref="AG49:AG50"/>
    <mergeCell ref="AH49:AH50"/>
    <mergeCell ref="AI49:AI50"/>
    <mergeCell ref="AJ49:AJ50"/>
    <mergeCell ref="T49:T50"/>
    <mergeCell ref="U49:U50"/>
    <mergeCell ref="AA49:AA50"/>
    <mergeCell ref="AB49:AB50"/>
    <mergeCell ref="AC49:AC50"/>
    <mergeCell ref="AD49:AD50"/>
    <mergeCell ref="V44:V45"/>
    <mergeCell ref="Y44:Y45"/>
    <mergeCell ref="Z44:Z45"/>
    <mergeCell ref="D47:J47"/>
    <mergeCell ref="C48:D50"/>
    <mergeCell ref="F48:L48"/>
    <mergeCell ref="E49:F50"/>
    <mergeCell ref="P49:P50"/>
    <mergeCell ref="Q49:Q50"/>
    <mergeCell ref="S49:S50"/>
    <mergeCell ref="L44:L45"/>
    <mergeCell ref="M44:M45"/>
    <mergeCell ref="N44:N45"/>
    <mergeCell ref="O44:O45"/>
    <mergeCell ref="R44:R45"/>
    <mergeCell ref="U44:U45"/>
    <mergeCell ref="J44:J45"/>
    <mergeCell ref="K44:K45"/>
    <mergeCell ref="AI43:AI46"/>
    <mergeCell ref="AJ43:AJ46"/>
    <mergeCell ref="AK43:AK46"/>
    <mergeCell ref="AL43:AL46"/>
    <mergeCell ref="AM43:AM46"/>
    <mergeCell ref="AN43:AN46"/>
    <mergeCell ref="AC43:AC46"/>
    <mergeCell ref="AD43:AD46"/>
    <mergeCell ref="AE43:AE46"/>
    <mergeCell ref="AF43:AF46"/>
    <mergeCell ref="AG43:AG46"/>
    <mergeCell ref="AH43:AH46"/>
    <mergeCell ref="AR40:AR41"/>
    <mergeCell ref="AS40:AS41"/>
    <mergeCell ref="F42:L42"/>
    <mergeCell ref="E43:F46"/>
    <mergeCell ref="P43:P46"/>
    <mergeCell ref="Q43:Q46"/>
    <mergeCell ref="S43:S46"/>
    <mergeCell ref="T43:T46"/>
    <mergeCell ref="AA43:AA46"/>
    <mergeCell ref="AB43:AB46"/>
    <mergeCell ref="E40:F41"/>
    <mergeCell ref="P40:P41"/>
    <mergeCell ref="Q40:Q41"/>
    <mergeCell ref="S40:S41"/>
    <mergeCell ref="T40:T41"/>
    <mergeCell ref="AQ40:AQ41"/>
    <mergeCell ref="AO43:AO46"/>
    <mergeCell ref="AP43:AP46"/>
    <mergeCell ref="AQ43:AQ46"/>
    <mergeCell ref="AR43:AR46"/>
    <mergeCell ref="AS43:AS46"/>
    <mergeCell ref="G44:G45"/>
    <mergeCell ref="H44:H45"/>
    <mergeCell ref="I44:I45"/>
    <mergeCell ref="AS33:AS34"/>
    <mergeCell ref="F35:M35"/>
    <mergeCell ref="E36:F36"/>
    <mergeCell ref="F37:L37"/>
    <mergeCell ref="E38:F38"/>
    <mergeCell ref="F39:L39"/>
    <mergeCell ref="AM33:AM34"/>
    <mergeCell ref="AN33:AN34"/>
    <mergeCell ref="AO33:AO34"/>
    <mergeCell ref="AP33:AP34"/>
    <mergeCell ref="AQ33:AQ34"/>
    <mergeCell ref="AR33:AR34"/>
    <mergeCell ref="AG33:AG34"/>
    <mergeCell ref="AH33:AH34"/>
    <mergeCell ref="AI33:AI34"/>
    <mergeCell ref="AJ33:AJ34"/>
    <mergeCell ref="AK33:AK34"/>
    <mergeCell ref="AL33:AL34"/>
    <mergeCell ref="AA33:AA34"/>
    <mergeCell ref="AB33:AB34"/>
    <mergeCell ref="AC33:AC34"/>
    <mergeCell ref="AD33:AD34"/>
    <mergeCell ref="AE33:AE34"/>
    <mergeCell ref="AF33:AF34"/>
    <mergeCell ref="AP30:AP31"/>
    <mergeCell ref="AQ30:AQ31"/>
    <mergeCell ref="AR30:AR31"/>
    <mergeCell ref="AS30:AS31"/>
    <mergeCell ref="F32:M32"/>
    <mergeCell ref="E33:F34"/>
    <mergeCell ref="P33:P34"/>
    <mergeCell ref="Q33:Q34"/>
    <mergeCell ref="S33:S34"/>
    <mergeCell ref="T33:T34"/>
    <mergeCell ref="AI30:AI31"/>
    <mergeCell ref="AK30:AK31"/>
    <mergeCell ref="AL30:AL31"/>
    <mergeCell ref="AM30:AM31"/>
    <mergeCell ref="AN30:AN31"/>
    <mergeCell ref="AO30:AO31"/>
    <mergeCell ref="AC30:AC31"/>
    <mergeCell ref="AD30:AD31"/>
    <mergeCell ref="AE30:AE31"/>
    <mergeCell ref="AF30:AF31"/>
    <mergeCell ref="AG30:AG31"/>
    <mergeCell ref="AH30:AH31"/>
    <mergeCell ref="S30:S31"/>
    <mergeCell ref="T30:T31"/>
    <mergeCell ref="AJ26:AJ27"/>
    <mergeCell ref="U30:U31"/>
    <mergeCell ref="V30:V31"/>
    <mergeCell ref="AA30:AA31"/>
    <mergeCell ref="AB30:AB31"/>
    <mergeCell ref="M30:M31"/>
    <mergeCell ref="N30:N31"/>
    <mergeCell ref="O30:O31"/>
    <mergeCell ref="P30:P31"/>
    <mergeCell ref="Q30:Q31"/>
    <mergeCell ref="R30:R31"/>
    <mergeCell ref="AK23:AK25"/>
    <mergeCell ref="V23:V24"/>
    <mergeCell ref="AA23:AA25"/>
    <mergeCell ref="AQ26:AQ27"/>
    <mergeCell ref="AR26:AR27"/>
    <mergeCell ref="AS26:AS27"/>
    <mergeCell ref="E30:F31"/>
    <mergeCell ref="G30:G31"/>
    <mergeCell ref="H30:H31"/>
    <mergeCell ref="I30:I31"/>
    <mergeCell ref="J30:J31"/>
    <mergeCell ref="K30:K31"/>
    <mergeCell ref="L30:L31"/>
    <mergeCell ref="AK26:AK27"/>
    <mergeCell ref="AL26:AL27"/>
    <mergeCell ref="AM26:AM27"/>
    <mergeCell ref="AN26:AN27"/>
    <mergeCell ref="AO26:AO27"/>
    <mergeCell ref="AP26:AP27"/>
    <mergeCell ref="AE26:AE27"/>
    <mergeCell ref="AF26:AF27"/>
    <mergeCell ref="AG26:AG27"/>
    <mergeCell ref="AH26:AH27"/>
    <mergeCell ref="AI26:AI27"/>
    <mergeCell ref="S23:S25"/>
    <mergeCell ref="T23:T25"/>
    <mergeCell ref="U23:U25"/>
    <mergeCell ref="AR23:AR25"/>
    <mergeCell ref="AS23:AS25"/>
    <mergeCell ref="P26:P27"/>
    <mergeCell ref="Q26:Q27"/>
    <mergeCell ref="S26:S27"/>
    <mergeCell ref="T26:T27"/>
    <mergeCell ref="AA26:AA27"/>
    <mergeCell ref="AB26:AB27"/>
    <mergeCell ref="AC26:AC27"/>
    <mergeCell ref="AD26:AD27"/>
    <mergeCell ref="AL23:AL25"/>
    <mergeCell ref="AM23:AM25"/>
    <mergeCell ref="AN23:AN25"/>
    <mergeCell ref="AO23:AO25"/>
    <mergeCell ref="AP23:AP25"/>
    <mergeCell ref="AQ23:AQ25"/>
    <mergeCell ref="AF23:AF25"/>
    <mergeCell ref="AG23:AG25"/>
    <mergeCell ref="AH23:AH25"/>
    <mergeCell ref="AI23:AI25"/>
    <mergeCell ref="AJ23:AJ25"/>
    <mergeCell ref="J23:J25"/>
    <mergeCell ref="K23:K24"/>
    <mergeCell ref="L23:L24"/>
    <mergeCell ref="M23:M24"/>
    <mergeCell ref="N23:N24"/>
    <mergeCell ref="O23:O24"/>
    <mergeCell ref="AM18:AM22"/>
    <mergeCell ref="AN18:AN22"/>
    <mergeCell ref="AO18:AO22"/>
    <mergeCell ref="AG18:AG22"/>
    <mergeCell ref="AH18:AH22"/>
    <mergeCell ref="AI18:AI22"/>
    <mergeCell ref="AJ18:AJ22"/>
    <mergeCell ref="AK18:AK22"/>
    <mergeCell ref="AL18:AL22"/>
    <mergeCell ref="AA18:AA22"/>
    <mergeCell ref="AB18:AB22"/>
    <mergeCell ref="AB23:AB25"/>
    <mergeCell ref="AC23:AC25"/>
    <mergeCell ref="AD23:AD25"/>
    <mergeCell ref="AE23:AE25"/>
    <mergeCell ref="P23:P25"/>
    <mergeCell ref="Q23:Q25"/>
    <mergeCell ref="R23:R25"/>
    <mergeCell ref="AE18:AE22"/>
    <mergeCell ref="AF18:AF22"/>
    <mergeCell ref="S18:S22"/>
    <mergeCell ref="T18:T22"/>
    <mergeCell ref="U18:U20"/>
    <mergeCell ref="V18:V20"/>
    <mergeCell ref="Y18:Y19"/>
    <mergeCell ref="Z18:Z19"/>
    <mergeCell ref="AS18:AS22"/>
    <mergeCell ref="AP18:AP22"/>
    <mergeCell ref="AQ18:AQ22"/>
    <mergeCell ref="AR18:AR22"/>
    <mergeCell ref="R18:R20"/>
    <mergeCell ref="G18:G20"/>
    <mergeCell ref="H18:H20"/>
    <mergeCell ref="I18:I20"/>
    <mergeCell ref="J18:J20"/>
    <mergeCell ref="K18:K20"/>
    <mergeCell ref="L18:L20"/>
    <mergeCell ref="AC18:AC22"/>
    <mergeCell ref="AD18:AD22"/>
    <mergeCell ref="AR13:AR17"/>
    <mergeCell ref="AS13:AS17"/>
    <mergeCell ref="I16:I17"/>
    <mergeCell ref="J16:J17"/>
    <mergeCell ref="K16:K17"/>
    <mergeCell ref="L16:L17"/>
    <mergeCell ref="M16:M17"/>
    <mergeCell ref="N16:N17"/>
    <mergeCell ref="O16:O17"/>
    <mergeCell ref="R16:R17"/>
    <mergeCell ref="AL13:AL17"/>
    <mergeCell ref="AM13:AM17"/>
    <mergeCell ref="AN13:AN17"/>
    <mergeCell ref="AO13:AO17"/>
    <mergeCell ref="AP13:AP17"/>
    <mergeCell ref="AQ13:AQ17"/>
    <mergeCell ref="AF13:AF17"/>
    <mergeCell ref="AG13:AG17"/>
    <mergeCell ref="AH13:AH17"/>
    <mergeCell ref="AI13:AI17"/>
    <mergeCell ref="AJ13:AJ17"/>
    <mergeCell ref="AK13:AK17"/>
    <mergeCell ref="Z13:Z14"/>
    <mergeCell ref="AA13:AA17"/>
    <mergeCell ref="AB13:AB17"/>
    <mergeCell ref="AC13:AC17"/>
    <mergeCell ref="AD13:AD17"/>
    <mergeCell ref="AE13:AE17"/>
    <mergeCell ref="R13:R14"/>
    <mergeCell ref="S13:S17"/>
    <mergeCell ref="T13:T17"/>
    <mergeCell ref="U13:U14"/>
    <mergeCell ref="V13:V14"/>
    <mergeCell ref="Y13:Y14"/>
    <mergeCell ref="U16:U17"/>
    <mergeCell ref="V16:V17"/>
    <mergeCell ref="L13:L14"/>
    <mergeCell ref="M13:M14"/>
    <mergeCell ref="N13:N14"/>
    <mergeCell ref="O13:O14"/>
    <mergeCell ref="P13:P17"/>
    <mergeCell ref="Q13:Q17"/>
    <mergeCell ref="A11:B50"/>
    <mergeCell ref="D11:H11"/>
    <mergeCell ref="C12:D46"/>
    <mergeCell ref="F12:L12"/>
    <mergeCell ref="E13:F28"/>
    <mergeCell ref="G13:G14"/>
    <mergeCell ref="H13:H14"/>
    <mergeCell ref="I13:I14"/>
    <mergeCell ref="J13:J14"/>
    <mergeCell ref="K13:K14"/>
    <mergeCell ref="M18:M20"/>
    <mergeCell ref="N18:N20"/>
    <mergeCell ref="O18:O20"/>
    <mergeCell ref="P18:P22"/>
    <mergeCell ref="Q18:Q22"/>
    <mergeCell ref="G23:G25"/>
    <mergeCell ref="H23:H25"/>
    <mergeCell ref="I23:I25"/>
    <mergeCell ref="AM7:AO7"/>
    <mergeCell ref="AP7:AP8"/>
    <mergeCell ref="U8:U9"/>
    <mergeCell ref="V8:V9"/>
    <mergeCell ref="X8:X9"/>
    <mergeCell ref="Y8:Y9"/>
    <mergeCell ref="Z8:Z9"/>
    <mergeCell ref="B10:E10"/>
    <mergeCell ref="N8:N9"/>
    <mergeCell ref="P8:P9"/>
    <mergeCell ref="Q8:Q9"/>
    <mergeCell ref="R8:R9"/>
    <mergeCell ref="S8:S9"/>
    <mergeCell ref="T8:T9"/>
    <mergeCell ref="H8:H9"/>
    <mergeCell ref="I8:I9"/>
    <mergeCell ref="J8:J9"/>
    <mergeCell ref="K8:K9"/>
    <mergeCell ref="L8:L9"/>
    <mergeCell ref="M8:M9"/>
    <mergeCell ref="A1:AQ4"/>
    <mergeCell ref="A5:O6"/>
    <mergeCell ref="P5:AS5"/>
    <mergeCell ref="AA6:AO6"/>
    <mergeCell ref="A7:B7"/>
    <mergeCell ref="C7:D7"/>
    <mergeCell ref="E7:F7"/>
    <mergeCell ref="G7:J7"/>
    <mergeCell ref="K7:N7"/>
    <mergeCell ref="O7:W7"/>
    <mergeCell ref="AQ7:AQ8"/>
    <mergeCell ref="AR7:AR8"/>
    <mergeCell ref="AS7:AS9"/>
    <mergeCell ref="A8:A9"/>
    <mergeCell ref="B8:B9"/>
    <mergeCell ref="C8:C9"/>
    <mergeCell ref="D8:D9"/>
    <mergeCell ref="E8:E9"/>
    <mergeCell ref="F8:F9"/>
    <mergeCell ref="G8:G9"/>
    <mergeCell ref="X7:Z7"/>
    <mergeCell ref="AA7:AB7"/>
    <mergeCell ref="AC7:AF7"/>
    <mergeCell ref="AG7:AL7"/>
  </mergeCells>
  <conditionalFormatting sqref="K15">
    <cfRule type="duplicateValues" dxfId="54" priority="42"/>
  </conditionalFormatting>
  <conditionalFormatting sqref="K16">
    <cfRule type="duplicateValues" dxfId="53" priority="41"/>
  </conditionalFormatting>
  <conditionalFormatting sqref="K18">
    <cfRule type="duplicateValues" dxfId="52" priority="40"/>
  </conditionalFormatting>
  <conditionalFormatting sqref="K21">
    <cfRule type="duplicateValues" dxfId="51" priority="39"/>
  </conditionalFormatting>
  <conditionalFormatting sqref="K22">
    <cfRule type="duplicateValues" dxfId="50" priority="36"/>
  </conditionalFormatting>
  <conditionalFormatting sqref="K22">
    <cfRule type="duplicateValues" dxfId="49" priority="37"/>
  </conditionalFormatting>
  <conditionalFormatting sqref="K22">
    <cfRule type="duplicateValues" dxfId="48" priority="38"/>
  </conditionalFormatting>
  <conditionalFormatting sqref="K27">
    <cfRule type="duplicateValues" dxfId="47" priority="34"/>
  </conditionalFormatting>
  <conditionalFormatting sqref="K27">
    <cfRule type="duplicateValues" dxfId="46" priority="35"/>
  </conditionalFormatting>
  <conditionalFormatting sqref="K28">
    <cfRule type="duplicateValues" dxfId="45" priority="32"/>
  </conditionalFormatting>
  <conditionalFormatting sqref="K28">
    <cfRule type="duplicateValues" dxfId="44" priority="33"/>
  </conditionalFormatting>
  <conditionalFormatting sqref="K30">
    <cfRule type="duplicateValues" dxfId="43" priority="30"/>
  </conditionalFormatting>
  <conditionalFormatting sqref="K30">
    <cfRule type="duplicateValues" dxfId="42" priority="31"/>
  </conditionalFormatting>
  <conditionalFormatting sqref="K40">
    <cfRule type="duplicateValues" dxfId="41" priority="28"/>
  </conditionalFormatting>
  <conditionalFormatting sqref="K40">
    <cfRule type="duplicateValues" dxfId="40" priority="29"/>
  </conditionalFormatting>
  <conditionalFormatting sqref="K41">
    <cfRule type="duplicateValues" dxfId="39" priority="26"/>
  </conditionalFormatting>
  <conditionalFormatting sqref="K41">
    <cfRule type="duplicateValues" dxfId="38" priority="27"/>
  </conditionalFormatting>
  <conditionalFormatting sqref="K43">
    <cfRule type="duplicateValues" dxfId="37" priority="24"/>
  </conditionalFormatting>
  <conditionalFormatting sqref="K43">
    <cfRule type="duplicateValues" dxfId="36" priority="25"/>
  </conditionalFormatting>
  <conditionalFormatting sqref="K44">
    <cfRule type="duplicateValues" dxfId="35" priority="22"/>
  </conditionalFormatting>
  <conditionalFormatting sqref="K44">
    <cfRule type="duplicateValues" dxfId="34" priority="23"/>
  </conditionalFormatting>
  <conditionalFormatting sqref="M15">
    <cfRule type="duplicateValues" dxfId="33" priority="21"/>
  </conditionalFormatting>
  <conditionalFormatting sqref="M16">
    <cfRule type="duplicateValues" dxfId="32" priority="20"/>
  </conditionalFormatting>
  <conditionalFormatting sqref="M18">
    <cfRule type="duplicateValues" dxfId="31" priority="19"/>
  </conditionalFormatting>
  <conditionalFormatting sqref="M21">
    <cfRule type="duplicateValues" dxfId="30" priority="18"/>
  </conditionalFormatting>
  <conditionalFormatting sqref="M22">
    <cfRule type="duplicateValues" dxfId="29" priority="15"/>
  </conditionalFormatting>
  <conditionalFormatting sqref="M22">
    <cfRule type="duplicateValues" dxfId="28" priority="16"/>
  </conditionalFormatting>
  <conditionalFormatting sqref="M22">
    <cfRule type="duplicateValues" dxfId="27" priority="17"/>
  </conditionalFormatting>
  <conditionalFormatting sqref="M27">
    <cfRule type="duplicateValues" dxfId="26" priority="13"/>
  </conditionalFormatting>
  <conditionalFormatting sqref="M27">
    <cfRule type="duplicateValues" dxfId="25" priority="14"/>
  </conditionalFormatting>
  <conditionalFormatting sqref="M28">
    <cfRule type="duplicateValues" dxfId="24" priority="11"/>
  </conditionalFormatting>
  <conditionalFormatting sqref="M28">
    <cfRule type="duplicateValues" dxfId="23" priority="12"/>
  </conditionalFormatting>
  <conditionalFormatting sqref="M30">
    <cfRule type="duplicateValues" dxfId="22" priority="9"/>
  </conditionalFormatting>
  <conditionalFormatting sqref="M30">
    <cfRule type="duplicateValues" dxfId="21" priority="10"/>
  </conditionalFormatting>
  <conditionalFormatting sqref="M40">
    <cfRule type="duplicateValues" dxfId="20" priority="7"/>
  </conditionalFormatting>
  <conditionalFormatting sqref="M40">
    <cfRule type="duplicateValues" dxfId="19" priority="8"/>
  </conditionalFormatting>
  <conditionalFormatting sqref="M41">
    <cfRule type="duplicateValues" dxfId="18" priority="5"/>
  </conditionalFormatting>
  <conditionalFormatting sqref="M41">
    <cfRule type="duplicateValues" dxfId="17" priority="6"/>
  </conditionalFormatting>
  <conditionalFormatting sqref="M43">
    <cfRule type="duplicateValues" dxfId="16" priority="3"/>
  </conditionalFormatting>
  <conditionalFormatting sqref="M43">
    <cfRule type="duplicateValues" dxfId="15" priority="4"/>
  </conditionalFormatting>
  <conditionalFormatting sqref="M44">
    <cfRule type="duplicateValues" dxfId="14" priority="1"/>
  </conditionalFormatting>
  <conditionalFormatting sqref="M44">
    <cfRule type="duplicateValues" dxfId="13" priority="2"/>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M26"/>
  <sheetViews>
    <sheetView showGridLines="0" zoomScale="70" zoomScaleNormal="70" workbookViewId="0">
      <selection sqref="A1:AQ4"/>
    </sheetView>
  </sheetViews>
  <sheetFormatPr baseColWidth="10" defaultColWidth="11.42578125" defaultRowHeight="27" customHeight="1" x14ac:dyDescent="0.25"/>
  <cols>
    <col min="1" max="1" width="17.5703125" style="130" customWidth="1"/>
    <col min="2" max="4" width="11.42578125" style="4" customWidth="1"/>
    <col min="5" max="5" width="11.28515625" style="4" customWidth="1"/>
    <col min="6" max="6" width="12" style="4" customWidth="1"/>
    <col min="7" max="7" width="16" style="4" customWidth="1"/>
    <col min="8" max="8" width="29.7109375" style="132" customWidth="1"/>
    <col min="9" max="9" width="18.5703125" style="3" customWidth="1"/>
    <col min="10" max="10" width="26" style="132" customWidth="1"/>
    <col min="11" max="11" width="13" style="3" customWidth="1"/>
    <col min="12" max="12" width="35" style="132" customWidth="1"/>
    <col min="13" max="13" width="20.85546875" style="3" customWidth="1"/>
    <col min="14" max="14" width="31.85546875" style="132" customWidth="1"/>
    <col min="15" max="15" width="18" style="3" customWidth="1"/>
    <col min="16" max="16" width="22.5703125" style="3" customWidth="1"/>
    <col min="17" max="17" width="40.7109375" style="132" customWidth="1"/>
    <col min="18" max="18" width="13.42578125" style="134" customWidth="1"/>
    <col min="19" max="19" width="25.5703125" style="143" customWidth="1"/>
    <col min="20" max="20" width="49.5703125" style="132" customWidth="1"/>
    <col min="21" max="21" width="39.5703125" style="132" customWidth="1"/>
    <col min="22" max="22" width="29.7109375" style="132" customWidth="1"/>
    <col min="23" max="23" width="25.7109375" style="143" customWidth="1"/>
    <col min="24" max="24" width="53.42578125" style="143" customWidth="1"/>
    <col min="25" max="25" width="11.7109375" style="137" customWidth="1"/>
    <col min="26" max="26" width="18.28515625" style="3" customWidth="1"/>
    <col min="27" max="27" width="13" style="4" customWidth="1"/>
    <col min="28" max="28" width="12.140625" style="4" customWidth="1"/>
    <col min="29" max="29" width="9.28515625" style="4" customWidth="1"/>
    <col min="30" max="30" width="11.28515625" style="4" customWidth="1"/>
    <col min="31" max="31" width="11" style="4" customWidth="1"/>
    <col min="32" max="32" width="9.5703125" style="4" customWidth="1"/>
    <col min="33" max="33" width="8.85546875" style="4" customWidth="1"/>
    <col min="34" max="34" width="9.5703125" style="4" customWidth="1"/>
    <col min="35" max="35" width="7.28515625" style="4" customWidth="1"/>
    <col min="36" max="38" width="8.28515625" style="4" customWidth="1"/>
    <col min="39" max="39" width="8.5703125" style="4" customWidth="1"/>
    <col min="40" max="40" width="8.42578125" style="4" customWidth="1"/>
    <col min="41" max="41" width="11.140625" style="4" customWidth="1"/>
    <col min="42" max="42" width="15.140625" style="4" customWidth="1"/>
    <col min="43" max="43" width="14.42578125" style="139" customWidth="1"/>
    <col min="44" max="44" width="16.5703125" style="139" customWidth="1"/>
    <col min="45" max="45" width="26.28515625" style="4" customWidth="1"/>
    <col min="46" max="16384" width="11.42578125" style="4"/>
  </cols>
  <sheetData>
    <row r="1" spans="1:65" ht="15.75" customHeight="1" x14ac:dyDescent="0.25">
      <c r="A1" s="3199" t="s">
        <v>332</v>
      </c>
      <c r="B1" s="2015"/>
      <c r="C1" s="2015"/>
      <c r="D1" s="2015"/>
      <c r="E1" s="2015"/>
      <c r="F1" s="2015"/>
      <c r="G1" s="2015"/>
      <c r="H1" s="2015"/>
      <c r="I1" s="2015"/>
      <c r="J1" s="2015"/>
      <c r="K1" s="2015"/>
      <c r="L1" s="2015"/>
      <c r="M1" s="2015"/>
      <c r="N1" s="2015"/>
      <c r="O1" s="2015"/>
      <c r="P1" s="2015"/>
      <c r="Q1" s="2015"/>
      <c r="R1" s="2015"/>
      <c r="S1" s="2015"/>
      <c r="T1" s="2015"/>
      <c r="U1" s="2015"/>
      <c r="V1" s="2015"/>
      <c r="W1" s="2015"/>
      <c r="X1" s="2015"/>
      <c r="Y1" s="2015"/>
      <c r="Z1" s="2015"/>
      <c r="AA1" s="2015"/>
      <c r="AB1" s="2015"/>
      <c r="AC1" s="2015"/>
      <c r="AD1" s="2015"/>
      <c r="AE1" s="2015"/>
      <c r="AF1" s="2015"/>
      <c r="AG1" s="2015"/>
      <c r="AH1" s="2015"/>
      <c r="AI1" s="2015"/>
      <c r="AJ1" s="2015"/>
      <c r="AK1" s="2015"/>
      <c r="AL1" s="2015"/>
      <c r="AM1" s="2015"/>
      <c r="AN1" s="2015"/>
      <c r="AO1" s="2015"/>
      <c r="AP1" s="2015"/>
      <c r="AQ1" s="2015"/>
      <c r="AR1" s="10" t="s">
        <v>1</v>
      </c>
      <c r="AS1" s="364" t="s">
        <v>2</v>
      </c>
      <c r="AT1" s="3"/>
      <c r="AU1" s="3"/>
      <c r="AV1" s="3"/>
      <c r="AW1" s="3"/>
      <c r="AX1" s="3"/>
      <c r="AY1" s="3"/>
      <c r="AZ1" s="3"/>
      <c r="BA1" s="3"/>
      <c r="BB1" s="3"/>
      <c r="BC1" s="3"/>
      <c r="BD1" s="3"/>
      <c r="BE1" s="3"/>
      <c r="BF1" s="3"/>
      <c r="BG1" s="3"/>
      <c r="BH1" s="3"/>
      <c r="BI1" s="3"/>
      <c r="BJ1" s="3"/>
      <c r="BK1" s="3"/>
      <c r="BL1" s="3"/>
      <c r="BM1" s="3"/>
    </row>
    <row r="2" spans="1:65" ht="15.75" x14ac:dyDescent="0.25">
      <c r="A2" s="3199"/>
      <c r="B2" s="2015"/>
      <c r="C2" s="2015"/>
      <c r="D2" s="2015"/>
      <c r="E2" s="2015"/>
      <c r="F2" s="2015"/>
      <c r="G2" s="2015"/>
      <c r="H2" s="2015"/>
      <c r="I2" s="2015"/>
      <c r="J2" s="2015"/>
      <c r="K2" s="2015"/>
      <c r="L2" s="2015"/>
      <c r="M2" s="2015"/>
      <c r="N2" s="2015"/>
      <c r="O2" s="2015"/>
      <c r="P2" s="2015"/>
      <c r="Q2" s="2015"/>
      <c r="R2" s="2015"/>
      <c r="S2" s="2015"/>
      <c r="T2" s="2015"/>
      <c r="U2" s="2015"/>
      <c r="V2" s="2015"/>
      <c r="W2" s="2015"/>
      <c r="X2" s="2015"/>
      <c r="Y2" s="2015"/>
      <c r="Z2" s="2015"/>
      <c r="AA2" s="2015"/>
      <c r="AB2" s="2015"/>
      <c r="AC2" s="2015"/>
      <c r="AD2" s="2015"/>
      <c r="AE2" s="2015"/>
      <c r="AF2" s="2015"/>
      <c r="AG2" s="2015"/>
      <c r="AH2" s="2015"/>
      <c r="AI2" s="2015"/>
      <c r="AJ2" s="2015"/>
      <c r="AK2" s="2015"/>
      <c r="AL2" s="2015"/>
      <c r="AM2" s="2015"/>
      <c r="AN2" s="2015"/>
      <c r="AO2" s="2015"/>
      <c r="AP2" s="2015"/>
      <c r="AQ2" s="2015"/>
      <c r="AR2" s="10" t="s">
        <v>3</v>
      </c>
      <c r="AS2" s="2013" t="s">
        <v>333</v>
      </c>
      <c r="AT2" s="3"/>
      <c r="AU2" s="3"/>
      <c r="AV2" s="3"/>
      <c r="AW2" s="3"/>
      <c r="AX2" s="3"/>
      <c r="AY2" s="3"/>
      <c r="AZ2" s="3"/>
      <c r="BA2" s="3"/>
      <c r="BB2" s="3"/>
      <c r="BC2" s="3"/>
      <c r="BD2" s="3"/>
      <c r="BE2" s="3"/>
      <c r="BF2" s="3"/>
      <c r="BG2" s="3"/>
      <c r="BH2" s="3"/>
      <c r="BI2" s="3"/>
      <c r="BJ2" s="3"/>
      <c r="BK2" s="3"/>
      <c r="BL2" s="3"/>
      <c r="BM2" s="3"/>
    </row>
    <row r="3" spans="1:65" ht="15.75" x14ac:dyDescent="0.25">
      <c r="A3" s="3199"/>
      <c r="B3" s="2015"/>
      <c r="C3" s="2015"/>
      <c r="D3" s="2015"/>
      <c r="E3" s="2015"/>
      <c r="F3" s="2015"/>
      <c r="G3" s="2015"/>
      <c r="H3" s="2015"/>
      <c r="I3" s="2015"/>
      <c r="J3" s="2015"/>
      <c r="K3" s="2015"/>
      <c r="L3" s="2015"/>
      <c r="M3" s="2015"/>
      <c r="N3" s="2015"/>
      <c r="O3" s="2015"/>
      <c r="P3" s="2015"/>
      <c r="Q3" s="2015"/>
      <c r="R3" s="2015"/>
      <c r="S3" s="2015"/>
      <c r="T3" s="2015"/>
      <c r="U3" s="2015"/>
      <c r="V3" s="2015"/>
      <c r="W3" s="2015"/>
      <c r="X3" s="2015"/>
      <c r="Y3" s="2015"/>
      <c r="Z3" s="2015"/>
      <c r="AA3" s="2015"/>
      <c r="AB3" s="2015"/>
      <c r="AC3" s="2015"/>
      <c r="AD3" s="2015"/>
      <c r="AE3" s="2015"/>
      <c r="AF3" s="2015"/>
      <c r="AG3" s="2015"/>
      <c r="AH3" s="2015"/>
      <c r="AI3" s="2015"/>
      <c r="AJ3" s="2015"/>
      <c r="AK3" s="2015"/>
      <c r="AL3" s="2015"/>
      <c r="AM3" s="2015"/>
      <c r="AN3" s="2015"/>
      <c r="AO3" s="2015"/>
      <c r="AP3" s="2015"/>
      <c r="AQ3" s="2015"/>
      <c r="AR3" s="10" t="s">
        <v>4</v>
      </c>
      <c r="AS3" s="2014">
        <v>44503</v>
      </c>
      <c r="AT3" s="3"/>
      <c r="AU3" s="3"/>
      <c r="AV3" s="3"/>
      <c r="AW3" s="3"/>
      <c r="AX3" s="3"/>
      <c r="AY3" s="3"/>
      <c r="AZ3" s="3"/>
      <c r="BA3" s="3"/>
      <c r="BB3" s="3"/>
      <c r="BC3" s="3"/>
      <c r="BD3" s="3"/>
      <c r="BE3" s="3"/>
      <c r="BF3" s="3"/>
      <c r="BG3" s="3"/>
      <c r="BH3" s="3"/>
      <c r="BI3" s="3"/>
      <c r="BJ3" s="3"/>
      <c r="BK3" s="3"/>
      <c r="BL3" s="3"/>
      <c r="BM3" s="3"/>
    </row>
    <row r="4" spans="1:65" ht="15.75" x14ac:dyDescent="0.25">
      <c r="A4" s="3200"/>
      <c r="B4" s="2208"/>
      <c r="C4" s="2208"/>
      <c r="D4" s="2208"/>
      <c r="E4" s="2208"/>
      <c r="F4" s="2208"/>
      <c r="G4" s="2208"/>
      <c r="H4" s="2208"/>
      <c r="I4" s="2208"/>
      <c r="J4" s="2208"/>
      <c r="K4" s="2208"/>
      <c r="L4" s="2208"/>
      <c r="M4" s="2208"/>
      <c r="N4" s="2208"/>
      <c r="O4" s="2208"/>
      <c r="P4" s="2208"/>
      <c r="Q4" s="2208"/>
      <c r="R4" s="2208"/>
      <c r="S4" s="2208"/>
      <c r="T4" s="2208"/>
      <c r="U4" s="2208"/>
      <c r="V4" s="2208"/>
      <c r="W4" s="2208"/>
      <c r="X4" s="2208"/>
      <c r="Y4" s="2208"/>
      <c r="Z4" s="2208"/>
      <c r="AA4" s="2208"/>
      <c r="AB4" s="2208"/>
      <c r="AC4" s="2208"/>
      <c r="AD4" s="2208"/>
      <c r="AE4" s="2208"/>
      <c r="AF4" s="2208"/>
      <c r="AG4" s="2208"/>
      <c r="AH4" s="2208"/>
      <c r="AI4" s="2208"/>
      <c r="AJ4" s="2208"/>
      <c r="AK4" s="2208"/>
      <c r="AL4" s="2208"/>
      <c r="AM4" s="2208"/>
      <c r="AN4" s="2208"/>
      <c r="AO4" s="2208"/>
      <c r="AP4" s="2208"/>
      <c r="AQ4" s="2208"/>
      <c r="AR4" s="10" t="s">
        <v>5</v>
      </c>
      <c r="AS4" s="365" t="s">
        <v>114</v>
      </c>
      <c r="AT4" s="3"/>
      <c r="AU4" s="3"/>
      <c r="AV4" s="3"/>
      <c r="AW4" s="3"/>
      <c r="AX4" s="3"/>
      <c r="AY4" s="3"/>
      <c r="AZ4" s="3"/>
      <c r="BA4" s="3"/>
      <c r="BB4" s="3"/>
      <c r="BC4" s="3"/>
      <c r="BD4" s="3"/>
      <c r="BE4" s="3"/>
      <c r="BF4" s="3"/>
      <c r="BG4" s="3"/>
      <c r="BH4" s="3"/>
      <c r="BI4" s="3"/>
      <c r="BJ4" s="3"/>
      <c r="BK4" s="3"/>
      <c r="BL4" s="3"/>
      <c r="BM4" s="3"/>
    </row>
    <row r="5" spans="1:65" ht="15.75" x14ac:dyDescent="0.25">
      <c r="A5" s="2444" t="s">
        <v>281</v>
      </c>
      <c r="B5" s="2020"/>
      <c r="C5" s="2020"/>
      <c r="D5" s="2020"/>
      <c r="E5" s="2020"/>
      <c r="F5" s="2020"/>
      <c r="G5" s="2020"/>
      <c r="H5" s="2020"/>
      <c r="I5" s="2020"/>
      <c r="J5" s="2020"/>
      <c r="K5" s="2020"/>
      <c r="L5" s="2020"/>
      <c r="M5" s="2020"/>
      <c r="N5" s="2020"/>
      <c r="O5" s="2445"/>
      <c r="P5" s="366"/>
      <c r="Q5" s="367"/>
      <c r="R5" s="366"/>
      <c r="S5" s="366"/>
      <c r="T5" s="367"/>
      <c r="U5" s="367"/>
      <c r="V5" s="367"/>
      <c r="W5" s="366"/>
      <c r="X5" s="366"/>
      <c r="Y5" s="366"/>
      <c r="Z5" s="366"/>
      <c r="AA5" s="366"/>
      <c r="AB5" s="366"/>
      <c r="AC5" s="366"/>
      <c r="AD5" s="366"/>
      <c r="AE5" s="366"/>
      <c r="AF5" s="366"/>
      <c r="AG5" s="366"/>
      <c r="AH5" s="366"/>
      <c r="AI5" s="366"/>
      <c r="AJ5" s="366"/>
      <c r="AK5" s="366"/>
      <c r="AL5" s="366"/>
      <c r="AM5" s="366"/>
      <c r="AN5" s="366"/>
      <c r="AO5" s="366"/>
      <c r="AP5" s="366"/>
      <c r="AQ5" s="366"/>
      <c r="AR5" s="366"/>
      <c r="AS5" s="368"/>
      <c r="AT5" s="3"/>
      <c r="AU5" s="3"/>
      <c r="AV5" s="3"/>
      <c r="AW5" s="3"/>
      <c r="AX5" s="3"/>
      <c r="AY5" s="3"/>
      <c r="AZ5" s="3"/>
      <c r="BA5" s="3"/>
      <c r="BB5" s="3"/>
      <c r="BC5" s="3"/>
      <c r="BD5" s="3"/>
      <c r="BE5" s="3"/>
      <c r="BF5" s="3"/>
      <c r="BG5" s="3"/>
      <c r="BH5" s="3"/>
      <c r="BI5" s="3"/>
      <c r="BJ5" s="3"/>
      <c r="BK5" s="3"/>
      <c r="BL5" s="3"/>
      <c r="BM5" s="3"/>
    </row>
    <row r="6" spans="1:65" ht="15.75" x14ac:dyDescent="0.25">
      <c r="A6" s="2209"/>
      <c r="B6" s="2018"/>
      <c r="C6" s="2018"/>
      <c r="D6" s="2018"/>
      <c r="E6" s="2018"/>
      <c r="F6" s="2018"/>
      <c r="G6" s="2018"/>
      <c r="H6" s="2018"/>
      <c r="I6" s="2018"/>
      <c r="J6" s="2018"/>
      <c r="K6" s="2018"/>
      <c r="L6" s="2018"/>
      <c r="M6" s="2018"/>
      <c r="N6" s="2018"/>
      <c r="O6" s="2019"/>
      <c r="P6" s="11"/>
      <c r="Q6" s="12"/>
      <c r="R6" s="11"/>
      <c r="S6" s="11"/>
      <c r="T6" s="140"/>
      <c r="U6" s="12"/>
      <c r="V6" s="12"/>
      <c r="W6" s="11"/>
      <c r="X6" s="11"/>
      <c r="Y6" s="11"/>
      <c r="Z6" s="11"/>
      <c r="AA6" s="369" t="s">
        <v>8</v>
      </c>
      <c r="AB6" s="9"/>
      <c r="AC6" s="9"/>
      <c r="AD6" s="9"/>
      <c r="AE6" s="9"/>
      <c r="AF6" s="9"/>
      <c r="AG6" s="9"/>
      <c r="AH6" s="9"/>
      <c r="AI6" s="9"/>
      <c r="AJ6" s="9"/>
      <c r="AK6" s="9"/>
      <c r="AL6" s="9"/>
      <c r="AM6" s="9"/>
      <c r="AN6" s="9"/>
      <c r="AO6" s="370"/>
      <c r="AP6" s="11"/>
      <c r="AQ6" s="11"/>
      <c r="AR6" s="11"/>
      <c r="AS6" s="13"/>
      <c r="AT6" s="3"/>
      <c r="AU6" s="3"/>
      <c r="AV6" s="3"/>
      <c r="AW6" s="3"/>
      <c r="AX6" s="3"/>
      <c r="AY6" s="3"/>
      <c r="AZ6" s="3"/>
      <c r="BA6" s="3"/>
      <c r="BB6" s="3"/>
      <c r="BC6" s="3"/>
      <c r="BD6" s="3"/>
      <c r="BE6" s="3"/>
      <c r="BF6" s="3"/>
      <c r="BG6" s="3"/>
      <c r="BH6" s="3"/>
      <c r="BI6" s="3"/>
      <c r="BJ6" s="3"/>
      <c r="BK6" s="3"/>
      <c r="BL6" s="3"/>
      <c r="BM6" s="3"/>
    </row>
    <row r="7" spans="1:65" ht="31.5" customHeight="1" x14ac:dyDescent="0.25">
      <c r="A7" s="2024" t="s">
        <v>9</v>
      </c>
      <c r="B7" s="2210"/>
      <c r="C7" s="3201" t="s">
        <v>334</v>
      </c>
      <c r="D7" s="3202"/>
      <c r="E7" s="3201" t="s">
        <v>11</v>
      </c>
      <c r="F7" s="3202"/>
      <c r="G7" s="2023" t="s">
        <v>12</v>
      </c>
      <c r="H7" s="2023"/>
      <c r="I7" s="2023"/>
      <c r="J7" s="2023"/>
      <c r="K7" s="2023" t="s">
        <v>13</v>
      </c>
      <c r="L7" s="2023"/>
      <c r="M7" s="2023"/>
      <c r="N7" s="2023"/>
      <c r="O7" s="3203" t="s">
        <v>14</v>
      </c>
      <c r="P7" s="3204"/>
      <c r="Q7" s="3204"/>
      <c r="R7" s="3204"/>
      <c r="S7" s="3204"/>
      <c r="T7" s="3204"/>
      <c r="U7" s="3204"/>
      <c r="V7" s="3204"/>
      <c r="W7" s="3204"/>
      <c r="X7" s="2023" t="s">
        <v>15</v>
      </c>
      <c r="Y7" s="2023"/>
      <c r="Z7" s="2023"/>
      <c r="AA7" s="2045" t="s">
        <v>16</v>
      </c>
      <c r="AB7" s="2046"/>
      <c r="AC7" s="2047" t="s">
        <v>17</v>
      </c>
      <c r="AD7" s="2048"/>
      <c r="AE7" s="2048"/>
      <c r="AF7" s="2048"/>
      <c r="AG7" s="2049" t="s">
        <v>18</v>
      </c>
      <c r="AH7" s="2049"/>
      <c r="AI7" s="2049"/>
      <c r="AJ7" s="2049"/>
      <c r="AK7" s="2049"/>
      <c r="AL7" s="2049"/>
      <c r="AM7" s="2050" t="s">
        <v>19</v>
      </c>
      <c r="AN7" s="2050"/>
      <c r="AO7" s="2050"/>
      <c r="AP7" s="2051" t="s">
        <v>20</v>
      </c>
      <c r="AQ7" s="2416" t="s">
        <v>21</v>
      </c>
      <c r="AR7" s="2416" t="s">
        <v>22</v>
      </c>
      <c r="AS7" s="2038" t="s">
        <v>23</v>
      </c>
      <c r="AT7" s="3"/>
      <c r="AU7" s="3"/>
      <c r="AV7" s="3"/>
      <c r="AW7" s="3"/>
      <c r="AX7" s="3"/>
      <c r="AY7" s="3"/>
      <c r="AZ7" s="3"/>
      <c r="BA7" s="3"/>
      <c r="BB7" s="3"/>
      <c r="BC7" s="3"/>
      <c r="BD7" s="3"/>
      <c r="BE7" s="3"/>
      <c r="BF7" s="3"/>
      <c r="BG7" s="3"/>
      <c r="BH7" s="3"/>
      <c r="BI7" s="3"/>
      <c r="BJ7" s="3"/>
      <c r="BK7" s="3"/>
      <c r="BL7" s="3"/>
      <c r="BM7" s="3"/>
    </row>
    <row r="8" spans="1:65" ht="117" customHeight="1" x14ac:dyDescent="0.25">
      <c r="A8" s="170" t="s">
        <v>24</v>
      </c>
      <c r="B8" s="19" t="s">
        <v>25</v>
      </c>
      <c r="C8" s="19" t="s">
        <v>24</v>
      </c>
      <c r="D8" s="19" t="s">
        <v>25</v>
      </c>
      <c r="E8" s="19" t="s">
        <v>24</v>
      </c>
      <c r="F8" s="19" t="s">
        <v>25</v>
      </c>
      <c r="G8" s="19" t="s">
        <v>26</v>
      </c>
      <c r="H8" s="19" t="s">
        <v>27</v>
      </c>
      <c r="I8" s="19" t="s">
        <v>28</v>
      </c>
      <c r="J8" s="19" t="s">
        <v>117</v>
      </c>
      <c r="K8" s="19" t="s">
        <v>26</v>
      </c>
      <c r="L8" s="19" t="s">
        <v>30</v>
      </c>
      <c r="M8" s="19" t="s">
        <v>31</v>
      </c>
      <c r="N8" s="19" t="s">
        <v>32</v>
      </c>
      <c r="O8" s="17" t="s">
        <v>33</v>
      </c>
      <c r="P8" s="19" t="s">
        <v>34</v>
      </c>
      <c r="Q8" s="19" t="s">
        <v>35</v>
      </c>
      <c r="R8" s="19" t="s">
        <v>36</v>
      </c>
      <c r="S8" s="19" t="s">
        <v>37</v>
      </c>
      <c r="T8" s="19" t="s">
        <v>38</v>
      </c>
      <c r="U8" s="19" t="s">
        <v>39</v>
      </c>
      <c r="V8" s="19" t="s">
        <v>40</v>
      </c>
      <c r="W8" s="19" t="s">
        <v>335</v>
      </c>
      <c r="X8" s="19" t="s">
        <v>42</v>
      </c>
      <c r="Y8" s="19" t="s">
        <v>43</v>
      </c>
      <c r="Z8" s="19" t="s">
        <v>25</v>
      </c>
      <c r="AA8" s="21" t="s">
        <v>44</v>
      </c>
      <c r="AB8" s="22" t="s">
        <v>45</v>
      </c>
      <c r="AC8" s="22" t="s">
        <v>46</v>
      </c>
      <c r="AD8" s="22" t="s">
        <v>47</v>
      </c>
      <c r="AE8" s="22" t="s">
        <v>283</v>
      </c>
      <c r="AF8" s="22" t="s">
        <v>49</v>
      </c>
      <c r="AG8" s="24" t="s">
        <v>50</v>
      </c>
      <c r="AH8" s="24" t="s">
        <v>51</v>
      </c>
      <c r="AI8" s="24" t="s">
        <v>52</v>
      </c>
      <c r="AJ8" s="24" t="s">
        <v>53</v>
      </c>
      <c r="AK8" s="24" t="s">
        <v>54</v>
      </c>
      <c r="AL8" s="24" t="s">
        <v>55</v>
      </c>
      <c r="AM8" s="24" t="s">
        <v>56</v>
      </c>
      <c r="AN8" s="24" t="s">
        <v>57</v>
      </c>
      <c r="AO8" s="24" t="s">
        <v>58</v>
      </c>
      <c r="AP8" s="2051"/>
      <c r="AQ8" s="2417"/>
      <c r="AR8" s="2417"/>
      <c r="AS8" s="3039"/>
      <c r="AT8" s="3"/>
      <c r="AU8" s="3"/>
      <c r="AV8" s="3"/>
      <c r="AW8" s="3"/>
      <c r="AX8" s="3"/>
      <c r="AY8" s="3"/>
      <c r="AZ8" s="3"/>
      <c r="BA8" s="3"/>
      <c r="BB8" s="3"/>
      <c r="BC8" s="3"/>
      <c r="BD8" s="3"/>
      <c r="BE8" s="3"/>
      <c r="BF8" s="3"/>
      <c r="BG8" s="3"/>
      <c r="BH8" s="3"/>
      <c r="BI8" s="3"/>
      <c r="BJ8" s="3"/>
      <c r="BK8" s="3"/>
      <c r="BL8" s="3"/>
      <c r="BM8" s="3"/>
    </row>
    <row r="9" spans="1:65" ht="15.75" x14ac:dyDescent="0.25">
      <c r="A9" s="371">
        <v>4</v>
      </c>
      <c r="B9" s="372" t="s">
        <v>336</v>
      </c>
      <c r="C9" s="373"/>
      <c r="D9" s="373"/>
      <c r="E9" s="373"/>
      <c r="F9" s="373"/>
      <c r="G9" s="373"/>
      <c r="H9" s="374"/>
      <c r="I9" s="375"/>
      <c r="J9" s="374"/>
      <c r="K9" s="375"/>
      <c r="L9" s="374"/>
      <c r="M9" s="375"/>
      <c r="N9" s="374"/>
      <c r="O9" s="375"/>
      <c r="P9" s="375"/>
      <c r="Q9" s="374"/>
      <c r="R9" s="376"/>
      <c r="S9" s="377"/>
      <c r="T9" s="378"/>
      <c r="U9" s="374"/>
      <c r="V9" s="374"/>
      <c r="W9" s="377"/>
      <c r="X9" s="375"/>
      <c r="Y9" s="379"/>
      <c r="Z9" s="375"/>
      <c r="AA9" s="375"/>
      <c r="AB9" s="375"/>
      <c r="AC9" s="375"/>
      <c r="AD9" s="375"/>
      <c r="AE9" s="375"/>
      <c r="AF9" s="375"/>
      <c r="AG9" s="375"/>
      <c r="AH9" s="375"/>
      <c r="AI9" s="375"/>
      <c r="AJ9" s="375"/>
      <c r="AK9" s="375"/>
      <c r="AL9" s="375"/>
      <c r="AM9" s="26"/>
      <c r="AN9" s="26"/>
      <c r="AO9" s="26"/>
      <c r="AP9" s="26"/>
      <c r="AQ9" s="33"/>
      <c r="AR9" s="33"/>
      <c r="AS9" s="380"/>
      <c r="AT9" s="3"/>
      <c r="AU9" s="3"/>
      <c r="AV9" s="3"/>
      <c r="AW9" s="3"/>
      <c r="AX9" s="3"/>
      <c r="AY9" s="3"/>
      <c r="AZ9" s="3"/>
      <c r="BA9" s="3"/>
      <c r="BB9" s="3"/>
      <c r="BC9" s="3"/>
      <c r="BD9" s="3"/>
      <c r="BE9" s="3"/>
      <c r="BF9" s="3"/>
      <c r="BG9" s="3"/>
      <c r="BH9" s="3"/>
      <c r="BI9" s="3"/>
      <c r="BJ9" s="3"/>
      <c r="BK9" s="3"/>
      <c r="BL9" s="3"/>
      <c r="BM9" s="3"/>
    </row>
    <row r="10" spans="1:65" s="80" customFormat="1" ht="15.75" x14ac:dyDescent="0.25">
      <c r="A10" s="381"/>
      <c r="B10" s="382"/>
      <c r="C10" s="38">
        <v>45</v>
      </c>
      <c r="D10" s="2924" t="s">
        <v>60</v>
      </c>
      <c r="E10" s="2925"/>
      <c r="F10" s="2925"/>
      <c r="G10" s="2925"/>
      <c r="H10" s="2925"/>
      <c r="I10" s="40"/>
      <c r="J10" s="39"/>
      <c r="K10" s="40"/>
      <c r="L10" s="39"/>
      <c r="M10" s="40"/>
      <c r="N10" s="39"/>
      <c r="O10" s="40"/>
      <c r="P10" s="40"/>
      <c r="Q10" s="39"/>
      <c r="R10" s="42"/>
      <c r="S10" s="44"/>
      <c r="T10" s="383"/>
      <c r="U10" s="39"/>
      <c r="V10" s="39"/>
      <c r="W10" s="44"/>
      <c r="X10" s="40"/>
      <c r="Y10" s="45"/>
      <c r="Z10" s="40"/>
      <c r="AA10" s="40"/>
      <c r="AB10" s="40"/>
      <c r="AC10" s="40"/>
      <c r="AD10" s="40"/>
      <c r="AE10" s="40"/>
      <c r="AF10" s="40"/>
      <c r="AG10" s="40"/>
      <c r="AH10" s="40"/>
      <c r="AI10" s="40"/>
      <c r="AJ10" s="40"/>
      <c r="AK10" s="40"/>
      <c r="AL10" s="40"/>
      <c r="AM10" s="40"/>
      <c r="AN10" s="40"/>
      <c r="AO10" s="40"/>
      <c r="AP10" s="40"/>
      <c r="AQ10" s="46"/>
      <c r="AR10" s="46"/>
      <c r="AS10" s="384"/>
    </row>
    <row r="11" spans="1:65" s="3" customFormat="1" ht="15.75" x14ac:dyDescent="0.25">
      <c r="A11" s="385"/>
      <c r="B11" s="386"/>
      <c r="C11" s="387"/>
      <c r="D11" s="388"/>
      <c r="E11" s="389">
        <v>4599</v>
      </c>
      <c r="F11" s="3198" t="s">
        <v>337</v>
      </c>
      <c r="G11" s="2813"/>
      <c r="H11" s="2813"/>
      <c r="I11" s="2813"/>
      <c r="J11" s="2813"/>
      <c r="K11" s="390"/>
      <c r="L11" s="391"/>
      <c r="M11" s="390"/>
      <c r="N11" s="391"/>
      <c r="O11" s="390"/>
      <c r="P11" s="390"/>
      <c r="Q11" s="391"/>
      <c r="R11" s="390"/>
      <c r="S11" s="390"/>
      <c r="T11" s="392"/>
      <c r="U11" s="391"/>
      <c r="V11" s="391"/>
      <c r="W11" s="393"/>
      <c r="X11" s="393"/>
      <c r="Y11" s="393"/>
      <c r="Z11" s="393"/>
      <c r="AA11" s="393"/>
      <c r="AB11" s="393"/>
      <c r="AC11" s="393"/>
      <c r="AD11" s="393"/>
      <c r="AE11" s="393"/>
      <c r="AF11" s="393"/>
      <c r="AG11" s="393"/>
      <c r="AH11" s="393"/>
      <c r="AI11" s="393"/>
      <c r="AJ11" s="393"/>
      <c r="AK11" s="393"/>
      <c r="AL11" s="393"/>
      <c r="AM11" s="64"/>
      <c r="AN11" s="64"/>
      <c r="AO11" s="64"/>
      <c r="AP11" s="64"/>
      <c r="AQ11" s="66"/>
      <c r="AR11" s="66"/>
      <c r="AS11" s="67"/>
    </row>
    <row r="12" spans="1:65" s="3" customFormat="1" ht="78.75" customHeight="1" x14ac:dyDescent="0.25">
      <c r="A12" s="385"/>
      <c r="B12" s="386"/>
      <c r="C12" s="394"/>
      <c r="D12" s="395"/>
      <c r="E12" s="331"/>
      <c r="F12" s="336"/>
      <c r="G12" s="2094" t="s">
        <v>62</v>
      </c>
      <c r="H12" s="2099" t="s">
        <v>338</v>
      </c>
      <c r="I12" s="2094">
        <v>4599023</v>
      </c>
      <c r="J12" s="2099" t="s">
        <v>244</v>
      </c>
      <c r="K12" s="2159" t="s">
        <v>62</v>
      </c>
      <c r="L12" s="2099" t="s">
        <v>339</v>
      </c>
      <c r="M12" s="2159">
        <v>45990231</v>
      </c>
      <c r="N12" s="2099" t="s">
        <v>340</v>
      </c>
      <c r="O12" s="3174">
        <v>1</v>
      </c>
      <c r="P12" s="3192" t="s">
        <v>341</v>
      </c>
      <c r="Q12" s="3159" t="s">
        <v>342</v>
      </c>
      <c r="R12" s="3196">
        <f>SUM(W12:W13)/S12</f>
        <v>1</v>
      </c>
      <c r="S12" s="3197">
        <f>SUM(W12:W13)</f>
        <v>250000000</v>
      </c>
      <c r="T12" s="3190" t="s">
        <v>343</v>
      </c>
      <c r="U12" s="3190" t="s">
        <v>344</v>
      </c>
      <c r="V12" s="3191" t="s">
        <v>345</v>
      </c>
      <c r="W12" s="396">
        <f>250000000-10000000</f>
        <v>240000000</v>
      </c>
      <c r="X12" s="397" t="s">
        <v>346</v>
      </c>
      <c r="Y12" s="3186">
        <v>20</v>
      </c>
      <c r="Z12" s="3188" t="s">
        <v>77</v>
      </c>
      <c r="AA12" s="3184">
        <v>295972</v>
      </c>
      <c r="AB12" s="3184">
        <v>285580</v>
      </c>
      <c r="AC12" s="3184">
        <v>135545</v>
      </c>
      <c r="AD12" s="3184">
        <v>44254</v>
      </c>
      <c r="AE12" s="3184">
        <v>309146</v>
      </c>
      <c r="AF12" s="3184">
        <v>92607</v>
      </c>
      <c r="AG12" s="3184">
        <v>2145</v>
      </c>
      <c r="AH12" s="3184">
        <v>12718</v>
      </c>
      <c r="AI12" s="3184">
        <v>26</v>
      </c>
      <c r="AJ12" s="3184">
        <v>37</v>
      </c>
      <c r="AK12" s="3184"/>
      <c r="AL12" s="3184"/>
      <c r="AM12" s="3184">
        <v>44350</v>
      </c>
      <c r="AN12" s="3184">
        <v>21944</v>
      </c>
      <c r="AO12" s="3184">
        <v>75687</v>
      </c>
      <c r="AP12" s="3184">
        <v>581552</v>
      </c>
      <c r="AQ12" s="3167">
        <v>44198</v>
      </c>
      <c r="AR12" s="3167">
        <v>44561</v>
      </c>
      <c r="AS12" s="3169" t="s">
        <v>347</v>
      </c>
    </row>
    <row r="13" spans="1:65" s="3" customFormat="1" ht="115.5" customHeight="1" x14ac:dyDescent="0.25">
      <c r="A13" s="385"/>
      <c r="B13" s="386"/>
      <c r="C13" s="394"/>
      <c r="D13" s="395"/>
      <c r="E13" s="331"/>
      <c r="F13" s="336"/>
      <c r="G13" s="2094"/>
      <c r="H13" s="2099"/>
      <c r="I13" s="2094"/>
      <c r="J13" s="2099"/>
      <c r="K13" s="2159"/>
      <c r="L13" s="2099"/>
      <c r="M13" s="2159"/>
      <c r="N13" s="2099"/>
      <c r="O13" s="3174"/>
      <c r="P13" s="3192"/>
      <c r="Q13" s="3159"/>
      <c r="R13" s="3196"/>
      <c r="S13" s="3197"/>
      <c r="T13" s="3190"/>
      <c r="U13" s="3190"/>
      <c r="V13" s="3191"/>
      <c r="W13" s="399">
        <v>10000000</v>
      </c>
      <c r="X13" s="400" t="s">
        <v>348</v>
      </c>
      <c r="Y13" s="3187"/>
      <c r="Z13" s="3189"/>
      <c r="AA13" s="3185"/>
      <c r="AB13" s="3185"/>
      <c r="AC13" s="3185"/>
      <c r="AD13" s="3185"/>
      <c r="AE13" s="3185"/>
      <c r="AF13" s="3185"/>
      <c r="AG13" s="3185"/>
      <c r="AH13" s="3185"/>
      <c r="AI13" s="3185"/>
      <c r="AJ13" s="3185"/>
      <c r="AK13" s="3185"/>
      <c r="AL13" s="3185"/>
      <c r="AM13" s="3185"/>
      <c r="AN13" s="3185"/>
      <c r="AO13" s="3185"/>
      <c r="AP13" s="3185"/>
      <c r="AQ13" s="3167"/>
      <c r="AR13" s="3167"/>
      <c r="AS13" s="3169"/>
    </row>
    <row r="14" spans="1:65" s="3" customFormat="1" ht="30" customHeight="1" x14ac:dyDescent="0.25">
      <c r="A14" s="385"/>
      <c r="B14" s="386"/>
      <c r="C14" s="394"/>
      <c r="D14" s="395"/>
      <c r="E14" s="401"/>
      <c r="F14" s="337"/>
      <c r="G14" s="2661" t="s">
        <v>62</v>
      </c>
      <c r="H14" s="2119" t="s">
        <v>349</v>
      </c>
      <c r="I14" s="2661">
        <v>4599029</v>
      </c>
      <c r="J14" s="2054" t="s">
        <v>102</v>
      </c>
      <c r="K14" s="2032" t="s">
        <v>62</v>
      </c>
      <c r="L14" s="2345" t="s">
        <v>350</v>
      </c>
      <c r="M14" s="2032">
        <v>459902900</v>
      </c>
      <c r="N14" s="2345" t="s">
        <v>104</v>
      </c>
      <c r="O14" s="2032">
        <v>1</v>
      </c>
      <c r="P14" s="2054" t="s">
        <v>351</v>
      </c>
      <c r="Q14" s="2121" t="s">
        <v>352</v>
      </c>
      <c r="R14" s="2147">
        <f>SUM(W14:W17)/S14</f>
        <v>1</v>
      </c>
      <c r="S14" s="3193">
        <v>782000000</v>
      </c>
      <c r="T14" s="3194" t="s">
        <v>353</v>
      </c>
      <c r="U14" s="3195" t="s">
        <v>354</v>
      </c>
      <c r="V14" s="3182" t="s">
        <v>355</v>
      </c>
      <c r="W14" s="402">
        <v>150000000</v>
      </c>
      <c r="X14" s="76" t="s">
        <v>356</v>
      </c>
      <c r="Y14" s="403">
        <v>20</v>
      </c>
      <c r="Z14" s="404" t="s">
        <v>77</v>
      </c>
      <c r="AA14" s="2415">
        <v>295972</v>
      </c>
      <c r="AB14" s="2415">
        <v>285580</v>
      </c>
      <c r="AC14" s="2415">
        <v>135545</v>
      </c>
      <c r="AD14" s="2415">
        <v>44254</v>
      </c>
      <c r="AE14" s="2415">
        <v>309146</v>
      </c>
      <c r="AF14" s="2415">
        <v>92607</v>
      </c>
      <c r="AG14" s="2415">
        <v>2145</v>
      </c>
      <c r="AH14" s="2415">
        <v>12718</v>
      </c>
      <c r="AI14" s="2415">
        <v>26</v>
      </c>
      <c r="AJ14" s="2415">
        <v>37</v>
      </c>
      <c r="AK14" s="2415"/>
      <c r="AL14" s="2415"/>
      <c r="AM14" s="2415">
        <v>44350</v>
      </c>
      <c r="AN14" s="2415">
        <v>21944</v>
      </c>
      <c r="AO14" s="2415">
        <v>75687</v>
      </c>
      <c r="AP14" s="2415">
        <v>581552</v>
      </c>
      <c r="AQ14" s="3167">
        <v>44198</v>
      </c>
      <c r="AR14" s="3167">
        <v>44561</v>
      </c>
      <c r="AS14" s="2283" t="s">
        <v>347</v>
      </c>
    </row>
    <row r="15" spans="1:65" s="3" customFormat="1" ht="30" x14ac:dyDescent="0.25">
      <c r="A15" s="385"/>
      <c r="B15" s="386"/>
      <c r="C15" s="394"/>
      <c r="D15" s="395"/>
      <c r="E15" s="401"/>
      <c r="F15" s="337"/>
      <c r="G15" s="2661"/>
      <c r="H15" s="2119"/>
      <c r="I15" s="2661"/>
      <c r="J15" s="2054"/>
      <c r="K15" s="2032"/>
      <c r="L15" s="2345"/>
      <c r="M15" s="2032"/>
      <c r="N15" s="2345"/>
      <c r="O15" s="2032"/>
      <c r="P15" s="2054"/>
      <c r="Q15" s="2121"/>
      <c r="R15" s="2147"/>
      <c r="S15" s="3193"/>
      <c r="T15" s="3194"/>
      <c r="U15" s="3195"/>
      <c r="V15" s="3183"/>
      <c r="W15" s="402">
        <v>182000000</v>
      </c>
      <c r="X15" s="76" t="s">
        <v>357</v>
      </c>
      <c r="Y15" s="403">
        <v>88</v>
      </c>
      <c r="Z15" s="406" t="s">
        <v>358</v>
      </c>
      <c r="AA15" s="2415"/>
      <c r="AB15" s="2415"/>
      <c r="AC15" s="2415"/>
      <c r="AD15" s="2415"/>
      <c r="AE15" s="2415"/>
      <c r="AF15" s="2415"/>
      <c r="AG15" s="2415"/>
      <c r="AH15" s="2415"/>
      <c r="AI15" s="2415"/>
      <c r="AJ15" s="2415"/>
      <c r="AK15" s="2415"/>
      <c r="AL15" s="2415"/>
      <c r="AM15" s="2415"/>
      <c r="AN15" s="2415"/>
      <c r="AO15" s="2415"/>
      <c r="AP15" s="2415"/>
      <c r="AQ15" s="3167"/>
      <c r="AR15" s="3167"/>
      <c r="AS15" s="2283"/>
    </row>
    <row r="16" spans="1:65" s="3" customFormat="1" ht="30" x14ac:dyDescent="0.25">
      <c r="A16" s="407"/>
      <c r="B16" s="408"/>
      <c r="C16" s="394"/>
      <c r="D16" s="395"/>
      <c r="E16" s="409"/>
      <c r="F16" s="69"/>
      <c r="G16" s="2661"/>
      <c r="H16" s="2119"/>
      <c r="I16" s="2661"/>
      <c r="J16" s="2054"/>
      <c r="K16" s="2032"/>
      <c r="L16" s="2345"/>
      <c r="M16" s="2032"/>
      <c r="N16" s="2345"/>
      <c r="O16" s="2032"/>
      <c r="P16" s="2054"/>
      <c r="Q16" s="2121"/>
      <c r="R16" s="2147"/>
      <c r="S16" s="3193"/>
      <c r="T16" s="3194"/>
      <c r="U16" s="3195"/>
      <c r="V16" s="3182" t="s">
        <v>359</v>
      </c>
      <c r="W16" s="402">
        <v>150000000</v>
      </c>
      <c r="X16" s="76" t="s">
        <v>360</v>
      </c>
      <c r="Y16" s="403">
        <v>20</v>
      </c>
      <c r="Z16" s="404" t="s">
        <v>77</v>
      </c>
      <c r="AA16" s="2415"/>
      <c r="AB16" s="2415"/>
      <c r="AC16" s="2415"/>
      <c r="AD16" s="2415"/>
      <c r="AE16" s="2415"/>
      <c r="AF16" s="2415"/>
      <c r="AG16" s="2415"/>
      <c r="AH16" s="2415"/>
      <c r="AI16" s="2415"/>
      <c r="AJ16" s="2415"/>
      <c r="AK16" s="2415"/>
      <c r="AL16" s="2415"/>
      <c r="AM16" s="2415"/>
      <c r="AN16" s="2415"/>
      <c r="AO16" s="2415"/>
      <c r="AP16" s="2415"/>
      <c r="AQ16" s="3167"/>
      <c r="AR16" s="3167"/>
      <c r="AS16" s="2283"/>
    </row>
    <row r="17" spans="1:45" s="3" customFormat="1" ht="30" x14ac:dyDescent="0.25">
      <c r="A17" s="407"/>
      <c r="B17" s="408"/>
      <c r="C17" s="394"/>
      <c r="D17" s="395"/>
      <c r="E17" s="409"/>
      <c r="F17" s="69"/>
      <c r="G17" s="2661"/>
      <c r="H17" s="2119"/>
      <c r="I17" s="2661"/>
      <c r="J17" s="2054"/>
      <c r="K17" s="2032"/>
      <c r="L17" s="2345"/>
      <c r="M17" s="2032"/>
      <c r="N17" s="2345"/>
      <c r="O17" s="2032"/>
      <c r="P17" s="2054"/>
      <c r="Q17" s="2121"/>
      <c r="R17" s="2147"/>
      <c r="S17" s="3193"/>
      <c r="T17" s="3194"/>
      <c r="U17" s="3195"/>
      <c r="V17" s="3183"/>
      <c r="W17" s="402">
        <v>300000000</v>
      </c>
      <c r="X17" s="76" t="s">
        <v>361</v>
      </c>
      <c r="Y17" s="403">
        <v>88</v>
      </c>
      <c r="Z17" s="406" t="s">
        <v>358</v>
      </c>
      <c r="AA17" s="2415"/>
      <c r="AB17" s="2415"/>
      <c r="AC17" s="2415"/>
      <c r="AD17" s="2415"/>
      <c r="AE17" s="2415"/>
      <c r="AF17" s="2415"/>
      <c r="AG17" s="2415"/>
      <c r="AH17" s="2415"/>
      <c r="AI17" s="2415"/>
      <c r="AJ17" s="2415"/>
      <c r="AK17" s="2415"/>
      <c r="AL17" s="2415"/>
      <c r="AM17" s="2415"/>
      <c r="AN17" s="2415"/>
      <c r="AO17" s="2415"/>
      <c r="AP17" s="2415"/>
      <c r="AQ17" s="3167"/>
      <c r="AR17" s="3167"/>
      <c r="AS17" s="2283"/>
    </row>
    <row r="18" spans="1:45" ht="15.75" x14ac:dyDescent="0.25">
      <c r="A18" s="385"/>
      <c r="B18" s="386"/>
      <c r="C18" s="394"/>
      <c r="D18" s="395"/>
      <c r="E18" s="410">
        <v>4502</v>
      </c>
      <c r="F18" s="3179" t="s">
        <v>362</v>
      </c>
      <c r="G18" s="2784"/>
      <c r="H18" s="2784"/>
      <c r="I18" s="2784"/>
      <c r="J18" s="2784"/>
      <c r="K18" s="2784"/>
      <c r="L18" s="2784"/>
      <c r="M18" s="411"/>
      <c r="N18" s="412"/>
      <c r="O18" s="411"/>
      <c r="P18" s="411"/>
      <c r="Q18" s="413"/>
      <c r="R18" s="414"/>
      <c r="S18" s="414"/>
      <c r="T18" s="415"/>
      <c r="U18" s="416"/>
      <c r="V18" s="416"/>
      <c r="W18" s="417"/>
      <c r="X18" s="418"/>
      <c r="Y18" s="417"/>
      <c r="Z18" s="419"/>
      <c r="AA18" s="417"/>
      <c r="AB18" s="417"/>
      <c r="AC18" s="417"/>
      <c r="AD18" s="417"/>
      <c r="AE18" s="417"/>
      <c r="AF18" s="417"/>
      <c r="AG18" s="417"/>
      <c r="AH18" s="417"/>
      <c r="AI18" s="417"/>
      <c r="AJ18" s="417"/>
      <c r="AK18" s="417"/>
      <c r="AL18" s="417"/>
      <c r="AM18" s="417"/>
      <c r="AN18" s="417"/>
      <c r="AO18" s="417"/>
      <c r="AP18" s="417"/>
      <c r="AQ18" s="417"/>
      <c r="AR18" s="417"/>
      <c r="AS18" s="417"/>
    </row>
    <row r="19" spans="1:45" ht="100.5" customHeight="1" x14ac:dyDescent="0.25">
      <c r="A19" s="385"/>
      <c r="B19" s="386"/>
      <c r="C19" s="394"/>
      <c r="D19" s="395"/>
      <c r="E19" s="52"/>
      <c r="F19" s="70"/>
      <c r="G19" s="3180" t="s">
        <v>62</v>
      </c>
      <c r="H19" s="2099" t="s">
        <v>363</v>
      </c>
      <c r="I19" s="3180">
        <v>4502001</v>
      </c>
      <c r="J19" s="2099" t="s">
        <v>123</v>
      </c>
      <c r="K19" s="2094" t="s">
        <v>62</v>
      </c>
      <c r="L19" s="2099" t="s">
        <v>364</v>
      </c>
      <c r="M19" s="2094">
        <v>450200100</v>
      </c>
      <c r="N19" s="2099" t="s">
        <v>125</v>
      </c>
      <c r="O19" s="3174">
        <v>30</v>
      </c>
      <c r="P19" s="2101" t="s">
        <v>365</v>
      </c>
      <c r="Q19" s="3176" t="s">
        <v>366</v>
      </c>
      <c r="R19" s="3178">
        <f>SUM(W19:W20)/S19</f>
        <v>1</v>
      </c>
      <c r="S19" s="3173">
        <f>SUM(W19:W20)</f>
        <v>145000000</v>
      </c>
      <c r="T19" s="2709" t="s">
        <v>367</v>
      </c>
      <c r="U19" s="2709" t="s">
        <v>368</v>
      </c>
      <c r="V19" s="420" t="s">
        <v>369</v>
      </c>
      <c r="W19" s="421">
        <f>100000000+45000000</f>
        <v>145000000</v>
      </c>
      <c r="X19" s="422" t="s">
        <v>370</v>
      </c>
      <c r="Y19" s="423">
        <v>20</v>
      </c>
      <c r="Z19" s="424" t="s">
        <v>77</v>
      </c>
      <c r="AA19" s="3170">
        <v>295972</v>
      </c>
      <c r="AB19" s="3170">
        <v>285580</v>
      </c>
      <c r="AC19" s="3170">
        <v>135545</v>
      </c>
      <c r="AD19" s="3171">
        <v>44254</v>
      </c>
      <c r="AE19" s="3170">
        <v>309146</v>
      </c>
      <c r="AF19" s="3170">
        <v>92607</v>
      </c>
      <c r="AG19" s="3170">
        <v>2145</v>
      </c>
      <c r="AH19" s="3170">
        <v>12718</v>
      </c>
      <c r="AI19" s="3170">
        <v>26</v>
      </c>
      <c r="AJ19" s="3170">
        <v>37</v>
      </c>
      <c r="AK19" s="3170"/>
      <c r="AL19" s="3170"/>
      <c r="AM19" s="3170">
        <v>44350</v>
      </c>
      <c r="AN19" s="2413">
        <v>21944</v>
      </c>
      <c r="AO19" s="2413">
        <v>75687</v>
      </c>
      <c r="AP19" s="2413">
        <v>581552</v>
      </c>
      <c r="AQ19" s="3166">
        <v>44198</v>
      </c>
      <c r="AR19" s="2974">
        <v>44561</v>
      </c>
      <c r="AS19" s="3168" t="s">
        <v>347</v>
      </c>
    </row>
    <row r="20" spans="1:45" ht="106.5" customHeight="1" x14ac:dyDescent="0.25">
      <c r="A20" s="385"/>
      <c r="B20" s="386"/>
      <c r="C20" s="394"/>
      <c r="D20" s="395"/>
      <c r="E20" s="50"/>
      <c r="F20" s="425"/>
      <c r="G20" s="3181"/>
      <c r="H20" s="2100"/>
      <c r="I20" s="3181"/>
      <c r="J20" s="2100"/>
      <c r="K20" s="2072"/>
      <c r="L20" s="2100"/>
      <c r="M20" s="2072"/>
      <c r="N20" s="2100"/>
      <c r="O20" s="3175"/>
      <c r="P20" s="2102"/>
      <c r="Q20" s="3177"/>
      <c r="R20" s="3178"/>
      <c r="S20" s="3173"/>
      <c r="T20" s="2709"/>
      <c r="U20" s="2709"/>
      <c r="V20" s="426" t="s">
        <v>371</v>
      </c>
      <c r="W20" s="427">
        <v>0</v>
      </c>
      <c r="X20" s="428" t="s">
        <v>370</v>
      </c>
      <c r="Y20" s="429">
        <v>20</v>
      </c>
      <c r="Z20" s="430" t="s">
        <v>77</v>
      </c>
      <c r="AA20" s="3170"/>
      <c r="AB20" s="3170"/>
      <c r="AC20" s="3170"/>
      <c r="AD20" s="3172"/>
      <c r="AE20" s="3170"/>
      <c r="AF20" s="3170"/>
      <c r="AG20" s="3170"/>
      <c r="AH20" s="3170"/>
      <c r="AI20" s="3170"/>
      <c r="AJ20" s="3170"/>
      <c r="AK20" s="3170"/>
      <c r="AL20" s="3170"/>
      <c r="AM20" s="3170"/>
      <c r="AN20" s="2415"/>
      <c r="AO20" s="2415"/>
      <c r="AP20" s="2415"/>
      <c r="AQ20" s="3166"/>
      <c r="AR20" s="3167"/>
      <c r="AS20" s="3169"/>
    </row>
    <row r="21" spans="1:45" ht="15.75" x14ac:dyDescent="0.25">
      <c r="A21" s="431"/>
      <c r="B21" s="353"/>
      <c r="C21" s="353"/>
      <c r="D21" s="353"/>
      <c r="E21" s="353"/>
      <c r="F21" s="353"/>
      <c r="G21" s="353"/>
      <c r="H21" s="354"/>
      <c r="I21" s="353"/>
      <c r="J21" s="354"/>
      <c r="K21" s="353"/>
      <c r="L21" s="354"/>
      <c r="M21" s="353"/>
      <c r="N21" s="354"/>
      <c r="O21" s="353"/>
      <c r="P21" s="353"/>
      <c r="Q21" s="354"/>
      <c r="R21" s="353"/>
      <c r="S21" s="432">
        <f>SUM(S12:S20)</f>
        <v>1177000000</v>
      </c>
      <c r="T21" s="354"/>
      <c r="U21" s="354"/>
      <c r="V21" s="354" t="s">
        <v>113</v>
      </c>
      <c r="W21" s="433">
        <f>SUM(W12:W20)</f>
        <v>1177000000</v>
      </c>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434"/>
    </row>
    <row r="22" spans="1:45" ht="15" x14ac:dyDescent="0.25">
      <c r="W22" s="142"/>
    </row>
    <row r="23" spans="1:45" ht="15" x14ac:dyDescent="0.25">
      <c r="W23" s="142"/>
    </row>
    <row r="24" spans="1:45" ht="15" x14ac:dyDescent="0.25">
      <c r="W24" s="142"/>
    </row>
    <row r="25" spans="1:45" ht="15" x14ac:dyDescent="0.25">
      <c r="W25" s="142"/>
    </row>
    <row r="26" spans="1:45" ht="15" x14ac:dyDescent="0.25">
      <c r="W26" s="142"/>
    </row>
  </sheetData>
  <sheetProtection algorithmName="SHA-512" hashValue="hjSXITgvraiXeS8tl/XyRX+KOGEoIpZwzI782J7pfW+z7nHxD+c3fmPGaoPp3leefD7lL692F+yIEUMna4761A==" saltValue="44Cy1buqaa5FV5PKO0TOLA==" spinCount="100000" sheet="1" objects="1" scenarios="1"/>
  <mergeCells count="127">
    <mergeCell ref="A1:AQ4"/>
    <mergeCell ref="A5:O6"/>
    <mergeCell ref="A7:B7"/>
    <mergeCell ref="C7:D7"/>
    <mergeCell ref="E7:F7"/>
    <mergeCell ref="G7:J7"/>
    <mergeCell ref="K7:N7"/>
    <mergeCell ref="O7:W7"/>
    <mergeCell ref="X7:Z7"/>
    <mergeCell ref="AA7:AB7"/>
    <mergeCell ref="AS7:AS8"/>
    <mergeCell ref="D10:H10"/>
    <mergeCell ref="F11:J11"/>
    <mergeCell ref="G12:G13"/>
    <mergeCell ref="H12:H13"/>
    <mergeCell ref="I12:I13"/>
    <mergeCell ref="J12:J13"/>
    <mergeCell ref="K12:K13"/>
    <mergeCell ref="L12:L13"/>
    <mergeCell ref="M12:M13"/>
    <mergeCell ref="AC7:AF7"/>
    <mergeCell ref="AG7:AL7"/>
    <mergeCell ref="AM7:AO7"/>
    <mergeCell ref="AP7:AP8"/>
    <mergeCell ref="AQ7:AQ8"/>
    <mergeCell ref="AR7:AR8"/>
    <mergeCell ref="AQ12:AQ13"/>
    <mergeCell ref="AR12:AR13"/>
    <mergeCell ref="AS12:AS13"/>
    <mergeCell ref="AH12:AH13"/>
    <mergeCell ref="AI12:AI13"/>
    <mergeCell ref="G14:G17"/>
    <mergeCell ref="H14:H17"/>
    <mergeCell ref="I14:I17"/>
    <mergeCell ref="J14:J17"/>
    <mergeCell ref="K14:K17"/>
    <mergeCell ref="L14:L17"/>
    <mergeCell ref="T12:T13"/>
    <mergeCell ref="U12:U13"/>
    <mergeCell ref="V12:V13"/>
    <mergeCell ref="N12:N13"/>
    <mergeCell ref="O12:O13"/>
    <mergeCell ref="P12:P13"/>
    <mergeCell ref="S14:S17"/>
    <mergeCell ref="T14:T17"/>
    <mergeCell ref="U14:U17"/>
    <mergeCell ref="V14:V15"/>
    <mergeCell ref="Q12:Q13"/>
    <mergeCell ref="R12:R13"/>
    <mergeCell ref="S12:S13"/>
    <mergeCell ref="M14:M17"/>
    <mergeCell ref="N14:N17"/>
    <mergeCell ref="O14:O17"/>
    <mergeCell ref="P14:P17"/>
    <mergeCell ref="Q14:Q17"/>
    <mergeCell ref="R14:R17"/>
    <mergeCell ref="AO14:AO17"/>
    <mergeCell ref="AP14:AP17"/>
    <mergeCell ref="AN12:AN13"/>
    <mergeCell ref="AO12:AO13"/>
    <mergeCell ref="AP12:AP13"/>
    <mergeCell ref="AB12:AB13"/>
    <mergeCell ref="AC12:AC13"/>
    <mergeCell ref="AD12:AD13"/>
    <mergeCell ref="AE12:AE13"/>
    <mergeCell ref="AF12:AF13"/>
    <mergeCell ref="AG12:AG13"/>
    <mergeCell ref="AJ12:AJ13"/>
    <mergeCell ref="AK12:AK13"/>
    <mergeCell ref="AL12:AL13"/>
    <mergeCell ref="AM12:AM13"/>
    <mergeCell ref="Y12:Y13"/>
    <mergeCell ref="Z12:Z13"/>
    <mergeCell ref="AA12:AA13"/>
    <mergeCell ref="AQ14:AQ17"/>
    <mergeCell ref="AR14:AR17"/>
    <mergeCell ref="AS14:AS17"/>
    <mergeCell ref="V16:V17"/>
    <mergeCell ref="AI14:AI17"/>
    <mergeCell ref="AJ14:AJ17"/>
    <mergeCell ref="AK14:AK17"/>
    <mergeCell ref="AL14:AL17"/>
    <mergeCell ref="AM14:AM17"/>
    <mergeCell ref="AN14:AN17"/>
    <mergeCell ref="AC14:AC17"/>
    <mergeCell ref="AD14:AD17"/>
    <mergeCell ref="AE14:AE17"/>
    <mergeCell ref="AF14:AF17"/>
    <mergeCell ref="AG14:AG17"/>
    <mergeCell ref="AH14:AH17"/>
    <mergeCell ref="AB14:AB17"/>
    <mergeCell ref="AA14:AA17"/>
    <mergeCell ref="M19:M20"/>
    <mergeCell ref="N19:N20"/>
    <mergeCell ref="O19:O20"/>
    <mergeCell ref="P19:P20"/>
    <mergeCell ref="Q19:Q20"/>
    <mergeCell ref="R19:R20"/>
    <mergeCell ref="F18:L18"/>
    <mergeCell ref="G19:G20"/>
    <mergeCell ref="H19:H20"/>
    <mergeCell ref="I19:I20"/>
    <mergeCell ref="J19:J20"/>
    <mergeCell ref="K19:K20"/>
    <mergeCell ref="L19:L20"/>
    <mergeCell ref="AD19:AD20"/>
    <mergeCell ref="AE19:AE20"/>
    <mergeCell ref="AF19:AF20"/>
    <mergeCell ref="AG19:AG20"/>
    <mergeCell ref="AH19:AH20"/>
    <mergeCell ref="AI19:AI20"/>
    <mergeCell ref="S19:S20"/>
    <mergeCell ref="T19:T20"/>
    <mergeCell ref="U19:U20"/>
    <mergeCell ref="AA19:AA20"/>
    <mergeCell ref="AB19:AB20"/>
    <mergeCell ref="AC19:AC20"/>
    <mergeCell ref="AP19:AP20"/>
    <mergeCell ref="AQ19:AQ20"/>
    <mergeCell ref="AR19:AR20"/>
    <mergeCell ref="AS19:AS20"/>
    <mergeCell ref="AJ19:AJ20"/>
    <mergeCell ref="AK19:AK20"/>
    <mergeCell ref="AL19:AL20"/>
    <mergeCell ref="AM19:AM20"/>
    <mergeCell ref="AN19:AN20"/>
    <mergeCell ref="AO19:AO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F-PLA-06 PA ADMINISTRATIVA</vt:lpstr>
      <vt:lpstr>F-PLA-06 PA PLANEACIÓN</vt:lpstr>
      <vt:lpstr>F-PLA-06 PA HACIENDA</vt:lpstr>
      <vt:lpstr>F-PLA-06 PA AGUAS INFRA</vt:lpstr>
      <vt:lpstr>F-PLA-06 PA INTERIOR</vt:lpstr>
      <vt:lpstr>F-PLA-06 PA CULTURA</vt:lpstr>
      <vt:lpstr>F-PLA-06 PA TURISMO</vt:lpstr>
      <vt:lpstr>F-PLA-06 PA AGRICULTURA</vt:lpstr>
      <vt:lpstr>F-PLA-06 PA PRIVADA</vt:lpstr>
      <vt:lpstr>F-PLA-06 PA EDUCACIÓN</vt:lpstr>
      <vt:lpstr>F-PLA-06 PA FAMILIA</vt:lpstr>
      <vt:lpstr>F-PLA 06 PA SALUD</vt:lpstr>
      <vt:lpstr>F-PLA-06 PA TIC</vt:lpstr>
      <vt:lpstr>F-PLA-06 PA INDEPORTES</vt:lpstr>
      <vt:lpstr>F-PL-06 PA PROMOTORA</vt:lpstr>
      <vt:lpstr>F-PLA-06 PA IDTQ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2021-07-19T14:25:30Z</dcterms:created>
  <dcterms:modified xsi:type="dcterms:W3CDTF">2021-08-27T20:48:06Z</dcterms:modified>
</cp:coreProperties>
</file>