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UXPLANEACION03\Desktop\"/>
    </mc:Choice>
  </mc:AlternateContent>
  <bookViews>
    <workbookView xWindow="0" yWindow="0" windowWidth="24000" windowHeight="9345" activeTab="12"/>
  </bookViews>
  <sheets>
    <sheet name="F-PLA-06 ADMINISTRATIVA" sheetId="1" r:id="rId1"/>
    <sheet name="F-PLA-06 PLANEACION" sheetId="3" r:id="rId2"/>
    <sheet name="F-PLA06 HACIENDA" sheetId="2" r:id="rId3"/>
    <sheet name="F-PLA-06 AGUAS E INFRAESTRUCTUR" sheetId="5" r:id="rId4"/>
    <sheet name="F-PLA-06 INTERIOR" sheetId="20" r:id="rId5"/>
    <sheet name="F-PLA-06 CULTURA" sheetId="9" r:id="rId6"/>
    <sheet name="F-PLA-06 TURISMO " sheetId="8" r:id="rId7"/>
    <sheet name="F-PLA-06 AGRICULTURA" sheetId="18" r:id="rId8"/>
    <sheet name="F-PLA-06 PRIVADA" sheetId="4" r:id="rId9"/>
    <sheet name="F-PLA-06 EDUCACIÓN" sheetId="19" r:id="rId10"/>
    <sheet name="F-PLA-06 FAMILIA" sheetId="6" r:id="rId11"/>
    <sheet name="F-PLA 06 SALUD" sheetId="16" r:id="rId12"/>
    <sheet name="F-PLA-06 TIC" sheetId="7" r:id="rId13"/>
    <sheet name="F-PLA-06 INDEPORTES" sheetId="12" r:id="rId14"/>
    <sheet name="F-PLA-06 IDTQ" sheetId="10" r:id="rId15"/>
    <sheet name="F-PL-06 PROYECTA" sheetId="17" r:id="rId16"/>
  </sheets>
  <externalReferences>
    <externalReference r:id="rId17"/>
  </externalReferences>
  <definedNames>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0">#REF!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14">#REF!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5" hidden="1">'F-PLA-06 CULTURA'!$A$9:$BI$67</definedName>
    <definedName name="_xlnm._FilterDatabase" localSheetId="10" hidden="1">'F-PLA-06 FAMILIA'!$X$183:$X$194</definedName>
    <definedName name="_xlnm._FilterDatabase" localSheetId="4" hidden="1">'F-PLA-06 INTERIOR'!$X$8:$Z$226</definedName>
    <definedName name="_xlnm._FilterDatabase" localSheetId="1" hidden="1">'F-PLA-06 PLANEACION'!$X$11:$X$92</definedName>
    <definedName name="aa" localSheetId="11">#REF!</definedName>
    <definedName name="aa" localSheetId="3">#REF!</definedName>
    <definedName name="aa" localSheetId="9">#REF!</definedName>
    <definedName name="aa" localSheetId="10">#REF!</definedName>
    <definedName name="aa" localSheetId="4">#REF!</definedName>
    <definedName name="aa" localSheetId="1">#REF!</definedName>
    <definedName name="aa" localSheetId="12">#REF!</definedName>
    <definedName name="aa" localSheetId="6">#REF!</definedName>
    <definedName name="aa">#REF!</definedName>
    <definedName name="_xlnm.Print_Area" localSheetId="6">'F-PLA-06 TURISMO '!$U$12:$W$45</definedName>
    <definedName name="CODIGO_DIVIPOLA" localSheetId="15">#REF!</definedName>
    <definedName name="CODIGO_DIVIPOLA" localSheetId="11">#REF!</definedName>
    <definedName name="CODIGO_DIVIPOLA" localSheetId="0">#REF!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14">#REF!</definedName>
    <definedName name="CODIGO_DIVIPOLA" localSheetId="4">#REF!</definedName>
    <definedName name="CODIGO_DIVIPOLA" localSheetId="1">#REF!</definedName>
    <definedName name="CODIGO_DIVIPOLA" localSheetId="12">#REF!</definedName>
    <definedName name="CODIGO_DIVIPOLA" localSheetId="6">#REF!</definedName>
    <definedName name="CODIGO_DIVIPOLA">#REF!</definedName>
    <definedName name="DboREGISTRO_LEY_617" localSheetId="15">#REF!</definedName>
    <definedName name="DboREGISTRO_LEY_617" localSheetId="11">#REF!</definedName>
    <definedName name="DboREGISTRO_LEY_617" localSheetId="0">#REF!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14">#REF!</definedName>
    <definedName name="DboREGISTRO_LEY_617" localSheetId="4">#REF!</definedName>
    <definedName name="DboREGISTRO_LEY_617" localSheetId="1">#REF!</definedName>
    <definedName name="DboREGISTRO_LEY_617" localSheetId="12">#REF!</definedName>
    <definedName name="DboREGISTRO_LEY_617" localSheetId="6">#REF!</definedName>
    <definedName name="DboREGISTRO_LEY_617">#REF!</definedName>
    <definedName name="ññ" localSheetId="15">#REF!</definedName>
    <definedName name="ññ" localSheetId="11">#REF!</definedName>
    <definedName name="ññ" localSheetId="0">#REF!</definedName>
    <definedName name="ññ" localSheetId="3">#REF!</definedName>
    <definedName name="ññ" localSheetId="5">#REF!</definedName>
    <definedName name="ññ" localSheetId="9">#REF!</definedName>
    <definedName name="ññ" localSheetId="10">#REF!</definedName>
    <definedName name="ññ" localSheetId="14">#REF!</definedName>
    <definedName name="ññ" localSheetId="4">#REF!</definedName>
    <definedName name="ññ" localSheetId="1">#REF!</definedName>
    <definedName name="ññ" localSheetId="12">#REF!</definedName>
    <definedName name="ññ" localSheetId="6">#REF!</definedName>
    <definedName name="ñ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19" i="20" l="1"/>
  <c r="W212" i="20"/>
  <c r="W210" i="20"/>
  <c r="W199" i="20"/>
  <c r="AP192" i="20"/>
  <c r="AP177" i="20"/>
  <c r="S177" i="20"/>
  <c r="R177" i="20"/>
  <c r="W173" i="20"/>
  <c r="W171" i="20"/>
  <c r="W168" i="20"/>
  <c r="W163" i="20"/>
  <c r="W162" i="20"/>
  <c r="W160" i="20"/>
  <c r="W150" i="20"/>
  <c r="W148" i="20"/>
  <c r="W146" i="20"/>
  <c r="W139" i="20"/>
  <c r="S135" i="20" s="1"/>
  <c r="R142" i="20" s="1"/>
  <c r="AP135" i="20"/>
  <c r="W132" i="20"/>
  <c r="W130" i="20"/>
  <c r="S129" i="20" s="1"/>
  <c r="R129" i="20" s="1"/>
  <c r="AP129" i="20"/>
  <c r="AP122" i="20"/>
  <c r="S122" i="20"/>
  <c r="R122" i="20" s="1"/>
  <c r="W121" i="20"/>
  <c r="W115" i="20"/>
  <c r="W112" i="20"/>
  <c r="W111" i="20"/>
  <c r="W109" i="20"/>
  <c r="W106" i="20"/>
  <c r="S103" i="20" s="1"/>
  <c r="R103" i="20" s="1"/>
  <c r="AP103" i="20"/>
  <c r="W103" i="20"/>
  <c r="W94" i="20"/>
  <c r="AP91" i="20"/>
  <c r="W91" i="20"/>
  <c r="S91" i="20"/>
  <c r="R91" i="20" s="1"/>
  <c r="W76" i="20"/>
  <c r="W47" i="20"/>
  <c r="S41" i="20" s="1"/>
  <c r="AP41" i="20"/>
  <c r="W38" i="20"/>
  <c r="W37" i="20"/>
  <c r="W36" i="20"/>
  <c r="W35" i="20"/>
  <c r="W34" i="20"/>
  <c r="AP33" i="20"/>
  <c r="W33" i="20"/>
  <c r="S33" i="20" s="1"/>
  <c r="R33" i="20" s="1"/>
  <c r="W27" i="20"/>
  <c r="S26" i="20" s="1"/>
  <c r="R26" i="20" s="1"/>
  <c r="AP26" i="20"/>
  <c r="W26" i="20"/>
  <c r="W226" i="20" s="1"/>
  <c r="AP22" i="20"/>
  <c r="S22" i="20"/>
  <c r="R22" i="20"/>
  <c r="AP12" i="20"/>
  <c r="S12" i="20"/>
  <c r="R67" i="20" l="1"/>
  <c r="R82" i="20"/>
  <c r="R61" i="20"/>
  <c r="R41" i="20"/>
  <c r="R76" i="20"/>
  <c r="R167" i="20"/>
  <c r="S192" i="20"/>
  <c r="R12" i="20"/>
  <c r="R135" i="20"/>
  <c r="R192" i="20" l="1"/>
  <c r="R222" i="20"/>
  <c r="R208" i="20"/>
  <c r="S226" i="20"/>
  <c r="R213" i="20"/>
  <c r="AP231" i="19" l="1"/>
  <c r="S231" i="19"/>
  <c r="R231" i="19"/>
  <c r="W227" i="19"/>
  <c r="AP225" i="19"/>
  <c r="S225" i="19"/>
  <c r="R225" i="19"/>
  <c r="W215" i="19"/>
  <c r="W214" i="19"/>
  <c r="W213" i="19"/>
  <c r="W212" i="19"/>
  <c r="W210" i="19"/>
  <c r="W209" i="19"/>
  <c r="W208" i="19"/>
  <c r="W178" i="19"/>
  <c r="W117" i="19"/>
  <c r="W116" i="19"/>
  <c r="W115" i="19"/>
  <c r="W114" i="19"/>
  <c r="W112" i="19"/>
  <c r="W111" i="19"/>
  <c r="AP110" i="19"/>
  <c r="W110" i="19"/>
  <c r="S110" i="19"/>
  <c r="R122" i="19" s="1"/>
  <c r="W109" i="19"/>
  <c r="W108" i="19"/>
  <c r="W107" i="19"/>
  <c r="S98" i="19" s="1"/>
  <c r="W106" i="19"/>
  <c r="AP98" i="19"/>
  <c r="W97" i="19"/>
  <c r="W96" i="19"/>
  <c r="W95" i="19"/>
  <c r="W94" i="19"/>
  <c r="S90" i="19" s="1"/>
  <c r="AP90" i="19"/>
  <c r="W85" i="19"/>
  <c r="S78" i="19" s="1"/>
  <c r="W84" i="19"/>
  <c r="W83" i="19"/>
  <c r="W82" i="19"/>
  <c r="AP78" i="19"/>
  <c r="W77" i="19"/>
  <c r="R77" i="19" s="1"/>
  <c r="W57" i="19"/>
  <c r="W56" i="19"/>
  <c r="W55" i="19"/>
  <c r="S45" i="19" s="1"/>
  <c r="W54" i="19"/>
  <c r="AP45" i="19"/>
  <c r="AP43" i="19"/>
  <c r="W43" i="19"/>
  <c r="R43" i="19" s="1"/>
  <c r="S43" i="19"/>
  <c r="R44" i="19" s="1"/>
  <c r="W42" i="19"/>
  <c r="W41" i="19"/>
  <c r="W40" i="19"/>
  <c r="W39" i="19"/>
  <c r="W38" i="19"/>
  <c r="W32" i="19"/>
  <c r="W31" i="19"/>
  <c r="W30" i="19"/>
  <c r="W29" i="19"/>
  <c r="W28" i="19"/>
  <c r="W27" i="19"/>
  <c r="W26" i="19"/>
  <c r="W25" i="19"/>
  <c r="W24" i="19"/>
  <c r="W23" i="19"/>
  <c r="W22" i="19"/>
  <c r="S12" i="19" s="1"/>
  <c r="W21" i="19"/>
  <c r="W20" i="19"/>
  <c r="W15" i="19"/>
  <c r="W14" i="19"/>
  <c r="W233" i="19" s="1"/>
  <c r="W13" i="19"/>
  <c r="AP12" i="19"/>
  <c r="W12" i="19"/>
  <c r="R90" i="19" l="1"/>
  <c r="R94" i="19"/>
  <c r="S233" i="19"/>
  <c r="R31" i="19"/>
  <c r="R37" i="19"/>
  <c r="R27" i="19"/>
  <c r="R40" i="19"/>
  <c r="R24" i="19"/>
  <c r="R16" i="19"/>
  <c r="R20" i="19"/>
  <c r="R12" i="19"/>
  <c r="R41" i="19"/>
  <c r="R39" i="19"/>
  <c r="R67" i="19"/>
  <c r="R50" i="19"/>
  <c r="R76" i="19"/>
  <c r="R66" i="19"/>
  <c r="R54" i="19"/>
  <c r="R72" i="19"/>
  <c r="R62" i="19"/>
  <c r="R68" i="19"/>
  <c r="R45" i="19"/>
  <c r="R82" i="19"/>
  <c r="R86" i="19"/>
  <c r="R78" i="19"/>
  <c r="R106" i="19"/>
  <c r="R98" i="19"/>
  <c r="R102" i="19"/>
  <c r="R114" i="19"/>
  <c r="R118" i="19"/>
  <c r="R110" i="19"/>
  <c r="S76" i="18"/>
  <c r="R76" i="18" s="1"/>
  <c r="S72" i="18"/>
  <c r="R72" i="18" s="1"/>
  <c r="S70" i="18"/>
  <c r="R70" i="18" s="1"/>
  <c r="W66" i="18"/>
  <c r="S66" i="18" s="1"/>
  <c r="R66" i="18" s="1"/>
  <c r="W64" i="18"/>
  <c r="S64" i="18"/>
  <c r="R64" i="18" s="1"/>
  <c r="W63" i="18"/>
  <c r="W61" i="18"/>
  <c r="W59" i="18"/>
  <c r="W56" i="18"/>
  <c r="S56" i="18" s="1"/>
  <c r="AP53" i="18"/>
  <c r="S53" i="18"/>
  <c r="R53" i="18" s="1"/>
  <c r="S48" i="18"/>
  <c r="R49" i="18" s="1"/>
  <c r="R48" i="18"/>
  <c r="S42" i="18"/>
  <c r="R45" i="18" s="1"/>
  <c r="R42" i="18"/>
  <c r="S39" i="18"/>
  <c r="R40" i="18" s="1"/>
  <c r="R39" i="18"/>
  <c r="S37" i="18"/>
  <c r="R37" i="18" s="1"/>
  <c r="S35" i="18"/>
  <c r="R35" i="18"/>
  <c r="R33" i="18"/>
  <c r="S32" i="18"/>
  <c r="R32" i="18"/>
  <c r="S29" i="18"/>
  <c r="R29" i="18"/>
  <c r="S27" i="18"/>
  <c r="R27" i="18"/>
  <c r="S25" i="18"/>
  <c r="R25" i="18" s="1"/>
  <c r="S22" i="18"/>
  <c r="R22" i="18"/>
  <c r="R21" i="18"/>
  <c r="S17" i="18"/>
  <c r="R20" i="18" s="1"/>
  <c r="R17" i="18"/>
  <c r="R15" i="18"/>
  <c r="S12" i="18"/>
  <c r="R12" i="18"/>
  <c r="R60" i="18" l="1"/>
  <c r="R56" i="18"/>
  <c r="R59" i="18"/>
  <c r="S79" i="18"/>
  <c r="R63" i="18"/>
  <c r="R26" i="18"/>
  <c r="R43" i="18"/>
  <c r="R54" i="18"/>
  <c r="R73" i="18"/>
  <c r="R77" i="18"/>
  <c r="W79" i="18"/>
  <c r="R14" i="18"/>
  <c r="R74" i="18"/>
  <c r="R78" i="18"/>
  <c r="S50" i="17" l="1"/>
  <c r="S49" i="17"/>
  <c r="S48" i="17"/>
  <c r="S47" i="17"/>
  <c r="S46" i="17"/>
  <c r="S45" i="17"/>
  <c r="S44" i="17"/>
  <c r="S43" i="17"/>
  <c r="S42" i="17"/>
  <c r="S39" i="17"/>
  <c r="S38" i="17"/>
  <c r="S36" i="17"/>
  <c r="S35" i="17"/>
  <c r="S34" i="17"/>
  <c r="S33" i="17"/>
  <c r="S32" i="17"/>
  <c r="S30" i="17"/>
  <c r="S29" i="17"/>
  <c r="S28" i="17"/>
  <c r="S27" i="17"/>
  <c r="S26" i="17"/>
  <c r="S22" i="17"/>
  <c r="S21" i="17"/>
  <c r="S17" i="17"/>
  <c r="S16" i="17"/>
  <c r="O16" i="17" s="1"/>
  <c r="N16" i="17" s="1"/>
  <c r="S13" i="17"/>
  <c r="S12" i="17"/>
  <c r="O26" i="17" l="1"/>
  <c r="N33" i="17" s="1"/>
  <c r="S51" i="17"/>
  <c r="O21" i="17"/>
  <c r="N21" i="17" s="1"/>
  <c r="O12" i="17"/>
  <c r="N27" i="17" l="1"/>
  <c r="N26" i="17"/>
  <c r="N38" i="17"/>
  <c r="N47" i="17"/>
  <c r="N43" i="17"/>
  <c r="N37" i="17"/>
  <c r="N12" i="17"/>
  <c r="O51" i="17"/>
  <c r="S288" i="16" l="1"/>
  <c r="R296" i="16" s="1"/>
  <c r="W278" i="16"/>
  <c r="W277" i="16"/>
  <c r="W276" i="16"/>
  <c r="W275" i="16"/>
  <c r="W274" i="16"/>
  <c r="W273" i="16"/>
  <c r="W272" i="16"/>
  <c r="W271" i="16"/>
  <c r="W270" i="16"/>
  <c r="W269" i="16"/>
  <c r="W267" i="16"/>
  <c r="S252" i="16"/>
  <c r="R252" i="16" s="1"/>
  <c r="W249" i="16"/>
  <c r="W247" i="16"/>
  <c r="W241" i="16"/>
  <c r="S241" i="16" s="1"/>
  <c r="R241" i="16" s="1"/>
  <c r="W239" i="16"/>
  <c r="W238" i="16"/>
  <c r="W236" i="16"/>
  <c r="W234" i="16"/>
  <c r="S223" i="16"/>
  <c r="R223" i="16" s="1"/>
  <c r="W221" i="16"/>
  <c r="W220" i="16"/>
  <c r="W218" i="16"/>
  <c r="W217" i="16"/>
  <c r="S215" i="16"/>
  <c r="R215" i="16" s="1"/>
  <c r="W211" i="16"/>
  <c r="S211" i="16" s="1"/>
  <c r="R211" i="16" s="1"/>
  <c r="W202" i="16"/>
  <c r="W200" i="16"/>
  <c r="W199" i="16"/>
  <c r="W194" i="16"/>
  <c r="W190" i="16"/>
  <c r="S183" i="16" s="1"/>
  <c r="W182" i="16"/>
  <c r="W179" i="16"/>
  <c r="W178" i="16"/>
  <c r="W165" i="16"/>
  <c r="S159" i="16"/>
  <c r="R164" i="16" s="1"/>
  <c r="S145" i="16"/>
  <c r="R145" i="16" s="1"/>
  <c r="S123" i="16"/>
  <c r="R135" i="16" s="1"/>
  <c r="R123" i="16"/>
  <c r="S106" i="16"/>
  <c r="R118" i="16" s="1"/>
  <c r="S97" i="16"/>
  <c r="R97" i="16" s="1"/>
  <c r="S91" i="16"/>
  <c r="R93" i="16" s="1"/>
  <c r="S83" i="16"/>
  <c r="R84" i="16" s="1"/>
  <c r="S80" i="16"/>
  <c r="R80" i="16" s="1"/>
  <c r="W78" i="16"/>
  <c r="W72" i="16"/>
  <c r="W70" i="16"/>
  <c r="W69" i="16"/>
  <c r="W65" i="16"/>
  <c r="W63" i="16"/>
  <c r="S46" i="16"/>
  <c r="R50" i="16" s="1"/>
  <c r="W40" i="16"/>
  <c r="S12" i="16" s="1"/>
  <c r="R42" i="16" s="1"/>
  <c r="S234" i="16" l="1"/>
  <c r="R234" i="16" s="1"/>
  <c r="R46" i="16"/>
  <c r="W300" i="16"/>
  <c r="R91" i="16"/>
  <c r="R94" i="16"/>
  <c r="S217" i="16"/>
  <c r="R217" i="16" s="1"/>
  <c r="R183" i="16"/>
  <c r="R190" i="16"/>
  <c r="R298" i="16"/>
  <c r="R18" i="16"/>
  <c r="R44" i="16"/>
  <c r="R85" i="16"/>
  <c r="R92" i="16"/>
  <c r="R111" i="16"/>
  <c r="R121" i="16"/>
  <c r="R149" i="16"/>
  <c r="R153" i="16"/>
  <c r="S196" i="16"/>
  <c r="R43" i="16"/>
  <c r="S63" i="16"/>
  <c r="R89" i="16"/>
  <c r="S168" i="16"/>
  <c r="S300" i="16" s="1"/>
  <c r="R297" i="16"/>
  <c r="R299" i="16"/>
  <c r="R101" i="16"/>
  <c r="R109" i="16"/>
  <c r="R116" i="16"/>
  <c r="R25" i="16"/>
  <c r="R12" i="16"/>
  <c r="R15" i="16"/>
  <c r="R21" i="16"/>
  <c r="R83" i="16"/>
  <c r="R106" i="16"/>
  <c r="R107" i="16"/>
  <c r="R159" i="16"/>
  <c r="S266" i="16"/>
  <c r="R288" i="16"/>
  <c r="R266" i="16" l="1"/>
  <c r="R278" i="16"/>
  <c r="R268" i="16"/>
  <c r="R172" i="16"/>
  <c r="R178" i="16"/>
  <c r="R168" i="16"/>
  <c r="R197" i="16"/>
  <c r="R196" i="16"/>
  <c r="R75" i="16"/>
  <c r="R78" i="16"/>
  <c r="R63" i="16"/>
  <c r="W80" i="12" l="1"/>
  <c r="S80" i="12"/>
  <c r="AP77" i="12"/>
  <c r="S77" i="12"/>
  <c r="R77" i="12" s="1"/>
  <c r="AP53" i="12"/>
  <c r="S53" i="12"/>
  <c r="R53" i="12"/>
  <c r="R33" i="12"/>
  <c r="R23" i="12"/>
  <c r="AP13" i="12"/>
  <c r="S13" i="12"/>
  <c r="R49" i="12" s="1"/>
  <c r="R13" i="12"/>
  <c r="W16" i="10" l="1"/>
  <c r="S16" i="10"/>
  <c r="R14" i="10"/>
  <c r="R13" i="10"/>
  <c r="AP12" i="10"/>
  <c r="S12" i="10"/>
  <c r="R15" i="10" s="1"/>
  <c r="R12" i="10"/>
  <c r="W19" i="8" l="1"/>
  <c r="W23" i="8"/>
  <c r="W26" i="8"/>
  <c r="W29" i="8"/>
  <c r="W30" i="8"/>
  <c r="W36" i="8"/>
  <c r="W37" i="8"/>
  <c r="W40" i="8"/>
  <c r="W43" i="8"/>
  <c r="W44" i="8"/>
  <c r="W46" i="8"/>
  <c r="S12" i="8"/>
  <c r="S16" i="8"/>
  <c r="S20" i="8"/>
  <c r="S26" i="8"/>
  <c r="S36" i="8"/>
  <c r="S46" i="8"/>
  <c r="R42" i="8"/>
  <c r="R39" i="8"/>
  <c r="R37" i="8"/>
  <c r="AE36" i="8"/>
  <c r="AP36" i="8"/>
  <c r="R36" i="8"/>
  <c r="AE26" i="8"/>
  <c r="AP26" i="8"/>
  <c r="R26" i="8"/>
  <c r="R23" i="8"/>
  <c r="R22" i="8"/>
  <c r="AE20" i="8"/>
  <c r="AP20" i="8"/>
  <c r="R20" i="8"/>
  <c r="R19" i="8"/>
  <c r="AE16" i="8"/>
  <c r="AP16" i="8"/>
  <c r="R16" i="8"/>
  <c r="R13" i="8"/>
  <c r="AE12" i="8"/>
  <c r="AP12" i="8"/>
  <c r="R12" i="8"/>
  <c r="AP57" i="7"/>
  <c r="W57" i="7"/>
  <c r="S57" i="7"/>
  <c r="R57" i="7"/>
  <c r="AP53" i="7"/>
  <c r="S53" i="7"/>
  <c r="R53" i="7"/>
  <c r="R48" i="7"/>
  <c r="R46" i="7"/>
  <c r="AP43" i="7"/>
  <c r="S43" i="7"/>
  <c r="R49" i="7"/>
  <c r="R43" i="7"/>
  <c r="W35" i="7"/>
  <c r="S34" i="7"/>
  <c r="AP34" i="7"/>
  <c r="AP24" i="7"/>
  <c r="S24" i="7"/>
  <c r="R30" i="7"/>
  <c r="W23" i="7"/>
  <c r="W22" i="7"/>
  <c r="W21" i="7"/>
  <c r="W20" i="7"/>
  <c r="W17" i="7"/>
  <c r="W16" i="7"/>
  <c r="W15" i="7"/>
  <c r="W59" i="7"/>
  <c r="AP12" i="7"/>
  <c r="S12" i="7"/>
  <c r="S59" i="7"/>
  <c r="R34" i="7"/>
  <c r="R39" i="7"/>
  <c r="R35" i="7"/>
  <c r="R37" i="7"/>
  <c r="R38" i="7"/>
  <c r="R29" i="7"/>
  <c r="R25" i="7"/>
  <c r="R12" i="7"/>
  <c r="R24" i="7"/>
  <c r="R26" i="7"/>
  <c r="R47" i="7"/>
  <c r="R20" i="7"/>
  <c r="R23" i="7"/>
  <c r="R45" i="7"/>
  <c r="S187" i="6"/>
  <c r="R187" i="6"/>
  <c r="S186" i="6"/>
  <c r="R186" i="6"/>
  <c r="S184" i="6"/>
  <c r="R184" i="6"/>
  <c r="AP180" i="6"/>
  <c r="S180" i="6"/>
  <c r="R180" i="6"/>
  <c r="S177" i="6"/>
  <c r="R177" i="6"/>
  <c r="S169" i="6"/>
  <c r="R169" i="6"/>
  <c r="AP161" i="6"/>
  <c r="S161" i="6"/>
  <c r="R161" i="6"/>
  <c r="S160" i="6"/>
  <c r="R160" i="6"/>
  <c r="S152" i="6"/>
  <c r="R152" i="6"/>
  <c r="S148" i="6"/>
  <c r="R148" i="6"/>
  <c r="R107" i="6"/>
  <c r="S102" i="6"/>
  <c r="R102" i="6"/>
  <c r="S99" i="6"/>
  <c r="R92" i="6"/>
  <c r="S91" i="6"/>
  <c r="R91" i="6"/>
  <c r="S84" i="6"/>
  <c r="R84" i="6"/>
  <c r="W82" i="6"/>
  <c r="W81" i="6"/>
  <c r="W79" i="6"/>
  <c r="S78" i="6"/>
  <c r="W78" i="6"/>
  <c r="W75" i="6"/>
  <c r="S74" i="6"/>
  <c r="R74" i="6"/>
  <c r="W74" i="6"/>
  <c r="AP71" i="6"/>
  <c r="S71" i="6"/>
  <c r="R71" i="6"/>
  <c r="S70" i="6"/>
  <c r="R70" i="6"/>
  <c r="AP69" i="6"/>
  <c r="S69" i="6"/>
  <c r="R69" i="6"/>
  <c r="AP63" i="6"/>
  <c r="S63" i="6"/>
  <c r="R63" i="6"/>
  <c r="W60" i="6"/>
  <c r="W194" i="6"/>
  <c r="W59" i="6"/>
  <c r="AP58" i="6"/>
  <c r="W58" i="6"/>
  <c r="S58" i="6"/>
  <c r="R58" i="6"/>
  <c r="AP55" i="6"/>
  <c r="S55" i="6"/>
  <c r="R55" i="6"/>
  <c r="AP47" i="6"/>
  <c r="S47" i="6"/>
  <c r="R47" i="6"/>
  <c r="R39" i="6"/>
  <c r="AP38" i="6"/>
  <c r="S38" i="6"/>
  <c r="R38" i="6"/>
  <c r="AP33" i="6"/>
  <c r="S33" i="6"/>
  <c r="R33" i="6"/>
  <c r="R29" i="6"/>
  <c r="AP27" i="6"/>
  <c r="S27" i="6"/>
  <c r="R27" i="6"/>
  <c r="AP24" i="6"/>
  <c r="S24" i="6"/>
  <c r="R24" i="6"/>
  <c r="AP13" i="6"/>
  <c r="S13" i="6"/>
  <c r="S194" i="6"/>
  <c r="R81" i="6"/>
  <c r="R78" i="6"/>
  <c r="R62" i="6"/>
  <c r="R16" i="6"/>
  <c r="R13" i="6"/>
  <c r="R170" i="5"/>
  <c r="S164" i="5"/>
  <c r="R169" i="5"/>
  <c r="R164" i="5"/>
  <c r="S159" i="5"/>
  <c r="R159" i="5"/>
  <c r="S151" i="5"/>
  <c r="R151" i="5"/>
  <c r="AQ146" i="5"/>
  <c r="S146" i="5"/>
  <c r="R146" i="5"/>
  <c r="W131" i="5"/>
  <c r="S127" i="5"/>
  <c r="R127" i="5"/>
  <c r="W117" i="5"/>
  <c r="W114" i="5"/>
  <c r="S112" i="5"/>
  <c r="R112" i="5"/>
  <c r="S109" i="5"/>
  <c r="R109" i="5"/>
  <c r="W91" i="5"/>
  <c r="W86" i="5"/>
  <c r="W76" i="5"/>
  <c r="S76" i="5"/>
  <c r="W60" i="5"/>
  <c r="W59" i="5"/>
  <c r="W58" i="5"/>
  <c r="W54" i="5"/>
  <c r="W53" i="5"/>
  <c r="W51" i="5"/>
  <c r="S51" i="5"/>
  <c r="R51" i="5"/>
  <c r="S42" i="5"/>
  <c r="R42" i="5"/>
  <c r="S23" i="5"/>
  <c r="R23" i="5"/>
  <c r="S17" i="5"/>
  <c r="R17" i="5"/>
  <c r="AQ12" i="5"/>
  <c r="AP12" i="5"/>
  <c r="AN12" i="5"/>
  <c r="AM12" i="5"/>
  <c r="AL12" i="5"/>
  <c r="AK12" i="5"/>
  <c r="AJ12" i="5"/>
  <c r="AI12" i="5"/>
  <c r="AH12" i="5"/>
  <c r="AG12" i="5"/>
  <c r="AF12" i="5"/>
  <c r="AE12" i="5"/>
  <c r="AD12" i="5"/>
  <c r="AC12" i="5"/>
  <c r="AB12" i="5"/>
  <c r="AA12" i="5"/>
  <c r="S12" i="5"/>
  <c r="R12" i="5"/>
  <c r="R79" i="5"/>
  <c r="R76" i="5"/>
  <c r="S173" i="5"/>
  <c r="R171" i="5"/>
  <c r="R165" i="5"/>
  <c r="R172" i="5"/>
  <c r="W173" i="5"/>
  <c r="W21" i="4"/>
  <c r="W19" i="4"/>
  <c r="S19" i="4"/>
  <c r="R19" i="4"/>
  <c r="R14" i="4"/>
  <c r="W12" i="4"/>
  <c r="S12" i="4"/>
  <c r="S21" i="4"/>
  <c r="R12" i="4"/>
  <c r="W88" i="3"/>
  <c r="W74" i="3"/>
  <c r="S65" i="3"/>
  <c r="R65" i="3"/>
  <c r="W64" i="3"/>
  <c r="W63" i="3"/>
  <c r="W62" i="3"/>
  <c r="W61" i="3"/>
  <c r="W60" i="3"/>
  <c r="S59" i="3"/>
  <c r="R59" i="3"/>
  <c r="AP59" i="3"/>
  <c r="W57" i="3"/>
  <c r="W56" i="3"/>
  <c r="W55" i="3"/>
  <c r="W54" i="3"/>
  <c r="W50" i="3"/>
  <c r="W49" i="3"/>
  <c r="W48" i="3"/>
  <c r="W47" i="3"/>
  <c r="W46" i="3"/>
  <c r="W45" i="3"/>
  <c r="W44" i="3"/>
  <c r="W43" i="3"/>
  <c r="W40" i="3"/>
  <c r="AP39" i="3"/>
  <c r="W39" i="3"/>
  <c r="AP33" i="3"/>
  <c r="S33" i="3"/>
  <c r="R33" i="3"/>
  <c r="W28" i="3"/>
  <c r="W27" i="3"/>
  <c r="W26" i="3"/>
  <c r="W18" i="3"/>
  <c r="W17" i="3"/>
  <c r="W16" i="3"/>
  <c r="W15" i="3"/>
  <c r="W14" i="3"/>
  <c r="W13" i="3"/>
  <c r="S12" i="3"/>
  <c r="AP12" i="3"/>
  <c r="W12" i="3"/>
  <c r="S48" i="3"/>
  <c r="R48" i="3"/>
  <c r="S39" i="3"/>
  <c r="R39" i="3"/>
  <c r="S45" i="3"/>
  <c r="R45" i="3"/>
  <c r="R12" i="3"/>
  <c r="R61" i="3"/>
  <c r="R63" i="3"/>
  <c r="W92" i="3"/>
  <c r="R60" i="3"/>
  <c r="R62" i="3"/>
  <c r="R64" i="3"/>
  <c r="S92" i="3"/>
  <c r="W46" i="2"/>
  <c r="S46" i="2"/>
  <c r="S42" i="2"/>
  <c r="R42" i="2"/>
  <c r="S12" i="2"/>
  <c r="W32" i="1"/>
  <c r="S28" i="1"/>
  <c r="R28" i="1"/>
  <c r="S26" i="1"/>
  <c r="R26" i="1"/>
  <c r="S19" i="1"/>
  <c r="R19" i="1"/>
  <c r="S12" i="1"/>
  <c r="S32" i="1"/>
  <c r="R12" i="1"/>
</calcChain>
</file>

<file path=xl/comments1.xml><?xml version="1.0" encoding="utf-8"?>
<comments xmlns="http://schemas.openxmlformats.org/spreadsheetml/2006/main">
  <authors>
    <author>tc={5AC8C18E-817F-4625-BE05-B5F778E0166F}</author>
    <author>tc={5060BC9B-0419-4C25-A909-C1D8E6006EF8}</author>
    <author>tc={7725966E-642F-4D70-8B62-633FC86E706F}</author>
    <author>tc={4FD0EA46-3280-4679-8FD4-8EC5814B67D9}</author>
    <author>tc={4F789D80-8EEF-4EE0-A74A-53AE2943CE68}</author>
    <author>tc={812C3A30-73FF-4FA1-9524-4E2242874495}</author>
    <author>tc={5F2449EA-20CE-4408-B151-7B080F28E3EE}</author>
    <author>tc={A54E5625-DBA6-4CDF-8B80-6F1FCC016E24}</author>
    <author>tc={9A666D68-697D-4799-ADD8-65614784ABBE}</author>
    <author>tc={9E57620D-72AF-4C7F-BCCA-A75AA2421B03}</author>
    <author>tc={9792664D-D443-4AAD-A1A7-B1E1655272F7}</author>
    <author>tc={305CAFF8-ECC1-4918-9663-779E69271D59}</author>
    <author>tc={D8F2C200-07F6-4EBE-B3AF-53B6CACA3AFE}</author>
    <author>tc={15B7C7DB-E693-4C7F-A96B-1638368D2E9D}</author>
    <author>tc={64218A9C-AB88-474A-A859-AA4BFBF807D4}</author>
    <author>tc={8CCFB91F-9469-486C-9B7F-55415C2E4090}</author>
    <author>tc={43CFEB6C-A62B-4807-8DDD-C98FD94F4D84}</author>
    <author>tc={144FA68D-604E-416D-BA2B-FF6EC9C8BC75}</author>
    <author>tc={C44DC64A-642A-46D6-9845-26E7E00C435A}</author>
    <author>tc={5CB43C4D-7012-406E-8E73-C1610C31DB9F}</author>
    <author>tc={32D40F0E-72D6-48EB-89FD-E1CAC1081A23}</author>
    <author>tc={5A1BF4C9-A158-4088-AA5C-0E678D98AD29}</author>
    <author>tc={F9417271-F3A2-4759-B247-70401E68E4B9}</author>
    <author>tc={F4595BC8-308F-4C5E-92CB-730D5F4345D1}</author>
    <author>tc={3124609D-DC80-4119-9753-E4D24CCE0508}</author>
    <author>tc={83604827-3F81-48E0-A269-031A1836DA0F}</author>
    <author>tc={B9CCE794-7E47-40BA-A133-B1FF8DADBEDE}</author>
    <author>tc={330441F5-438B-40FC-9FB7-57F2E2AD1909}</author>
    <author>tc={92151A6B-858C-42AE-BC6E-7F9D4858E299}</author>
    <author>tc={B2760E1D-5DF0-4C13-8E37-A654E303FCE9}</author>
    <author>tc={5044E128-7EC3-4E1A-9510-5CAB600FD21F}</author>
    <author>tc={4173AF65-8533-40D9-907B-8428D807480A}</author>
    <author>tc={E38CCD87-83C4-4DC0-BE18-C467B8337214}</author>
    <author>tc={74FAAC33-23D9-4419-A942-8A3DBD739CF0}</author>
    <author>tc={BB68D177-93FD-4959-91EF-3E4E8137A004}</author>
    <author>tc={DCE866C5-BD20-464D-8494-25706D258946}</author>
    <author>tc={95A8635F-5FD6-4D7B-8D24-A678D14789A5}</author>
    <author>tc={1134EF21-9A8D-4F0E-84CE-7EE3ECF96FE4}</author>
    <author>tc={20803ABC-7A99-46AB-86E7-CF25D264AF53}</author>
    <author>tc={381A3BE5-2549-4DC1-AD24-D66CC6FCE05D}</author>
    <author>tc={CC43419B-1668-44C8-88A4-199220D26981}</author>
    <author>tc={E147646B-4F51-40C8-9231-453C08A87943}</author>
    <author>tc={4D04C20B-7E9B-44E4-86B6-E9A41722CA93}</author>
    <author>tc={B25EE690-D9ED-485E-8CED-1BF88194473B}</author>
    <author>tc={D13A47FD-2A0C-47C7-AF8F-A62D935A684A}</author>
    <author>tc={7EF3FBF4-C466-4DB1-889F-0645908CF1DB}</author>
  </authors>
  <commentList>
    <comment ref="W3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02/06/21 segun decreto 271 de 05/21/21 crediti</t>
        </r>
      </text>
    </comment>
    <comment ref="W4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contracredito 02/06/21 segun decreto 271 de 05/21/21</t>
        </r>
      </text>
    </comment>
    <comment ref="W6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124 de febrero 24 de 2021</t>
        </r>
      </text>
    </comment>
    <comment ref="W6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124 de febrero 24 de 2021</t>
        </r>
      </text>
    </comment>
    <comment ref="W6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301 de junio 02</t>
        </r>
      </text>
    </comment>
    <comment ref="W67"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de recursos según decreto 003 de 04 de enero de 2021</t>
        </r>
      </text>
    </comment>
    <comment ref="W68"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de recursos segun decreto 003 de 04 de enero de 2021</t>
        </r>
      </text>
    </comment>
    <comment ref="W69"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149 de marzo 15 de 2021</t>
        </r>
      </text>
    </comment>
    <comment ref="W70"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149 de marzo 15 de 2021</t>
        </r>
      </text>
    </comment>
    <comment ref="W78"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301 de junio 02</t>
        </r>
      </text>
    </comment>
    <comment ref="W200" authorId="1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Reducción 18/06/21 segun Decreto 00314 de 09/06/21 </t>
        </r>
      </text>
    </comment>
    <comment ref="W202" authorId="1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Reducción 18/06/21 segun Decreto 00314 de 09/06/21 </t>
        </r>
      </text>
    </comment>
    <comment ref="V211"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proyecto creación de nueva actividad 25-02-2021</t>
        </r>
      </text>
    </comment>
    <comment ref="V213"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proyecto creación de nueva actividad 25-02-2021</t>
        </r>
      </text>
    </comment>
    <comment ref="W214"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según decreto 125 de febrero 25 de 2021</t>
        </r>
      </text>
    </comment>
    <comment ref="W234"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25</t>
        </r>
      </text>
    </comment>
    <comment ref="W235"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adicion segun decreto 003 del 4 de enero de 2021</t>
        </r>
      </text>
    </comment>
    <comment ref="W236"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25</t>
        </r>
      </text>
    </comment>
    <comment ref="W238"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25</t>
        </r>
      </text>
    </comment>
    <comment ref="W239"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entre actividades junio 25</t>
        </r>
      </text>
    </comment>
    <comment ref="W241"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por traslado entre actividades 24 de marzo de 2021
Reply:
    ajuste según decreto 312 de junio 9</t>
        </r>
      </text>
    </comment>
    <comment ref="W242"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182 de marzo 25 de 2021</t>
        </r>
      </text>
    </comment>
    <comment ref="W244"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182 de marzo 25 de 2021</t>
        </r>
      </text>
    </comment>
    <comment ref="W247"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por traslado entre actividades 24 de marzo de 2021</t>
        </r>
      </text>
    </comment>
    <comment ref="W249" authorId="2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por traslado entre actividades 24 de marzo de 2021</t>
        </r>
      </text>
    </comment>
    <comment ref="W250" authorId="2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182 de marzo 25 de 2021</t>
        </r>
      </text>
    </comment>
    <comment ref="W267" authorId="2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314 de junio 09</t>
        </r>
      </text>
    </comment>
    <comment ref="W269" authorId="2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0" authorId="2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1" authorId="2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2" authorId="3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3" authorId="3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4" authorId="3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5" authorId="3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 7</t>
        </r>
      </text>
    </comment>
    <comment ref="W276" authorId="3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314 de junio 09</t>
        </r>
      </text>
    </comment>
    <comment ref="W278" authorId="3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79" authorId="3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0" authorId="3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1" authorId="3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2" authorId="3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3" authorId="4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4" authorId="4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5" authorId="4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6" authorId="4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87" authorId="4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SEGUN DECRETO 326 DE JUNIO</t>
        </r>
      </text>
    </comment>
    <comment ref="W294" authorId="4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decreto 241 de mayo7</t>
        </r>
      </text>
    </comment>
  </commentList>
</comments>
</file>

<file path=xl/comments2.xml><?xml version="1.0" encoding="utf-8"?>
<comments xmlns="http://schemas.openxmlformats.org/spreadsheetml/2006/main">
  <authors>
    <author>tc={5D774DAF-7F6E-4DBA-B1C6-C99521496997}</author>
    <author>tc={50AD25DB-E475-472D-AFFD-44933132F78D}</author>
    <author>tc={A29B76EC-EB61-4CAA-B82B-CA39CA9AA0AE}</author>
    <author>tc={3D96837C-C018-4CB5-89BF-4CDB6F4B40C6}</author>
    <author>tc={14425F3D-0FB6-4BB8-BA42-9D06E0AE433E}</author>
    <author>tc={FA131744-C980-4910-A58A-C7ED87FFBD4A}</author>
    <author>tc={C0160DB4-C350-4645-A567-B31F391F9B32}</author>
    <author>tc={3E9C6E12-F2E2-4FBC-8690-2FDE3B3B0F37}</author>
    <author>tc={0013D712-FE3A-4D59-8BC9-C127374513A1}</author>
    <author>tc={CDF7E082-5448-48E8-9B2C-BE9A63051B20}</author>
    <author>tc={1ED9ADC2-67D4-4A1E-9E3B-C6FEC685BD87}</author>
    <author>tc={F82A9491-E82A-4F42-8C7B-436FEA8C0397}</author>
    <author>tc={CA1075B5-A778-446E-970F-E6A2D6713525}</author>
    <author>tc={6D548DBB-F44E-4B87-BC3C-3EB9D5B3EBA1}</author>
    <author>tc={6B9164A4-46CF-4B39-9446-A16702FB62D7}</author>
    <author>tc={7F91BFB8-995A-4AD6-94A3-D1F1027A8F20}</author>
    <author>tc={22C08BA4-ECE2-4BF8-988D-FEE3B346C68C}</author>
    <author>tc={A8B795C0-4000-44C7-A16B-8058DB887DCB}</author>
    <author>tc={F712B105-7404-4745-8B85-0C1E96A533D0}</author>
    <author>tc={8A40DD4E-2B59-479C-9A3B-7B18CE0AD845}</author>
    <author>tc={C0E8F155-1E0B-4570-9A61-38512F6E5C73}</author>
    <author>tc={DBD8C3E2-D480-4038-A413-C6C5CD43735D}</author>
    <author>tc={B6AF746F-1178-4C53-8C62-93BFC8C6082F}</author>
    <author>tc={57CE5A09-49FE-4022-9D0C-539640D9D31A}</author>
    <author>tc={DACD4A79-5D9A-4BCB-84ED-1075C4616DEF}</author>
    <author>tc={3B41BB0A-32E3-4F3D-B498-1B7A2AAC54C6}</author>
    <author>tc={FE5FE5DE-F092-4249-8D7B-61983DD0A898}</author>
    <author>tc={8C37D7A4-4FC1-48EF-9769-DEEEB4DEDADC}</author>
    <author>tc={588B742A-E562-4CAA-92F1-F9021B817F9F}</author>
    <author>tc={8C34860F-C40F-4B89-AB44-D344EB4B40E3}</author>
  </authors>
  <commentList>
    <comment ref="S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068 de agosto 13</t>
        </r>
      </text>
    </comment>
    <comment ref="S1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068 de agosto 13</t>
        </r>
      </text>
    </comment>
    <comment ref="S1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052 de junio 21</t>
        </r>
      </text>
    </comment>
    <comment ref="S2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ajustes según resolución 052 de junio 21</t>
        </r>
      </text>
    </comment>
    <comment ref="S22"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051 de junio 21</t>
        </r>
      </text>
    </comment>
    <comment ref="S23"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051 de junio 21</t>
        </r>
      </text>
    </comment>
    <comment ref="S26"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078 de septiembre 01</t>
        </r>
      </text>
    </comment>
    <comment ref="S27"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S28"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S29" authorId="9"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resolución 041 de abril
Reply:
    ajuste según resolución 087 de septiembre 24 </t>
        </r>
      </text>
    </comment>
    <comment ref="S30"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041 de abril
Reply:
    ajuste según resolución 087 de septiembre 24</t>
        </r>
      </text>
    </comment>
    <comment ref="S31"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t>
        </r>
      </text>
    </comment>
    <comment ref="S32"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t>
        </r>
      </text>
    </comment>
    <comment ref="S33"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34"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078 de septiembre 01</t>
        </r>
      </text>
    </comment>
    <comment ref="S35"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36"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
Reply:
    ajuste según resolución 078 de septiembre 01</t>
        </r>
      </text>
    </comment>
    <comment ref="S38" authorId="17"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ajuste según resolución 068 de agosto 13
Reply:
    ajuste según resolución 070 de agosto 26
Reply:
    ajuste según resolución 078 de septiembre 01
</t>
        </r>
      </text>
    </comment>
    <comment ref="S39"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041 de abril</t>
        </r>
      </text>
    </comment>
    <comment ref="S40"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41"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42"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041 de abril
Reply:
    ajuste según resolucion051 de junio 21
Reply:
    ajuste según resolución 068 de agosto 13
Reply:
    ajuste según resolución 070 de agosto 26
Reply:
    ajuste según resolución 078 de septiembre 01</t>
        </r>
      </text>
    </comment>
    <comment ref="S43"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S44"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S45" authorId="2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46" authorId="2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078 de septiembre 01</t>
        </r>
      </text>
    </comment>
    <comment ref="S47" authorId="2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resolución 045 de mayo 6</t>
        </r>
      </text>
    </comment>
    <comment ref="S48" authorId="2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078 de septiembre 01</t>
        </r>
      </text>
    </comment>
    <comment ref="S49" authorId="2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resolución 087 de septiembre 24</t>
        </r>
      </text>
    </comment>
    <comment ref="S50" authorId="2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ajuste según resolucion051 de junio 21</t>
        </r>
      </text>
    </comment>
  </commentList>
</comments>
</file>

<file path=xl/sharedStrings.xml><?xml version="1.0" encoding="utf-8"?>
<sst xmlns="http://schemas.openxmlformats.org/spreadsheetml/2006/main" count="24108" uniqueCount="3353">
  <si>
    <t>PROGRAMACIÓN PLAN DE ACCIÓN 
SECRETARÍA ADMINISTRATIVA
SEPTIEMBRE 30 DE 2021</t>
  </si>
  <si>
    <t xml:space="preserve">CODIGO:  </t>
  </si>
  <si>
    <t>F-PLA-06</t>
  </si>
  <si>
    <t xml:space="preserve">VERSIÓN: </t>
  </si>
  <si>
    <t xml:space="preserve">FECHA: </t>
  </si>
  <si>
    <t>PÁGINA:</t>
  </si>
  <si>
    <t>1 de 1</t>
  </si>
  <si>
    <t>PLAN DE DESARROLLO DEPARTAMENTAL:   "TÚ Y YO SOMOS QUINDÍO" 2020-2023</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</si>
  <si>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</si>
  <si>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</si>
  <si>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</si>
  <si>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</si>
  <si>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</si>
  <si>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</si>
  <si>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</si>
  <si>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</si>
  <si>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</si>
  <si>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</si>
  <si>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</si>
  <si>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</si>
  <si>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</si>
  <si>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</si>
  <si>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</si>
  <si>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</si>
  <si>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</si>
  <si>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</si>
  <si>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</si>
  <si>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</si>
  <si>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</si>
  <si>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</si>
  <si>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</si>
  <si>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</si>
  <si>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</si>
  <si>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META FISICA PROGRAMADA</t>
  </si>
  <si>
    <t>CODIGO BPIN</t>
  </si>
  <si>
    <t xml:space="preserve">NOMBRE PROYECTO </t>
  </si>
  <si>
    <t>PESO DE LA META (%)</t>
  </si>
  <si>
    <t>VALOR 
(EN PESOS )</t>
  </si>
  <si>
    <t xml:space="preserve">OBJETIVO GENERAL DEL PROYECTO </t>
  </si>
  <si>
    <t xml:space="preserve">OBJETIVOS ESPECIFICOS </t>
  </si>
  <si>
    <t>ACTIVIDADES CUANTIFICADAS</t>
  </si>
  <si>
    <t xml:space="preserve">VALOR ACTIVIDAD
(EN PESOS) </t>
  </si>
  <si>
    <t>IMPUTACION PRESUPUESTAL</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</si>
  <si>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</si>
  <si>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</si>
  <si>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</si>
  <si>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</si>
  <si>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</si>
  <si>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</si>
  <si>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</si>
  <si>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</si>
  <si>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</si>
  <si>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</si>
  <si>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</si>
  <si>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</si>
  <si>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</si>
  <si>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</si>
  <si>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</si>
  <si>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</si>
  <si>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LIDERAZGO, GOBERNABILIDAD Y TRANSPARENCIA.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</si>
  <si>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</si>
  <si>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</si>
  <si>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</si>
  <si>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</si>
  <si>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</si>
  <si>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</si>
  <si>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</si>
  <si>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</si>
  <si>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</si>
  <si>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</si>
  <si>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</si>
  <si>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</si>
  <si>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0304 - 2 - 3.2.2.2.9.0.0.0.45990232.91119 - 20</t>
  </si>
  <si>
    <t>Recurso Ordinario</t>
  </si>
  <si>
    <t>31/12/2021</t>
  </si>
  <si>
    <t>Secretaría Administrativa-Dirección Talento Humano</t>
  </si>
  <si>
    <t>0304 - 2 - 3.2.2.2.9.0.0.0.45990232.91119 - 88</t>
  </si>
  <si>
    <t>Superávit Recurso Ordinario</t>
  </si>
  <si>
    <t xml:space="preserve">Realizar el  diagnóstico  y el Plan de Acción de la  implementación del Código de Integridad.  </t>
  </si>
  <si>
    <t>Ejecutar las actividades establecidas en el Plan Institucional de Archivos PINAR.</t>
  </si>
  <si>
    <t>0304 - 2 - 3.2.1.1.3.3.2.0.45990232.45250 - 88</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</si>
  <si>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</si>
  <si>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</si>
  <si>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</si>
  <si>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saneamiento fiscal y financiero ejecutado</t>
  </si>
  <si>
    <t>202000363-0007</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</si>
  <si>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</si>
  <si>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</si>
  <si>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</si>
  <si>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0304 - 2 - 3.2.2.2.9.0.0.0.45990022.91119 - 20</t>
  </si>
  <si>
    <t>Secretaría Administrativa-Dirección Fondo Territorial de Pensiones</t>
  </si>
  <si>
    <t>0304 - 2 - 3.2.2.2.9.0.0.0.45990022.91119 - 88</t>
  </si>
  <si>
    <t>Depurar los expedientes administrativos que reposan  en el Fondo Territorial de Pensiones.</t>
  </si>
  <si>
    <t>0304 - 2 - 3.2.1.1.3.3.2.0.45990022.45250 - 88</t>
  </si>
  <si>
    <t>Adelantar acciones para determinar qué cuotas partes están a favor o cargo del Ente Territorial.</t>
  </si>
  <si>
    <t xml:space="preserve">Proceso de modernización administrativa, incluido el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</si>
  <si>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</si>
  <si>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</si>
  <si>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</si>
  <si>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</si>
  <si>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</si>
  <si>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Actualizar los procesos y procedimientos implementados al interior de la entidad, que permitan desarrollar una modernización administrativa incluyente y participativa.</t>
  </si>
  <si>
    <t>Implementar el programa de modernización Administrativa que incluya el desarrollo del estudio de viabilidad para la creación de la oficina de la felicidad.</t>
  </si>
  <si>
    <t>0304 - 2 - 3.2.2.2.9.0.0.0.45990233.91119 - 20</t>
  </si>
  <si>
    <t>Fortalecimiento de la Gestión  y Desempeño Institucional. "Quindío con una administración al servicio de la ciudadanía "</t>
  </si>
  <si>
    <t>Implementación del Plan de Acción del Sistema Departamental de Servicio a la Ciudadanía SDSC</t>
  </si>
  <si>
    <t>Servicio de integración de la oferta pública</t>
  </si>
  <si>
    <t xml:space="preserve">Plan de Acción del Sistema Departamental de Servicio a la Ciudadanía SDSC implementado. </t>
  </si>
  <si>
    <t xml:space="preserve">Espacios de integración de oferta pública generados </t>
  </si>
  <si>
    <t>202000363-0005</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</si>
  <si>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</si>
  <si>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</si>
  <si>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</si>
  <si>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</si>
  <si>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0304 - 2 - 3.2.2.2.9.0.0.0.4502033.91119 - 20</t>
  </si>
  <si>
    <t>0304 - 2 - 3.2.2.2.9.0.0.0.4502033.91119 - 88</t>
  </si>
  <si>
    <t>0304 - 2 - 3.2.1.1.3.3.2.0.4502033.45250 - 20</t>
  </si>
  <si>
    <t>0304 - 2 - 3.2.2.2.5.0.0.0.4502033.54129 - 20</t>
  </si>
  <si>
    <t>TOTAL:</t>
  </si>
  <si>
    <t>PROGRAMACIÓN PLAN DE ACCIÓN SECRETARÍA DE HACIENDA     
SEPTIEMBRE 30 DE 2021</t>
  </si>
  <si>
    <t xml:space="preserve"> 1 de 1</t>
  </si>
  <si>
    <t>PLAN DE DESARROLLO DEPARTAMENTAL:   "TÚ Y YO SOMOS QUINDÍO"</t>
  </si>
  <si>
    <t xml:space="preserve">PRODUCTO CATÁLOGO MGA </t>
  </si>
  <si>
    <t xml:space="preserve">VALOR EN PESOS </t>
  </si>
  <si>
    <t>Fortalecimiento a la gestión y dirección de la administración pública territorial "Quindío con una administración al servicio de la ciudadanía "</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</si>
  <si>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</si>
  <si>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</si>
  <si>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</si>
  <si>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</si>
  <si>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</si>
  <si>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</si>
  <si>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administración departamental .</t>
  </si>
  <si>
    <t>Realizar procesos de fiscalización de las rentas del departamento, procedimiento Administrativo de Cobro Coactivo sobre la cartera morosa de las rentas Departamentales y programa Anticontrabando de Licores, Cervezas y Cigarrillos</t>
  </si>
  <si>
    <t>0307 - 2 - 3.2.2.1.3.0.0.0.45990021.32610 - 20</t>
  </si>
  <si>
    <t> </t>
  </si>
  <si>
    <t xml:space="preserve"> Aleyda Marín Betancourt </t>
  </si>
  <si>
    <t>0307 - 2 - 3.2.2.1.3.0.0.0.45990021.33311 - 56</t>
  </si>
  <si>
    <t>Federación Nacional de Departamentos</t>
  </si>
  <si>
    <t>0307 - 2 - 3.2.2.1.3.0.0.0.45990021.36111 - 56</t>
  </si>
  <si>
    <t>0307 - 2 - 3.2.2.1.3.0.0.0.45990021.38911 - 20</t>
  </si>
  <si>
    <t>0307 - 2 - 3.2.2.1.3.0.0.0.45990021.83444 - 56</t>
  </si>
  <si>
    <t>0307 - 2 - 3.2.2.1.3.0.0.0.45990021.87141 - 56</t>
  </si>
  <si>
    <t>0307 - 2 - 3.2.2.2.6.0.0.0.45990021.63391 - 56</t>
  </si>
  <si>
    <t>0307 - 2 - 3.2.2.2.6.0.0.0.45990021.85953 - 20</t>
  </si>
  <si>
    <t>0307 - 2 - 3.2.2.2.9.0.0.0.45990021.91119 - 20</t>
  </si>
  <si>
    <t>0307 - 2 - 3.2.2.2.9.0.0.0.45990021.63393 - 20</t>
  </si>
  <si>
    <t>0307 - 2 - 3.2.2.2.9.0.0.0.45990021.91119 - 56</t>
  </si>
  <si>
    <t>0307 - 2 - 3.2.2.1.3.0.0.0.45990021.32128 - 56</t>
  </si>
  <si>
    <t>0307 - 2 - 3.2.2.1.3.0.0.0.45990021.32610 - 88</t>
  </si>
  <si>
    <t>Superavit Recurso Ordinario</t>
  </si>
  <si>
    <t>0307 - 2 - 3.2.2.1.3.0.0.0.45990021.33311 - 88</t>
  </si>
  <si>
    <t>0307 - 2 - 3.2.2.2.6.0.0.0.45990021.85953 - 88</t>
  </si>
  <si>
    <t>0307 - 2 - 3.2.2.1.3.0.0.0.45990021.32128 - 20</t>
  </si>
  <si>
    <t>0307 - 2 - 3.2.2.1.3.0.0.0.45990021.35130 - 20</t>
  </si>
  <si>
    <t>0307 - 2 - 3.2.2.2.8.0.0.0.45990021.84392 - 20</t>
  </si>
  <si>
    <t>0307 - 2 - 3.2.2.2.6.0.0.0.45990021.63393 - 56</t>
  </si>
  <si>
    <t>0307 - 2 - 3.2.2.2.9.0.0.0.45990021.91119 - 95</t>
  </si>
  <si>
    <t>Superavit convenios interadministrativos convenio anticontrabando</t>
  </si>
  <si>
    <t>0307 - 2 - 3.2.2.2.8.0.0.0.45990021.85961 - 56</t>
  </si>
  <si>
    <t>0307 - 2 - 3.2.2.1.2.0.0.0.45990021.88221 - 56</t>
  </si>
  <si>
    <t>0307 - 2 - 3.2.2.1.2.0.0.0.45990021.29330 - 56</t>
  </si>
  <si>
    <t>0307 - 2 - 3.2.2.1.3.0.0.0.45990021.36971- 56</t>
  </si>
  <si>
    <t>0307 - 2 - 3.2.2.1.3.0.0.0.45990021.36990- 56</t>
  </si>
  <si>
    <t>0307 - 2 - 3.2.2.1.4.0.0.0.45990021.48171- 56</t>
  </si>
  <si>
    <t>0307 - 2 - 3.2.2.1.2.0.0.0.45990021.29222 - 56</t>
  </si>
  <si>
    <t>0307 - 2 - 3.2.2.1.3.0.0.0.45990021.38111- 56</t>
  </si>
  <si>
    <t>0307 - 2 - 3.2.2.1.3.0.0.0.45990021.38121- 56</t>
  </si>
  <si>
    <t>0307 - 2 - 3.2.2.1.3.0.0.0.45990021.38140- 56</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</si>
  <si>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</si>
  <si>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</si>
  <si>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</si>
  <si>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</si>
  <si>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</si>
  <si>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</si>
  <si>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</si>
  <si>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</si>
  <si>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0307 - 2 - 3.2.2.2.9.0.0.0.45990023.91119 - 20</t>
  </si>
  <si>
    <t>Aleyda Marín Betancourt</t>
  </si>
  <si>
    <t>0307 - 2 - 3.2.2.1.3.0.0.0.45990023.32128 - 20</t>
  </si>
  <si>
    <t>0307 - 2 - 3.2.2.1.3.0.0.0.45990023.35130 - 20</t>
  </si>
  <si>
    <t>0307 - 2 - 3.2.2.2.9.0.0.0.45990023.91119 - 88</t>
  </si>
  <si>
    <t>ALEYDA MARÍN BETANCOUR</t>
  </si>
  <si>
    <t>Secretaria de Hacienda</t>
  </si>
  <si>
    <t>PROGRAMACION PLAN DE ACCIÓN 
SECRETARÍA DE PLANEACIÓN
A SEPTIEMBRE 30 DE 2021</t>
  </si>
  <si>
    <t>PLAN DE DESARROLLO DEPARTAMENTAL: PLAN DE DESARROLLO 2020 - 2023 "TÚ Y YO SOMOS QUINDIO"</t>
  </si>
  <si>
    <t xml:space="preserve">META FISICA </t>
  </si>
  <si>
    <t>VALOR PROYECTO
(EN PESOS )</t>
  </si>
  <si>
    <t>VALOR ACTIVIDAD (EN PESOS)</t>
  </si>
  <si>
    <t>Edad Económicamente Activa      (20-59 años)</t>
  </si>
  <si>
    <t>Rom</t>
  </si>
  <si>
    <t>Gestión Territorial</t>
  </si>
  <si>
    <t>rubro</t>
  </si>
  <si>
    <t>Fortalecimiento técnico y logístico del  Consejo Territorial de Planeación Departamental, como representantes de la sociedad civil en la planeación  del desarrollo integral  de la entidad territorial</t>
  </si>
  <si>
    <t>Servicio de promoción a la participación ciudadana</t>
  </si>
  <si>
    <t xml:space="preserve">Consejo Territorial de Planeación Departamental fortalecido.   </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</si>
  <si>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</si>
  <si>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</si>
  <si>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</si>
  <si>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</si>
  <si>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</si>
  <si>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</si>
  <si>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0305 - 2 - 3.2.2.2.6.0.0.0.45020014.63391 - 20</t>
  </si>
  <si>
    <t>Recursos Ordinarios</t>
  </si>
  <si>
    <t>Secretario de Planeación Departamental</t>
  </si>
  <si>
    <t>0305 - 2 - 3.2.2.2.6.0.0.0.45020014.64118 - 20</t>
  </si>
  <si>
    <r>
      <t>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</si>
  <si>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0305 - 2 - 3.2.2.2.6.0.0.0.45020014.63111 - 20</t>
  </si>
  <si>
    <t>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</si>
  <si>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Adquisición de equipo de cómputo y muebles de oficina</t>
  </si>
  <si>
    <t>0305 - 2 - 3.2.1.1.4.1.1.2.45020014.38122 - 20</t>
  </si>
  <si>
    <t>0305 - 2 - 3.2.1.1.3.3.2.0.45020014.45221 - 20</t>
  </si>
  <si>
    <t xml:space="preserve">Scanner, cámara fotografía, grabadora, micrófonos inalámbricos. </t>
  </si>
  <si>
    <t>0305 - 2 - 3.2.1.1.3.3.2.0.45020014.45250 - 20</t>
  </si>
  <si>
    <t xml:space="preserve">Comunicaciones externas de interés público a través de medios radiales, prensa y televisivos. </t>
  </si>
  <si>
    <t>0305 - 2 - 3.2.2.2.9.0.0.0.45020014.91134 - 20</t>
  </si>
  <si>
    <t>Actualización y cargas permanente a la página Web y redes del Consejo Territorial</t>
  </si>
  <si>
    <t>0305 - 2 - 3.2.2.2.8.0.0.0.45020014.83132 - 20</t>
  </si>
  <si>
    <t>Suministro de material litográfico, papelería, impresos y publicaciones, entre otros.</t>
  </si>
  <si>
    <t>0305 - 2 - 3.2.2.1.3.0.0.0.45020014.32690 - 20</t>
  </si>
  <si>
    <t>Jornadas de educacíón no formal en Ordenamiento Territorial</t>
  </si>
  <si>
    <t>0305 - 2 - 3.2.2.2.9.0.0.0.45020014.91119 - 20</t>
  </si>
  <si>
    <t>Apoyo Administrativo Jurídico</t>
  </si>
  <si>
    <t>Material de apoyo logístico</t>
  </si>
  <si>
    <t>Adquisición de muebles de oficina (mesas y sillas sala de juntas)</t>
  </si>
  <si>
    <t>0305 - 2 - 3.2.1.1.4.1.1.2.4502001.38122 - 88</t>
  </si>
  <si>
    <t>Materiales y suministros (diseño e impresión cuadernos académicos)</t>
  </si>
  <si>
    <t>Eventos de Rendición Pública de Cuentas qué divulgan la gestión administrativa.</t>
  </si>
  <si>
    <t xml:space="preserve">Eventos de Rendición Públicas de Cuentas realizados. </t>
  </si>
  <si>
    <t>Rendicion de cuentas realizadas</t>
  </si>
  <si>
    <t>202000363-0043</t>
  </si>
  <si>
    <t xml:space="preserve"> Implementación  de eventos de Rendición Pública de Cuentas  de divulgación de gestión  de la Administración </t>
  </si>
  <si>
    <t>Incrementar la  participación de ciudadanos en los eventos de elección popular, a través  de la realización de la  Rendición Pública de Cuentas, con el propósito de generar un espacio de interlocución entre la sociedad civil y/o organizada.</t>
  </si>
  <si>
    <t>Aumentar los eventos de divulgación</t>
  </si>
  <si>
    <t xml:space="preserve"> Apoyo estructuración de instrumentos informativos (visual  y escrito) para la socialización  Informe de Gestión  vigencia 2020</t>
  </si>
  <si>
    <t xml:space="preserve">
0305 - 2 - 3.2.2.2.9.0.0.0.45020012.91119 - 20</t>
  </si>
  <si>
    <t>31/12/20121</t>
  </si>
  <si>
    <t xml:space="preserve">Apoyo en la organización logística del proceso de Rendición de Cuentas  en los municipios </t>
  </si>
  <si>
    <t xml:space="preserve"> Apoyo recolección de información  por líneas  estratégicas  (visual  y escrita) para la  estructuración del Informe de Gestión de la vigencia 2021 Sector Central (Secretarías)</t>
  </si>
  <si>
    <t xml:space="preserve"> Apoyo recolección de información  por líneas  estratégicas  (visual  y escrita) para la  estructuración del Informe de Gestión de la vigencia 2021  Entes Descentralizados </t>
  </si>
  <si>
    <t>Edición Informe de Gestión  vigencia 2020</t>
  </si>
  <si>
    <t>0305 - 2 - 3.2.2.1.3.0.0.0.45020012.32690 - 20</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</si>
  <si>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</si>
  <si>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</si>
  <si>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 xml:space="preserve">Instrumentos de planificación de ordenamiento y gestión territorial departamental implementados. </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</si>
  <si>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</si>
  <si>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</si>
  <si>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</si>
  <si>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</si>
  <si>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</si>
  <si>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Elaboración e implementación de instrumentos de planificación para  el  Ordenamiento y la Gestión Territorial Departamental en el área de Catastro Multipropósito  y Ordenamiento Territorial.</t>
  </si>
  <si>
    <t>0305 - 2 - 3.2.2.2.9.0.0.0.4599018.91114 - 20</t>
  </si>
  <si>
    <t>Elaboración e implementación de instrumentos de planificación para  el  Ordenamiento y la Gestión Territorial Departamental en el área directrices del Ordenamiento Territorial Departamental</t>
  </si>
  <si>
    <t xml:space="preserve">Elaboración de   instrumentos de planificación para  el  Ordenamiento y la Gestión Territorial Departamental para la implementación de Mecanismos de Integración </t>
  </si>
  <si>
    <t>Fortalecimiento de la plataforma SIG Institucional. Licencia software</t>
  </si>
  <si>
    <t>Implementación instrumentos de planificación para  el  Ordenamiento y la Gestión Territorial Departamental en el área de Sistemas de Información Geográfica fortalecimiento de la plataforma SIG-  Convenio IGAC</t>
  </si>
  <si>
    <t>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</si>
  <si>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</si>
  <si>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</si>
  <si>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</si>
  <si>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</si>
  <si>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</si>
  <si>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</si>
  <si>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</si>
  <si>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</si>
  <si>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Recolección y análisis de la información para la actualización, generación de los boletines trimestrales (4), el informe anual del Departamento (1) y los demás análisis requeridos correspondientes a la vigencia 2020 (Informe de mercado laboral 2020 (1), saldo de deuda (1), infografías y notas informativas (12) , actualización y seguimiento indicadores de Desarrollo sostenible 2020 (1) compilación, fichas básicas municipales.2020</t>
  </si>
  <si>
    <t>0305 - 2 - 3.2.2.2.9.0.0.0.45990251.91114 - 20</t>
  </si>
  <si>
    <t>Apoyar la implementación  del Observatorio Económico  del Departamento: en la organización, actualización, operatividad de la información además de su publicación, difusión  y asistencia técnica.</t>
  </si>
  <si>
    <t>Actualización de los instrumentos (anuario estadístico, carta estadística e indicadores) de identificación, validación y cálculo de indicadores del observatorio departamental contenidos en las dos áreas temáticas abordadas (social y económica) para la vigencia 2020</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</si>
  <si>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</si>
  <si>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</si>
  <si>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</si>
  <si>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</si>
  <si>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</si>
  <si>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Fortalecer la asistencia a los entes territoriales para garantizar la presentación de proyectos</t>
  </si>
  <si>
    <t>Acompañamiento en la estructuración y formulación de proyectos para ser  financiados con recursos   del Sistema General de Regalías  SGR (documento técnico de soporte, presupuesto, Metodología General Ajustada  y  requisitos generales para la viabilización de proyectos)</t>
  </si>
  <si>
    <t>0305 - 2 - 3.2.2.2.9.0.0.0.45990252.91114 - 20</t>
  </si>
  <si>
    <t>Apoyo para la revision tecnica, viabilidad, priorización y aprobación de proyectos nuevos y ajustes  suceptibles de ser financiados con recursos del Sistema General de Regalias y acompañamiento en el cumplimiento de requisitos legales previos al inicio de la ejecucion de los proyectos SGR.</t>
  </si>
  <si>
    <t>Apoyo en la gestión técnica, registro y seguimiento en las plataformas del sistema General de Regalías  e informes   requeridos por las instancias de seguimiento y control,  acompañamiento a los ejercicios de planeación  conforme a la normatividad vigente.</t>
  </si>
  <si>
    <t>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demás dispuestas por el DNP.</t>
  </si>
  <si>
    <t>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</si>
  <si>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Apoyo en el seguimiento, generación de informes  y actualización  de los instrumentos de planificación conforme al  avance y/o modificaciones presupuestales que   generen cambios en los proyectos de inversión.</t>
  </si>
  <si>
    <t>Apoyo y asistencia técnica para la realización de modificaciones y/o ajustes a los proyectos de Inversión de la Secretaria de Planeación Departamental, de acuerdo al Plan de Desarrollo 2020-2023, actualizando las plataformas, MGA, SUIIF  TERRITORIO y realizando la actualización de seguimiento en el  aplicativo SPI.</t>
  </si>
  <si>
    <t>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</si>
  <si>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Apoyar los procesos de revisión y análisis de actos administrativos y demás  información   financiera relacionada con la inversión del Departamento, así como el apoyo en la proyección, verificación y consolidación de la información  correspondiente a iniciativas y proyectos  del banco de programas y proyectos,  permitiendo garantizar  la disposición de la información de manera accesible, confiable y oportuna.</t>
  </si>
  <si>
    <t xml:space="preserve">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</si>
  <si>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Apoyar los procesos de ajustes, actualización instrumentos de planificación, proyección certificados, cumplimiento de requisitos y demás documentos inherentes a la operatividad de los proyectos financiados con recursos del Sistema General de Regalías</t>
  </si>
  <si>
    <t xml:space="preserve">Entes territoriales  con servicio de asistencia técnica de los Instrumentos de Planificación para  en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</si>
  <si>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</si>
  <si>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</si>
  <si>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</si>
  <si>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</si>
  <si>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</si>
  <si>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</si>
  <si>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</si>
  <si>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Capacitación, asistencia técnica seguimiento y/o evaluación actualización  Planes, Planes Básicos y Esquemas de Ordenamiento Territorial, en concordancia a lo dispuesto en el Decreto 1232 del 2020 </t>
  </si>
  <si>
    <t>0305 - 2 - 3.2.2.2.9.0.0.0.45990311.91114 - 20</t>
  </si>
  <si>
    <t>Entes territoriales con servicio de asistencia  técnica del Modelo Integrado de Planeación y de Gestión MIPG</t>
  </si>
  <si>
    <t>Entes Territoriales con procesos de asistencia técnica realizadas.</t>
  </si>
  <si>
    <t xml:space="preserve">Capacitación, Diagnóstico y Asistencias Técnicas  Dimensiones  MIPG  Talento Humano, Direccionamiento Estratégico y Planeación, Gestión para Resultados con Valores, Evaluación de Resultados, Información y Comunicación, Gestión del Conocimiento y Control Interno </t>
  </si>
  <si>
    <t>0305 - 2 - 3.2.2.2.9.0.0.0.45990315.91114 - 20</t>
  </si>
  <si>
    <t>Entes territoriales  con servicio de asistencia técnica en la Medición del Desempeño Municipal.</t>
  </si>
  <si>
    <t>Asistencia técnica, seguimiento y/o evaluación Ranking Integral de Desempeño, identificación de inconsistencias del FUT, Evaluación de requisitos legales, viabilidad fiscal.</t>
  </si>
  <si>
    <t>0305 - 2 - 3.2.2.2.9.0.0.0.45990314.91114 - 20</t>
  </si>
  <si>
    <t xml:space="preserve">Entes territoriales  con servicio de asistencia técnica en el Sistema de Identificación de Potenciales Beneficiarios de Programas Sociales (SISBEN). </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</si>
  <si>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</si>
  <si>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0305 - 2 - 3.2.2.2.9.0.0.0.45990313.91114 - 20</t>
  </si>
  <si>
    <t>Entes territoriales con servicio de asistencia técnica en la formulación, preparación, seguimiento y evaluación de las políticas públicas.</t>
  </si>
  <si>
    <t>Procesos de socialización a los  Entes Territoriales Municipales :   a)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</si>
  <si>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0305 - 2 - 3.2.2.2.9.0.0.0.45990316.91114 - 20</t>
  </si>
  <si>
    <t xml:space="preserve">Entes territoriales  con servicio de asistencia técnica en Banco de Programas y Proyectos de Inversión Nacional (BPIN).  </t>
  </si>
  <si>
    <t>Capacitación, asistencia técnica, seguimiento y/o evaluación al banco de programas y proyectos de los entes territoriales</t>
  </si>
  <si>
    <t>0305 - 2 - 3.2.2.2.9.0.0.0.45990312.91114 - 20</t>
  </si>
  <si>
    <t>Servicio de Implementación Sistemas de Gestión</t>
  </si>
  <si>
    <t xml:space="preserve">Sistema de Gestión implementado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</si>
  <si>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</si>
  <si>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</si>
  <si>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</si>
  <si>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 xml:space="preserve">Incrementar la aplicabilidad de los componentes que integran las dimensiones y políticas del Modelo Integrado de Planeación y de Gestión MIPG en la Administración Departamental del Quindío.
</t>
  </si>
  <si>
    <t xml:space="preserve">Dimensión de Talento Humano  </t>
  </si>
  <si>
    <t>0305 - 2 - 3.2.2.2.9.0.0.0.45990232.91119 - 20</t>
  </si>
  <si>
    <t xml:space="preserve">Dimensión Direccionamiento Estratégico </t>
  </si>
  <si>
    <t xml:space="preserve">Dimensión Gestión para Resultados con Valores </t>
  </si>
  <si>
    <t xml:space="preserve">Dimensión Evaluación de Resultados </t>
  </si>
  <si>
    <t xml:space="preserve">Dimensión Información y Comunicación </t>
  </si>
  <si>
    <t xml:space="preserve">Dimensión Gestión del Conocimiento y la Innovación </t>
  </si>
  <si>
    <t xml:space="preserve">Dimensión de Control Interno  </t>
  </si>
  <si>
    <t xml:space="preserve">Política de Talento Humano  </t>
  </si>
  <si>
    <t xml:space="preserve">Política de  Integridad </t>
  </si>
  <si>
    <t xml:space="preserve">Planeación Institucional  </t>
  </si>
  <si>
    <t xml:space="preserve">Política Gestión Presupuestal y Eficiencia del Gasto Público </t>
  </si>
  <si>
    <t xml:space="preserve">Política Fortalecimiento Organizacional y Simplificación de Procesos  </t>
  </si>
  <si>
    <t xml:space="preserve">Política de Gobierno Digital  </t>
  </si>
  <si>
    <t xml:space="preserve">Política de Seguridad Digital  </t>
  </si>
  <si>
    <t xml:space="preserve">Política Defensa Jurídica </t>
  </si>
  <si>
    <t xml:space="preserve">Política  Transparencia, Acceso a la Información y Lucha Contra la Corrupción </t>
  </si>
  <si>
    <t xml:space="preserve">Política Servicio al Ciudadano  </t>
  </si>
  <si>
    <t xml:space="preserve">Política de Racionalización de Trámites  </t>
  </si>
  <si>
    <t xml:space="preserve">Política Participación Ciudadana en la Gestión  </t>
  </si>
  <si>
    <t xml:space="preserve">Política Mejora Normativa  </t>
  </si>
  <si>
    <t xml:space="preserve">Política de Seguimiento y Evaluación del Desempeño Institucional.  </t>
  </si>
  <si>
    <t xml:space="preserve">Política Gestión Documental  </t>
  </si>
  <si>
    <t xml:space="preserve">Política  Gestión de la Información Estadística  </t>
  </si>
  <si>
    <t xml:space="preserve">Política de Gestión del Conocimiento y la Innovación </t>
  </si>
  <si>
    <t xml:space="preserve">Política de Control Interno </t>
  </si>
  <si>
    <t>Dimensiones y Políticas  del  MIPG</t>
  </si>
  <si>
    <t>Realización procesos de autoevaluación MIPG</t>
  </si>
  <si>
    <t>LUIS ALBERTO RINCON QUINTERO</t>
  </si>
  <si>
    <t>Secretario de Planeación</t>
  </si>
  <si>
    <t>PROGRAMACIÓN PLAN DE ACCIÓN OFICINA PRIVADA 
SEPTIEMBRE 30 DE 2021</t>
  </si>
  <si>
    <t>09</t>
  </si>
  <si>
    <t xml:space="preserve">SECTOR </t>
  </si>
  <si>
    <t>VALOR EN PESOS 
PRESUPUESTADO</t>
  </si>
  <si>
    <t xml:space="preserve">LIDERAZGO, GOBERNABILIDAD Y TRANSPARENCIA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</si>
  <si>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</si>
  <si>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</si>
  <si>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</si>
  <si>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</si>
  <si>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</si>
  <si>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</si>
  <si>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</si>
  <si>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</si>
  <si>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Articulaciones y Transparencia.</t>
  </si>
  <si>
    <t>0313 - 2 - 3.2.2.2.9.0.0.0.45990231.91119 - 20</t>
  </si>
  <si>
    <t>Director Oficina Privada</t>
  </si>
  <si>
    <r>
      <t>0313 - 2 - 3.2.2.2.6.0.0.0.</t>
    </r>
    <r>
      <rPr>
        <sz val="12"/>
        <color rgb="FF000000"/>
        <rFont val="Arial"/>
        <family val="2"/>
      </rPr>
      <t>45990231.63391 - 20</t>
    </r>
  </si>
  <si>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</si>
  <si>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</si>
  <si>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</si>
  <si>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</si>
  <si>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</si>
  <si>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</si>
  <si>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</si>
  <si>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0313 - 2 - 3.2.2.2.9.0.0.0.4599029.91119 - 20</t>
  </si>
  <si>
    <t>0313 - 2 - 3.2.2.2.9.0.0.0.4599029.91119 - 88</t>
  </si>
  <si>
    <t>Superavit recurso ordinario</t>
  </si>
  <si>
    <t>Ejecución Plan de Medios (Radio, Prensa, Revistas, Televisión, Portal WEB, Redes Sociales, OOH) Revisión y Desarrollo de la Estrategia de Comunicaciones.</t>
  </si>
  <si>
    <t>0313 - 2 - 3.2.02.02.009. 4599029.91136 - 20</t>
  </si>
  <si>
    <t>0313 - 2 - 3.2.02.02.009. 4599029.91136 - 88</t>
  </si>
  <si>
    <t>Fortalecimiento del buen gobierno para el respeto y garantía de los derechos humanos. "Quindío integrado y participativo"</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</si>
  <si>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</si>
  <si>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</si>
  <si>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</si>
  <si>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</si>
  <si>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</si>
  <si>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</si>
  <si>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Encuentros Ciudadanos</t>
  </si>
  <si>
    <t>0313 - 2 - 3.2.2.2.9.0.0.0.45020011.91119 - 20</t>
  </si>
  <si>
    <t>Ruta de la felicidad</t>
  </si>
  <si>
    <t>PROGRAMACIÓN PLAN DE ACCIÓN SECRETARIA  AGUAS E INFRAESTRUCTURA   
SEPTIEMBRE 30 DE 2021</t>
  </si>
  <si>
    <t>PLAN DE DESARROLLO DEPARTAMENTAL: "TU Y YO SOMOS QUINDÍO" 2020-2023</t>
  </si>
  <si>
    <t xml:space="preserve">INCLUSIÓN SOCIAL Y EQUIDAD </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</si>
  <si>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</si>
  <si>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</si>
  <si>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</si>
  <si>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</si>
  <si>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</si>
  <si>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</si>
  <si>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</si>
  <si>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</si>
  <si>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</si>
  <si>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</si>
  <si>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Construir, mejorar y/o rehabilitar la   infraestructura física de las instituciones publicas y/o de seguridad y justicia del Estado en el departamento.</t>
  </si>
  <si>
    <t>0308 - 2 - 3.2.2.2.5.0.0.0.1202019.54129 - 20</t>
  </si>
  <si>
    <t>Ordinario</t>
  </si>
  <si>
    <t>Secretario de Aguas e Infraestructura, Directores y Jefes</t>
  </si>
  <si>
    <t>Prestación de servicios profesionales a la supervisión de obras físicas y procesos que se adelanten en cumplimiento del proyecto.</t>
  </si>
  <si>
    <t xml:space="preserve">Construcción y/o mejoramiento </t>
  </si>
  <si>
    <t>0308 - 2 - 3.2.2.2.5.0.0.0.1202019.54129 - 88</t>
  </si>
  <si>
    <t>Salud y protección social</t>
  </si>
  <si>
    <t>Aseguramiento y Prestación integral de servicios de salud "Tú y yo con servicios de salud"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</si>
  <si>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</si>
  <si>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</si>
  <si>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</si>
  <si>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</si>
  <si>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</si>
  <si>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</si>
  <si>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Aumentar el proceso de mantenimiento, mejoramiento y construcción de las instituciones de Salud del Departamento</t>
  </si>
  <si>
    <t>Servicio  de Mano de obra calificada y/o no calificada necesaria  para el mejoramiento de la infraestructura física de las instituciones de salud publica y bienestar social en el departamento</t>
  </si>
  <si>
    <t>0308 - 2 - 3.2.2.2.5.0.0.0.1906015.54129 - 20</t>
  </si>
  <si>
    <t>20
88</t>
  </si>
  <si>
    <t>Ordinario
Superavit Recurso Ordinario</t>
  </si>
  <si>
    <t>Construir, mejorar y/o rehabilitar la   infraestructura física de las instituciones de salud publica y bienestar social en el departamento</t>
  </si>
  <si>
    <t>0308 - 2 - 3.2.2.2.5.0.0.0.1906015.54129 - 88</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</si>
  <si>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</si>
  <si>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</si>
  <si>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</si>
  <si>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</si>
  <si>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</si>
  <si>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</si>
  <si>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</si>
  <si>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</si>
  <si>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</si>
  <si>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formación integral </t>
  </si>
  <si>
    <t>Prestación de Servicios de Asistencia Profesional a la supervisión en la vigilancia, seguimiento y control jurídico de los contratos suscritos en cumplimiento del proyecto.</t>
  </si>
  <si>
    <t>0308 - 2 - 3.2.2.2.5.0.0.0.2201062.54129 - 04</t>
  </si>
  <si>
    <t>04</t>
  </si>
  <si>
    <t xml:space="preserve">Estampilla pro desarrollo </t>
  </si>
  <si>
    <t>0308 - 2 - 3.2.2.2.9.0.0.0.2201062.91119 - 04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</si>
  <si>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</si>
  <si>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</si>
  <si>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</si>
  <si>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</si>
  <si>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</si>
  <si>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</si>
  <si>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0308 - 2 - 3.2.2.1.1.0.0.0.2201062.15311 - 04</t>
  </si>
  <si>
    <t>0308 - 2 - 3.2.2.1.3.0.0.0.2201062.37440 - 04</t>
  </si>
  <si>
    <t>0308 - 2 - 3.2.2.1.4.0.0.0.2201062.42190 - 04</t>
  </si>
  <si>
    <t>0308 - 2 - 3.2.2.1.4.0.0.0.2201062.42999 - 04</t>
  </si>
  <si>
    <t>Servicio de transporte para el desplazamiento del personal y materiales a las obras físicas</t>
  </si>
  <si>
    <t>0308 - 2 - 3.2.2.2.6.0.0.0.2201062.64119 - 04</t>
  </si>
  <si>
    <t>Construcción y/o mejoramiento y/o mantenimiento y/o reforzamiento de infraestructura educativa en el Departamento del Quindío</t>
  </si>
  <si>
    <t>Interventoría integral para los contratos que se adelanten en infraestructura educativa</t>
  </si>
  <si>
    <t xml:space="preserve">Mano de obra calificada y/o no calificada necesaria para la ejecución de obras físicas de las instituciones educativas </t>
  </si>
  <si>
    <t>Cultura</t>
  </si>
  <si>
    <t>Promoción y acceso efectivo a procesos culturales y artísticos. "Tú y yo somos cultura Quindiana"</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</si>
  <si>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</si>
  <si>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</si>
  <si>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</si>
  <si>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</si>
  <si>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</si>
  <si>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</si>
  <si>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</si>
  <si>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</si>
  <si>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Mano de obra calificada y/o no calificada necesaria para la ejecución de obras físicas de mantenimiento y/o mejoramiento y/o rehabilitación y/o atención de la infraestructura social y Cultural del Departamento del Quindío</t>
  </si>
  <si>
    <t>0308 - 2 - 3.2.2.2.5.0.0.0.3301068.54129 - 20</t>
  </si>
  <si>
    <t>Seguimiento y control de obras físicas y procesos que se adelanten en cumplimiento del proyecto.</t>
  </si>
  <si>
    <t>Suministro y/o compraventa de materiales, elementos y  equipos necesarios para la ejecucion del proyectos</t>
  </si>
  <si>
    <t>0308 - 2 - 3.2.2.1.3.0.0.0.3301068.37440- 20</t>
  </si>
  <si>
    <t>0308 - 2 - 3.2.2.1.4.0.0.0.3301068.42999 - 20</t>
  </si>
  <si>
    <t>0308 - 2 - 3.2.2.1.1.0.0.0.3301068.15311 - 20</t>
  </si>
  <si>
    <t>0308 - 2 - 3.2.2.1.4.0.0.0.3301068.42190 - 20</t>
  </si>
  <si>
    <t>Construcción, mantenimiento, mejoramiento y/o rehabilitacion de la infraestructura cultural en el Departamento del Quindío</t>
  </si>
  <si>
    <t>0308 - 2 - 3.2.2.2.5.0.0.0.3301068.54129 - 88</t>
  </si>
  <si>
    <t>Deporte y recreación</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</si>
  <si>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</si>
  <si>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</si>
  <si>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Servicio de mantenimiento a la infraestructura deportiva</t>
  </si>
  <si>
    <t xml:space="preserve">Infraestructura   deportiva y/o recreativa construida  mejorada,  ampliada,  mantenida y/o  reforzada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</si>
  <si>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</si>
  <si>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</si>
  <si>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</si>
  <si>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</si>
  <si>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</si>
  <si>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0308 - 2 - 3.2.2.2.5.0.0.0.4301004.54129 - 04</t>
  </si>
  <si>
    <t>04
82</t>
  </si>
  <si>
    <t>Estampilla pro desarrollo 
Superavit Estampilla Pro-Desarrollo</t>
  </si>
  <si>
    <t>0308 - 2 - 3.2.2.2.6.0.0.0.4301004.64119 - 04</t>
  </si>
  <si>
    <t>Suministro y/o compraventa de materiales, elementos y equipos necesarios para la realización de proyectos en infraestructura deportiva.</t>
  </si>
  <si>
    <t>0308 - 2 - 3.2.2.1.4.0.0.0.4301004.42999 - 04</t>
  </si>
  <si>
    <t>0308 - 2 - 3.2.2.1.1.0.0.0.4301004.15311 - 04</t>
  </si>
  <si>
    <t>0308 - 2 - 3.2.2.1.3.0.0.0.4301004.37440 - 04</t>
  </si>
  <si>
    <t>0308 - 2 - 3.2.2.1.4.0.0.0.4301004.42190 - 04</t>
  </si>
  <si>
    <t>Prestación de Servicios de Asistencia Profesional a la supervisión en la vigilancia, seguimiento y control jurídico de los contratos suscritos en cumplimiento del proyecto</t>
  </si>
  <si>
    <t>0308 - 2 - 3.2.2.2.9.0.0.0.4301004.91119 - 04</t>
  </si>
  <si>
    <t>Seguimiento y control administrativo y financiero de las obras y contratos suscritos y en ejecución de proyectos deportivos por el Departamento</t>
  </si>
  <si>
    <t>0308 - 2 - 3.2.2.2.5.0.0.0.4301004.54270 - 82</t>
  </si>
  <si>
    <t>Mano de obra calificada y/o no calificada necesaria para la ejecución de obras físicas de mantenimiento y/o mejoramiento y/o rehabilitación y/o atención de la infraestructura deportiva del Departamento del Quindío</t>
  </si>
  <si>
    <t xml:space="preserve">Construcción, mejoramiento, mantenimiento y/o reforzamiento de infraestructura deportiva y recreativa en el Departamento del Quindío </t>
  </si>
  <si>
    <t>0308 - 2 - 3.2.1.1.1.2.11.0.4301004.53270 - 04</t>
  </si>
  <si>
    <t>0308 - 2 - 3.2.1.1.1.2.11.0.4301004.53270 - 82</t>
  </si>
  <si>
    <t>Interventoría integral para los contratos que se adelanten en infraestructura deportiva</t>
  </si>
  <si>
    <t>0308 - 2 - 3.2.2.2.5.0.0.0.4301004.54270 - 04</t>
  </si>
  <si>
    <t>Estudios y diseños</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</si>
  <si>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</si>
  <si>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</si>
  <si>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</si>
  <si>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</si>
  <si>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</si>
  <si>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</si>
  <si>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</si>
  <si>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</si>
  <si>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</si>
  <si>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</si>
  <si>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</si>
  <si>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Prestación de Servicios de apoyo a la gestión para la operación de maquinaria pesada, vehículos y equipos</t>
  </si>
  <si>
    <t>0308 - 2 - 3.2.2.2.5.0.0.0.2402022.54221 - 20</t>
  </si>
  <si>
    <t>20
88
56</t>
  </si>
  <si>
    <t>Ordinario
Superavit Recurso Ordinario
Cofinanciación Convenios Interadministrativos</t>
  </si>
  <si>
    <t>Construir, mejorar y/o rehabilitar la infraestructura en puentes del Departamento</t>
  </si>
  <si>
    <t xml:space="preserve">Prestación de servicios para la supervisión de obras físicas y procesos que se adelanten en cumplimiento del proyecto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</si>
  <si>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</si>
  <si>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</si>
  <si>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</si>
  <si>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</si>
  <si>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Suministro y/o compraventa de materiales y elementos</t>
  </si>
  <si>
    <t>0308 - 2 - 3.2.2.2.5.0.0.0.2402041.54211 - 20</t>
  </si>
  <si>
    <t>0308-2-3.2.2.1.4.0.0.0.2402041.42999-56</t>
  </si>
  <si>
    <t>0308-2-3.2.2.1.1.0.0.0.2402041.15320-56</t>
  </si>
  <si>
    <t>0308 - 2 - 3.2.2.1.3.0.0.0.2402041.37440 - 20</t>
  </si>
  <si>
    <t>0308 - 2 - 3.2.2.1.4.0.0.0.2402041.42190 - 20</t>
  </si>
  <si>
    <t>0308 - 2 - 3.2.2.1.4.0.0.0.2402041.42999 - 20</t>
  </si>
  <si>
    <t>0308 - 2 - 3.2.2.1.1.0.0.0.2402041.15311 - 20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</si>
  <si>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</si>
  <si>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</si>
  <si>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0308 - 2 - 3.2.2.2.9.0.0.0.2402041.91119 - 20</t>
  </si>
  <si>
    <t>Apoyo a la Supervisión en la vigilancia, seguimiento y control jurídico a los procesos y contratos de obra física en ejecución y suscritos por el Departamento en cumplimiento del proyecto</t>
  </si>
  <si>
    <t>Mano de obra calificada y/o no calificada necesaria para la ejecución de obras físicas de mantenimiento, mejoramiento  de las vías y sus emergencia en cumplimiento del Plan Vial del Departamento del Quindío.</t>
  </si>
  <si>
    <t>0308 - 2 - 3.2.2.2.5.0.0.0.2402041.54211 - 56</t>
  </si>
  <si>
    <t>Prestación de servicios Profesionales y/o técnica y/o apoyo a la gestión para la supervisión en la vigilancia y seguimiento y control Financiero y Administrativo de los contratos suscritos en cumplimiento del proyecto.</t>
  </si>
  <si>
    <t xml:space="preserve">Construcción y/o Mantenimiento y/o mejoramiento y/o rehabilitación y/o atención de las vías secundarias y terciarias en el departamento </t>
  </si>
  <si>
    <t xml:space="preserve">Prestación de servicios de apoyo técnico a la supervisión de obras físicas y procesos que se adelanten en cumplimiento del proyecto </t>
  </si>
  <si>
    <t>Apoyo logistico para la intervención de la infraestructura vial</t>
  </si>
  <si>
    <t>0308 - 2 - 3.2.2.2.9.0.0.0.2402041.91119 - 56</t>
  </si>
  <si>
    <t>Suministro de combustible para la maquinaria pesada, vehículos y equipos menores</t>
  </si>
  <si>
    <t>0308 - 2 - 3.2.2.2.5.0.0.0.2402041.33311 - 20</t>
  </si>
  <si>
    <t>0308-2-3.2.2.2.5.0.0.0.2402041.33311-56</t>
  </si>
  <si>
    <t>Mantenimiento preventivo y correctivo, incluyendo repuestos e instalación para maquinaria pesada del departamento</t>
  </si>
  <si>
    <t>0308 - 2 - 3.2.1.1.3.2.8.0.0.2402041.87156 - 20</t>
  </si>
  <si>
    <t>0308-2.3.2.1.1.3.2.8.0.2402041.87156-56</t>
  </si>
  <si>
    <t xml:space="preserve">Servicio de transporte para el desplazamiento del personal y materiales a las obras físicas en cumplimiento del proyecto </t>
  </si>
  <si>
    <t>0308 - 2 - 3.2.2.2.6.0.0.0.2402041.64119 - 20</t>
  </si>
  <si>
    <t>Suministro de aceites y lubricantes</t>
  </si>
  <si>
    <t>0308-2-3.2.2.1.3.0.0.0.2402041.33380-56</t>
  </si>
  <si>
    <t>Compra de maquinaria de construcción</t>
  </si>
  <si>
    <t>0308 - 2 - 3.2.1.1.3.2.4.0.2402041.44424 - 88</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</si>
  <si>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</si>
  <si>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</si>
  <si>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</si>
  <si>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</si>
  <si>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</si>
  <si>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</si>
  <si>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</si>
  <si>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mejoramiento de la red vial del Departamento </t>
  </si>
  <si>
    <t>Prestación de servicios  profesionales y/o especializados y/o técnicos para la elaboración de estudios y diseños de infraestructura vial</t>
  </si>
  <si>
    <t>0308 - 2 - 3.2.2.2.9.0.0.0.2402118.91134 - 20</t>
  </si>
  <si>
    <t>Ambiente y desarrollo sostenible</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</si>
  <si>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</si>
  <si>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</si>
  <si>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</si>
  <si>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</si>
  <si>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</si>
  <si>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</si>
  <si>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</si>
  <si>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mitigación y atención de desastres viales </t>
  </si>
  <si>
    <t>Prestación de Servicios  Profesionales y/o especializada en la supervisión, vigilancia, seguimiento y control jurídico de los contratos suscritos en cumplimiento del proyecto.</t>
  </si>
  <si>
    <t>0308 - 2 - 3.2.2.2.5.0.0.0.3205010.53211 - 20</t>
  </si>
  <si>
    <t>0308 - 2 - 3.2.2.2.9.0.0.0.3205010.91119 - 20</t>
  </si>
  <si>
    <t xml:space="preserve">Apoyo a la Supervisión en la vigilancia, seguimiento y control jurídico a los procesos  y contratos de obra física en ejecución y suscritos por el Departamento en cumplimiento del proyecto </t>
  </si>
  <si>
    <t>Prestación de servicios Profesionales y/o técnica y/o apoyo a la gestión para  la supervisión en la vigilancia y seguimiento y control  Financiero y Administrativo de los contratos suscritos en cumplimiento del proyecto.</t>
  </si>
  <si>
    <t>Prestación de servicios profesionales y/o especializados y/o técnicos para el Seguimiento y control de obras físicas y procesos que se adelanten en cumplimiento del proyecto.</t>
  </si>
  <si>
    <t xml:space="preserve">Construcción y/o mejoramiento y/o rehabilitación de obras para la estabilización de taludes </t>
  </si>
  <si>
    <t>0308 - 2 - 3.2.2.2.5.0.0.0.3205010.53211 - 88</t>
  </si>
  <si>
    <t>0308 - 2 - 3.2.2.2.5.0.0.0.3205010.33311 - 20</t>
  </si>
  <si>
    <t xml:space="preserve">Mano de obra calificada y/o no calificada necesaria para la construcción, mantenimiento y/o mejoramiento de obras de estabilización de taludes en el Departamento del Quindío </t>
  </si>
  <si>
    <t xml:space="preserve">Suministro y/o compraventa de materiales y elementos </t>
  </si>
  <si>
    <t>0308 - 2 - 3.2.2.1.4.0.0.0.3205010.42999 - 20</t>
  </si>
  <si>
    <t>0308 - 2 - 3.2.2.1.1.0.0.0.3205010.15311 - 20</t>
  </si>
  <si>
    <t>0308 - 2 - 3.2.2.1.3.0.0.0.3205010.37440 - 20</t>
  </si>
  <si>
    <t>0308 - 2 - 3.2.2.1.4.0.0.0.3205010.42190 - 20</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</si>
  <si>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</si>
  <si>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</si>
  <si>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</si>
  <si>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</si>
  <si>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</si>
  <si>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0308 - 2 - 3.2.2.1.4.0.0.0.3205021.42999 - 20</t>
  </si>
  <si>
    <t xml:space="preserve"> </t>
  </si>
  <si>
    <t>0308 - 2 - 3.2.2.1.3.0.0.0.3205021.37440 - 20</t>
  </si>
  <si>
    <t>0308 - 2 - 3.2.2.1.1.0.0.0.3205021.15311 - 20</t>
  </si>
  <si>
    <t>0308 - 2 - 3.2.2.1.4.0.0.0.3205021.42190 - 20</t>
  </si>
  <si>
    <t xml:space="preserve">Mano de obra calificada y/o no calificada necesaria para la ejecución de obras de infraestructura en cumplimiento del proyecto Construcción, mantenimiento y/o mejoramiento de obras de infraestructura  para la mitigación y atención de desastres en los municipios del departamento del Quindío  </t>
  </si>
  <si>
    <t>0308 - 2 - 3.2.2.2.5.0.0.0.3205021.53211 - 20</t>
  </si>
  <si>
    <t>0308 - 2 - 3.2.2.2.5.0.0.0.3205021.53211 - 88</t>
  </si>
  <si>
    <t>0308 - 2 - 3.2.2.2.5.0.0.0.3205021.33311 - 20</t>
  </si>
  <si>
    <t>0308 - 2 - 3.2.2.2.5.0.0.0.3205021.33311 - 89</t>
  </si>
  <si>
    <t>Superávit recurso ACPM</t>
  </si>
  <si>
    <t xml:space="preserve">Servicio de revisión técnico mecánica y de gases para la maquinaria pesada </t>
  </si>
  <si>
    <t>Mantenimiento preventivo y correctivo, incluyendo repuestos e instalación para la maquinaria pesada del departamento</t>
  </si>
  <si>
    <t>0308 - 2 - 3.2.1.1.3.2.8.0.0.3205021.87156 - 20</t>
  </si>
  <si>
    <t xml:space="preserve">Prestación de servicios profesionales para la dirección y la coordinación de la maquinaria </t>
  </si>
  <si>
    <t xml:space="preserve">Construcción , mantenimiento y/o mejoramiento de obras de infraestructura para la mitigación y atención de desastres </t>
  </si>
  <si>
    <t xml:space="preserve">Estudios y diseños técnicos de vulnerabilidad </t>
  </si>
  <si>
    <t>Servicios de vigilancia en puntos aleatorios para el funcionamiento de la maquinaria y equipos del Departamento</t>
  </si>
  <si>
    <t>0308 - 2 - 3.2.2.2.5.0.0.0.3205021.85250 - 88</t>
  </si>
  <si>
    <t xml:space="preserve">Superávit recurso ordinario </t>
  </si>
  <si>
    <t>0308 - 2 - 3.2.2.2.5.0.0.0.3205021.85250 - 20</t>
  </si>
  <si>
    <t>Vivienda, Ciudad y Territorio</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</si>
  <si>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</si>
  <si>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</si>
  <si>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</si>
  <si>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</si>
  <si>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</si>
  <si>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</si>
  <si>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</si>
  <si>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</si>
  <si>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 de vivienda de interés social en el Departamento del Quindío</t>
  </si>
  <si>
    <t>0308 - 2 - 3.2.2.2.5.0.0.0.4001015.54112 - 20</t>
  </si>
  <si>
    <t>0308 - 2 - 3.2.2.2.5.0.0.0.4001015.54112 - 04</t>
  </si>
  <si>
    <t>Estampilla pro desarrollo (04)</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</si>
  <si>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</si>
  <si>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</si>
  <si>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</si>
  <si>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</si>
  <si>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</si>
  <si>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</si>
  <si>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</si>
  <si>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 xml:space="preserve">Suministro y/o compraventa de materiales  y  elementos  necesarios para el  mantenimiento de la infraestructura institucional o edificios públicos en el Departamento del Quindío </t>
  </si>
  <si>
    <t>0308 - 2 - 3.2.2.1.4.0.0.0.45099016.42999 - 20</t>
  </si>
  <si>
    <t>0308 - 2 - 3.2.2.1.3.0.0.0.4599016.37440 - 20</t>
  </si>
  <si>
    <t>0308 - 2 - 3.2.2.1.1.0.0.0.4599016.15311 - 20</t>
  </si>
  <si>
    <t>0308 - 2 - 3.2.2.1.3.0.0.0.4599016.42190 - 20</t>
  </si>
  <si>
    <t>Apoyo técnico a la supervisión de obras físicas y procesos que se adelanten en cumplimiento del proyecto</t>
  </si>
  <si>
    <t>0308 - 2 - 3.2.2.2.5.0.0.0.4599016.54129 - 20</t>
  </si>
  <si>
    <t>Prestación de Mano de obra calificada y/o no calificada necesaria para el mantenimiento de la infraestructura institucional o edificios públicos en el Departamento del Quindío</t>
  </si>
  <si>
    <t>Construcción y/o mejoramiento y/o mantenimiento y/o reforzamiento de infraestructura institucional o edificios públicos en el Departamento del Quindío</t>
  </si>
  <si>
    <t>0308 - 2 - 3.2.2.2.5.0.0.0.4599016.54129 - 88</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</si>
  <si>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</si>
  <si>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</si>
  <si>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</si>
  <si>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</si>
  <si>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equipamientos colectivos para el desarrollo comunitario, culturar en el Departamento del Quindío</t>
  </si>
  <si>
    <t>Prestación  de mano de obra calificada y/o no calificada necesaria para la construcción y/o adecuación  de casetas comunales.</t>
  </si>
  <si>
    <t>0308 - 2 - 3.2.2.2.5.0.0.0.4502003.54129 - 20</t>
  </si>
  <si>
    <t>Construcción, mantenimiento, mejoramiento y/o rehabilitación de casetas comunales.</t>
  </si>
  <si>
    <t>TERRITORIO, AMBIENTE Y DESARROLLO SOSTENIBLE</t>
  </si>
  <si>
    <t>Acceso de la población a los servicios de agua potable y saneamiento básico. "Tú y yo con calidad del agua"</t>
  </si>
  <si>
    <t>4003018</t>
  </si>
  <si>
    <t>Alcantarillados construidos</t>
  </si>
  <si>
    <t>Plantas de tratamiento de aguas residuales  construidas</t>
  </si>
  <si>
    <t>202000363-0014</t>
  </si>
  <si>
    <t>Implementación del Plan departamental para el manejo empresarial de los servicios de agua y saneamiento básico en el departamento del Quindío.</t>
  </si>
  <si>
    <t>Implementar estrategias de planeación y coordinación interinstitucional para el manejo de los esquemas de abastecimiento y prestación de los servicios de agua y saneamiento urbanos y rurales</t>
  </si>
  <si>
    <t>Articular recursos, planificación e inversión en agua y saneamiento básico.</t>
  </si>
  <si>
    <t>0308 - 2 - 3.2.2.2.5.0.0.0.4003018.53253 - 27</t>
  </si>
  <si>
    <t xml:space="preserve">
S.G.P. Agua Potable y Saneamiento Básico</t>
  </si>
  <si>
    <t>4003025</t>
  </si>
  <si>
    <t>Servicios de apoyo financiero para la ejecución de proyectos de acueductos y alcantarillado</t>
  </si>
  <si>
    <t>Proyectos de acueducto y alcantarillado en área urbana financiados</t>
  </si>
  <si>
    <t>0308 - 2 - 3.2.2.2.5.0.0.0.4003025.53253 - 27</t>
  </si>
  <si>
    <t>0308 - 2 - 3.2.2.2.5.0.0.0.4003025.53253 - 04</t>
  </si>
  <si>
    <t>0308 - 2 - 3.2.2.2.5.0.0.0.4003025.53253 - 82</t>
  </si>
  <si>
    <t>82</t>
  </si>
  <si>
    <t>Superavit estampilla pro desarrollo</t>
  </si>
  <si>
    <t>0308 - 2 - 3.2.2.2.5.0.0.0.4003025.53253 - 90</t>
  </si>
  <si>
    <t>90</t>
  </si>
  <si>
    <t>superavit SGP agua potable y saneamiento basico</t>
  </si>
  <si>
    <t>4003026</t>
  </si>
  <si>
    <t>Servicios de apoyo financiero para la ejecución de proyectos de acueductos y de manejo de aguas residuales</t>
  </si>
  <si>
    <t>Proyectos de acueducto y de manejo de aguas residuales en área rural financiados</t>
  </si>
  <si>
    <t>0308 - 2 - 3.2.2.2.5.0.0.0.4003026.53253 - 27</t>
  </si>
  <si>
    <t>4003028</t>
  </si>
  <si>
    <t>Servicios de educación informal en agua potable y saneamiento básico</t>
  </si>
  <si>
    <t>Eventos de educación informal en agua y saneamiento básico realizados</t>
  </si>
  <si>
    <t>0308 - 2 - 3.2.2.2.9.0.0.0.4003028.91123 - 27</t>
  </si>
  <si>
    <t>Estudios de pre inversión e inversión</t>
  </si>
  <si>
    <t xml:space="preserve">Estudios o diseños realizados </t>
  </si>
  <si>
    <t>0308 - 2 - 3.2.2.2.5.0.0.0.4003042.54253 - 27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</si>
  <si>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</si>
  <si>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</si>
  <si>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</si>
  <si>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</si>
  <si>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0308 - 2 - 3.2.2.2.9.0.0.0.4003006.91123 - 27</t>
  </si>
  <si>
    <t>FORMATO</t>
  </si>
  <si>
    <t>PROGRAMACION PLAN DE ACCIÓN 
SECRETARIA DE FAMILIA
A SETPEMBRE 30 DE  2021</t>
  </si>
  <si>
    <t>O9</t>
  </si>
  <si>
    <t xml:space="preserve">PROYECTO </t>
  </si>
  <si>
    <t>FECHA DE INICIO
(dd/mm/aaaa)</t>
  </si>
  <si>
    <t>FECHA DE TERMINACIÓN
(dd/mm/aaaa)</t>
  </si>
  <si>
    <t xml:space="preserve">NOMBRE </t>
  </si>
  <si>
    <t>META FISICA</t>
  </si>
  <si>
    <t>PESO DE LA META %</t>
  </si>
  <si>
    <t xml:space="preserve">VALOR PROYECTO (EN PESOS) </t>
  </si>
  <si>
    <t xml:space="preserve">VALOR ACTIVIDAD 
(EN PESOS) </t>
  </si>
  <si>
    <t>RUBRO PRESUPUESTAL</t>
  </si>
  <si>
    <t>Adolescencia  (15 - 19 años)</t>
  </si>
  <si>
    <t>PRESUPUESTO</t>
  </si>
  <si>
    <t>P</t>
  </si>
  <si>
    <t>INCLUSION SOCIAL Y EQUIDAD</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</si>
  <si>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</si>
  <si>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</si>
  <si>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</si>
  <si>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</si>
  <si>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</si>
  <si>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</si>
  <si>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</si>
  <si>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</si>
  <si>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0316 - 2 - 3.2.2.2.9.0.0.0.19050212.91119 - 20</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</si>
  <si>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</si>
  <si>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</si>
  <si>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</si>
  <si>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 xml:space="preserve">Servicio de gestión del riesgo en temas de trastornos mentales </t>
  </si>
  <si>
    <t>Campañas de gestión del riesgo en temas de trastornos mentales implementadas</t>
  </si>
  <si>
    <t>Diseño, implementación y seguimiento de una estrategia de prevención y mitigación del consumo de SPA en el departamento del Quindío</t>
  </si>
  <si>
    <t>0316 - 2 - 3.2.2.2.9.0.0.0.1905022.91119 - 20</t>
  </si>
  <si>
    <t>Consolidación de redes de apoyo para la prevención y/o mitigación de consumo de SPA</t>
  </si>
  <si>
    <t>Pendón, plegables. Folletos, manillas, cartillas, etc.</t>
  </si>
  <si>
    <t>0316 - 2 - 3.2.2.1.3.0.0.0.1905022.32690 - 20</t>
  </si>
  <si>
    <t>Refrigerios, logística y sonido</t>
  </si>
  <si>
    <t>0316 - 2 - 3.2.2.1.2.0.0.0.1905022.23999 - 20</t>
  </si>
  <si>
    <t>Logística y sonido</t>
  </si>
  <si>
    <t>0316 - 2 - 3.2.2.2.7.0.0.0.1905022.73290 - 20</t>
  </si>
  <si>
    <t xml:space="preserve">Refrigerios y almuerzos </t>
  </si>
  <si>
    <t>0316 - 2 - 3.2.2.2.6.0.0.0.1905022.63391 - 20</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</si>
  <si>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</si>
  <si>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</si>
  <si>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</si>
  <si>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</si>
  <si>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</si>
  <si>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</si>
  <si>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</si>
  <si>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0316 - 2 - 3.2.2.2.9.0.0.0.3301051.91119 - 20</t>
  </si>
  <si>
    <t>MANUEL ALEJANDRO PATIÑO BUITRAGO- JEFE DE JUVENTUD</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</si>
  <si>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</si>
  <si>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</si>
  <si>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</si>
  <si>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</si>
  <si>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202000363-0099</t>
  </si>
  <si>
    <t>Diseño e implementación de un  Modelo de  atención integral a la primera infancia  a través de las Rutas Integrales de Atención  RIA en el Departamento del  Quindío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</si>
  <si>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</si>
  <si>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</si>
  <si>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</si>
  <si>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0316 - 2 - 3.2.2.2.9.0.0.0.41020351.91119 - 20</t>
  </si>
  <si>
    <t>NATALIA ALVAREZ RUALES- JEFE DE FAMILIA</t>
  </si>
  <si>
    <t>0316 - 2 - 3.2.2.2.9.0.0.0.41020351.91119 - 88</t>
  </si>
  <si>
    <t>Superávit Ordinario</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</si>
  <si>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</si>
  <si>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</si>
  <si>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</si>
  <si>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</si>
  <si>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</si>
  <si>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0316 - 2 - 3.2.2.2.9.0.0.0.41020011.91119 - 20</t>
  </si>
  <si>
    <t xml:space="preserve">Apoyar la socialización de las rutas integrales de atención, en marco de los comités y consejos que así lo requieran, del orden Departamental y municipal. </t>
  </si>
  <si>
    <t>0316 - 2 - 3.2.2.2.9.0.0.0.41020011.91119 - 88</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</si>
  <si>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</si>
  <si>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</si>
  <si>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</si>
  <si>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</si>
  <si>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410204300</t>
  </si>
  <si>
    <t>Familias atendidas</t>
  </si>
  <si>
    <t>202000363-0100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</si>
  <si>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</si>
  <si>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</si>
  <si>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</si>
  <si>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Política Publica  de Familia</t>
  </si>
  <si>
    <t>0316 - 2 - 3.2.2.2.9.0.0.0.41020432.91119 - 20</t>
  </si>
  <si>
    <t>Apoyar con el seguimiento,  monitoreo y evaluación de la política publica de familia</t>
  </si>
  <si>
    <t xml:space="preserve">Diseñar y desarrollar estrategias, programas y/o proyectos para la protección y fortalecimiento de las familias del departamento </t>
  </si>
  <si>
    <t xml:space="preserve">refrigerios y almuerzos </t>
  </si>
  <si>
    <t>0316 - 2 - 3.2.2.2.6.0.0.0.41020432.63391 - 20</t>
  </si>
  <si>
    <t>servicio de transporte</t>
  </si>
  <si>
    <t>0316 - 2 - 3.2.2.2.6.0.0.0.41020432.64119 - 20</t>
  </si>
  <si>
    <t>Revisar, ajustar e implementar  la política pública de primera infancia, infancia y adolescencia</t>
  </si>
  <si>
    <t xml:space="preserve">ND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</si>
  <si>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</si>
  <si>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</si>
  <si>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</si>
  <si>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 xml:space="preserve"> 202000363-0101</t>
  </si>
  <si>
    <t xml:space="preserve"> Revisión ,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</si>
  <si>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</si>
  <si>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</si>
  <si>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</si>
  <si>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0316 - 2 - 3.2.2.2.9.0.0.0.41020352.91119 - 20</t>
  </si>
  <si>
    <t>Implementar  la política pública de primera infancia, infancia y adolescencia</t>
  </si>
  <si>
    <t>4102043</t>
  </si>
  <si>
    <t>Servicio de promoción de temas de dinámica relacional y desarrollo autónomo</t>
  </si>
  <si>
    <t xml:space="preserve">Política Pública de Primera Infancia, Infancia y Adolescencia implementada. </t>
  </si>
  <si>
    <t>Niños, niñas y adolescentes atendidos</t>
  </si>
  <si>
    <t>Apoyar con el seguimiento al Plan de Acción de la Política Publica  de primera infancia, infancia y adolescencia del departamento</t>
  </si>
  <si>
    <t>0316 - 2 - 3.2.2.2.9.0.0.0.41020431.91119 - 20</t>
  </si>
  <si>
    <t>Apoyo en los espacios de participación tales como: Consejo de Política Social, Comité Departamental e Interinstitucional  para la Primera Infancia, Infancia y Adolescencia y Familia, CIETI, Mesa de Participación de Niños, Niñas y Adolescentes</t>
  </si>
  <si>
    <t>Apoyo a programas que conlleven a la  implementación de la Política publica de primera infancia, infancia y adolescencia en el Departamento del Quindío</t>
  </si>
  <si>
    <t>0316 - 2 - 3.2.2.2.9.0.0.0.41020431.91119 - 88</t>
  </si>
  <si>
    <t>Brindar asistencia técnica a los municipios del departamento, que así lo requieran en temas relacionados con el seguimiento e implementación de la política publica de primera infancia, infancia y adolescencia del departamento</t>
  </si>
  <si>
    <t>Ejecución de medios (Radio, prensa, revista, televisión, portal web, redes sociales, ooh)</t>
  </si>
  <si>
    <t>0316 - 2 - 3.2.2.2.6.0.0.0.41020431.63391 - 20</t>
  </si>
  <si>
    <t xml:space="preserve">Logística  </t>
  </si>
  <si>
    <t>0316 - 2 - 3.2.2.2.9.0.0.0.41020431.73290 - 20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</si>
  <si>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</si>
  <si>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</si>
  <si>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</si>
  <si>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</si>
  <si>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</si>
  <si>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</si>
  <si>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</si>
  <si>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</si>
  <si>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0316 - 2 - 3.2.2.2.9.0.0.0.41020381.91119 - 20</t>
  </si>
  <si>
    <t>MANUEL ALEJANDRO PATIÑO BUITRAGO - JEFE DE JUVENTUD</t>
  </si>
  <si>
    <t xml:space="preserve">Seguimiento a los indicadores de cumplimiento del plan de acción de la política publica de juventud </t>
  </si>
  <si>
    <t>Fomento y fortalecimiento de organizaciones de base social para la participación y empoderamiento juvenil</t>
  </si>
  <si>
    <t xml:space="preserve">Dinamización de espacios para la participación juvenil </t>
  </si>
  <si>
    <t>0316 - 2 - 3.2.2.2.6.0.0.0.41020381.63391 - 20</t>
  </si>
  <si>
    <t>0316 - 2 - 3.2.2.2.7.0.0.0.41020381.73290 - 20</t>
  </si>
  <si>
    <t xml:space="preserve">Ferretería, papelería e insumos entre otros </t>
  </si>
  <si>
    <t>0316 - 2 - 3.2.2.1.4.0.0.0.041020381.42999 - 20</t>
  </si>
  <si>
    <t>Volantes, pendones, afiches, manillas, etc.</t>
  </si>
  <si>
    <t>0316 - 2 - 3.2.2.1.3.0.0.0.41020381.32690 - 20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</si>
  <si>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</si>
  <si>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</si>
  <si>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</si>
  <si>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</si>
  <si>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</si>
  <si>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</si>
  <si>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</si>
  <si>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vínculos familiares</t>
  </si>
  <si>
    <t>Articulación con Gremios (comerciantes, taxistas, Supermercados y Tenderos ) para la socialización, promoción e implementación de las Rutas Integrales de Atención en Violencia Intrafamiliar y de Género</t>
  </si>
  <si>
    <t>0316 - 2 - 3.2.2.2.9.0.0.0.4102042.91119 - 20</t>
  </si>
  <si>
    <t xml:space="preserve">Socialización y promoción de Rutas Integrales de Atención en Violencia Intrafamiliar y de Género </t>
  </si>
  <si>
    <t>0316 - 2 - 3.2.2.1.3.0.0.0.4102042.32690 - 20</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</si>
  <si>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</si>
  <si>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</si>
  <si>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</si>
  <si>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202000363-0033</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</si>
  <si>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</si>
  <si>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</si>
  <si>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</si>
  <si>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</si>
  <si>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0316 - 2 - 3.2.2.2.9.0.0.0.41020012.91119 - 20</t>
  </si>
  <si>
    <t>Articulación interinstitucional para el desarrollo de la estrategia para la protección de los NN</t>
  </si>
  <si>
    <t xml:space="preserve">Implementación de estrategia de protección para los NN </t>
  </si>
  <si>
    <t>0316 - 2 - 3.2.2.2.9.0.0.0.41020012.91119 - 88</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</si>
  <si>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</si>
  <si>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</si>
  <si>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</si>
  <si>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</si>
  <si>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la promoción, prevención y garantía de Derechos de NNA.</t>
  </si>
  <si>
    <t>0316 - 2 - 3.2.2.2.9.0.0.0.4102046.91119 - 20</t>
  </si>
  <si>
    <t>Servicios dirigidos a la atención de niños, niñas, adolescentes y jóvenes, con enfoque pedagógico y restaurativo encaminados a la inclusión social</t>
  </si>
  <si>
    <t>202000363-0034</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</si>
  <si>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</si>
  <si>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</si>
  <si>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</si>
  <si>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</si>
  <si>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0316 - 2 - 3.2.2.2.9.0.0.0.41020382.91119 - 20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</si>
  <si>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</si>
  <si>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</si>
  <si>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</si>
  <si>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</si>
  <si>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</si>
  <si>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</si>
  <si>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</si>
  <si>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</si>
  <si>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</si>
  <si>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</si>
  <si>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</si>
  <si>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0316 - 2 - 3.2.2.2.9.0.0.0.4103059.91119 - 20</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</si>
  <si>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</si>
  <si>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</si>
  <si>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</si>
  <si>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</si>
  <si>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</si>
  <si>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</si>
  <si>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</si>
  <si>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0316 - 2 - 3.2.2.2.9.0.0.0.41030523.91119 - 20</t>
  </si>
  <si>
    <t>CLAUDIA MILENA GIRALDO CARDENAS - JEFE DE POBLACIONES</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</si>
  <si>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</si>
  <si>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</si>
  <si>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</si>
  <si>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</si>
  <si>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</si>
  <si>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</si>
  <si>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0316 - 2 - 3.2.2.1.2.0.0.0.4103050.23999 - 20</t>
  </si>
  <si>
    <t>0316 - 2 - 3.2.2.2.9.0.0.0.4103050.91119 - 20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</si>
  <si>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</si>
  <si>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</si>
  <si>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</si>
  <si>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</si>
  <si>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</si>
  <si>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</si>
  <si>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</si>
  <si>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0316 - 2 - 3.2.2.2.9.0.0.0.4103058.91119 - 20</t>
  </si>
  <si>
    <t>LIZ BELCKA CASTRO JARAMILLO- DIRECTORA DESARROLLO HUMANO Y FAMILIA</t>
  </si>
  <si>
    <t>Fomentar el emprendimiento y el empleo para cuidadores y PCD en el Departamento</t>
  </si>
  <si>
    <t>0316 - 2 - 3.2.2.2.9.0.0.0.4103058.91119 - 88</t>
  </si>
  <si>
    <t>0316 - 2 - 3.2.2.1.4.0.0.0.4103058.42999 - 20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</si>
  <si>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</si>
  <si>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</si>
  <si>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</si>
  <si>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</si>
  <si>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</si>
  <si>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</si>
  <si>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</si>
  <si>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</si>
  <si>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</si>
  <si>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0316 - 2 - 3.2.2.2.9.0.0.0.41030601.91119 - 20</t>
  </si>
  <si>
    <t>BRIAN ARANGO TRUJILLO- DIRECTOR DE POBLACIONES</t>
  </si>
  <si>
    <t>Formulación e Implementación de los Planes de Vida de los Cabildos Indígenas</t>
  </si>
  <si>
    <t xml:space="preserve">Servicio de transporte </t>
  </si>
  <si>
    <t>0316 - 2 - 3.2.2.2.6.0.0.0.41030601.64119 - 20</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</si>
  <si>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</si>
  <si>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</si>
  <si>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</si>
  <si>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0316 - 2 - 3.2.2.2.9.0.0.0.41030602.91119 - 20</t>
  </si>
  <si>
    <t>Formulación e Implementación de los Planes de Vida de los Resguardos Indígenas</t>
  </si>
  <si>
    <t>0316 - 2 - 3.2.2.2.6.0.0.0.41030602.64119 - 20</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</si>
  <si>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</si>
  <si>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</si>
  <si>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</si>
  <si>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</si>
  <si>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</si>
  <si>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</si>
  <si>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</si>
  <si>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0316 - 2 - 3.2.2.2.9.0.0.0.41030521.91119 - 20</t>
  </si>
  <si>
    <t>0316 - 2 - 3.2.2.2.9.0.0.0.41030521.91119 - 88</t>
  </si>
  <si>
    <t>0316 - 2 - 3.2.2.2.6.0.0.0.41030521.63391 - 20</t>
  </si>
  <si>
    <t xml:space="preserve">Logística Operativa </t>
  </si>
  <si>
    <t>0316 - 2 - 3.2.2.2.7.0.0.0.41030521.73290 - 20</t>
  </si>
  <si>
    <t>0316 - 2 - 3.2.2.2.7.0.0.0.41030521.73290 - 88</t>
  </si>
  <si>
    <t>Atención integral de población en situación permanente de desprotección social y/o familiar "Tú y yo con atención integral"</t>
  </si>
  <si>
    <t>Servicios de atención integral a población en condición de discapacidad</t>
  </si>
  <si>
    <t xml:space="preserve">Personas atendidas con servicios integrales de atención </t>
  </si>
  <si>
    <t>Personas con discapacidad atendidas con servicios integrales</t>
  </si>
  <si>
    <t>202000363-0035</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</si>
  <si>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</si>
  <si>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</si>
  <si>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</si>
  <si>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</si>
  <si>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0316 - 2 - 3.2.2.2.9.0.0.0.4104020.91119 - 20</t>
  </si>
  <si>
    <t>LIZ BELCKA CASTRO JARAMILLO- DIRECTORA DE ADULTO MAYOR Y DISCAPACIDAD</t>
  </si>
  <si>
    <t xml:space="preserve">Estrategia de rehabilitación basada en la comunidad implementada en los municipios  </t>
  </si>
  <si>
    <t>Acompañamiento a  las personas con discapacidad,  familias y comunidad en la implementación del programa RBC</t>
  </si>
  <si>
    <t>0316 - 2 - 3.2.2.2.9.0.0.0.4104020.91119 - 88</t>
  </si>
  <si>
    <t>Realizar  capacitaciones en agentes comunitarios en RBC</t>
  </si>
  <si>
    <t>Conformación y fortalecimiento a las redes de apoyo de la estrategia RBC</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</si>
  <si>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</si>
  <si>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</si>
  <si>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</si>
  <si>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</si>
  <si>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</si>
  <si>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</si>
  <si>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</si>
  <si>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</si>
  <si>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</si>
  <si>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0316 - 2 - 3.2.2.2.9.0.0.0.4104027.91119 - 20</t>
  </si>
  <si>
    <t>0316 - 2 - 3.2.2.2.6.0.0.0.4104027.63391 - 20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</si>
  <si>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</si>
  <si>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</si>
  <si>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</si>
  <si>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</si>
  <si>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</si>
  <si>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</si>
  <si>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</si>
  <si>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</si>
  <si>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Municipales</t>
  </si>
  <si>
    <t>0316 - 2 - 3.2.2.2.9.0.0.0.4104015.91119 - 20</t>
  </si>
  <si>
    <t>Dinamización  del Consejo Departamental del  adulto mayor</t>
  </si>
  <si>
    <t xml:space="preserve">Realizar acompañamiento a los grupos de adultos mayores del depto, a través de deporte, cultura, recreación y motivación </t>
  </si>
  <si>
    <t>Celebraciones y eventos donde se resalte la importancia del rol del adulto mayor y su trayectoria de vida en la familia y la sociedad</t>
  </si>
  <si>
    <t>Logística Operativa, Sonido, refrigerios, Etc.</t>
  </si>
  <si>
    <t xml:space="preserve">0316 - 2 - 3.2.2.2.7.0.0.0.4104015.73290 - 20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</si>
  <si>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</si>
  <si>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</si>
  <si>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</si>
  <si>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</si>
  <si>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Centros de Bienestar del Adulto Mayor (CBA)</t>
  </si>
  <si>
    <t>0316 - 2 - 3.3.1.2.0.0.0.0.4104008.91119.13 - 06</t>
  </si>
  <si>
    <t>ESTAMPILLA PROADULTO MAYOR</t>
  </si>
  <si>
    <t>0316 - 2 - 3.3.1.2.0.0.0.0.4104008.91119.13 - 84</t>
  </si>
  <si>
    <t>SUPERAVIT ESTAMPILLA PRO-ADULTO MAYOR</t>
  </si>
  <si>
    <t>0316 - 2 - 3.3.1.2.0.0.0.0.4104008.91119.96 - 06</t>
  </si>
  <si>
    <t>0316 - 2 - 3.3.1.2.0.0.0.0.4104008.91119.96 - 84</t>
  </si>
  <si>
    <t>0316 - 2 - 3.3.1.2.0.0.0.0.4104008.91119.167 - 06</t>
  </si>
  <si>
    <t>0316 - 2 - 3.3.1.2.0.0.0.0.4104008.91119.167 - 84</t>
  </si>
  <si>
    <t>0316 - 2 - 3.3.1.2.0.0.0.0.4104008.91119.226 - 06</t>
  </si>
  <si>
    <t>0316 - 2 - 3.3.1.2.0.0.0.0.4104008.91119.226 - 84</t>
  </si>
  <si>
    <t>0316 - 2 - 3.3.1.2.0.0.0.0.4104008.91119.233 - 06</t>
  </si>
  <si>
    <t>0316 - 2 - 3.3.1.2.0.0.0.0.4104008.91119.233 - 84</t>
  </si>
  <si>
    <t>0316 - 2 - 3.3.1.2.0.0.0.0.4104008.91119.244 - 06</t>
  </si>
  <si>
    <t>0316 - 2 - 3.3.1.2.0.0.0.0.4104008.91119.244 - 84</t>
  </si>
  <si>
    <t>0316 - 2 - 3.3.1.2.0.0.0.0.4104008.91119.284 - 06</t>
  </si>
  <si>
    <t>0316 - 2 - 3.3.1.2.0.0.0.0.4104008.91119.284 - 84</t>
  </si>
  <si>
    <t>0316 - 2 - 3.3.1.2.0.0.0.0.4104008.91119.303 - 06</t>
  </si>
  <si>
    <t>0316 - 2 - 3.3.1.2.0.0.0.0.4104008.91119.303 - 84</t>
  </si>
  <si>
    <t>0316 - 2 - 3.3.1.2.0.0.0.0.4104008.91119.372 - 06</t>
  </si>
  <si>
    <t>0316 - 2 - 3.3.1.2.0.0.0.0.4104008.91119.372 - 84</t>
  </si>
  <si>
    <t>0316 - 2 - 3.3.1.2.0.0.0.0.4104008.91119.412 - 06</t>
  </si>
  <si>
    <t>0316 - 2 - 3.3.1.2.0.0.0.0.4104008.91119.412 - 84</t>
  </si>
  <si>
    <t>0316 - 2 - 3.3.1.2.0.0.0.0.4104008.91119.470 - 06</t>
  </si>
  <si>
    <t>0316 - 2 - 3.3.1.2.0.0.0.0.4104008.91119.470 - 84</t>
  </si>
  <si>
    <t>0316 - 2 - 3.3.1.2.0.0.0.0.4104008.91119.882 - 06</t>
  </si>
  <si>
    <t>0316 - 2 - 3.3.1.2.0.0.0.0.4104008.91119.882 - 84</t>
  </si>
  <si>
    <t>CENTROS VIDA (cv)</t>
  </si>
  <si>
    <t xml:space="preserve">PRODUCTIVIDAD Y COMPETITIVIDAD </t>
  </si>
  <si>
    <t>Agricultura y desarrollo rural</t>
  </si>
  <si>
    <t>Inclusión productiva de pequeños productores rurales. "Tú y yo con oportunidades para el pequeño campesino"</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</si>
  <si>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</si>
  <si>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</si>
  <si>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</si>
  <si>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</si>
  <si>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</si>
  <si>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</si>
  <si>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</si>
  <si>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</si>
  <si>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0316 - 2 - 3.2.2.2.9.0.0.0.1702011.91119 - 20</t>
  </si>
  <si>
    <t>VALENTINA LOPEZ MADRID- JEFE DE LA MUJER Y LA EQUIDAD</t>
  </si>
  <si>
    <t>Articular y realizar seguimiento a las organizaciones existentes para fortalecer el empoderamiento de la Mujer.</t>
  </si>
  <si>
    <t>Trabajo</t>
  </si>
  <si>
    <t>Derechos fundamentales del trabajo y fortalecimiento del diálogo social. "Tú y yo con una niñez protegida"</t>
  </si>
  <si>
    <t>Servicio de educación informal para la prevención integral del trabajo infantil</t>
  </si>
  <si>
    <t>360400600</t>
  </si>
  <si>
    <t>Personas capacitadas</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</si>
  <si>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</si>
  <si>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</si>
  <si>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</si>
  <si>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</si>
  <si>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0316 - 2 - 3.2.2.2.9.0.0.0.3604006.91119 - 20</t>
  </si>
  <si>
    <t>0316 - 2 - 3.2.2.2.9.0.0.0.3604006.91119 - 88</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</si>
  <si>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</si>
  <si>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</si>
  <si>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</si>
  <si>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LIDERAZGO GOBERNABILILIDAD Y TRANSPARENCIA</t>
  </si>
  <si>
    <t>Gobierno Territorial</t>
  </si>
  <si>
    <t>DN</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</si>
  <si>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</si>
  <si>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</si>
  <si>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</si>
  <si>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</si>
  <si>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</si>
  <si>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Desarrollar estrategias de liderazgo para la Promoción de la participación de la Mujer en escenarios sociales y políticos </t>
  </si>
  <si>
    <t>0316 - 2 - 3.2.2.2.9.0.0.0.45020016.91119 - 20</t>
  </si>
  <si>
    <t>VALENTINA LOPEZ MADRID- JEFE DE OFICINA DE LA MUJER Y LA EQUIDAD</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</si>
  <si>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</si>
  <si>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</si>
  <si>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</si>
  <si>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</si>
  <si>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</si>
  <si>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</si>
  <si>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</si>
  <si>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 xml:space="preserve">Apropiación jurídica  por parte de la población e institucionalidad sobre las rutas de atención existentes.
</t>
  </si>
  <si>
    <t>Implementación de la  Política Publica de Equidad de Género para la Mujer</t>
  </si>
  <si>
    <t>0316 - 2 - 3.2.2.2.9.0.0.0.45020382.91119 - 20</t>
  </si>
  <si>
    <t>Seguimiento al cumplimiento de los planes de acción de la Política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</si>
  <si>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</si>
  <si>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</si>
  <si>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</si>
  <si>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Logistica operativa, refrigerios, Transporte, sonido para celebracion de eventos relacionados con la equidad</t>
  </si>
  <si>
    <t>0316 - 2 - 3.2.2.1.2.0.0.0.45020382.23999 - 20</t>
  </si>
  <si>
    <t>0316 - 2 - 3.2.2.2.6.0.0.0.45020382.63391 - 20</t>
  </si>
  <si>
    <t xml:space="preserve">Logística operativa </t>
  </si>
  <si>
    <t>0316 - 2 - 3.2.2.2.7.0.0.0.45020382.73290 - 20</t>
  </si>
  <si>
    <t>Implementar  la política  pública de diversidad sexual e identidad de género</t>
  </si>
  <si>
    <t>Política pública de diversidad sexual e identidad de género implementada.</t>
  </si>
  <si>
    <t>Estrategias de promoción de la garantía de derechos</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</si>
  <si>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</si>
  <si>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</si>
  <si>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</si>
  <si>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</si>
  <si>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Implementación y seguimiento al cumplimiento del plan de acción  de la política publica de diversidad sexual e identidad de genero</t>
  </si>
  <si>
    <t>0316 - 2 - 3.2.2.2.9.0.0.0.45020381.91119 - 20</t>
  </si>
  <si>
    <t>Desarrollar estrategias, programas y/o proyectos que promuevan la garantía de derechos a la población sexualmente diversa</t>
  </si>
  <si>
    <t>Desarrollo programas, campañas, talleres relacionados con la promoción de derechos de población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</si>
  <si>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</si>
  <si>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</si>
  <si>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Pendón, plegables. Folletos, manillas, etc.</t>
  </si>
  <si>
    <t>0316 - 2 - 3.2.2.1.3.0.0.0.45020381.32690 - 20</t>
  </si>
  <si>
    <t>0316 - 2 - 3.2.2.2.6.0.0.0.45020381.63391 - 20</t>
  </si>
  <si>
    <t>Logística Operativa</t>
  </si>
  <si>
    <t>0316 - 2 - 3.2.2.2.7.0.0.0.45020381.73290 - 20</t>
  </si>
  <si>
    <t>Servicio de apoyo para la implementación de medidas en derechos humanos y derecho internacional humanitario</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</si>
  <si>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</si>
  <si>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</si>
  <si>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</si>
  <si>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</si>
  <si>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</si>
  <si>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</si>
  <si>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0316 - 2 - 3.2.2.2.9.0.0.0.45020241.91119 - 20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</si>
  <si>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</si>
  <si>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</si>
  <si>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</si>
  <si>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</si>
  <si>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</si>
  <si>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</si>
  <si>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</si>
  <si>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0316 - 2 - 3.2.2.2.9.0.0.0.45020242.91119 - 20</t>
  </si>
  <si>
    <t>Articulación de base social y comunitario para la protección de la Mujer</t>
  </si>
  <si>
    <t>Realizar procesos continuos y formativos para el aumento de mujeres protegidas y protectoras.</t>
  </si>
  <si>
    <t>Fortalecimiento a la gestión y dirección de la administración pública territorial "Quindío con una administración al servicio de la ciudadanía"</t>
  </si>
  <si>
    <t xml:space="preserve">Formular e implementar la política pública de adulto mayor </t>
  </si>
  <si>
    <t>4599019</t>
  </si>
  <si>
    <t xml:space="preserve">Documentos de planeación </t>
  </si>
  <si>
    <t xml:space="preserve">Política Pública de Adulto Mayor  formulada e implementada </t>
  </si>
  <si>
    <t>459901900</t>
  </si>
  <si>
    <t>Documentos de planeación realizados</t>
  </si>
  <si>
    <t>202000363-0150</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</si>
  <si>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</si>
  <si>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</si>
  <si>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Apoyar la elaboración, seguimiento y evaluación de los planes de acción de los municipios y depto. de la Política Publica de envejecimiento y vejez</t>
  </si>
  <si>
    <t>Formulación de la  política pública de Envejecimiento y vejez</t>
  </si>
  <si>
    <t>0316 - 2 - 3.2.2.2.9.0.0.0.45990192.91119 - 20</t>
  </si>
  <si>
    <t>LIZ BELCKA CASTRO JARAMILLO- DIRECTORA ADULTO MAYOR Y DISCAPACIDAD</t>
  </si>
  <si>
    <t>Desarrollar acciones que permitan garantizar el cumplimiento y reconocimiento de los derechos de las personas mayores.</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</si>
  <si>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</si>
  <si>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</si>
  <si>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</si>
  <si>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</si>
  <si>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Mejorar la articulación frente a la implementación de las políticas públicas de equidad y género</t>
  </si>
  <si>
    <t>Revisión y ajuste a la Política Pública de Equidad de Género para la Mujer</t>
  </si>
  <si>
    <t>0316 - 2 - 3.2.2.2.9.0.0.0.45990191.91119 - 20</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</si>
  <si>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</si>
  <si>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</si>
  <si>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</si>
  <si>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</si>
  <si>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</si>
  <si>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Generar procesos sociales orientados a la incidencia en la toma de decisiones públicas para la inclusión de las personas con discapacidad.</t>
  </si>
  <si>
    <t>Servicio de Intérpretes de lengua de señas que permita la inclusión y acceso de las personas con discapacidad.</t>
  </si>
  <si>
    <t>0316 - 2 - 3.2.2.2.9.0.0.0.45990193.91119 - 20</t>
  </si>
  <si>
    <t xml:space="preserve">Formación de cuidadores para el adecuado manejo de la Discapacidad a Cuidadoras, Cuidadores y Familias </t>
  </si>
  <si>
    <t>0316 - 2 - 3.2.2.2.9.0.0.0.45990193.91119 - 88</t>
  </si>
  <si>
    <t>Elaboración ,seguimiento y evaluación de los planes de acción de los municipios y depto. de la Política Publica de discapacidad.</t>
  </si>
  <si>
    <t>Asistencia técnica a los municipios para la adecuada apropiación de la Política Pública de Discapacidad</t>
  </si>
  <si>
    <t>Acciones y actividades para la implementacion de la Politica Publica de Discapacidad "Capacidad sin limites" del Departamento del Quindío</t>
  </si>
  <si>
    <t xml:space="preserve">Eventos de participación e integración de la población con discapacidad </t>
  </si>
  <si>
    <t>PROGRAMACIÓN PLAN DE ACCIÓN SECRETARÍA  DE TECNOLOGÍAS DE LA INFORMACIÓIN Y LAS COMUNICACIONES  AÑO: 2021</t>
  </si>
  <si>
    <t xml:space="preserve">F-PLA-06   </t>
  </si>
  <si>
    <t>Marzo 11 de 2021</t>
  </si>
  <si>
    <t>PLAN DE DESARROLLO DEPARTAMENTAL: TU Y YO SOMO QUNDIO</t>
  </si>
  <si>
    <t>PORYECTO</t>
  </si>
  <si>
    <t>INCLUSIÓN SOCIAL Y EQUIDAD</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</si>
  <si>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</si>
  <si>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</si>
  <si>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</si>
  <si>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</si>
  <si>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</si>
  <si>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</si>
  <si>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</si>
  <si>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</si>
  <si>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</si>
  <si>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0324 - 2 - 3.2.2.2.8.0.0.0.2301024.84290 - 20</t>
  </si>
  <si>
    <t>Secretaria TIC</t>
  </si>
  <si>
    <t>Garantizar el servicio de conectividad en los centros de acceso comunitario en el departamento del Quindio.</t>
  </si>
  <si>
    <t>0324 - 2 - 3.2.2.2.8.0.0.0.2301024.84222 - 20</t>
  </si>
  <si>
    <t>Mantenimiento de mobiliario, equipos y locaciones de los centros de acceso comunitario en el departamento del Quindio.</t>
  </si>
  <si>
    <t>0324 - 2 - 3.2.2.2.8.0.0.0.2301024.83132 - 20</t>
  </si>
  <si>
    <t>Soluciones de conectividad en instituciones públicas instaladas</t>
  </si>
  <si>
    <t>Apoyo técnico y/o profesional en la estructuracion, direccionamiento y transición del protocolo IPV6 en instituciones públicas en el departamento del Quindío.</t>
  </si>
  <si>
    <t>Adquisición de equipos de infraestructura tecnológica que permitan la modernizacion, con el fin de apoyar la transicion hacia el protocolo IPV6 en instituciones publicas del departamento del Quindío.</t>
  </si>
  <si>
    <t>0324 - 2 - 3.2.1.1.3.3.2.0.2301024.45250 - 20</t>
  </si>
  <si>
    <t>0324 - 2 - 3.2.1.1.3.3.2.0.2301024.45261 - 20</t>
  </si>
  <si>
    <t>Modernización tecnológica del edificio de la Gobernación</t>
  </si>
  <si>
    <t>0324 - 2 - 3.2.1.1.3.3.2.0.2301024.45250 - 88</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</si>
  <si>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</si>
  <si>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</si>
  <si>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</si>
  <si>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</si>
  <si>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</si>
  <si>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</si>
  <si>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0324 - 2 - 3.2.2.2.8.0.0.0.2301079.83132 - 20</t>
  </si>
  <si>
    <t>Adquisición e implantación de infraestructura tecnológica necesaria para la puesta en funcionamiento de las zonas wifi.</t>
  </si>
  <si>
    <t>0324 - 2 - 3.2.2.2.8.0.0.0.2301079.83159 - 20</t>
  </si>
  <si>
    <t>Apoyo técnico y/o profesional en la sensibilización del uso responsable de las zonas wifi.</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</si>
  <si>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</si>
  <si>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</si>
  <si>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</si>
  <si>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Adquisición de terminales de computo</t>
  </si>
  <si>
    <t>0324 - 2 - 3.2.2.2.8.0.0.0.2301062.83159 - 20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</si>
  <si>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</si>
  <si>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</si>
  <si>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</si>
  <si>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</si>
  <si>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</si>
  <si>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</si>
  <si>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0324 - 2 - 3.2.2.2.8.0.0.0.2301035.83132 - 20</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</si>
  <si>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</si>
  <si>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</si>
  <si>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</si>
  <si>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</si>
  <si>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0324 - 2 - 3.2.2.2.8.0.0.0.2301015.83132 - 20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</si>
  <si>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</si>
  <si>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</si>
  <si>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</si>
  <si>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</si>
  <si>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0324 - 2 - 3.2.2.2.8.0.0.0.2301030.83132 - 20</t>
  </si>
  <si>
    <t>0324 - 2 - 3.2.2.2.8.0.0.0.2301030.83132 - 88</t>
  </si>
  <si>
    <t>Desarrollo de convenios con instituciones publicas y/o privadas para el fortalecimiento de procesos de formación TI en el departamento del Quindío.</t>
  </si>
  <si>
    <t xml:space="preserve"> Documentos de planeación</t>
  </si>
  <si>
    <t>Documentos de planeación elaborados</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</si>
  <si>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</si>
  <si>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</si>
  <si>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0324 - 2 - 3.2.2.2.8.0.0.0.2301004.83132 - 20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</si>
  <si>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</si>
  <si>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</si>
  <si>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</si>
  <si>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 Diseño y/o Adquisición para el desarrollo de infraestructura tecnológica necesaria para la implementación de un sistema de alertas tempranas en el departamento del Quindío.</t>
  </si>
  <si>
    <t>0324 - 2 - 3.2.2.2.8.0.0.0.2301042.83159 - 20</t>
  </si>
  <si>
    <t>Servicio técnico y/o profesional en la implantación, seguimiento, sensibilización y puesta en funcionamiento de un sistema de alertas tempranas en el departamento del Quindío</t>
  </si>
  <si>
    <t>0324 - 2 - 3.2.2.2.8.0.0.0.2301042.83132 - 20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</si>
  <si>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</si>
  <si>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</si>
  <si>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</si>
  <si>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</si>
  <si>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</si>
  <si>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</si>
  <si>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Apoyo profesional en la asistencia tecnica a empresas relacionadas con la industria TI del departamento</t>
  </si>
  <si>
    <t>0324 - 2 - 3.2.2.2.8.0.0.0.2302022.83132 - 20</t>
  </si>
  <si>
    <t>Servicio de promoción de la industria de tecnologías de la información</t>
  </si>
  <si>
    <t xml:space="preserve">Eventos para  promoción  de productos y Servicio de la industria TI realizados </t>
  </si>
  <si>
    <t>Apoyar en la creación de ferias o eventos de TI en el Departamento del Quindío.</t>
  </si>
  <si>
    <t>Apoyo tecnico y/o profesional en el diseño y realización de evento o ferias tecnológicas en el departamento del Quindío</t>
  </si>
  <si>
    <t>0324 - 2 - 3.2.2.2.8.0.0.0.2302042.83132 - 20</t>
  </si>
  <si>
    <t>Logística operativa (alimentación, transporte, sonido, materialpublicitario, entre otros) para la organización de foros, talleres, eventos y/o actividades</t>
  </si>
  <si>
    <t>0324 - 2 - 3.2.2.2.8.0.0.0.2302042.85962 - 20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</si>
  <si>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</si>
  <si>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</si>
  <si>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</si>
  <si>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</si>
  <si>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0324 - 2 - 3.2.2.2.8.0.0.0.2302058.83132 - 20</t>
  </si>
  <si>
    <t>Servicio de asistencia técnica a emprendedores y empresas</t>
  </si>
  <si>
    <t>Emprendedores y empresas asistidas técnicamente</t>
  </si>
  <si>
    <t>Asistir técnicamente por medio de las TIC, a empresas y emprendedores en el Departamento del Quindío.</t>
  </si>
  <si>
    <t>Apoyo tecnico y/o profesional en la asistencia tecnica a emprendedores y empresas a traves de las tecnologias de la información</t>
  </si>
  <si>
    <t>0324 - 2 - 3.2.2.2.8.0.0.0.2302021.83132 - 20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</si>
  <si>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</si>
  <si>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</si>
  <si>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</si>
  <si>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Apoyo tecnico y/o profesional en la formación de personas con competencias TI en el departamento del Quindío</t>
  </si>
  <si>
    <t>0324 - 2 - 3.2.2.2.8.0.0.0.2302068.83132 - 20</t>
  </si>
  <si>
    <t>LIDERAZGO, GOBERNABILIDAD Y TRANSPARENCIA</t>
  </si>
  <si>
    <t>Desarrollos digitales</t>
  </si>
  <si>
    <t>Productos digitales desarrollados</t>
  </si>
  <si>
    <t>202000363-0141</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</si>
  <si>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</si>
  <si>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</si>
  <si>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</si>
  <si>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Apoyo técnico y/o profesional en la creación y/o desarrollo de productos digitales</t>
  </si>
  <si>
    <t>0324 - 2 - 3.2.2.2.8.0.0.0.2302003.83132 - 20</t>
  </si>
  <si>
    <t>Adquisiciòn  de productos digitales</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</si>
  <si>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</si>
  <si>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</si>
  <si>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</si>
  <si>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Apoyo tecnico y/o profesional para brindar capacitaciones informales de la estrategia de gobierno digital</t>
  </si>
  <si>
    <t>0324 - 2 - 3.2.2.2.8.0.0.0.2302033.83132 - 20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</si>
  <si>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</si>
  <si>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</si>
  <si>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</si>
  <si>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Apoyo técnico y/o profesional para brindar capacitaciones en gestión TI y seguridad y privacidad de la información</t>
  </si>
  <si>
    <t>0324 - 2 - 3.2.2.2.8.0.0.0.2302066.83132 - 20</t>
  </si>
  <si>
    <t>Documentos de evaluación</t>
  </si>
  <si>
    <t>Documentos de evaluación de programas enfocados en generar competencias TIC</t>
  </si>
  <si>
    <t>Generar documentos de evaluación de programas enfocados a generar competencias TIC.</t>
  </si>
  <si>
    <t xml:space="preserve"> Apoyo técnico y/o profesional que genere la documentación y planificación necesaria entorno a generar competencias TIC en el departamento del Quindío</t>
  </si>
  <si>
    <t>0324 - 2 - 3.2.2.2.8.0.0.0.2302004.83132 - 20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</si>
  <si>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</si>
  <si>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</si>
  <si>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</si>
  <si>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</si>
  <si>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0324 - 2 - 3.2.2.2.8.0.0.0.2302007.83132 - 20</t>
  </si>
  <si>
    <t>Documentos de lineamientos técnicos elaborados</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</si>
  <si>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</si>
  <si>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</si>
  <si>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0324 - 2 - 3.2.2.2.8.0.0.0.2302083.83132 - 20</t>
  </si>
  <si>
    <t>PRODUCTIVIDAD Y COMPETITIVIDAD</t>
  </si>
  <si>
    <t>Ciencia, Tecnolgía e Innovación</t>
  </si>
  <si>
    <t xml:space="preserve">Desarrollo tecnológico e innovación para el crecimiento empresarial </t>
  </si>
  <si>
    <t>Servicio de apoyo para la transferencia de conocimiento y tecnología</t>
  </si>
  <si>
    <t>Nuevas tecnologías adoptadas</t>
  </si>
  <si>
    <t>202000363-0140</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</si>
  <si>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</si>
  <si>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</si>
  <si>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</si>
  <si>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</si>
  <si>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0324 - 2 - 3.2.2.2.8.0.0.0.3903005.83132 - 20</t>
  </si>
  <si>
    <t>Start up generadas</t>
  </si>
  <si>
    <t>Apoyo técnico, profesional y/o institucional en la creación de estrategias para la implementacion de Satart up</t>
  </si>
  <si>
    <t>Conocimiento tecnológico adquirido</t>
  </si>
  <si>
    <t>Apoyo técnico, profesional y/o institucional de estrategias que permitan generar conocimiento tecnológico</t>
  </si>
  <si>
    <t>0324 - 2 - 3.2.2.2.8.0.0.0.3903005.83117 - 20</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</si>
  <si>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</si>
  <si>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</si>
  <si>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</si>
  <si>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202000363-0040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</si>
  <si>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</si>
  <si>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</si>
  <si>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</si>
  <si>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</si>
  <si>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0324 - 2 - 3.2.2.2.8.0.0.0.3904018.83132 - 20</t>
  </si>
  <si>
    <t>Adquisición de materiales didacticos de robotica</t>
  </si>
  <si>
    <t>0324 - 2 - 3.2.2.2.8.0.0.0.3904018.88759 - 20</t>
  </si>
  <si>
    <t>PLAN DE DESARROLLO DEPARTAMENTAL: ¨TU Y YO SOMOS, QUINDIO¨</t>
  </si>
  <si>
    <t>Comercio, Industria y Turismo</t>
  </si>
  <si>
    <t xml:space="preserve">Productividad y competitividad de las empresas colombianas. "Tú y yo con empresas competitivas" </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</si>
  <si>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</si>
  <si>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</si>
  <si>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</si>
  <si>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</si>
  <si>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</si>
  <si>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</si>
  <si>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</si>
  <si>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</si>
  <si>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0311 - 2 - 3.2.2.2.9.0.0.0.3502006.91119 - 20</t>
  </si>
  <si>
    <t>Secretario de Turismo Industria y Comercio</t>
  </si>
  <si>
    <t>Servicio de asistencia técnica para el desarrollo de iniciativas Clústers</t>
  </si>
  <si>
    <t>350200700</t>
  </si>
  <si>
    <t>Clústeres asistidos en la implementación de los planes de acción</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</si>
  <si>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</si>
  <si>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</si>
  <si>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0311 - 2 - 3.2.2.2.9.0.0.0.3502007.91119 - 20</t>
  </si>
  <si>
    <t>0311 - 2 - 3.2.2.2.9.0.0.0.3502007.91138 - 20</t>
  </si>
  <si>
    <t>Apoyo para la implementaciòn  y ejecuciòn de los planes de acciòn de los clùsters</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</si>
  <si>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</si>
  <si>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</si>
  <si>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</si>
  <si>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</si>
  <si>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</si>
  <si>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</si>
  <si>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</si>
  <si>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</si>
  <si>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0311 - 2 - 3.2.2.2.9.0.0.0.3502022.91138 - 20</t>
  </si>
  <si>
    <t>Aunar esfuerzos para desarrollar proyectos  y/o actividades direccionadas a promover el acceso a nuevos mercados  para las Mipymes del departamento</t>
  </si>
  <si>
    <t>0311 - 2 - 3.2.2.2.9.0.0.0.3502022.91119 - 20</t>
  </si>
  <si>
    <t>Documentos de planeación</t>
  </si>
  <si>
    <t>350204700</t>
  </si>
  <si>
    <t>0.7</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</si>
  <si>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</si>
  <si>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Elaboración de estudios, diagnósticos y/o investigación para la formulación del Plan de Internacionalización del departamento del Quindío.</t>
  </si>
  <si>
    <t>0311 - 2 - 3.2.2.2.9.0.0.0.3502047.91136 - 20</t>
  </si>
  <si>
    <t>Servicio de asistencia técnica a los entes territoriales para el desarrollo turístico</t>
  </si>
  <si>
    <t>350203900</t>
  </si>
  <si>
    <t>202000363-0076</t>
  </si>
  <si>
    <t xml:space="preserve"> Mejoramiento de la competitividad del  departamento como destino turístico  sostenible y de calidad .</t>
  </si>
  <si>
    <t>Fortalecer la coordinación interinstitucional</t>
  </si>
  <si>
    <t>0311 - 2 - 3.2.2.2.9.0.0.0.3502039.91119 - 20</t>
  </si>
  <si>
    <t>0311 - 2 - 3.2.2.2.9.0.0.0.3502039.91119 - 88</t>
  </si>
  <si>
    <t xml:space="preserve">Superávit Recurso Ordinario </t>
  </si>
  <si>
    <t>documentos de planeación elaborados</t>
  </si>
  <si>
    <t>0311 - 2 - 3.2.2.2.9.0.0.0.3502047.91119 - 20</t>
  </si>
  <si>
    <t>Proyectos de infraestructura turística apoyados</t>
  </si>
  <si>
    <t>Estudios y/o diseños para proyectos de infraestructura turística</t>
  </si>
  <si>
    <t>Fortalecimiento de la infraestructura de soporte para la actividad turística</t>
  </si>
  <si>
    <t>0311 - 2 - 3.4.2.4.0.0.0.0.003502039.54129.884 - 20</t>
  </si>
  <si>
    <t>0311 - 2 - 3.4.2.4.0.0.0.0.003502039.54129.884 - 88</t>
  </si>
  <si>
    <t>Servicio de promoción turística</t>
  </si>
  <si>
    <t>Campañas realizadas</t>
  </si>
  <si>
    <t>202000363-0077</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</si>
  <si>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</si>
  <si>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</si>
  <si>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</si>
  <si>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Apoyo a la promociòn nacional e internaciònal del departamento del Quindìo como destino turìstico</t>
  </si>
  <si>
    <t>0311 - 2 - 3.2.2.2.9.0.0.0.3502046.91136 - 52</t>
  </si>
  <si>
    <t>Turismo y Cultura 4%</t>
  </si>
  <si>
    <t>0311 - 2 - 3.2.2.2.9.0.0.0.3502046.91136 - 88</t>
  </si>
  <si>
    <t>0311 - 2 - 3.2.2.2.9.0.0.0.3502046.91136 - 94</t>
  </si>
  <si>
    <t>Superávit Turismo y Cultura 4%</t>
  </si>
  <si>
    <t>Logìstica y transporte para realizar  labores institucionales</t>
  </si>
  <si>
    <t>0311 - 2 - 3.2.1.1.3.3.2.0.3502046.45250 - 52</t>
  </si>
  <si>
    <t>0311 - 2 - 3.2.2.2.9.0.0.0.003502046.64119 - 52</t>
  </si>
  <si>
    <t>Servicios de catering para cubrir los diferentes eventos y actividades</t>
  </si>
  <si>
    <t>0311 - 2 - 3.2.2.2.9.0.0.0.003502046.63391 - 52</t>
  </si>
  <si>
    <t xml:space="preserve">Adquisición de equipos tecnologicos </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</si>
  <si>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</si>
  <si>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</si>
  <si>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</si>
  <si>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</si>
  <si>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</si>
  <si>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</si>
  <si>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</si>
  <si>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</si>
  <si>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</si>
  <si>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0311 - 2 - 3.2.2.2.8.0.0.0.3602018.83117 - 20</t>
  </si>
  <si>
    <t>Servicio de asesoría técnica para el emprendimiento.</t>
  </si>
  <si>
    <t>360203201</t>
  </si>
  <si>
    <t>Emprendimientos fortalecidos</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</si>
  <si>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</si>
  <si>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</si>
  <si>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0311 - 2 - 3.2.2.2.9.0.0.0.3602032.91138 - 20</t>
  </si>
  <si>
    <t>Aunar esfuerzos para desarrolar proyectos  a travès delos cuales se fortalezcan las capacidades de los emprendedores del departamento</t>
  </si>
  <si>
    <t>0311 - 2 - 3.2.2.2.9.0.0.0.3602032.91119 - 20</t>
  </si>
  <si>
    <t>Servicio de asistencia técnica para la generación y formalización del empleo</t>
  </si>
  <si>
    <t>Talleres de oferta institucional realizados</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</si>
  <si>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</si>
  <si>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</si>
  <si>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0311 - 2 - 3.2.2.2.9.0.0.0.3602029.91119 - 20</t>
  </si>
  <si>
    <t>Logistica, impresiones maaterial  y refrigerios para adelantar los talleres de oferta institucional</t>
  </si>
  <si>
    <t>0311 - 2 - 3.2.2.2.9.0.0.0.003602029.63391 - 20</t>
  </si>
  <si>
    <t>Servicio de información y monitoreo del mercado de trabajo</t>
  </si>
  <si>
    <t>360203000</t>
  </si>
  <si>
    <t>Reportes realizados</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</si>
  <si>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</si>
  <si>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</si>
  <si>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0311 - 2 - 3.2.2.2.9.0.0.0.3602030.91119 - 20</t>
  </si>
  <si>
    <t>Aunuar esfuerzos para fortalecer los procesos enmarcados en el mercado laboral del departamento</t>
  </si>
  <si>
    <t>Logistica, impresiones maaterial  y refrigerios para adelantar los procesos de monitoreo del mercado de tarabajo,</t>
  </si>
  <si>
    <t>0311 - 2 - 3.2.2.2.9.0.0.0.3602030.63391 - 20</t>
  </si>
  <si>
    <t xml:space="preserve">TOTAL: </t>
  </si>
  <si>
    <r>
      <t xml:space="preserve">PROGRAMACIÓN PLAN DE ACCIÓN 
SECRETARIA  </t>
    </r>
    <r>
      <rPr>
        <b/>
        <u/>
        <sz val="12"/>
        <color theme="1"/>
        <rFont val="Arial"/>
        <family val="2"/>
      </rPr>
      <t>CULTURA</t>
    </r>
    <r>
      <rPr>
        <b/>
        <sz val="12"/>
        <color theme="1"/>
        <rFont val="Arial"/>
        <family val="2"/>
      </rPr>
      <t xml:space="preserve"> AÑO </t>
    </r>
    <r>
      <rPr>
        <b/>
        <u/>
        <sz val="12"/>
        <color theme="1"/>
        <rFont val="Arial"/>
        <family val="2"/>
      </rPr>
      <t>2021
A SEPTIEMBRE 30 DE 2021</t>
    </r>
  </si>
  <si>
    <t xml:space="preserve">PLAN DE DESARROLLO DEPARTAMENTAL: </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</si>
  <si>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</si>
  <si>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</si>
  <si>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</si>
  <si>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</si>
  <si>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</si>
  <si>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Formación artística y cultural</t>
  </si>
  <si>
    <t>0310 - 2 - 3.2.2.2.9.0.0.0.3301087.91119 - 20</t>
  </si>
  <si>
    <t xml:space="preserve"> RECURSO ORDINARIO</t>
  </si>
  <si>
    <t xml:space="preserve">
Secretaria de Cultura</t>
  </si>
  <si>
    <t>0310 - 2 - 3.2.2.2.9.0.0.0.3301087.91119 - 88</t>
  </si>
  <si>
    <t>Apoyo técnico y logístico formación artistica y cultural</t>
  </si>
  <si>
    <t>RECURSO ORDINARIO</t>
  </si>
  <si>
    <t>Servicio de circulación artística y cultural</t>
  </si>
  <si>
    <t>Producciones artísticas en circulación</t>
  </si>
  <si>
    <t xml:space="preserve">Actualizar los parámetros de participación y criterios de evaluación referentes planeas y políticas y culturales </t>
  </si>
  <si>
    <t>Fortalecimiento del sector artístico y cultural</t>
  </si>
  <si>
    <t>0310 - 2 - 3.2.2.2.9.0.0.0.3301073.91119 - 20</t>
  </si>
  <si>
    <t xml:space="preserve">apoyo a la realización y participación de artistas y/o grupos artisticos en eventos </t>
  </si>
  <si>
    <t>Apoyo técnico logístico circulación artística y cultural</t>
  </si>
  <si>
    <t>0310 - 2 - 3.2.2.2.9.0.0.0.3301073.64119 - 20</t>
  </si>
  <si>
    <t xml:space="preserve">Apoyo para la generación de conbdiciones de seguimientos a proyectos cofinanciados por la secretaría </t>
  </si>
  <si>
    <t>0310 - 2 - 3.2.2.1.4.0.0.0.3301073.45250 - 20</t>
  </si>
  <si>
    <t>0310 - 2 - 3.2.2.1.3.0.0.0.3301073.38350 - 20</t>
  </si>
  <si>
    <t>0310 - 2 - 3.2.2.1.3.0.0.0.3301073.38360 - 20</t>
  </si>
  <si>
    <t>0310 - 2 - 3.2.2.1.3.0.0.0.3301073.38122 - 20</t>
  </si>
  <si>
    <t xml:space="preserve">Apoyo técnico en la coordinación del programa concertación </t>
  </si>
  <si>
    <t>0310 - 2 - 3.2.2.2.9.0.0.0.3301073.91119 - 39</t>
  </si>
  <si>
    <t>ESTAMPILLA PRO-CULTURA 50% CONCERTACION</t>
  </si>
  <si>
    <t>Convocatoria y apoyo logístico de proyectos concertados</t>
  </si>
  <si>
    <t>Evaluación y Seguimiento de proyectos concertados</t>
  </si>
  <si>
    <t>Cofinanciación de proyectos</t>
  </si>
  <si>
    <t>0310 - 2 - 3.2.2.2.9.0.0.0.3301073.91119 - 83</t>
  </si>
  <si>
    <t>SUPERÁVIT ESTAMPILLA PRO CULTURA 50% CONCERTACIÓN</t>
  </si>
  <si>
    <t xml:space="preserve">Apoyo técnico en la coordinación del programa estímulos </t>
  </si>
  <si>
    <t>0310 - 2 - 3.2.2.2.9.0.0.0.3301073.91119 - 41</t>
  </si>
  <si>
    <t>ESTAMPILLA PRO-CULTRA 10% ESTIMULOS</t>
  </si>
  <si>
    <t>Convocatoria y apoyo logístico de proyectos programa departamental de estímulos</t>
  </si>
  <si>
    <t>Evaluación y Seguimiento de proyectos programa departamental de estímulos</t>
  </si>
  <si>
    <t>Cofinanciación de proyectos programa departamental de esttímulos</t>
  </si>
  <si>
    <t>Formulación e implementación del Plan de Cultura</t>
  </si>
  <si>
    <t xml:space="preserve">Documentos de lineamientos técnicos </t>
  </si>
  <si>
    <t>Plan Decenal de cultura formulado e implementado</t>
  </si>
  <si>
    <t>Abrir espacios de formación en las áreas artísticas y culturales</t>
  </si>
  <si>
    <t>Apoyo técnico en la formulación e implementación del plan decenal de cultura</t>
  </si>
  <si>
    <t>0310 - 2 - 3.2.2.2.9.0.0.0.3301070.91119 - 20</t>
  </si>
  <si>
    <t xml:space="preserve">Sevicio de información para el sector artísitico y cultural </t>
  </si>
  <si>
    <t>Sistema de información del sector artísitico cultural en operación</t>
  </si>
  <si>
    <t xml:space="preserve">Realizar programas de promoción de la producción artística </t>
  </si>
  <si>
    <t xml:space="preserve">Caracterizaciòn en sede de artistas cultores y gestores de cada uno de los municiios del departamento del Quindio. </t>
  </si>
  <si>
    <t>0310 - 2 - 3.2.2.2.9.0.0.0.3301099.91119 - 20</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</si>
  <si>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</si>
  <si>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</si>
  <si>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</si>
  <si>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</si>
  <si>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0310 - 2 - 3.2.2.1.3.0.0.0.3301052.32690 - 20</t>
  </si>
  <si>
    <t>Servicios bibliotecarios</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</si>
  <si>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</si>
  <si>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</si>
  <si>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</si>
  <si>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</si>
  <si>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</si>
  <si>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Procesos de formacion literaria y actividades de promocion de lectura.</t>
  </si>
  <si>
    <t>0310 - 2 - 3.2.2.2.9.0.0.0.3301085.91119 - 34</t>
  </si>
  <si>
    <t>ESTAMPILLA PRO-CULTURA 10% BIBLIOTECAS</t>
  </si>
  <si>
    <t>0310 - 2 - 3.2.2.1.3.0.0.0.3301085.91119 - 34</t>
  </si>
  <si>
    <t>0310 - 2 - 3.2.2.2.9.0.0.0.3301085.91119 - 83</t>
  </si>
  <si>
    <t>SUPERÁVIT ESTAMPILLA PRO CULTURA 10% BIBLIOTECAS</t>
  </si>
  <si>
    <t>0310 - 2 - 3.2.2.1.3.0.0.0.3301085.32210 - 20</t>
  </si>
  <si>
    <t xml:space="preserve">RECURSOS ORDINARIO </t>
  </si>
  <si>
    <t>0310 - 2 - 3.2.2.2.9.0.0.0.3301085.91119 - 20</t>
  </si>
  <si>
    <t>RECURSOS ORDINARIO</t>
  </si>
  <si>
    <t>0310 - 2 - 3.2.2.2.9.0.0.0.3301085.91119 - 196</t>
  </si>
  <si>
    <t>Actividades de promoción y desarrollo de la cultura</t>
  </si>
  <si>
    <t>Fortalecimiento y dotación de bibliotecas</t>
  </si>
  <si>
    <t>0310 - 2 - 3.2.2.1.4.0.0.0.3301085.45250 - 83</t>
  </si>
  <si>
    <t>0310 - 2 - 3.2.2.1.4.0.0.0.3301085.45250 - 20</t>
  </si>
  <si>
    <t>0310 - 2 - 3.2.2.1.4.0.0.0.3301085.63399 - 20</t>
  </si>
  <si>
    <t>0310 - 2 - 3.2.2.1.4.0.0.0.3301085.64119 - 20</t>
  </si>
  <si>
    <t>0310 - 2 - 3.2.2.2.6.0.0.0.3301085.63399 - 20</t>
  </si>
  <si>
    <t>0310 - 2 - 3.2.2.2.6.0.0.0.3301085.64119 - 20</t>
  </si>
  <si>
    <t>0310 - 2 - 3.2.2.1.3.0.0.0.3301085.32690 - 20</t>
  </si>
  <si>
    <t>0310 - 2 - 3.2.2.1.4.0.0.0.3301085.45250 - 34</t>
  </si>
  <si>
    <t>Coordinación y apoyo de la Red Departamental de Bibliotecas.</t>
  </si>
  <si>
    <t>Servicio de divulgación y publicaciones</t>
  </si>
  <si>
    <t>330110000</t>
  </si>
  <si>
    <t>Publicaciones realizadas</t>
  </si>
  <si>
    <t>Brindar un mayor acceso a programas y actividades de promoción, circulación y difusión literarios</t>
  </si>
  <si>
    <t xml:space="preserve">Publicacion, divulgacion y circulación de obras literarias y escritores locales. </t>
  </si>
  <si>
    <t>0310 - 2 - 3.2.2.1.3.0.0.0.3301100.32210 - 34</t>
  </si>
  <si>
    <t>0310 - 2 - 3.2.2.2.9.0.0.0.3301100.91119 - 20</t>
  </si>
  <si>
    <t>0310 - 2 - 3.2.2.2.9.0.0.0.3301100.91124 - 20</t>
  </si>
  <si>
    <t>0310 - 2 - 3.2.2.1.3.0.0.0.3301100.32210 - 83</t>
  </si>
  <si>
    <t xml:space="preserve">Ejecución plan de medios ( radio, prensa, revistas, television, portal web, redes sociales, ooh) revisión y desarrollo de la estrategia de comunicación </t>
  </si>
  <si>
    <t>Servicio de asistencia técnica en gestión artística y cultural</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</si>
  <si>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</si>
  <si>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</si>
  <si>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</si>
  <si>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</si>
  <si>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</si>
  <si>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Giros anuales al fondo de pensiones colpensiones de acuerdo al recaudo y comportamiento de la estampilla procultura</t>
  </si>
  <si>
    <t>0310 - 2 - 3.2.2.2.9.0.0.0.3301095.91119 - 33</t>
  </si>
  <si>
    <t>ESTAMPILLA PRO-CULTURA 10% SEGURIDAD SOCIAL</t>
  </si>
  <si>
    <t xml:space="preserve"> 
Secretaria de Cultura</t>
  </si>
  <si>
    <t>0310 - 2 - 3.2.2.2.9.0.0.0.3301095.91119 - 20</t>
  </si>
  <si>
    <t>0310 - 2 - 3.2.2.2.9.0.0.0.3301095.91119 - 83</t>
  </si>
  <si>
    <t>SUPERÁVIT ESTAMPILLA PRO CULTURA 10% Beps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</si>
  <si>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</si>
  <si>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</si>
  <si>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</si>
  <si>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</si>
  <si>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</si>
  <si>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</si>
  <si>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</si>
  <si>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</si>
  <si>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0310 - 2 - 3.2.2.2.9.0.0.0.3302042.91119 - 20</t>
  </si>
  <si>
    <t>Investigación, divulgacion y publicación del patrimonio cultural</t>
  </si>
  <si>
    <t>330207000</t>
  </si>
  <si>
    <t>Suficientes declaratorias de bienes de interés patrimonial material e inmaterial.</t>
  </si>
  <si>
    <t>0310 - 2 - 3.2.2.2.9.0.0.0.3302070.91119 - 20</t>
  </si>
  <si>
    <t>0310 - 2 - 3.2.2.1.3.0.0.0.3302070.32210 - 47</t>
  </si>
  <si>
    <t>Iva Telefonía móvil</t>
  </si>
  <si>
    <t>0310 - 2 - 3.2.2.2.9.0.0.0.3302070.91119 - 47</t>
  </si>
  <si>
    <t>0310 - 2 - 3.2.2.2.9.0.0.0.3302070.91119 - 93</t>
  </si>
  <si>
    <t>Superavit Iva Telefonía móvil</t>
  </si>
  <si>
    <t>PROGRAMACIÓN PLAN DE ACCIÓN 
PLAN DE DESARROLLO 2020-2023 "TÚ Y YO SOMOS QUINDIO" 
INSTITUTO DEPARTAMENTAL DE TRANSITO DEL QUINDÍO  
A SEPTIEMBRE 30 DE 2021</t>
  </si>
  <si>
    <t xml:space="preserve">FECHA DE INICIO
(dd/mm/aaaa) </t>
  </si>
  <si>
    <t>FECHA DE TERMINACIÓN 
(dd/mm/aaaa)</t>
  </si>
  <si>
    <t>VALOR 
(EN PESOS)</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</si>
  <si>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</si>
  <si>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</si>
  <si>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</si>
  <si>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</si>
  <si>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</si>
  <si>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</si>
  <si>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</si>
  <si>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</si>
  <si>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</si>
  <si>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</si>
  <si>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2.3.5.02.09.01</t>
  </si>
  <si>
    <t>Otros recursos (Propios de  IDTQ)</t>
  </si>
  <si>
    <t>Fernando Baena Villarreal</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</si>
  <si>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</si>
  <si>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</si>
  <si>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</si>
  <si>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</si>
  <si>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</si>
  <si>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2.3.5.02.09.02</t>
  </si>
  <si>
    <t>Formular e Implementar un programa de control, prevención y atención del tránsito y en transporte en los municipios y vías de jurisdicción del IDTQ.</t>
  </si>
  <si>
    <t>Programa de control y atención del tránsito y en transporte formulado e implementado</t>
  </si>
  <si>
    <t>Programa de control y atención del tránsito y el transporte implementado</t>
  </si>
  <si>
    <t>2.3.5.02.09.03</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</si>
  <si>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</si>
  <si>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</si>
  <si>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</si>
  <si>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</si>
  <si>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</si>
  <si>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2.3.5.02.09.04</t>
  </si>
  <si>
    <t>Fortalecimiento, hábitos y estilos de vida saludable como instrumento SALVAVIDAS en el departamento del Quindío</t>
  </si>
  <si>
    <t>Servicio de Escuelas Deportivas</t>
  </si>
  <si>
    <t>Municipios con Escuelas Deportivas</t>
  </si>
  <si>
    <t>30 % CIGARRILLO</t>
  </si>
  <si>
    <t>2.3.2.02.02.009.4301007_5</t>
  </si>
  <si>
    <t>CIGARRILLOS 30% R.B 2020</t>
  </si>
  <si>
    <t>2.3.2.02.02.009.4301007_25</t>
  </si>
  <si>
    <t xml:space="preserve">TASA PRODEPORTE </t>
  </si>
  <si>
    <t>2.3.2.02.01.003.4301007_28</t>
  </si>
  <si>
    <t>MINISTERIO</t>
  </si>
  <si>
    <t>2.3.2.02.02.009.4301007_7</t>
  </si>
  <si>
    <t>2.3.2.02.02.009.4301007_28</t>
  </si>
  <si>
    <t>MONOPOLIO</t>
  </si>
  <si>
    <t>2.3.2.02.02.009.4301007_12</t>
  </si>
  <si>
    <t>2.3.2.01.01.004.01.03.4301007_12</t>
  </si>
  <si>
    <t>2.3.2.01.01.004.01.03.4301007_28</t>
  </si>
  <si>
    <t>2.3.2.02.01.003.4301007_7</t>
  </si>
  <si>
    <t>2.3.2.01.01.004.01.03.4301007_7</t>
  </si>
  <si>
    <t>Servicio de promoción de la actividad física, la recreación y el deporte</t>
  </si>
  <si>
    <t>Municipios vinculados al programa Supérate-Intercolegiados</t>
  </si>
  <si>
    <t>2.3.2.02.02.009.4301037_12</t>
  </si>
  <si>
    <t>CIGARRILLOS 70% R.B 2020</t>
  </si>
  <si>
    <t>2.3.2.02.02.009.4301037_24</t>
  </si>
  <si>
    <t>2.3.2.02.02.009.4301037_7</t>
  </si>
  <si>
    <t>2.3.2.02.01.003.4301037_12</t>
  </si>
  <si>
    <t>2.3.2.02.01.003.4301037_7</t>
  </si>
  <si>
    <t>RB IPOCONSUMO</t>
  </si>
  <si>
    <t>2.3.2.02.01.003.4301037_21</t>
  </si>
  <si>
    <t>MONOPOLIO RB DPTO</t>
  </si>
  <si>
    <t>2.3.2.02.01.003.4301037_22</t>
  </si>
  <si>
    <t>2.3.2.01.01.004.01.03.4301037_7</t>
  </si>
  <si>
    <t>Municipios implementando  programas de recreación, actividad física y deporte social comunitario</t>
  </si>
  <si>
    <t>ICLD</t>
  </si>
  <si>
    <t>2.3.2.02.02.009.4301037_4</t>
  </si>
  <si>
    <t>2.3.2.02.02.009.4301037_28</t>
  </si>
  <si>
    <t>IPOCONSUMO R.B 2020</t>
  </si>
  <si>
    <t>2.3.2.02.02.009.4301037_21</t>
  </si>
  <si>
    <t>IPOCONSUMO</t>
  </si>
  <si>
    <t>2.3.2.02.02.009.4301037_3</t>
  </si>
  <si>
    <t>2.3.2.02.01.003.4301037_28</t>
  </si>
  <si>
    <t>2.3.2.01.01.004.01.03.4301037_28</t>
  </si>
  <si>
    <t>2.3.2.01.01.004.01.03.4301037_12</t>
  </si>
  <si>
    <t>RENDIMIENTOS FINANCIEROS</t>
  </si>
  <si>
    <t>2.3.2.02.01.003.4301037_9</t>
  </si>
  <si>
    <t>2.3.2.02.01.003.4301037_3</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</si>
  <si>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</si>
  <si>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</si>
  <si>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</si>
  <si>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</si>
  <si>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2.3.2.02.02.009.4301006_3</t>
  </si>
  <si>
    <t>2.3.2.02.02.009.4301006_12</t>
  </si>
  <si>
    <t>2.3.2.02.01.003.4301006_3</t>
  </si>
  <si>
    <t>Servicio de asistencia técnica para la promoción del deporte</t>
  </si>
  <si>
    <t xml:space="preserve">Organismos deportivos asistidos </t>
  </si>
  <si>
    <t>2.3.2.02.02.009.4302075_4</t>
  </si>
  <si>
    <t>2.3.2.02.02.009.4302075_28</t>
  </si>
  <si>
    <t>MONOPOLIO R.B 2020</t>
  </si>
  <si>
    <t>2.3.2.02.02.009.4302075_22</t>
  </si>
  <si>
    <t>2.3.2.02.02.009.4302075_21</t>
  </si>
  <si>
    <t>2.3.2.02.02.009.4302075_3</t>
  </si>
  <si>
    <t>2.3.2.02.02.009.4302075_24</t>
  </si>
  <si>
    <t>2.3.2.02.02.009.4302075_26</t>
  </si>
  <si>
    <t>2.3.2.02.02.009.4302075_12</t>
  </si>
  <si>
    <t>2.3.2.01.01.004.01.03.4302075_4</t>
  </si>
  <si>
    <t>2.3.2.01.01.004.01.03.4302075_28</t>
  </si>
  <si>
    <t>2.3.2.02.01.003.4302075_28</t>
  </si>
  <si>
    <t xml:space="preserve"> 1% ICLD R.B 2020</t>
  </si>
  <si>
    <t>2.3.2.01.01.004.01.03.4302075_23</t>
  </si>
  <si>
    <t>2.3.2.02.01.003.4302075_12</t>
  </si>
  <si>
    <t>2.3.2.02.01.003.4302075_3</t>
  </si>
  <si>
    <t>2.3.2.02.02.007.4302075_28</t>
  </si>
  <si>
    <t>2.3.2.02.02.009.4302075_23</t>
  </si>
  <si>
    <t>CIGARILLOS 70% R.B 2020</t>
  </si>
  <si>
    <t>2.3.2.02.02.007.4302075_24</t>
  </si>
  <si>
    <t>2.3.2.02.02.007.4302075_23</t>
  </si>
  <si>
    <t>2.3.2.02.02.007.4302075_26</t>
  </si>
  <si>
    <t>Servicio de organización de eventos deportivos de alto rendimiento</t>
  </si>
  <si>
    <t>Juegos Deportivos Realizados</t>
  </si>
  <si>
    <t>Eventos deportivos de alto rendimiento con sede en Colombia realizados</t>
  </si>
  <si>
    <t>2.3.2.02.02.009.4302004_4</t>
  </si>
  <si>
    <t>2.3.2.02.02.009.4302004_23</t>
  </si>
  <si>
    <t>PROGRAMACIÓN PLAN DE ACCIÓN 
INDEPORTES
A SEPTIEMBRE DE  2021</t>
  </si>
  <si>
    <t>VALOR ACTIVIDAD
(EN PESOS )</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</si>
  <si>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</si>
  <si>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</si>
  <si>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Quindío</t>
  </si>
  <si>
    <t>FERNANDO AUGUSTO PANESO ZULUAGA</t>
  </si>
  <si>
    <t xml:space="preserve">Adquisicion de bienes y/o servicios para el fortalecimiento y desarrollo de los procesos de formacion deportiva </t>
  </si>
  <si>
    <t>Brindar apoyo y/o seguimiento  a los procesos de formación promoviendo y fortaleciendo hacia el deporte competitivo "escuelas deportivas" como herramienta de convivencia y paz en el departamento</t>
  </si>
  <si>
    <t>Dotación y/o implementación  al programa escuelas deportivas,  Generando una cultura deportiva en la comunidad mediante procesos formativos dirigidos a niños, niñas, adolescentes y jóvenes.</t>
  </si>
  <si>
    <t>Promover a los  niños, niñas, adolescentes y jóvenes para realizar actividades físicas y deportivas</t>
  </si>
  <si>
    <t>Brindar apoyo y Acompañamiento al fomento y promoción del programa supérate -Intercolegiados en sus diferentes fases departamental y nacional.</t>
  </si>
  <si>
    <t>Adquisición de bienes y servicios  al programa supérate -Intercolegiados  con el fin generar espacios para el aprovechamiento adecuado del tiempo libre</t>
  </si>
  <si>
    <t>Dotación y/o implantación deportiva para promoción al programa supérate -Intercolegiados.</t>
  </si>
  <si>
    <t>Crear nuevos programas de actividad física y hábitos saludables de vida</t>
  </si>
  <si>
    <t>Brindar apoyo y/o seguimiento a los programas de recreación, actividad física y deporte social comunitario</t>
  </si>
  <si>
    <t>TASA PRODEPORTE</t>
  </si>
  <si>
    <t xml:space="preserve">Dotación y/o implementación para el Fomento a la recreación, la actividad física y el deporte. </t>
  </si>
  <si>
    <t>Adquisición de bienes y servicios  a los programas de recreación, actividad física y deporte social comunitario</t>
  </si>
  <si>
    <t>Crear nuevos instrumentos de planificación para la formulación de la política publica</t>
  </si>
  <si>
    <t>Formulación, implementación y seguimiento a la política pública para el desarrollo y acceso al deporte, la recreación, la actividad física, la educación física y el uso adecuado del tiempo libre</t>
  </si>
  <si>
    <t>Servicios Logísticos, alimentos (Almuerzos y refrigerios) y/o suministro de papelería</t>
  </si>
  <si>
    <t>Formación y preparación de deportistas. "Tú y yo campeones"</t>
  </si>
  <si>
    <t>Fortalecimiento al deporte competitivo y de altos logros "TU Y    YO SOMOS salva 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</si>
  <si>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</si>
  <si>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</si>
  <si>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</si>
  <si>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Brindar asistencia  técnica, administrativa, jurídica, biomédica,   y/o metodológica a los procesos deportivos y/o  ligas  del departamento del Quindío.</t>
  </si>
  <si>
    <t>Dotación y/o implementación deportiva para el desarrollo del deporte  con proyección a altos logros.</t>
  </si>
  <si>
    <t>Aunar esfuerzos administrativos, técnicos, financieros y/o logísticos, para el fomento y la masificación del deporte en el departamento del Quindío</t>
  </si>
  <si>
    <t xml:space="preserve">Suministro de suplementos ergonomicos y/o alimentos para los deportistas elites y con proyeccion a altos logros con el fin de fortalecer y/o mejorar su rendimiento deportivo </t>
  </si>
  <si>
    <t xml:space="preserve">Campañas de publicidad y promoción para el posicionamiento del deporte competitivo y de altos logros </t>
  </si>
  <si>
    <t>Adquisición de bienes y/o servicios para el fortalecimiento del deporte competitivo y de altos logros</t>
  </si>
  <si>
    <t xml:space="preserve">Desarrollo de los  XXII JUEGOS DEPORTIVOS NACIONALES Y VI JUEGOS PARANACIONALES   2023 en el Departamento </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</si>
  <si>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</si>
  <si>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Aumentar la asignación de recursos para el deporte formativo y competitivo</t>
  </si>
  <si>
    <t xml:space="preserve">Seguimiento y evaluación a los   procesos deportivos con proyección a altos logros y el estado de la infraestructura deportiva y/o recreativa con miras al desarrollo de los  XXII juegos deportivos nacionales y VI juegos Paranacionales   2023 </t>
  </si>
  <si>
    <t>Lanzamiento de los  XXII JUEGOS DEPORTIVOS NACIONALES Y VI JUEGOS PARANACIONALES   2023</t>
  </si>
  <si>
    <t xml:space="preserve"> INCLUSION SOCIAL Y EQUIDAD</t>
  </si>
  <si>
    <t xml:space="preserve">Inspección, vigilancia y control. "Tú y yo con salud certificada" </t>
  </si>
  <si>
    <t>Servicio de concepto sanitario</t>
  </si>
  <si>
    <t>Servicio de registro sanitario</t>
  </si>
  <si>
    <t>Registros sanitarios expedidos</t>
  </si>
  <si>
    <t>202000363-0116</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</si>
  <si>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</si>
  <si>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</si>
  <si>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</si>
  <si>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</si>
  <si>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1803 - 2 - 3.2.2.2.9.0.0.0.1903009.91122 - 61</t>
  </si>
  <si>
    <t>SGP SALUD  PUBLICA C.S.F</t>
  </si>
  <si>
    <t>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</si>
  <si>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</si>
  <si>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</si>
  <si>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</si>
  <si>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Informes de evento generados en la vigencia</t>
  </si>
  <si>
    <t>Activar y Mantener 100 COVECOM en 12  municipios del Departamento.</t>
  </si>
  <si>
    <t>1803 - 2 - 3.2.2.2.9.0.0.0.1903031.91122 - 61</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</si>
  <si>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</si>
  <si>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</si>
  <si>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Servicio de asistencia técnica en inspección, vigilancia y control</t>
  </si>
  <si>
    <t>Asistencias técnica en Inspección, Vigilancia y Control realizadas</t>
  </si>
  <si>
    <t>Visitas de seguimiento y asistencia tecnica a istemas potabilización de agua y fuentes de abastecimiento</t>
  </si>
  <si>
    <t>1803 - 2 - 3.2.2.2.9.0.0.0.1903023.91122 - 61</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</si>
  <si>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</si>
  <si>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</si>
  <si>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</si>
  <si>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</si>
  <si>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</si>
  <si>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</si>
  <si>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a los objetos de interes sanitario a los objetos de interes sanitario relacionados con las susstancias quimicas.</t>
  </si>
  <si>
    <t>1803 - 2 - 3.2.2.2.9.0.0.0.1903050.91122 - 61</t>
  </si>
  <si>
    <t>Realizar seguimiento en la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</si>
  <si>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</si>
  <si>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</si>
  <si>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</si>
  <si>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</si>
  <si>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</si>
  <si>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Municipios categorías 4,5 y 6 que formulen y ejecuten real y efectivamente acciones de promoción, prevención, vigilancia  y control de vectores y zoonosis  realizados</t>
  </si>
  <si>
    <t>Articular los sistemas de vigilancia relacionados al control sanitario</t>
  </si>
  <si>
    <t>Realizar acciones de segumientos a objetos de Inspección, Vigilancia y Control de establecimientos cosmeticos y afines en el Departamento del Quindío.</t>
  </si>
  <si>
    <t>1803 - 2 - 3.2.2.2.9.0.0.0.19030381.91122 - 61</t>
  </si>
  <si>
    <t>Implementar sistema de información que permita programar y priorizar las acciones de Inspección, Vigilancia y Control con enfoque de riesgo en establecimientos cosmeticos y afines en el Departamento del Quindío.</t>
  </si>
  <si>
    <t>Realizar seguimiento a los objetos de inspección  vigilancia y control para verificar las condiciones técnicas, higiénico sanitarias locativas y de calidad a los establecimientos farmacéuticos en los 12 municipios del departamento del Quindío.</t>
  </si>
  <si>
    <t>1803 - 2 - 3.2.2.2.9.0.0.0.19030381.91122 - 63</t>
  </si>
  <si>
    <t>FONDO DE ESTUPEFACIENTES</t>
  </si>
  <si>
    <t>1803 - 2 - 3.2.2.2.9.0.0.0.19030381.91122 - 99</t>
  </si>
  <si>
    <t xml:space="preserve">Superavit fondo de estupefacientes </t>
  </si>
  <si>
    <t xml:space="preserve">Desarrollo de acciones de apoyo legal en la aplicación del modelo IVC y PAGO DE REGENTES DE NOMINA </t>
  </si>
  <si>
    <t xml:space="preserve">Suministrar medicamentos de programas de control especial - monopolio del estado a los establecimientos farmacéuticos autorizados o IPS´s que lo requieran. </t>
  </si>
  <si>
    <t>1803 - 2 - 3.2.2.1.3.0.0.0.19030381.35261 - 63</t>
  </si>
  <si>
    <t>Realizar seguimiento a los eventos que se presenten por intoxicaciones por sustancias químicas (medicamentos ) de los vasos notificados al Sivigila por las unidades notificadoras municipales</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</si>
  <si>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</si>
  <si>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</si>
  <si>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para el monopolio del Estado con el Fondo Nacional de Estupefacientes de conformidad  con los índices de consumo </t>
  </si>
  <si>
    <t xml:space="preserve">Adquirir recetarios y los medicamentos monopolio del estado con el fondo nacional de estupefacientes de conformidad  con los índices de consumo </t>
  </si>
  <si>
    <t>1803 - 2 - 3.2.2.1.3.0.0.0.19030381.35261 - 99</t>
  </si>
  <si>
    <t>Municipios categorías 4, 5 y 6 qué formulen y ejecuten real y efectivamente acciones de promoción, prevención, vigilancia y control de vectores y zoonosis realizados</t>
  </si>
  <si>
    <t>Realizar  acciones de intervención comunitaria  en el marco de la implementación de las estrategias de gestión integral para mitigar las contingencias y daños producidos por enfermedades transmisibles, zoonosis y vectores.</t>
  </si>
  <si>
    <t>1803 - 2 - 3.2.2.2.9.0.0.0.19030382.91122 - 61</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</si>
  <si>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</si>
  <si>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</si>
  <si>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</si>
  <si>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1803 - 2 - 3.2.2.2.9.0.0.0.1903027.91122 - 61</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</si>
  <si>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</si>
  <si>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</si>
  <si>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</si>
  <si>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1803 - 2 - 3.2.2.2.9.0.0.0.19030111.91122 - 61</t>
  </si>
  <si>
    <t xml:space="preserve">Realizar seguimiento a los objetos inspección  vigilancia y control   de las condiciones sanitarias y protocolos de bioseguridad en los establecimientos  con actividad económica de estética ornamental , salas de belleza y peluquerías </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</si>
  <si>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</si>
  <si>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</si>
  <si>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</si>
  <si>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</si>
  <si>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</si>
  <si>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</si>
  <si>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1803 - 2 - 3.2.2.2.9.0.0.0.1903001.9122 - 61</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</si>
  <si>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</si>
  <si>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</si>
  <si>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</si>
  <si>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</si>
  <si>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</si>
  <si>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</si>
  <si>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en los 12 municipios.</t>
  </si>
  <si>
    <t>1803 - 2 - 3.2.2.2.9.0.0.0.1903015.91122 - 61</t>
  </si>
  <si>
    <t>Brindar apoyo en el monitoreo de las metas del registro de localización y caracterización de personas con discapacidad en los 12 municipios.</t>
  </si>
  <si>
    <t xml:space="preserve">Brindar asistencia técnica sobre la resolucion 113 de 2020  y el proceso de certificacion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</si>
  <si>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</si>
  <si>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</si>
  <si>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eliminacion de barreras en salud y Resolucion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</si>
  <si>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</si>
  <si>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</si>
  <si>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</si>
  <si>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</si>
  <si>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</si>
  <si>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</si>
  <si>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</si>
  <si>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Servicio de análisis de laboratorio</t>
  </si>
  <si>
    <t>Análisis realizados</t>
  </si>
  <si>
    <t>202000363-0118</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</si>
  <si>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</si>
  <si>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</si>
  <si>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saludpublica y la Vigilancia y Control Sanitario</t>
  </si>
  <si>
    <t xml:space="preserve">Compra de reactivos, insumos y medios </t>
  </si>
  <si>
    <t>1803 - 2 - 3.2.2.2.8.0.0.0.1903012.87154 - 61</t>
  </si>
  <si>
    <t>1803 - 2 - 3.2.2.1.3.0.0.0.1903012.35442 - 61</t>
  </si>
  <si>
    <t>Compra de equipos de laboratorio</t>
  </si>
  <si>
    <t>1803 - 2 - 3.2.1.1.3.6.1.0.1903012.48150 - 61</t>
  </si>
  <si>
    <t>1803 - 2 - 3.2.1.1.3.6.1.0.1903012.48150 - 184</t>
  </si>
  <si>
    <t>Superavit resolución 626 de 2020 covid 19</t>
  </si>
  <si>
    <t>0318 - 2 - 3.2.2.2.9.0.0.0.001903012.48150 - 88</t>
  </si>
  <si>
    <t>Realizar análisis de muestras de alimentos, aguas, bebidas alcohólicas  que llegan al laboratorio en cumplimiento de la programación y las muestras para ETAS Y  vigilancia que lleguen al laboratorio</t>
  </si>
  <si>
    <t>1803 - 2 - 3.2.2.2.9.0.0.0.1903012.93195 - 61</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</si>
  <si>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</si>
  <si>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</si>
  <si>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</si>
  <si>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</si>
  <si>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</si>
  <si>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</si>
  <si>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1803 - 2 - 3.2.2.2.9.0.0.0.1903016.91122 - 61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</si>
  <si>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</si>
  <si>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</si>
  <si>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</si>
  <si>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</si>
  <si>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1803 - 2 - 3.2.2.2.9.0.0.0.19030112.91122 - 61</t>
  </si>
  <si>
    <t>Realizar la calibración de los equipos del laboratorio</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</si>
  <si>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</si>
  <si>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</si>
  <si>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</si>
  <si>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</si>
  <si>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</si>
  <si>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</si>
  <si>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0318 - 2 - 3.2.2.2.9.0.0.0.1903034.91122 - 20</t>
  </si>
  <si>
    <t>N/A</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</si>
  <si>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</si>
  <si>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</si>
  <si>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</si>
  <si>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</si>
  <si>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</si>
  <si>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</si>
  <si>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</si>
  <si>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</si>
  <si>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</si>
  <si>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0318 - 2 - 3.2.2.2.9.0.0.0.1903045.91122 - 20</t>
  </si>
  <si>
    <t>Realizar capacitación del recurso humano de las ESES, IPS y EPS Tema del PAMEC, indicadores de calidad y circular 012 de 2016</t>
  </si>
  <si>
    <t>0318 - 2 - 3.2.2.2.9.0.0.0.1903001.91122 - 20</t>
  </si>
  <si>
    <t>Servicio de certificaciones en buenas prácticas</t>
  </si>
  <si>
    <t>Certificaciones expedidas</t>
  </si>
  <si>
    <t>Evaluación del PAMEC en su condición de compradores de servicios de salud para población pobre no afiliada, mediante  auditoría externa a los prestadores.</t>
  </si>
  <si>
    <t>0318 - 2 - 3.2.2.2.9.0.0.0.1903010.91122 - 20</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</si>
  <si>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</si>
  <si>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</si>
  <si>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</si>
  <si>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</si>
  <si>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0318 - 2 - 3.2.2.2.9.0.0.0.1903011.91122 - 20</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</si>
  <si>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</si>
  <si>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</si>
  <si>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</si>
  <si>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</si>
  <si>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</si>
  <si>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</si>
  <si>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 xml:space="preserve">Incrementar la operatividad e integración de los procesosadministrativos misionales y estratégicos de la secretaria de salud
</t>
  </si>
  <si>
    <t>Definir mecanismos para la gestión de la información en la S.D.S</t>
  </si>
  <si>
    <t>1804 - 2 - 3.2.2.2.9.0.0.0.1903047.91122 - 72</t>
  </si>
  <si>
    <t>Rentas cedidas subcuenta otros gastos en salud</t>
  </si>
  <si>
    <t>secretaria de Salud</t>
  </si>
  <si>
    <t>Servicio del ejercicio del procedimiento administrativo sancionatorio</t>
  </si>
  <si>
    <t xml:space="preserve">Procesos con aplicación del procedimiento administrativo sancionatorio tramitados </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</si>
  <si>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</si>
  <si>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1804 - 2 - 3.2.2.2.9.0.0.0.1903019.91122 - 72</t>
  </si>
  <si>
    <t>Servicio de gestión de peticiones, quejas, reclamos y denuncias</t>
  </si>
  <si>
    <t>Preguntas Quejas Reclamos y Denuncias Gestionadas</t>
  </si>
  <si>
    <t>Establecer mecanismos eficientes de respuesta al usuario</t>
  </si>
  <si>
    <t>1804 - 2 - 3.2.2.2.9.0.0.0.1903028.91122 - 72</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</si>
  <si>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</si>
  <si>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</si>
  <si>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</si>
  <si>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1804 - 2 - 3.2.2.2.9.0.0.0.1903025.91122 - 72</t>
  </si>
  <si>
    <t>Realizar actividades de planeación para la S.D.S aplicando los lineamientos normativos vigentes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</si>
  <si>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</si>
  <si>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</si>
  <si>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</si>
  <si>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</si>
  <si>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</si>
  <si>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</si>
  <si>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t>
  </si>
  <si>
    <t>1803 - 2 - 3.2.2.2.9.0.0.0.1905028.91122 - 61</t>
  </si>
  <si>
    <t>Realizar acciones de inspeccion vigilancia y control en establecimientos gastronomicos del departamento del Quindio.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</si>
  <si>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</si>
  <si>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</si>
  <si>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</si>
  <si>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</si>
  <si>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</si>
  <si>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</si>
  <si>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1803 - 2 - 3.2.2.2.9.0.0.0.19050315.91122 - 61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</si>
  <si>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</si>
  <si>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Resolucion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</si>
  <si>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</si>
  <si>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</si>
  <si>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</si>
  <si>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</si>
  <si>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</si>
  <si>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</si>
  <si>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</si>
  <si>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</si>
  <si>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1803 - 2 - 3.2.2.2.9.0.0.0.1905019.91122 - 61</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</si>
  <si>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</si>
  <si>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</si>
  <si>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Realizar seguimiento semestral  a las coberturas de las actividades de PEDT en el marco de las intervenciones de las RIAS, así como el seguimiento a la gestión del riesgo individual en salud.</t>
  </si>
  <si>
    <t>1803 - 2 - 3.2.2.2.9.0.0.0.19050311.91122 - 61</t>
  </si>
  <si>
    <t>Realizar acciones de fortalecimiento en la intervenciones de protección especifica y detección temprana con los diferentes actores del sistema (EAPB,IPS,PLANES LOCALES DE SALUD )</t>
  </si>
  <si>
    <t>Formular en Plan de Fortalecimiento de Capacidades en Salud Ambiental en coordinación con el Consejo Territorial de Salud Ambiental COTSA</t>
  </si>
  <si>
    <t xml:space="preserve"> Plan de Fortalecimiento de Capacidades en Salud Ambiental FORMULADO </t>
  </si>
  <si>
    <t>Planes de salud pública elaborados</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</si>
  <si>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</si>
  <si>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</si>
  <si>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1803 - 2 - 3.2.2.2.9.0.0.0.19050154.91122 - 61</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</si>
  <si>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</si>
  <si>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</si>
  <si>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</si>
  <si>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</si>
  <si>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</si>
  <si>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e identificar sus factores determinantes</t>
  </si>
  <si>
    <t>1803 - 2 - 3.2.2.2.9.0.0.0.19050242.91122 - 61</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</si>
  <si>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</si>
  <si>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</si>
  <si>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</si>
  <si>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</si>
  <si>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Plan Departamental en Salud Ambiental de adaptación al cambio climático implementado</t>
  </si>
  <si>
    <t xml:space="preserve">Definición de situación actual del departamento en salud ambiental por problemáticas por cambio climático </t>
  </si>
  <si>
    <t>1803 - 2 - 3.2.2.2.9.0.0.0.19050155.91122 - 61</t>
  </si>
  <si>
    <t>Generar  espacios  intersectoriales para la implementación del plan de adaptación de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</si>
  <si>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</si>
  <si>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</si>
  <si>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</si>
  <si>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1803 - 2 - 3.2.2.2.9.0.0.0.19050243.91122 - 61</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</si>
  <si>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</si>
  <si>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</si>
  <si>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</si>
  <si>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Personas atendidas con campañas de gestión del riesgo para abordar situaciones de salud relacionadas con condiciones ambientales</t>
  </si>
  <si>
    <t>Educación y comunicación en la promoción de conocimientos, practicas y hábitos para la circulación y el transito seguro en la vía publica.</t>
  </si>
  <si>
    <t>1803 - 2 - 3.2.2.2.9.0.0.0.19050241.91122 - 61</t>
  </si>
  <si>
    <t xml:space="preserve">Intervención en los entornos de vivienda, educativo y comunitario con caracterización y análisis de actores involucrados, y factores de riesgo asociados a las comunidades en cuanto a  movilidad. </t>
  </si>
  <si>
    <t>202000363-0124</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</si>
  <si>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</si>
  <si>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</si>
  <si>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</si>
  <si>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</si>
  <si>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1803 - 2 - 3.2.2.2.9.0.0.0.19050212.91122 - 61</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</si>
  <si>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</si>
  <si>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</si>
  <si>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</si>
  <si>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</si>
  <si>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</si>
  <si>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</si>
  <si>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</si>
  <si>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</si>
  <si>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</si>
  <si>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</si>
  <si>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</si>
  <si>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Monitoreo a las Entidades Administradoras de Planes Básicos EAPB en la implementación de la Ruta Integral de Atención para la Promoción y Mantenimiento de la Salud y Materno Perinatal en el Departamento  </t>
  </si>
  <si>
    <t xml:space="preserve">Realizar seguimiento y control a la realización del TSH neonatal  por parte de los Aseguradores y Prestadores , a todos los recién nacidos institucionalizados y no institucionalizados en el departamento del Quindío. </t>
  </si>
  <si>
    <t>1803 - 2 - 3.2.2.2.9.0.0.0.19050211.91122 - 61</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</si>
  <si>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</si>
  <si>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</si>
  <si>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Quindio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</si>
  <si>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</si>
  <si>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</si>
  <si>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</si>
  <si>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</si>
  <si>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</si>
  <si>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</si>
  <si>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</si>
  <si>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</si>
  <si>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</si>
  <si>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</si>
  <si>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</si>
  <si>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</si>
  <si>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</si>
  <si>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1803 - 2 - 3.2.2.2.9.0.0.0.1905020.91122 - 61</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</si>
  <si>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</si>
  <si>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</si>
  <si>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</si>
  <si>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</si>
  <si>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</si>
  <si>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1803 - 2 - 3.2.2.2.9.0.0.0.1905022.91122 - 61</t>
  </si>
  <si>
    <t>Seguimiento a la gestión del riesgo en los casos notificados por el SIVIGILA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</si>
  <si>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</si>
  <si>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</si>
  <si>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</si>
  <si>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Política pública en Salud Mental adaptada e Implementada  </t>
  </si>
  <si>
    <t xml:space="preserve">
190501501</t>
  </si>
  <si>
    <t>Articular las políticas públicas de reducción de la oferta y reducción de la demanda de sustancias psicoactivas licitas e ilícitas.</t>
  </si>
  <si>
    <t xml:space="preserve">Asesoría y asistencia Técnica para la formulacion e implementacion el los doce (12) municipios del Plan Integral de Drogas. (Plan Departamental de la Reducción del Consumo de Sustancias Psicoactivas SPA), en el marco de la policitica publica de salud mental </t>
  </si>
  <si>
    <t>1803 - 2 - 3.2.2.2.9.0.0.0.19050151.91122 - 61</t>
  </si>
  <si>
    <t xml:space="preserve">Realizar formulacion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</si>
  <si>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</si>
  <si>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</si>
  <si>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</si>
  <si>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</si>
  <si>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</si>
  <si>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</si>
  <si>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</si>
  <si>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</si>
  <si>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</si>
  <si>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</si>
  <si>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</si>
  <si>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1803 - 2 - 3.2.2.2.9.0.0.0.1905023.91122 - 61</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</si>
  <si>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</si>
  <si>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</si>
  <si>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</si>
  <si>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implementacion de la estrategia "CERS" ciudades entornos ruralistas saludables.</t>
  </si>
  <si>
    <t>Aumentar detección e identificación temprana de enfermedades crónicas</t>
  </si>
  <si>
    <t>Verificar el nivel de cumplimiento  de la ley 1335 de 2009 enfocada en espacios libres de humo</t>
  </si>
  <si>
    <t>1803 - 2 - 3.2.2.2.9.0.0.0.19050313.91122 - 61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</si>
  <si>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</si>
  <si>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</si>
  <si>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</si>
  <si>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202000363-0127</t>
  </si>
  <si>
    <t>Fortalecimiento de acciones de promoción, prevención y protección específica para la población infantil en el Departamento del Quindío.</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</si>
  <si>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</si>
  <si>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</si>
  <si>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</si>
  <si>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1803 - 2 - 3.2.2.2.9.0.0.0.1905012.91122 - 61</t>
  </si>
  <si>
    <t>Brindar asistencia técnica que garantice la cadena de frio, el manejo de biológicos y los demás insumos del programa PAI</t>
  </si>
  <si>
    <t>Realizar la consolidación de la información generada por el Programa Ampliado de Inmunizaciones</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</si>
  <si>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</si>
  <si>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</si>
  <si>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</si>
  <si>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</si>
  <si>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</si>
  <si>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1803 - 2 - 3.2.2.2.9.0.0.0.19050262.91122 - 61</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</si>
  <si>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</si>
  <si>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</si>
  <si>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</si>
  <si>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</si>
  <si>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verifricacion y cumplimieno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</si>
  <si>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</si>
  <si>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</si>
  <si>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</si>
  <si>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1803 - 2 - 3.2.2.2.9.0.0.0.1905027.91122 - 61</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</si>
  <si>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</si>
  <si>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</si>
  <si>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</si>
  <si>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Formulación e implementación del plan departamental en salud Ambiental de adaptación al cambio climático.</t>
  </si>
  <si>
    <t xml:space="preserve">
1905015</t>
  </si>
  <si>
    <t xml:space="preserve">
190501500</t>
  </si>
  <si>
    <t>202000363-0128</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</si>
  <si>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</si>
  <si>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</si>
  <si>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latransmisión endemo-epidemicas de las ETV</t>
  </si>
  <si>
    <t xml:space="preserve">Promover a nivel comunitario la tenencia responsable de animales de compañía y la promoción de la vacunación antirrábica. </t>
  </si>
  <si>
    <t>1803 - 2 - 3.2.2.2.9.0.0.0.19050156.91122 - 61</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</si>
  <si>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</si>
  <si>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</si>
  <si>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</si>
  <si>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</si>
  <si>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</si>
  <si>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Disminuir en la propagación e intensificación deenfermedades transmisibles</t>
  </si>
  <si>
    <t>Realizar el monitoreo y evaluación a las acciones de gestión del riesgo, adherencia a guías y protocolos en las EAPB y Empresas Sociales del Estado</t>
  </si>
  <si>
    <t>1803 - 2 - 3.2.2.2.9.0.0.0.19050261.91122 - 61</t>
  </si>
  <si>
    <t>0318 - 2 - 3.2.2.2.9.0.0.0.19050264.91122 - 20</t>
  </si>
  <si>
    <t>1803 - 2 - 3.2.2.2.9.0.0.0.1905026.91122 - 111</t>
  </si>
  <si>
    <t xml:space="preserve">Transferencias de la nacion </t>
  </si>
  <si>
    <t>Realizar inspección vigilancia y control de focos de reproducción de vectores en establecimientos de interes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</si>
  <si>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</si>
  <si>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adeciuacion al entorno.</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</si>
  <si>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</si>
  <si>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</si>
  <si>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</si>
  <si>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</si>
  <si>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quindio.</t>
  </si>
  <si>
    <t>1803 - 2 - 3.2.2.2.9.0.0.0.1905014.91122 - 61</t>
  </si>
  <si>
    <t>Servicio de gestión del riesgo para enfermedades emergentes, reemergentes y desatendidas.</t>
  </si>
  <si>
    <t>Implementar campañas de prevención y atención integral en afectados por tuberculosis</t>
  </si>
  <si>
    <t>Realizar asistencia tecnica y capacitaciones al personal asistencial de las IPS en el programa de tuberculosis y lepra en el departamento.</t>
  </si>
  <si>
    <t>1803 - 2 - 3.2.2.2.9.0.0.0.1905026.91122 - 113</t>
  </si>
  <si>
    <t>RES. 1029/16 CAMP Y CONTROL ANTI TUBERCULOSIS QDIO</t>
  </si>
  <si>
    <t>1803 - 2 - 3.2.2.2.9.0.0.0.1905026.91122 - 114</t>
  </si>
  <si>
    <t>RES.1030/2016 CAMPAÑA CONTROL LEPRA QUINDIO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</si>
  <si>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</si>
  <si>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</si>
  <si>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</si>
  <si>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</si>
  <si>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</si>
  <si>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analisis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</si>
  <si>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</si>
  <si>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202000363-0130</t>
  </si>
  <si>
    <t xml:space="preserve">Implementación de acciones para la contención de la pandemia Tú y Yo contra COVID </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</si>
  <si>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</si>
  <si>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</si>
  <si>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</si>
  <si>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0318 - 2 - 3.2.2.2.9.0.0.0.19050263.91122 - 20</t>
  </si>
  <si>
    <t>Fortalecimiento del talento Humano para la verificación del cumplimiento de lineamientos expedidos para la emergencia</t>
  </si>
  <si>
    <t>Fortaleciemiento de apoyo logístico, tecnológico, adquisición de equipos y mantenimiento para el afianzamiento de los procesos de Vigilancia, PRASS y vacunación.</t>
  </si>
  <si>
    <t>0318 - 2 - 3.2.2.2.9.0.0.0.19050263.91122 - 88</t>
  </si>
  <si>
    <t xml:space="preserve">Superavit Recurso Ordinario </t>
  </si>
  <si>
    <t>Servicios de atención en salud pública en situaciones de emergencias y desastres</t>
  </si>
  <si>
    <t>Personas en capacidad de ser atendidas</t>
  </si>
  <si>
    <t>202000363-0131</t>
  </si>
  <si>
    <t xml:space="preserve"> Prevención, preparación, contingencia, mitigación y superación de emergencias y contingencias por eventos relacionados con la salud pública en el Departamento del Quindío.</t>
  </si>
  <si>
    <t>Coordinar acciones  para la gestión integral  del riesgo en  situaciones de emergencias y desastres  en las IPS y autoridad sanitaria del departamento</t>
  </si>
  <si>
    <t>Incrementar la Seguridad y capacidad de respuesta hospitalaria en momentos de emergencias y desastres</t>
  </si>
  <si>
    <t xml:space="preserve">Realizar verificación de la aplicación de protocolos y planes de emergencia hospitalaria a las eses publicas </t>
  </si>
  <si>
    <t>1803 - 2 - 3.2.2.2.9.0.0.0.1905030.91122 - 61</t>
  </si>
  <si>
    <t xml:space="preserve">Realizar seguimiento a factores de riesgo en las fuentes abastecedoras como tanques de abastecimiento de agua y manejo de residuos solidos en eventos de emergencias y desastres </t>
  </si>
  <si>
    <t>Servicio de gestión del riesgo para abordar situaciones prevalentes de origen laboral</t>
  </si>
  <si>
    <t>Campañas de gestión del riesgo para abordar situaciones prevalentes de origen laboral implementadas</t>
  </si>
  <si>
    <t>202000363-0132</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</si>
  <si>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</si>
  <si>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</si>
  <si>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</si>
  <si>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</si>
  <si>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1803 - 2 - 3.2.2.2.9.0.0.0.1905025.91122 - 61</t>
  </si>
  <si>
    <t xml:space="preserve">Realizar la Identificación, caracterización y capacitacion de las mujeres trabajadoras y poblacion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</si>
  <si>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</si>
  <si>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</si>
  <si>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categoria, del departamento del Quindio.</t>
  </si>
  <si>
    <t>Realizar asistencia técnica  a los prestadores de primer nivel, para verificar el cumplimiento del Sistema de Gestión de la Seguridad y Salud en el Trabajo.</t>
  </si>
  <si>
    <t xml:space="preserve">Documentos de planeación en epidemiología y demografía elaborados </t>
  </si>
  <si>
    <t>202000363-0133</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</si>
  <si>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</si>
  <si>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</si>
  <si>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</si>
  <si>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</si>
  <si>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1803 - 2 - 3.2.2.2.9.0.0.0.19050152.91122 - 61</t>
  </si>
  <si>
    <t>SGP Salud Pública</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</si>
  <si>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</si>
  <si>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</si>
  <si>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</si>
  <si>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</si>
  <si>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</si>
  <si>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</si>
  <si>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</si>
  <si>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</si>
  <si>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</si>
  <si>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</si>
  <si>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</si>
  <si>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</si>
  <si>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</si>
  <si>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</si>
  <si>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</si>
  <si>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</si>
  <si>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</si>
  <si>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</si>
  <si>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</si>
  <si>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</si>
  <si>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0318 - 2 - 3.2.2.2.9.0.0.0.1905009.91122 - 20</t>
  </si>
  <si>
    <t>0318 - 2 - 3.2.2.2.9.0.0.0.1905009.91122 - 88</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</si>
  <si>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</si>
  <si>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</si>
  <si>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</si>
  <si>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</si>
  <si>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</si>
  <si>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</si>
  <si>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</si>
  <si>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</si>
  <si>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Aumentar la cobertura de las acciones de intervenciones colectivas</t>
  </si>
  <si>
    <t>Realizar intervenciones de manera integrada e integral en los diferentes entornos definidos en la norma</t>
  </si>
  <si>
    <t>1803 - 2 - 3.2.2.2.9.0.0.0.19050314.91122 - 61</t>
  </si>
  <si>
    <t>1803 - 2 - 3.2.2.2.9.0.0.0.19050314.91122 - 98</t>
  </si>
  <si>
    <t>superavit SGP salud pública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</si>
  <si>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</si>
  <si>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</si>
  <si>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</si>
  <si>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</si>
  <si>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</si>
  <si>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</si>
  <si>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 xml:space="preserve">Realizar acciones, intervenciones y procedimientos colectivos en fomento de la actividad fisica y la dieta sana </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</si>
  <si>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</si>
  <si>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</si>
  <si>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</si>
  <si>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</si>
  <si>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</si>
  <si>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Aumentar índices en los procesos de afiliación de la población en el Departamento</t>
  </si>
  <si>
    <t>Realizar acciones de promoción en las afiliaciones de la población en el sistema general de seguridad social en salud</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</si>
  <si>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</si>
  <si>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</si>
  <si>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</si>
  <si>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</si>
  <si>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Gestión de recursos para cofinanciación de la afiliación a los municipios y lugares de afiliación. </t>
  </si>
  <si>
    <t>1801 - 2 - 3.3.1.2.0.0.0.0.19060232.91122.13 - 154</t>
  </si>
  <si>
    <t>Adres sin situacion de fondos</t>
  </si>
  <si>
    <t>1801 - 2 - 3.3.1.2.0.0.0.0.19060232.91122.96 - 154</t>
  </si>
  <si>
    <t>1801 - 2 - 3.3.1.2.0.0.0.0.19060232.91122.167 - 154</t>
  </si>
  <si>
    <t>1801 - 2 - 3.3.1.2.0.0.0.0.19060232.91122.226 - 154</t>
  </si>
  <si>
    <t>1801 - 2 - 3.3.1.2.0.0.0.0.19060232.91122.233 - 154</t>
  </si>
  <si>
    <t>1801 - 2 - 3.3.1.2.0.0.0.0.19060232.91122.244 - 154</t>
  </si>
  <si>
    <t>1801 - 2 - 3.3.1.2.0.0.0.0.19060232.91122.284 - 154</t>
  </si>
  <si>
    <t>1801 - 2 - 3.3.1.2.0.0.0.0.19060232.91122.303 - 154</t>
  </si>
  <si>
    <t>1801 - 2 - 3.3.1.2.0.0.0.0.19060232.91122.372 - 154</t>
  </si>
  <si>
    <t>1801 - 2 - 3.3.1.2.0.0.0.0.19060232.91122.412 - 154</t>
  </si>
  <si>
    <t>1801 - 2 - 3.3.1.2.0.0.0.0.19060232.91122.470 - 154</t>
  </si>
  <si>
    <t>1801 - 2 - 3.3.1.2.0.0.0.0.19060232.91122.882 - 154</t>
  </si>
  <si>
    <t>Realizar auditorias a los procesos de régimen subsidiado en los 12 municipios, de acuerdo a lo establecido en la Circular 006 de 2011.</t>
  </si>
  <si>
    <t>Servicio de apoyo con tecnologías para prestación de servicios en salud</t>
  </si>
  <si>
    <t>Población inimputable atendida</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</si>
  <si>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</si>
  <si>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</si>
  <si>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</si>
  <si>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</si>
  <si>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</si>
  <si>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1802 - 2 - 3.2.2.2.9.0.0.0.19060231.91122 - 110</t>
  </si>
  <si>
    <t>Resolución  971/2016 PROGRAMA INIMPUTABLES</t>
  </si>
  <si>
    <t>1804 - 2 - 3.2.2.2.9.0.0.0.19060231.91122 - 155</t>
  </si>
  <si>
    <t>IVA CEDIDO SOBRE LICORES ART. 32 LEY 1816</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</si>
  <si>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</si>
  <si>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</si>
  <si>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</si>
  <si>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</si>
  <si>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Realizar el seguimiento, supervision y los actos administrativos para la transferencia de los recursos mediante el cumplimiento de metas</t>
  </si>
  <si>
    <t>0318 - 2 - 3.3.5.9.45.0.0.0.19060252.71344 - 35</t>
  </si>
  <si>
    <t>Recursos destinados del Monopolio</t>
  </si>
  <si>
    <t>0318 - 2 - 3.3.5.9.45.0.0.0.019060252.91122 - 91</t>
  </si>
  <si>
    <t>Superavit monopolio destinado</t>
  </si>
  <si>
    <t>1801 - 2 - 3.3.5.9.45.0.0.0.019060252.91122 - 191</t>
  </si>
  <si>
    <t>superavit rentas cedidas subcuenta régimen subsidiado</t>
  </si>
  <si>
    <t>1802 - 2 - 3.3.5.9.45.0.0.0.019060252.91122 - 97</t>
  </si>
  <si>
    <t>superavit sgp salud prestacion de servicios</t>
  </si>
  <si>
    <t>1802 - 2 - 3.3.5.9.45.0.0.0.019060252.91122 - 192</t>
  </si>
  <si>
    <t xml:space="preserve">superavit sgp subsidio de la oferta </t>
  </si>
  <si>
    <t>1802 - 2 - 3.3.5.9.45.0.0.0.019060252.91122 - 193</t>
  </si>
  <si>
    <t xml:space="preserve">superavit rentas cedidas prestacion de servicios </t>
  </si>
  <si>
    <t>1802 - 2 - 3.3.5.9.45.0.0.0.019060252.91122 - 194</t>
  </si>
  <si>
    <t>superavit excedentes aportes patronales E.S.E del Dpto</t>
  </si>
  <si>
    <t>1804 - 2 - 3.3.5.9.45.0.0.0.019060252.91122 - 96</t>
  </si>
  <si>
    <t>superavit rentas cedidas salud</t>
  </si>
  <si>
    <t>1802 - 2 - 3.3.5.9.45.0.0.0.019060252.91122 - 171</t>
  </si>
  <si>
    <t>Subsidio a la oferta</t>
  </si>
  <si>
    <t>1802 - 2 - 3.3.5.9.45.0.0.0.19060252.71344 - 171</t>
  </si>
  <si>
    <t>Servicios de reconocimientos de deuda</t>
  </si>
  <si>
    <t>Porcentaje de recursos pagados</t>
  </si>
  <si>
    <t>Realizar los pagos de los servicios y tecnologías NO UPC del Régimen Subsidiado.</t>
  </si>
  <si>
    <t>1802 - 2 - 3.3.5.9.45.0.0.0.19060252.71344 - 58</t>
  </si>
  <si>
    <t>RENTAS CEDIDAS - SALUD</t>
  </si>
  <si>
    <t>1802 - 2 - 3.3.5.9.45.0.0.0.19060251.71344 - 58</t>
  </si>
  <si>
    <t>0318 - 2 - 3.3.5.9.45.0.0.0.019060251.91122 - 91</t>
  </si>
  <si>
    <t>1801 - 2 - 3.3.5.9.45.0.0.0.019060251.91122 - 191</t>
  </si>
  <si>
    <t>1802 - 2 - 3.3.5.9.45.0.0.0.019060251.91122 - 97</t>
  </si>
  <si>
    <t>1802 - 2 - 3.3.5.9.45.0.0.0.019060251.91122 - 192</t>
  </si>
  <si>
    <t>1802 - 2 - 3.3.5.9.45.0.0.0.019060251.91122 - 193</t>
  </si>
  <si>
    <t>1802 - 2 - 3.3.5.9.45.0.0.0.019060251.91122 - 194</t>
  </si>
  <si>
    <t>1804 - 2 - 3.3.5.9.45.0.0.0.019060251.91122 - 96</t>
  </si>
  <si>
    <t>1802 - 2 - 3.3.5.9.45.0.0.0.19060251.71344 - 88</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</si>
  <si>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</si>
  <si>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</si>
  <si>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</si>
  <si>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</si>
  <si>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</si>
  <si>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</si>
  <si>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</si>
  <si>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0318 - 2 - 3.2.2.2.9.0.0.0.1906029.91122 - 20</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</si>
  <si>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</si>
  <si>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</si>
  <si>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</si>
  <si>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</si>
  <si>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</si>
  <si>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1804 - 2 - 3.2.2.2.9.0.0.0.1906029.91122 - 198</t>
  </si>
  <si>
    <t>Superavit fondo de salvamento y grant para la salud fonsaet</t>
  </si>
  <si>
    <t>1804 - 2 - 3.2.2.2.9.0.0.0.1906029.91122 - 180</t>
  </si>
  <si>
    <t>ministerio de salud res. 1616 de 2020 discapacidad</t>
  </si>
  <si>
    <t>Apoyo al seguimiento de afiliaciones al régimen contributivo del Sistema General de Seguridad Social de las personas con capacidad de pago</t>
  </si>
  <si>
    <t>0318 - 2 - 3.2.2.2.9.0.0.0.1906032.91122 - 20</t>
  </si>
  <si>
    <t>Hospitales de primer nivel de atención dotados</t>
  </si>
  <si>
    <t>Aumentar la eficiencia en recursos para la prestación de servicios de salud en el departamento</t>
  </si>
  <si>
    <t>Dotacion a los Hospitales de primer nivel de atención dotados</t>
  </si>
  <si>
    <t>0318 - 2 - 3.2.1.1.3.6.1.0.1906005.48150 - 20</t>
  </si>
  <si>
    <t>Servicio de apoyo a la prestación del servicio de transporte de pacientes</t>
  </si>
  <si>
    <t>Entidades de la red pública en salud apoyadas en la adquisición de ambulancias</t>
  </si>
  <si>
    <t>Dotacion ambulancias para la prestación del servicio de transporte de pacientes</t>
  </si>
  <si>
    <t>0318 - 2 - 3.2.1.1.3.7.1.0.1906022.49113 - 20</t>
  </si>
  <si>
    <t>Pacientes atendidos</t>
  </si>
  <si>
    <t>Pacientes atendidos con medicamentos en salud financiados con cargo a los recursos de la UPC del Régimen Subsidiado</t>
  </si>
  <si>
    <t>Dotacion en servicio de apoyo con tecnologías para prestación de servicios en salud</t>
  </si>
  <si>
    <t>0318 - 2 - 3.2.2.2.9.0.0.0.19060231.91122 - 20</t>
  </si>
  <si>
    <t>PROGRAMACIÓN PLAN DE ACCIÓN  PROMOTORA DE VIVIENDA    AÑO:  2021</t>
  </si>
  <si>
    <t>O7</t>
  </si>
  <si>
    <t>Dic. 16 de 2020</t>
  </si>
  <si>
    <t>INDICADOR</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</si>
  <si>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</si>
  <si>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</si>
  <si>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</si>
  <si>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</si>
  <si>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</si>
  <si>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</si>
  <si>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</si>
  <si>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construccion y/o adecuación de escenarios deportivos en el departamento del Quindío.</t>
  </si>
  <si>
    <t>2.3.2.02.02.005.4301004.54</t>
  </si>
  <si>
    <t>Estampilla Pro Desarrollo</t>
  </si>
  <si>
    <t>Gerente Promotora</t>
  </si>
  <si>
    <t>Realizar Infraestructuras  deportivas y/o recreativas.</t>
  </si>
  <si>
    <t>Apoyo para el fortalecimiento del componente y asistencia tecnica a nivel departamental.</t>
  </si>
  <si>
    <t>2.3.2.02.02.008.4301004.83</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</si>
  <si>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</si>
  <si>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</si>
  <si>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</si>
  <si>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</si>
  <si>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</si>
  <si>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</si>
  <si>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</si>
  <si>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</si>
  <si>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2.3.2.02.02.005.2201062.54</t>
  </si>
  <si>
    <t>Mejorar y/o reforzar y/o realizar mantenimiento a la infraestructura educativa existente en los municipios del departamento del Quindío.</t>
  </si>
  <si>
    <t xml:space="preserve">Apoyo para el fortalecimiento de componente y asistencia técnica a nivel departamental </t>
  </si>
  <si>
    <t>2.3.2.02.02.008.2201062.83</t>
  </si>
  <si>
    <t xml:space="preserve">TERRITORIO AMBIENTE Y DESARROLLO SOSTENIBLE </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</si>
  <si>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</si>
  <si>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</si>
  <si>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</si>
  <si>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</si>
  <si>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</si>
  <si>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</si>
  <si>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</si>
  <si>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2.3.2.02.02.005.2402041.54</t>
  </si>
  <si>
    <t>Impuesto al Registro</t>
  </si>
  <si>
    <t>Construir vías en pro de la interconexión entre los municipios y veredas del departamento mejorando la accesibilidad de las poblaciones alejadas del departamento</t>
  </si>
  <si>
    <t xml:space="preserve">Apoyo para el fortalecimiento del componenete y asistencia técnica a nivel departamenta. </t>
  </si>
  <si>
    <t>2.3.2.02.02.008.2402041.83</t>
  </si>
  <si>
    <t>2.3.2.02.02.008.2402041.82</t>
  </si>
  <si>
    <t xml:space="preserve">                                                        -  </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</si>
  <si>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</si>
  <si>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</si>
  <si>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</si>
  <si>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</si>
  <si>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</si>
  <si>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tecnicamente a las entidades</t>
  </si>
  <si>
    <t>2.3.2.02.02.005.4001001.54</t>
  </si>
  <si>
    <t xml:space="preserve">Viviendas de Interés Prioritario urbanas construidas </t>
  </si>
  <si>
    <t>Viviendas de Interés Prioritario urbanas construidas</t>
  </si>
  <si>
    <t>2.3.2.02.02.005.4001017.54</t>
  </si>
  <si>
    <t>2.3.2.02.02.008.4001017.83</t>
  </si>
  <si>
    <t>2.3.2.02.02.008.4001017.82</t>
  </si>
  <si>
    <t xml:space="preserve">Viviendas de Interés Prioritario urbanas mejoradas </t>
  </si>
  <si>
    <t>Viviendas de Interés Prioritario urbanas mejoradas</t>
  </si>
  <si>
    <t>2.3.2.02.02.005.4001018.54</t>
  </si>
  <si>
    <t>2.3.2.02.02.008.4001018.83</t>
  </si>
  <si>
    <t>Estudios de preinversión e inversión</t>
  </si>
  <si>
    <t>Realizar porgramacion de asistencias tecnicas a la entidades territoriales</t>
  </si>
  <si>
    <t>2.3.2.02.02.005.4001030.54</t>
  </si>
  <si>
    <t>Servicio de apoyo financiero para adquisición de vivienda</t>
  </si>
  <si>
    <t>Equipamientos construidos</t>
  </si>
  <si>
    <t>Equipamientos mejorados mantenidos y/o construidos</t>
  </si>
  <si>
    <t>2.3.2.02.02.005.4001031.54</t>
  </si>
  <si>
    <t>2.3.2.02.02.008.4001031.82</t>
  </si>
  <si>
    <t>2.3.2.02.02.008.4001031.83</t>
  </si>
  <si>
    <t>Viviendas de Interés Social urbanas construidas</t>
  </si>
  <si>
    <t>2.3.2.02.02.005.4001014.54</t>
  </si>
  <si>
    <t>2.3.2.02.02.008.4001014.83</t>
  </si>
  <si>
    <t>2.3.2.02.02.005.4001015.54</t>
  </si>
  <si>
    <t>2.3.2.02.02.008.4001015.83</t>
  </si>
  <si>
    <t>PROGRAMACIÓN PLAN DE ACCIÓN  DE LA SECRETARÍA DE AGRICULTURA, DESARROLLO RURAL Y MEDIO AMBIENTE  
A SEPTIEMBRE 30 DE 2021</t>
  </si>
  <si>
    <t>PLAN DE DESARROLLO DEPARTAMENTAL: Tú y Yo somos Quindío 2020-2023</t>
  </si>
  <si>
    <t>PROYECTOS</t>
  </si>
  <si>
    <t>Palenqueras</t>
  </si>
  <si>
    <t>Inclusión productiva de pequeños productores rurales. "Tú y yo con oportunidades para en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</si>
  <si>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</si>
  <si>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</si>
  <si>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</si>
  <si>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</si>
  <si>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</si>
  <si>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</si>
  <si>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</si>
  <si>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0312 - 2 - 3.2.2.2.9.0.0.0.1702011.91131 - 20</t>
  </si>
  <si>
    <t>Recurso ordinario</t>
  </si>
  <si>
    <t>JULIO CESAR CORTES PULIDO</t>
  </si>
  <si>
    <t>0312 - 2 - 3.2.2.2.8.0.0.0.1702011.86119 - 20</t>
  </si>
  <si>
    <t>Servicio de apoyo financiero para proyectos productivos</t>
  </si>
  <si>
    <t>Proyectos productivos cofinanciados</t>
  </si>
  <si>
    <t>Realizar proceso de acompañamiento en la cofinanciación de proyectos productivos</t>
  </si>
  <si>
    <t>Convenios alianzas proyectos productivos</t>
  </si>
  <si>
    <t>0312 - 2 - 3.2.2.2.9.0.0.0.1702007.91138 - 20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</si>
  <si>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</si>
  <si>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</si>
  <si>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</si>
  <si>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Convenios alianzas de apoyo financiero para el acceso a activos productivos y de comercialización</t>
  </si>
  <si>
    <t>0312 - 2 - 3.2.2.2.9.0.0.0.1702009.91138 - 20</t>
  </si>
  <si>
    <t>0312 - 2 - 3.2.2.2.9.0.0.0.1702009.91138 - 195</t>
  </si>
  <si>
    <t>Superavit reintegro recursos del crédito</t>
  </si>
  <si>
    <t>Servicio de apoyo para en fomento organizativo de la agricultura campesina, familiar y comunitaria</t>
  </si>
  <si>
    <t>170201700</t>
  </si>
  <si>
    <t>Productores agropecuarios apoyados</t>
  </si>
  <si>
    <t>202000363-0023</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</si>
  <si>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</si>
  <si>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</si>
  <si>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</si>
  <si>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</si>
  <si>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0312 - 2 - 3.2.2.2.9.0.0.0.1702017.91131 - 20</t>
  </si>
  <si>
    <t>0312 - 2 - 3.2.2.2.9.0.0.0.1702017.91138 - 20</t>
  </si>
  <si>
    <t>0312 - 2 - 3.2.2.2.9.0.0.0.1702017.91131 - 88</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</si>
  <si>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</si>
  <si>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</si>
  <si>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</si>
  <si>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</si>
  <si>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</si>
  <si>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0312 - 2 - 3.2.2.2.9.0.0.0.1702014.91138 - 20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</si>
  <si>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</si>
  <si>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</si>
  <si>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</si>
  <si>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</si>
  <si>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</si>
  <si>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0312 - 2 - 3.2.2.2.9.0.0.0.1702021.91131 - 20</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</si>
  <si>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</si>
  <si>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</si>
  <si>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</si>
  <si>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</si>
  <si>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</si>
  <si>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</si>
  <si>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</si>
  <si>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Apoyo institucional a productores en la participación en mercados campesinos-Compra y/o adquisición de suministros</t>
  </si>
  <si>
    <t>0312 - 2 - 3.2.2.2.6.0.0.0.1702038.62429 - 20</t>
  </si>
  <si>
    <t>0312 - 2 - 3.2.2.2.6.0.0.0.1702038.62429 - 195</t>
  </si>
  <si>
    <t>170203801</t>
  </si>
  <si>
    <t>Productores apoyados para la participación en mercados campesinos</t>
  </si>
  <si>
    <t>Acompañamiento a las organizaciones de productores formales</t>
  </si>
  <si>
    <t>170202301</t>
  </si>
  <si>
    <t>Planes de Desarrollo Agropecuario y Rural elaborados</t>
  </si>
  <si>
    <t>202000363-0022</t>
  </si>
  <si>
    <t>Implementación de procesos de extensión agropecuaria e inocuidad (estatus sanitario, BPA, BPG) alimentaria; en el Departamento del Quindío</t>
  </si>
  <si>
    <t>Formular e Implementar el Plan Departamental de Extensión Agropecuaria PDEA del departamento del Quindío;</t>
  </si>
  <si>
    <t>Formular e Implementar el Plan Departamental de Extensión Agropecuaria PDEA del departamento del Quindío</t>
  </si>
  <si>
    <t>0312 - 2 - 3.2.2.2.9.0.0.0.1702023.91131 - 20</t>
  </si>
  <si>
    <t>Servicios de acompañamiento en la implementación de planes de desarrollo agropecuario y rural</t>
  </si>
  <si>
    <t>170202400</t>
  </si>
  <si>
    <t>Planes de Desarrollo Agropecuario y Rural acompañados</t>
  </si>
  <si>
    <t>Estructurar y ejecutar proyectos integrales agropecuarios, de asistencia técnica y extensión agropecuaria municipales</t>
  </si>
  <si>
    <t>Servicios de acompañamiento en la implementación de Planes de desarrollo agropecuario y rural</t>
  </si>
  <si>
    <t>0312 - 2 - 3.2.2.2.9.0.0.0.1702024.91131 - 20</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</si>
  <si>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</si>
  <si>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</si>
  <si>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</si>
  <si>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</si>
  <si>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</si>
  <si>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</si>
  <si>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</si>
  <si>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</si>
  <si>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0312 - 2 - 3.2.2.2.9.0.0.0.1702025.91131 - 20</t>
  </si>
  <si>
    <t>Servicios financieros y gestión del riesgo para las actividades agropecuarias y rurales. "Tú y yo con un campo protegido"</t>
  </si>
  <si>
    <t>Servicio de apoyo a la implementación de mecanismos y herramientas para en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</si>
  <si>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</si>
  <si>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</si>
  <si>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</si>
  <si>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</si>
  <si>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</si>
  <si>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</si>
  <si>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</si>
  <si>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0312 - 2 - 3.2.2.2.9.0.0.0.1703013.91138 - 20</t>
  </si>
  <si>
    <t>0312 - 2 - 3.2.2.2.9.0.0.0.1703013.91138 - 195</t>
  </si>
  <si>
    <t>Ordenamiento social y uso productivo del territorio rural. "Tú y yo con un campo planificado"</t>
  </si>
  <si>
    <t>170400203</t>
  </si>
  <si>
    <t>Documentos de lineamientos para en ordenamiento social y productivo elaborados</t>
  </si>
  <si>
    <t>202000363-0025</t>
  </si>
  <si>
    <t>Implementación de procesos de ordenamiento productivo y social territorial</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</si>
  <si>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</si>
  <si>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</si>
  <si>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</si>
  <si>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0312 - 2 - 3.2.2.2.9.0.0.0.1704002.91131 - 20</t>
  </si>
  <si>
    <t>Servicio de apoyo para el fomento de la formalidad</t>
  </si>
  <si>
    <t>170401700</t>
  </si>
  <si>
    <t xml:space="preserve">Personas sensibilizadas en la formalización </t>
  </si>
  <si>
    <t>Formular e implementar programas y proyectos agropecuarios integrales, sostenibles, de reconversión productiva</t>
  </si>
  <si>
    <t>Acompañamiento en el proceso de formalización de la propiedad rural</t>
  </si>
  <si>
    <t>0312 - 2 - 3.2.2.2.9.0.0.0.1704017.91131 - 20</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</si>
  <si>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</si>
  <si>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</si>
  <si>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</si>
  <si>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</si>
  <si>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</si>
  <si>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</si>
  <si>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</si>
  <si>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</si>
  <si>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eventos nacionales e internacionles</t>
  </si>
  <si>
    <t>0312 - 2 - 3.2.2.2.9.0.0.0.1706004.91138 - 20</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</si>
  <si>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</si>
  <si>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</si>
  <si>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</si>
  <si>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</si>
  <si>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</si>
  <si>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</si>
  <si>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</si>
  <si>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</si>
  <si>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</si>
  <si>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0312 - 2 - 3.2.2.2.9.0.0.0.1707069.91138 - 20</t>
  </si>
  <si>
    <t>Ciencia, tecnología e innovación agropecuaria. "Tú y yo con un agro interconectado"</t>
  </si>
  <si>
    <t>170801600</t>
  </si>
  <si>
    <t>202000363-0026</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</si>
  <si>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</si>
  <si>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</si>
  <si>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agropecuarios y agroindustriales y
de desarrollo rural integral</t>
  </si>
  <si>
    <t>Apoyo coordinación puesta en marcha de proyectos de CTI</t>
  </si>
  <si>
    <t>0312 - 2 - 3.2.2.2.9.0.0.0.1708016.91131 - 20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</si>
  <si>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</si>
  <si>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</si>
  <si>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</si>
  <si>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</si>
  <si>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</si>
  <si>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0312 - 2 - 3.2.2.2.9.0.0.0.1708051.91131 - 20</t>
  </si>
  <si>
    <t>Infraestructura productiva y comercialización. "Tú y yo con agro competitivo"</t>
  </si>
  <si>
    <t>Centros logísticos agropecuarios adecuados</t>
  </si>
  <si>
    <t>170901900</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</si>
  <si>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</si>
  <si>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</si>
  <si>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</si>
  <si>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</si>
  <si>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agroindutriales.</t>
  </si>
  <si>
    <t>0312 - 2 - 3.2.1.1.3.2.5.0.1709019.44516 - 20</t>
  </si>
  <si>
    <t>Infraestructura de pos cosecha adecuada</t>
  </si>
  <si>
    <t>170903400</t>
  </si>
  <si>
    <t>Mejorar la Infraestructura de pos cosecha</t>
  </si>
  <si>
    <t>Realización de acciones de diseño, acompañamiento para adecuación de infraestructura de pos cosecha</t>
  </si>
  <si>
    <t>0312 - 2 - 3.2.2.2.9.0.0.0.1709034.91131 - 20</t>
  </si>
  <si>
    <t>0312 - 2 - 3.2.2.2.9.0.0.0.1709034.91138 - 20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</si>
  <si>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</si>
  <si>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</si>
  <si>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</si>
  <si>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</si>
  <si>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t>
  </si>
  <si>
    <t>0312 - 2 - 3.2.1.1.3.2.5.0.1709093.44516 - 20</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</si>
  <si>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</si>
  <si>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</si>
  <si>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</si>
  <si>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</si>
  <si>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</si>
  <si>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</si>
  <si>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</si>
  <si>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</si>
  <si>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0312 - 2 - 3.2.2.2.9.0.0.0.3502017.91131 - 20</t>
  </si>
  <si>
    <t>Servicio de asistencia técnica para el desarrollo de iniciativas clústeres</t>
  </si>
  <si>
    <t>Desarrollo de acciones de capacitación, acompañamiento, asesoría, y seguimiento en competencias administrativas, organizacionales, mercados, extensión, planes de negocio</t>
  </si>
  <si>
    <t>0312 - 2 - 3.2.2.2.9.0.0.0.3502007.91119 - 20</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</si>
  <si>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</si>
  <si>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</si>
  <si>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</si>
  <si>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</si>
  <si>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</si>
  <si>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</si>
  <si>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</si>
  <si>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</si>
  <si>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0312 - 2 - 3.2.2.2.9.0.0.0.3201013.94900 - 20</t>
  </si>
  <si>
    <t>Servicio de vigilancia de la calidad del aire</t>
  </si>
  <si>
    <t>Campaña de monitoreo de calidad del aire realizadas</t>
  </si>
  <si>
    <t>Realización de Campaña de monitoreo de calidad del aire realizadas</t>
  </si>
  <si>
    <t>0312 - 2 - 3.2.2.2.9.0.0.0.3201008.94900 - 20</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</si>
  <si>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</si>
  <si>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</si>
  <si>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</si>
  <si>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</si>
  <si>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</si>
  <si>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</si>
  <si>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</si>
  <si>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ripiaros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</si>
  <si>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</si>
  <si>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en servicios de restauración de ecosistemas</t>
  </si>
  <si>
    <t>0312 - 2 - 3.2.2.2.9.0.0.0.3202005.94900 - 20</t>
  </si>
  <si>
    <t>0312 - 2 - 3.2.2.2.6.0.0.0.3202005.64119 - 20</t>
  </si>
  <si>
    <t>0312 - 2 - 3.2.2.1.3.0.0.0.3202005.32690 - 20</t>
  </si>
  <si>
    <t>Servicio de recuperación de cuerpos de agua lénticos y lóticos</t>
  </si>
  <si>
    <t>Bosque ripario recuperado</t>
  </si>
  <si>
    <t>320203704</t>
  </si>
  <si>
    <t>Desarrollo de actividades de recuperación del Bosque ripario recuperado</t>
  </si>
  <si>
    <t>0312 - 2 - 3.2.2.2.9.0.0.0.32020371.94900 - 20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</si>
  <si>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</si>
  <si>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</si>
  <si>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</si>
  <si>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</si>
  <si>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0312 - 2 - 3.2.2.2.9.0.0.0.32020372.94900 - 88</t>
  </si>
  <si>
    <t>0312 - 2 - 3.2.2.2.9.0.0.0.32020372.94900 - 20</t>
  </si>
  <si>
    <t>0312 - 2 - 3.2.2.2.6.0.0.0.32020372.64119 - 20</t>
  </si>
  <si>
    <t>Servicio apoyo financiero para la implementación de esquemas de pago por servicio ambientales</t>
  </si>
  <si>
    <t xml:space="preserve">Esquemas de Pago por Servicio ambientales implementados </t>
  </si>
  <si>
    <t>Esquemas de Pago por Servicio ambientales</t>
  </si>
  <si>
    <t>0312 - 2 - 3.2.2.2.9.0.0.0.3202043.94900 - 20</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</si>
  <si>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</si>
  <si>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</si>
  <si>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</si>
  <si>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</si>
  <si>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202000363-0028</t>
  </si>
  <si>
    <t xml:space="preserve"> 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</si>
  <si>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</si>
  <si>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</si>
  <si>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</si>
  <si>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0312 - 2 - 3.2.2.2.9.0.0.0.32020141.94900 - 20</t>
  </si>
  <si>
    <t>0312 - 2 - 3.2.2.2.6.0.0.0.32020141.63391 - 20</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</si>
  <si>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</si>
  <si>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</si>
  <si>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</si>
  <si>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</si>
  <si>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</si>
  <si>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</si>
  <si>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</si>
  <si>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0312 - 2 - 3.2.2.2.9.0.0.0.32020142.94900 - 20</t>
  </si>
  <si>
    <t>0312 - 2 - 3.2.2.1.3.0.0.0.32020142.32690 - 20</t>
  </si>
  <si>
    <t>0312 - 2 - 3.2.2.1.3.0.0.0.32020142.94900 - 20</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</si>
  <si>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</si>
  <si>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</si>
  <si>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</si>
  <si>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</si>
  <si>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</si>
  <si>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</si>
  <si>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</si>
  <si>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</si>
  <si>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Suministro de bienes y servios de apoyo en la implementación de proyectos de Emprendimientos Verdes.</t>
  </si>
  <si>
    <t>0312 - 2 - 3.2.2.2.9.0.0.0.3204012.94900 - 20</t>
  </si>
  <si>
    <t>3205009</t>
  </si>
  <si>
    <t>Barreras rompe vientos recuperadas</t>
  </si>
  <si>
    <t>320500900</t>
  </si>
  <si>
    <t>Barreras rompe vientos</t>
  </si>
  <si>
    <t>202000363-0030</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</si>
  <si>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</si>
  <si>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</si>
  <si>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</si>
  <si>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</si>
  <si>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0312 - 2 - 3.2.2.2.9.0.0.0.3205009.94900 - 20</t>
  </si>
  <si>
    <t>3205014</t>
  </si>
  <si>
    <t>Obras para el control de erosión</t>
  </si>
  <si>
    <t>320501400</t>
  </si>
  <si>
    <t xml:space="preserve">Área reforestada </t>
  </si>
  <si>
    <t>Desarrollar eficientemente obras para el control de erosión</t>
  </si>
  <si>
    <t>Desarrollar acciones de siembra de arboles donde hay erosión</t>
  </si>
  <si>
    <t>0312 - 2 - 3.2.2.2.9.0.0.0.3205014.94900 - 20</t>
  </si>
  <si>
    <t>Desarrollar eficientemente obras para estabilización de taludes</t>
  </si>
  <si>
    <t>Diseño de trinchos</t>
  </si>
  <si>
    <t>0312 - 2 - 3.2.2.2.9.0.0.0.3205010.94900 - 20</t>
  </si>
  <si>
    <t>Gestión del cambio climático para un desarrollo bajo en carbono y resiliente al clima. "Tú y yo preparados para en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</si>
  <si>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</si>
  <si>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</si>
  <si>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</si>
  <si>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</si>
  <si>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</si>
  <si>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</si>
  <si>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</si>
  <si>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</si>
  <si>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</si>
  <si>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0312 - 2 - 3.2.2.2.9.0.0.0.3206005.94900 - 20</t>
  </si>
  <si>
    <t>Servicio de producción de plántulas en viveros</t>
  </si>
  <si>
    <t>320601400</t>
  </si>
  <si>
    <t>Plántulas producidas</t>
  </si>
  <si>
    <t>Apoyo a la producción de plántulas</t>
  </si>
  <si>
    <t>0312 - 2 - 3.2.2.2.9.0.0.0.3206014.94900 - 20</t>
  </si>
  <si>
    <t>Estufas ecoeficientes</t>
  </si>
  <si>
    <t>3206015</t>
  </si>
  <si>
    <t>320601500</t>
  </si>
  <si>
    <t>Estufas ecoeficientes instaladas y en operación</t>
  </si>
  <si>
    <t>Operatividad de la estufas ecoeficientes</t>
  </si>
  <si>
    <t>0312 - 2 - 3.2.1.1.3.1.4.0.3206015.43410 - 20</t>
  </si>
  <si>
    <t xml:space="preserve">Codigo:  </t>
  </si>
  <si>
    <t xml:space="preserve">Version: </t>
  </si>
  <si>
    <t xml:space="preserve">Fecha: </t>
  </si>
  <si>
    <t>Pagina:</t>
  </si>
  <si>
    <t>PLAN DE DESARROLLO DEPARTAMENTAL: TÚ YO SOMOS QUINDIO 2020-2023</t>
  </si>
  <si>
    <t xml:space="preserve">Víctimas </t>
  </si>
  <si>
    <t>Calidad, cobertura y fortalecimiento de la educación inicial, prescolar, básica y media." Tú y yo con educación y de calidad"</t>
  </si>
  <si>
    <t>2201030</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</si>
  <si>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</si>
  <si>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</si>
  <si>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</si>
  <si>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</si>
  <si>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</si>
  <si>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</si>
  <si>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</si>
  <si>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1404 - 2 - 3.2.2.2.9.0.0.0.2201030.92102 - 25</t>
  </si>
  <si>
    <t>SGP</t>
  </si>
  <si>
    <t>Secretaría de Educación</t>
  </si>
  <si>
    <t>1404 - 2 - 3.2.2.2.9.0.0.0.2201030.92200 - 25</t>
  </si>
  <si>
    <t>1404 - 2 - 3.2.2.2.9.0.0.0.2201030.92310 - 25</t>
  </si>
  <si>
    <t>1404 - 2 - 3.2.2.2.9.0.0.0.2201030.92330 - 25</t>
  </si>
  <si>
    <t>Servicio de fomento para la permanencia en programas de educación formal</t>
  </si>
  <si>
    <t>Personas beneficiarias de estrategias de permanencia</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</si>
  <si>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</si>
  <si>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</si>
  <si>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0314 - 2 - 3.2.2.2.9.0.0.0.2201033.92102 - 20</t>
  </si>
  <si>
    <t>0314 - 2 - 3.2.2.2.9.0.0.0.2201033.92200 - 20</t>
  </si>
  <si>
    <t>0314 - 2 - 3.2.2.2.9.0.0.0.2201033.92310 - 20</t>
  </si>
  <si>
    <t>0314 - 2 - 3.2.2.2.9.0.0.0.2201033.92330 - 20</t>
  </si>
  <si>
    <t>Servicio de alfabetización</t>
  </si>
  <si>
    <t xml:space="preserve">Personas beneficiarias con modelos de alfabetización </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</si>
  <si>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</si>
  <si>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</si>
  <si>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0314 - 2 - 3.2.2.2.9.0.0.0.2201032.92102 - 20</t>
  </si>
  <si>
    <t>0314 - 2 - 3.2.2.2.9.0.0.0.2201032.92200 - 20</t>
  </si>
  <si>
    <t>0314 - 2 - 3.2.2.2.9.0.0.0.2201032.92310 - 20</t>
  </si>
  <si>
    <t>0314 - 2 - 3.2.2.2.9.0.0.0.2201032.92330 - 20</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</si>
  <si>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</si>
  <si>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</si>
  <si>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 Fortalecer, los estándares mínimos de atención en el servicio educativo a la población en condición SRPA. </t>
  </si>
  <si>
    <t>1404 - 2 - 3.2.2.2.9.0.0.0.2201055.92200 - 25</t>
  </si>
  <si>
    <t>1404 - 2 - 3.2.2.2.9.0.0.0.2201055.92310 - 25</t>
  </si>
  <si>
    <t>1404 - 2 - 3.2.2.2.9.0.0.0.2201055.92330 - 25</t>
  </si>
  <si>
    <t>Servicio de apoyo para el fortalecimiento de escuelas de padres</t>
  </si>
  <si>
    <t>Escuelas de padres apoyadas</t>
  </si>
  <si>
    <t>* Fortalecer la conformación y la participación activa de las escuelas de padres en los Establecimientos Educativos Oficiales urbanos o rurales del Departamento del Quindío.</t>
  </si>
  <si>
    <t>0314 - 2 - 3.2.2.2.9.0.0.0.2201067.92102 - 20</t>
  </si>
  <si>
    <t>0314 - 2 - 3.2.2.2.9.0.0.0.2201067.92200 - 20</t>
  </si>
  <si>
    <t>0314 - 2 - 3.2.2.2.9.0.0.0.2201067.92310 - 20</t>
  </si>
  <si>
    <t>0314 - 2 - 3.2.2.2.9.0.0.0.2201067.92330 - 20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</si>
  <si>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</si>
  <si>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</si>
  <si>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</si>
  <si>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</si>
  <si>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1404 - 2 - 3.2.2.2.6.0.0.0.2201028.63320 - 81</t>
  </si>
  <si>
    <t>Transferencias de la nacion por alimentacion PAE</t>
  </si>
  <si>
    <t>0314 - 2 - 3.2.2.2.6.0.0.0.2201028.63320 - 20</t>
  </si>
  <si>
    <t>0314 - 2 - 3.2.2.2.6.0.0.0.2201028.63320 - 186</t>
  </si>
  <si>
    <t>Extracción minera</t>
  </si>
  <si>
    <t>1404 - 2 - 3.2.2.2.6.0.0.0.2201028.63320 - 137</t>
  </si>
  <si>
    <t>Superávit PAE Educación</t>
  </si>
  <si>
    <t>0314 - 2 - 3.2.2.2.6.0.0.0.2201028.63320 -88</t>
  </si>
  <si>
    <t>1404 - 2 - 3.2.2.2.6.0.0.0.2201028.63320 - 172</t>
  </si>
  <si>
    <t>Confinanciacion Municipios PAE</t>
  </si>
  <si>
    <t>2201029</t>
  </si>
  <si>
    <t>Servicio de apoyo a la permanencia con transporte escolar</t>
  </si>
  <si>
    <t>Beneficiarios de transporte escolar</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</si>
  <si>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</si>
  <si>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0314 - 2 - 3.4.2.4.0.0.0.0.2201029.64114 - 88</t>
  </si>
  <si>
    <t>0314 - 2 - 3.4.2.4.0.0.0.0.2201029.64114 - 20</t>
  </si>
  <si>
    <t>Infraestructura de Instituciones Educativas con procesos constructivos, mejorados, ampliados, mantenidos, y/o reforzados.</t>
  </si>
  <si>
    <t xml:space="preserve">Sedes mantenidas </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</si>
  <si>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</si>
  <si>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</si>
  <si>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0314 - 2 - 3.2.2.2.5.0.0.0.2201062.54129 - 20</t>
  </si>
  <si>
    <t>Estudios de preinversión</t>
  </si>
  <si>
    <t>Estudios o diseños realizados</t>
  </si>
  <si>
    <t>*Asistencia, seguimiento y elaboración de estudios de pre factibilidad, factibilidad y definitivos.</t>
  </si>
  <si>
    <t>0314 - 2 - 3.2.2.2.9.0.0.0.2201063.91121 - 20</t>
  </si>
  <si>
    <t>Infraestructura educativa dotada</t>
  </si>
  <si>
    <t>Sedes dotadas</t>
  </si>
  <si>
    <t>* Adquirir y dotar de Mobiliario Escolar los diferentes ambientes escolares de los Establecimientos Educativos Oficiales urbanos o rurales del Departamento del Quindío.</t>
  </si>
  <si>
    <t>1404 - 2 - 3.2.1.1.4.1.1.4.2201069.38111 - 21</t>
  </si>
  <si>
    <t>Rendimientos dinancieros SGP Educación</t>
  </si>
  <si>
    <t>0314 - 2 - 3.2.1.1.4.1.1.4.2201069.38111 - 20</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</si>
  <si>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</si>
  <si>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</si>
  <si>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</si>
  <si>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</si>
  <si>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</si>
  <si>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</si>
  <si>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</si>
  <si>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0314 - 2 - 3.2.2.2.9.0.0.0.2201018.92102 - 20</t>
  </si>
  <si>
    <t>Servicio de atención integral para la primera infancia</t>
  </si>
  <si>
    <t>Instituciones educativas oficiales que implementan en nivel preescolar en el marco de la atención integral</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</si>
  <si>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</si>
  <si>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</si>
  <si>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0314 - 2 - 3.2.2.2.9.0.0.0.2201037.92102 - 20</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</si>
  <si>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</si>
  <si>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</si>
  <si>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</si>
  <si>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</si>
  <si>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</si>
  <si>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</si>
  <si>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 Acompañamiento a los Establecimientos Educativos Oficiales urbanos o rurales para la presentación de las  pruebas externas y la medición de la calidad educativa de los estudiantes.</t>
  </si>
  <si>
    <t>0314 - 2 - 3.2.2.2.9.0.0.0.2201073.92102 - 20</t>
  </si>
  <si>
    <t>0314 - 2 - 3.2.2.2.9.0.0.0.2201073.92200 - 20</t>
  </si>
  <si>
    <t>0314 - 2 - 3.2.2.2.9.0.0.0.2201073.92310 - 20</t>
  </si>
  <si>
    <t>0314 - 2 - 3.2.2.2.9.0.0.0.2201073.92330 - 20</t>
  </si>
  <si>
    <t>1404 - 2 - 3.2.2.2.9.0.0.0.2201073.92330 - 189</t>
  </si>
  <si>
    <t>Superávit Rendimientos Financieros S.G.P. Educación</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</si>
  <si>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</si>
  <si>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</si>
  <si>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</si>
  <si>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0314 - 2 - 3.2.2.2.9.0.0.0.2201068.92102 - 20</t>
  </si>
  <si>
    <t>0314 - 2 - 3.2.2.2.9.0.0.0.2201068.92200 - 20</t>
  </si>
  <si>
    <t>0314 - 2 - 3.2.2.2.9.0.0.0.2201068.92310 - 20</t>
  </si>
  <si>
    <t>0314 - 2 - 3.2.2.2.9.0.0.0.2201068.92330 - 20</t>
  </si>
  <si>
    <t>2201026</t>
  </si>
  <si>
    <t>Servicio de acondicionamiento de ambientes de aprendizaje</t>
  </si>
  <si>
    <t>Ambientes de aprendizaje en funcionamiento</t>
  </si>
  <si>
    <t>* Fortalecimiento de la gestión educativa mediante la dotación de material didáctico, pedagógico,  y tecnológico para los Establecimientos Educativos Oficiales urbanos o rurales adscritos a la Secretaría de Educación Departamental.</t>
  </si>
  <si>
    <t>1404 - 2 - 3.2.2.1.3.0.0.0.2201026.32210 - 25</t>
  </si>
  <si>
    <t>1404 - 2 - 3.2.2.1.3.0.0.0.2201026.38350 - 25</t>
  </si>
  <si>
    <t>1404 - 2 - 3.2.2.1.3.0.0.0.2201026.38440 - 25</t>
  </si>
  <si>
    <t>1404 - 2 - 3.2.2.1.3.0.0.0.2201026.38590 - 25</t>
  </si>
  <si>
    <t>0314 - 2 - 3.2.2.1.3.0.0.0.2201026.32210 - 20</t>
  </si>
  <si>
    <t>0314 - 2 - 3.2.2.1.3.0.0.0.2201026.38350 - 20</t>
  </si>
  <si>
    <t>0314 - 2 - 3.2.2.1.3.0.0.0.2201026.38440 - 20</t>
  </si>
  <si>
    <t>0314 - 2 - 3.2.2.1.3.0.0.0.2201026.38590 - 20</t>
  </si>
  <si>
    <t>Servicio de fortalecimiento a las capacidades de los docentes de educación inicial, preescolar, básica y media</t>
  </si>
  <si>
    <t>Docentes de educación inicial, preescolar, básica y media beneficiados con estrategias de mejoramiento de sus capacidades</t>
  </si>
  <si>
    <t>Docentes y agentes educativos beneficiarios de Servicio de fortalecimiento a sus capacidades de acuerdo a los referentes nacionales</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</si>
  <si>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</si>
  <si>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0314 - 2 - 3.2.2.2.9.0.0.0.22010741.92102 - 20</t>
  </si>
  <si>
    <t>0314 - 2 - 3.2.2.2.9.0.0.0.22010741.92200 - 20</t>
  </si>
  <si>
    <t>0314 - 2 - 3.2.2.2.9.0.0.0.22010741.92310 - 20</t>
  </si>
  <si>
    <t>0314 - 2 - 3.2.2.2.9.0.0.0.22010741.92330 - 20</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</si>
  <si>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</si>
  <si>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</si>
  <si>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</si>
  <si>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0314 - 2 - 3.2.2.2.9.0.0.0.22010742.92102 - 20</t>
  </si>
  <si>
    <t>Servicio de articulación entre la educación media y en sector productivo.</t>
  </si>
  <si>
    <t xml:space="preserve">Programas y proyectos de educación pertinente articulados con el sector productivo </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</si>
  <si>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</si>
  <si>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</si>
  <si>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0314 - 2 - 3.2.2.2.9.0.0.0.2201035.92330 - 20</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</si>
  <si>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</si>
  <si>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</si>
  <si>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los Establecimientos Educativos Oficiales urbanos o rurales adscritos a la Secretaría de Educación Departamental.</t>
  </si>
  <si>
    <t>0314 - 2 - 3.2.2.2.9.0.0.0.2201046.92102 - 20</t>
  </si>
  <si>
    <t>0314 - 2 - 3.2.2.2.9.0.0.0.2201046.92200 - 20</t>
  </si>
  <si>
    <t>0314 - 2 - 3.2.2.2.9.0.0.0.2201046.92310 - 20</t>
  </si>
  <si>
    <t>0314 - 2 - 3.2.2.2.9.0.0.0.2201046.92330 - 20</t>
  </si>
  <si>
    <t>Servicio de fomento para la prevención de riesgos sociales en entornos escolares</t>
  </si>
  <si>
    <t>Entidades territoriales con estrategias para la prevención de riesgos sociales en los entornos escolares implementadas</t>
  </si>
  <si>
    <t>* Fortalecer las estrategias para la atención y prevención de riesgos sociales de los niños, niñas, adolescentes y jóvenes en los Establecimientos Educativos Oficiales urbanos o rurales del Departamento del Quindío.</t>
  </si>
  <si>
    <t>0314 - 2 - 3.2.2.2.9.0.0.0.2201054.92102 - 20</t>
  </si>
  <si>
    <t>0314 - 2 - 3.2.2.2.9.0.0.0.2201054.92200 - 20</t>
  </si>
  <si>
    <t>0314 - 2 - 3.2.2.2.9.0.0.0.2201054.92310 - 20</t>
  </si>
  <si>
    <t>0314 - 2 - 3.2.2.2.9.0.0.0.2201054.92330 - 20</t>
  </si>
  <si>
    <t>Servicio de apoyo a proyectos pedagógicos productivos</t>
  </si>
  <si>
    <t>Proyectos apoyados</t>
  </si>
  <si>
    <t>* Fortalecimiento de proyectos pedagógicos productivos de los Establecimientos Educativos Oficiales urbanos o rurales adscritos a la Secretaría de Educación Departamental.</t>
  </si>
  <si>
    <t>0314 - 2 - 3.2.2.2.9.0.0.0.2201061.92330 - 20</t>
  </si>
  <si>
    <t>Servicio de orientación vocacional</t>
  </si>
  <si>
    <t>Estudiantes vinculados a procesos de orientación vocacional</t>
  </si>
  <si>
    <t>* Fortalecimiento e implementación de estrategias que permitan identificar las posibles orientaciones vocacionales de los estudiantes para el ingreso a la educacion técnica, tecnológica, profesional ó su vida laboral.</t>
  </si>
  <si>
    <t>0314 - 2 - 3.2.2.2.9.0.0.0.2201066.92330 - 20</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</si>
  <si>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</si>
  <si>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</si>
  <si>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</si>
  <si>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</si>
  <si>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</si>
  <si>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</si>
  <si>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</si>
  <si>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0314 - 2 - 3.2.2.2.9.0.0.0.2201050.92102 - 20</t>
  </si>
  <si>
    <t>0314 - 2 - 3.2.2.2.9.0.0.0.2201050.92200 - 20</t>
  </si>
  <si>
    <t>0314 - 2 - 3.2.2.2.9.0.0.0.2201050.92310 - 20</t>
  </si>
  <si>
    <t>0314 - 2 - 3.2.2.2.9.0.0.0.2201050.92330 - 20</t>
  </si>
  <si>
    <t>Establecimientos educativos conectados a internet</t>
  </si>
  <si>
    <t>* Fortalecimiento de los servicios de conectividad de los Establecimientos Educativos Oficiales urbanos o rurales adscritos a la Secretaría de Educación Departamental.</t>
  </si>
  <si>
    <t>1404 - 2 - 3.2.2.2.9.0.0.0.2201050.92102 - 25</t>
  </si>
  <si>
    <t>1404 - 2 - 3.2.2.2.9.0.0.0.2201050.92200 - 25</t>
  </si>
  <si>
    <t>1404 - 2 - 3.2.2.2.9.0.0.0.2201050.92310 - 25</t>
  </si>
  <si>
    <t>1404 - 2 - 3.2.2.2.9.0.0.0.2201050.92330 - 25</t>
  </si>
  <si>
    <t>Documento para la planeación estratégica en TI</t>
  </si>
  <si>
    <t>Planes de Mejoramiento de los sistemas de información de las secretarías de educación implementados</t>
  </si>
  <si>
    <t>Documentos de planeación para la educación inicial, preescolar, básica y media emitidos</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</si>
  <si>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</si>
  <si>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</si>
  <si>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0314 - 2 - 3.2.2.2.9.0.0.0.22010011.92102 - 20</t>
  </si>
  <si>
    <t>0314 - 2 - 3.2.2.2.9.0.0.0.22010011.92200 - 20</t>
  </si>
  <si>
    <t>0314 - 2 - 3.2.2.2.9.0.0.0.22010011.92310 - 20</t>
  </si>
  <si>
    <t>0314 - 2 - 3.2.2.2.9.0.0.0.22010011.92330 - 20</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</si>
  <si>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</si>
  <si>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</si>
  <si>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</si>
  <si>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</si>
  <si>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0314 - 2 - 3.2.2.2.9.0.0.0.22010012.92102 - 20</t>
  </si>
  <si>
    <t>0314 - 2 - 3.2.2.2.9.0.0.0.22010012.92200 - 20</t>
  </si>
  <si>
    <t>0314 - 2 - 3.2.2.2.9.0.0.0.22010012.92310 - 20</t>
  </si>
  <si>
    <t>0314 - 2 - 3.2.2.2.9.0.0.0.22010012.92330 - 20</t>
  </si>
  <si>
    <t>Servicios de información en materia educativa</t>
  </si>
  <si>
    <t>Observatorio implementado</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</si>
  <si>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</si>
  <si>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</si>
  <si>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0314 - 2 - 3.2.2.2.9.0.0.0.2201048.92102 - 20</t>
  </si>
  <si>
    <t>0314 - 2 - 3.2.2.2.9.0.0.0.2201048.92200 - 20</t>
  </si>
  <si>
    <t>0314 - 2 - 3.2.2.2.9.0.0.0.2201048.92310 - 20</t>
  </si>
  <si>
    <t>0314 - 2 - 3.2.2.2.9.0.0.0.2201048.92330 - 20</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</si>
  <si>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</si>
  <si>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</si>
  <si>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</si>
  <si>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</si>
  <si>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</si>
  <si>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</si>
  <si>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</si>
  <si>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0314 - 2 - 3.2.2.2.9.0.0.0.22010341.92102 - 20</t>
  </si>
  <si>
    <t>0314 - 2 - 3.2.2.2.9.0.0.0.22010341.92200 - 20</t>
  </si>
  <si>
    <t>0314 - 2 - 3.2.2.2.9.0.0.0.22010341.92310 - 20</t>
  </si>
  <si>
    <t>0314 - 2 - 3.2.2.2.9.0.0.0.22010341.92330 - 20</t>
  </si>
  <si>
    <t>Servicios educativos de promoción del bilingüismo</t>
  </si>
  <si>
    <t>Instituciones educativas fortalecidas en competencias comunicativas en un segundo idioma</t>
  </si>
  <si>
    <t>* Fortalecimiento de estrategias que permitan la promoción del bilingüismo en los Establecimientos Educativos Oficiales urbanos o rurales adscritos a la Secretaría de Educación Departamental.</t>
  </si>
  <si>
    <t>0314 - 2 - 3.2.2.2.9.0.0.0.22010342.92102 - 20</t>
  </si>
  <si>
    <t>0314 - 2 - 3.2.2.2.9.0.0.0.22010342.92200 - 20</t>
  </si>
  <si>
    <t>0314 - 2 - 3.2.2.2.9.0.0.0.22010342.92310 - 20</t>
  </si>
  <si>
    <t>0314 - 2 - 3.2.2.2.9.0.0.0.22010342.92330 - 20</t>
  </si>
  <si>
    <t>Servicio educativo de promoción del bilingüismo para docentes</t>
  </si>
  <si>
    <t>Docentes beneficiados con estrategias de promoción del bilingüismo</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</si>
  <si>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</si>
  <si>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0314 - 2 - 3.2.2.2.9.0.0.0.2201060.92102 - 20</t>
  </si>
  <si>
    <t>0314 - 2 - 3.2.2.2.9.0.0.0.2201060.92200 - 20</t>
  </si>
  <si>
    <t>0314 - 2 - 3.2.2.2.9.0.0.0.2201060.92310 - 20</t>
  </si>
  <si>
    <t>0314 - 2 - 3.2.2.2.9.0.0.0.2201060.92330 - 20</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</si>
  <si>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</si>
  <si>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</si>
  <si>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</si>
  <si>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</si>
  <si>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</si>
  <si>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</si>
  <si>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</si>
  <si>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0314 - 2 - 3.2.2.2.9.0.0.0.2201006.92102 - 20</t>
  </si>
  <si>
    <t>0314 - 2 - 3.2.2.2.9.0.0.0.2201006.92200 - 20</t>
  </si>
  <si>
    <t>0314 - 2 - 3.2.2.2.9.0.0.0.2201006.92310 - 20</t>
  </si>
  <si>
    <t>0314 - 2 - 3.2.2.2.9.0.0.0.2201006.92330 - 20</t>
  </si>
  <si>
    <t>Servicio de monitoreo y seguimiento a la gestión del sector educativo</t>
  </si>
  <si>
    <t>Entidades territoriales con seguimiento y evaluación a la gestión.</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</si>
  <si>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</si>
  <si>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</si>
  <si>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0314 - 2 - 3.2.2.2.9.0.0.0.2201015.92102 - 20</t>
  </si>
  <si>
    <t>0314 - 2 - 3.2.2.2.9.0.0.0.2201015.92200 - 20</t>
  </si>
  <si>
    <t>0314 - 2 - 3.2.2.2.9.0.0.0.2201015.92310 - 20</t>
  </si>
  <si>
    <t>0314 - 2 - 3.2.2.2.9.0.0.0.2201015.92330 - 20</t>
  </si>
  <si>
    <t>Servicios de atención psicosocial a estudiantes y docentes</t>
  </si>
  <si>
    <t xml:space="preserve">Personas atendidas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</si>
  <si>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</si>
  <si>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</si>
  <si>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0314 - 2 - 3.2.2.2.9.0.0.0.2201042.92102 - 20</t>
  </si>
  <si>
    <t>0314 - 2 - 3.2.2.2.9.0.0.0.2201042.92200 - 20</t>
  </si>
  <si>
    <t>0314 - 2 - 3.2.2.2.9.0.0.0.2201042.92310 - 20</t>
  </si>
  <si>
    <t>0314 - 2 - 3.2.2.2.9.0.0.0.2201042.92330 - 20</t>
  </si>
  <si>
    <t>2201071</t>
  </si>
  <si>
    <t>Servicio Educativo</t>
  </si>
  <si>
    <t>220107100</t>
  </si>
  <si>
    <t>Establecimientos educativos en operación</t>
  </si>
  <si>
    <t>54</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</si>
  <si>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</si>
  <si>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1401 - 2 - 3.1.1.1.1.1.0.0.2201071.91121 - 25</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</si>
  <si>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</si>
  <si>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</si>
  <si>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</si>
  <si>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</si>
  <si>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</si>
  <si>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</si>
  <si>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</si>
  <si>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</si>
  <si>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</si>
  <si>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</si>
  <si>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</si>
  <si>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</si>
  <si>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</si>
  <si>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</si>
  <si>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</si>
  <si>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</si>
  <si>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</si>
  <si>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</si>
  <si>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</si>
  <si>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</si>
  <si>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</si>
  <si>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</si>
  <si>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</si>
  <si>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</si>
  <si>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</si>
  <si>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</si>
  <si>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1402 - 2 - 3.1.1.2.4.0.0.0.2201071.91121 - 25</t>
  </si>
  <si>
    <t>1402 - 2 - 3.1.1.2.6.0.0.0.2201071.91121 - 25</t>
  </si>
  <si>
    <t>1402 - 2 - 3.1.1.2.7.0.0.0.2201071.91121 - 25</t>
  </si>
  <si>
    <t>1402 - 2 - 3.1.1.2.8.0.0.0.2201071.91121 - 25</t>
  </si>
  <si>
    <t>1402 - 2 - 3.1.1.2.9.0.0.0.2201071.91121 - 25</t>
  </si>
  <si>
    <t>1402 - 2 - 3.2.2.1.3.0.0.0.2201071.91121 - 25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</si>
  <si>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</si>
  <si>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</si>
  <si>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</si>
  <si>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</si>
  <si>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</si>
  <si>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</si>
  <si>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</si>
  <si>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</si>
  <si>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</si>
  <si>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</si>
  <si>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</si>
  <si>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</si>
  <si>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</si>
  <si>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</si>
  <si>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</si>
  <si>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1402 - 2 - 3.1.1.1.1.1.0.0.2201071.91121 - 26</t>
  </si>
  <si>
    <t>Sistema General de Participación Educación</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</si>
  <si>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</si>
  <si>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</si>
  <si>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</si>
  <si>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</si>
  <si>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</si>
  <si>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</si>
  <si>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</si>
  <si>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</si>
  <si>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Superávit SGP Educación</t>
  </si>
  <si>
    <t>0314 - 2 - 3.2.2.2.9.0.0.0.2201071.91121 - 91</t>
  </si>
  <si>
    <t>Superávit Monopolio</t>
  </si>
  <si>
    <t>0314 - 2 - 3.2.2.2.9.0.0.0.2201071.91121 - 20</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</si>
  <si>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</si>
  <si>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1400 - 2 - 3.1.1.1.1.1.0.0.2201071.91121 - 25</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</si>
  <si>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</si>
  <si>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</si>
  <si>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</si>
  <si>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</si>
  <si>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</si>
  <si>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</si>
  <si>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</si>
  <si>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</si>
  <si>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</si>
  <si>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</si>
  <si>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</si>
  <si>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</si>
  <si>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</si>
  <si>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</si>
  <si>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</si>
  <si>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</si>
  <si>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</si>
  <si>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</si>
  <si>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</si>
  <si>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</si>
  <si>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1400 - 2 - 3.2.2.1.3.0.0.0.2201071.35130 - 188</t>
  </si>
  <si>
    <t>Exigibles SGP</t>
  </si>
  <si>
    <t>Prestación del Servicio de Aseo y Vigilancia para las Establecimientos Educativos Oficiales del Departamento del Quindío.</t>
  </si>
  <si>
    <t>0314 - 2 - 3.2.2.2.9.0.0.0.2201071.92102 - 35</t>
  </si>
  <si>
    <t>Monopolio</t>
  </si>
  <si>
    <t>0314 - 2 - 3.2.2.2.9.0.0.0.2201071.92200 - 35</t>
  </si>
  <si>
    <t>0314 - 2 - 3.2.2.2.9.0.0.0.2201071.92310 - 35</t>
  </si>
  <si>
    <t>0314 - 2 - 3.2.2.2.9.0.0.0.2201071.92330 - 35</t>
  </si>
  <si>
    <t>0314 - 2 - 3.2.2.2.9.0.0.0.2201071.92200 - 91</t>
  </si>
  <si>
    <t>0314 - 2 - 3.2.2.2.9.0.0.0.2201071.92102 - 20</t>
  </si>
  <si>
    <t>0314 - 2 - 3.2.2.2.9.0.0.0.2201071.92200 - 20</t>
  </si>
  <si>
    <t>0314 - 2 - 3.2.2.2.9.0.0.0.2201071.92310 - 20</t>
  </si>
  <si>
    <t>0314 - 2 - 3.2.2.2.9.0.0.0.2201071.92330 - 20</t>
  </si>
  <si>
    <t>0314 - 2 - 3.2.2.2.9.0.0.0.2201071.92200 - 88</t>
  </si>
  <si>
    <t>0314 - 2 - 3.2.2.2.9.0.0.0.2201071.92102 - 88</t>
  </si>
  <si>
    <t>0314 - 2 - 3.2.2.2.9.0.0.0.2201071.92310 - 88</t>
  </si>
  <si>
    <t>0314 - 2 - 3.2.2.2.9.0.0.0.2201071.92330 - 88</t>
  </si>
  <si>
    <t>Adquisición de bienes y servicios relacionados con bioseguridad, elementos de protección personal, adecuaciones y acciones necesarias para cumplir con las medidas de bioseguridad entre otros para el regreso gradual, progresivo y seguro a la presencialidad en los establecimientos educativos bajo la implementación del esquema de alternancia.</t>
  </si>
  <si>
    <t>1404 - 2 - 3.2.2.2.9.0.0.0.2201071.92102 - 187</t>
  </si>
  <si>
    <t xml:space="preserve">Superávit transferencia de la nación FOME </t>
  </si>
  <si>
    <t>1404 - 2 - 3.2.2.2.9.0.0.0.2201071.92200 - 187</t>
  </si>
  <si>
    <t>1404 - 2 - 3.2.2.2.9.0.0.0.2201071.92310 - 187</t>
  </si>
  <si>
    <t>1404 - 2 - 3.2.2.2.9.0.0.0.2201071.92330 - 187</t>
  </si>
  <si>
    <t>Transferencias de la nación FOME</t>
  </si>
  <si>
    <t>Calidad y fomento de la Educación "Tu y yo preparados para la educación superior"</t>
  </si>
  <si>
    <t>Servicio de apoyo para el acceso y la permanencia a la educación superior o terciaria</t>
  </si>
  <si>
    <t>2202006</t>
  </si>
  <si>
    <t>Estrategias o programas de  fomento para  acceso y  permanencia a la educación superior o terciaria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</si>
  <si>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</si>
  <si>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</si>
  <si>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</si>
  <si>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</si>
  <si>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</si>
  <si>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0314 - 2 - 3.2.2.2.9.0.0.0.2202006.92330 - 20</t>
  </si>
  <si>
    <t>0314 - 2 - 3.2.2.2.9.0.0.0.2202006.92330 - 91</t>
  </si>
  <si>
    <t>Superávit Monopolo</t>
  </si>
  <si>
    <t>0314 - 2 - 3.2.2.2.9.0.0.0.2202006.92330 - 88</t>
  </si>
  <si>
    <t>Generación de una cultura qué valora y gestiona en conocimiento y la innovación</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</si>
  <si>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</si>
  <si>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</si>
  <si>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</si>
  <si>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</si>
  <si>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</si>
  <si>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</si>
  <si>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</si>
  <si>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0314 - 2 - 3.2.2.2.9.0.0.0.3904006.92310 - 20</t>
  </si>
  <si>
    <t>0314 - 2 - 3.2.2.2.9.0.0.0.3904006.92330 - 20</t>
  </si>
  <si>
    <t>Marzo 11 de 2020</t>
  </si>
  <si>
    <t>PLAN DE DESARROLLO DEPARTAMENTAL:  "TÚ Y YO SOMOS QUINDÍO"</t>
  </si>
  <si>
    <t>Mujer</t>
  </si>
  <si>
    <t xml:space="preserve">Hombre </t>
  </si>
  <si>
    <t>Promoción al acceso a la justicia."Tú y yo con justicia"</t>
  </si>
  <si>
    <t>Servicio de asistencia técnica para la articulación de los operadores de los Servicios de justicia</t>
  </si>
  <si>
    <t>202000363-0060</t>
  </si>
  <si>
    <t>Implementación  de acciones con los Entes Municipales, para la reducción de los delitos en el Departamento del Quindio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</si>
  <si>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</si>
  <si>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</si>
  <si>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</si>
  <si>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0309 - 2 - 3.2.2.2.9.0.0.0.12020041.91119 - 20</t>
  </si>
  <si>
    <t xml:space="preserve">Secretario del Interior </t>
  </si>
  <si>
    <t>0309 - 2 - 3.2.2.2.9.0.0.0.12020041.91119 - 88</t>
  </si>
  <si>
    <t xml:space="preserve">Superavit recurso ordinario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</si>
  <si>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</si>
  <si>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</si>
  <si>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</si>
  <si>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0309 - 2 - 3.2.2.2.6.0.0.0.12020042.63391 - 20</t>
  </si>
  <si>
    <t>Servicios de material impresos, publicaciones y/o   comunicaciones de los programas de lasentidades estatales</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</si>
  <si>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</si>
  <si>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</si>
  <si>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</si>
  <si>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</si>
  <si>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</si>
  <si>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</si>
  <si>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</si>
  <si>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</si>
  <si>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</si>
  <si>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</si>
  <si>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0309 - 2 - 3.2.2.2.9.0.0.0.1203002.91119 - 20</t>
  </si>
  <si>
    <t>Secretario del Interior</t>
  </si>
  <si>
    <t>0309 - 2 - 3.2.2.2.9.0.0.0.1203002.91119 - 88</t>
  </si>
  <si>
    <t>Servicios de apoyo psicosocial para resolucion de conflictos</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</si>
  <si>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</si>
  <si>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</si>
  <si>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</si>
  <si>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</si>
  <si>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</si>
  <si>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</si>
  <si>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</si>
  <si>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</si>
  <si>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0309 - 2 - 3.2.2.2.9.0.0.0.1206005.91119 - 20</t>
  </si>
  <si>
    <t>Programas de fortalecimiento del Sistema de Responsabilidad Penal para adolescentes</t>
  </si>
  <si>
    <t>0309 - 2 - 3.2.2.1.3.0.0.0.1206005.32690 - 20</t>
  </si>
  <si>
    <t>0309 - 2 - 3.2.2.2.6.0.0.0.1206005.63391 - 20</t>
  </si>
  <si>
    <t>Logistica operativa (alimentación, material impreso, otros)</t>
  </si>
  <si>
    <t xml:space="preserve">202000363-0063
</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</si>
  <si>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</si>
  <si>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</si>
  <si>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Generar conocimientos sobre los planes escolares de gestión del riesgo de desastres en las instituciones educativas</t>
  </si>
  <si>
    <t>Actualizacion de los planes escolares de gestion del riesgo</t>
  </si>
  <si>
    <t>0309 - 2 - 3.2.2.2.9.0.0.0.2201068.91119 - 20</t>
  </si>
  <si>
    <t>0309 - 2 - 3.2.2.2.9.0.0.0.2201068.91119 - 88</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</si>
  <si>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</si>
  <si>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</si>
  <si>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</si>
  <si>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</si>
  <si>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</si>
  <si>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</si>
  <si>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</si>
  <si>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</si>
  <si>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</si>
  <si>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</si>
  <si>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</si>
  <si>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0309 - 2 - 3.2.2.2.9.0.0.0.4101023.91119 - 20</t>
  </si>
  <si>
    <t xml:space="preserve">Secretarío del Interior </t>
  </si>
  <si>
    <t>0309 - 2 - 3.2.2.2.9.0.0.0.4101023.91119 - 88</t>
  </si>
  <si>
    <t>Apoyo a la educacion  de las victimas del conflicto</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</si>
  <si>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</si>
  <si>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</si>
  <si>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0309 - 2 - 3.2.2.2.6.0.0.0.4101023.63391 - 20</t>
  </si>
  <si>
    <t>0309 - 2 - 3.2.2.2.6.0.0.0.4101023.63391 - 88</t>
  </si>
  <si>
    <t>Realizar jornadas de prevencion a vulneraciones de DDHH y DIH a victimas en los 12 municipios del Departamento</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</si>
  <si>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</si>
  <si>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</si>
  <si>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</si>
  <si>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0309 - 2 - 3.2.2.1.3.0.0.0.4101023.32690 - 20</t>
  </si>
  <si>
    <t>0309 - 2 - 3.2.2.1.9.0.0.0.4101023.91119 - 88</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</si>
  <si>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</si>
  <si>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</si>
  <si>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</si>
  <si>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</si>
  <si>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</si>
  <si>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0309 - 2 - 3.2.2.2.9.0.0.0.4101025.91119 - 20</t>
  </si>
  <si>
    <t>0309 - 2 - 3.2.2.2.9.0.0.0.4101025.91119 - 88</t>
  </si>
  <si>
    <t xml:space="preserve">Apoyar los procesos de retorno y reubicación de las victimas del conflicto armado, en caso de ser requerido </t>
  </si>
  <si>
    <t>Logística y/o refrigerios</t>
  </si>
  <si>
    <t>Seguimiento a implementación  de la Herramienta de Gestión Local en los 12 municipios del Departamento</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</si>
  <si>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</si>
  <si>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</si>
  <si>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</si>
  <si>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</si>
  <si>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0309 - 2 - 3.2.2.2.9.0.0.0.4101038.91119 - 20</t>
  </si>
  <si>
    <t>Garantias para Sesiones plenario mesa departamental de  victimas</t>
  </si>
  <si>
    <t xml:space="preserve">Apoyo al Plan de Trabajo de la mesa Departamental de Victimas </t>
  </si>
  <si>
    <t>0309 - 2 - 3.2.2.1.3.0.0.0.4101038.32690 - 20</t>
  </si>
  <si>
    <t>0309 - 2 - 3.2.2.2.6.0.0.0.4101038.63391 - 20</t>
  </si>
  <si>
    <t>0309 - 2 - 3.2.2.2.6.0.0.0.4101038.91119 - 88</t>
  </si>
  <si>
    <t xml:space="preserve">Procesos de articulación asistencia y atención a los municipios y su población víctima Sesiones de Comites y Subcomites </t>
  </si>
  <si>
    <t>0309 - 2 - 3.2.2.2.9.0.0.0.4101038.91119 - 88</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</si>
  <si>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</si>
  <si>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</si>
  <si>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</si>
  <si>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</si>
  <si>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</si>
  <si>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0309 - 2 - 3.5.1.4.0.0.0.0.4101073.44516 - 20</t>
  </si>
  <si>
    <t>0309 - 2 - 3.5.1.4.0.0.0.0.4101073.44198 - 88</t>
  </si>
  <si>
    <t>0309 - 2 - 3.5.1.4.0.0.0.0.4101073.44198 - 20</t>
  </si>
  <si>
    <t>0309 - 2 - 3.5.1.4.0.0.0.0.4101073.44516 - 88</t>
  </si>
  <si>
    <t>0309 - 2 - 3.5.1.4.0.0.0.0.4101073.44611 - 88</t>
  </si>
  <si>
    <t>0309 - 2 - 3.5.1.4.0.0.0.0.4101073.44611 - 20</t>
  </si>
  <si>
    <t>Servicio de asistencia técnica para la realización de iniciativas de memoria histórica</t>
  </si>
  <si>
    <t>Iniciativas de memoria histórica asistidas técnicamente</t>
  </si>
  <si>
    <t xml:space="preserve">Establecer planes para generr oportunidades para beneficiar a las victimas </t>
  </si>
  <si>
    <t xml:space="preserve">Apoyo a iniciativas que aportan a la memoria historica del departamento </t>
  </si>
  <si>
    <t>0309 - 2 - 3.2.2.1.3.0.0.0.4101011.32690 - 20</t>
  </si>
  <si>
    <t>0309 - 2 - 3.2.2.2.9.0.0.0.4101011.91119 - 88</t>
  </si>
  <si>
    <t>Conmemoracion de fechas de memoria Historica dentro del ambito de la Ley de victimas y restitucion de tierras</t>
  </si>
  <si>
    <t>0309 - 2 - 3.2.2.2.9.0.0.0.4101011.91119 - 20</t>
  </si>
  <si>
    <t>0309 - 2 - 3.2.2.2.6.0.0.0.4101011.63391 - 20</t>
  </si>
  <si>
    <t>Apoyo a municipios priorizados para reparacion colectiva.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</si>
  <si>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</si>
  <si>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</si>
  <si>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</si>
  <si>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</si>
  <si>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</si>
  <si>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Aumentar la cobertura de la población excombatiente atendida con procesos de atención y asistencia en el departamento del Quindío. </t>
  </si>
  <si>
    <t xml:space="preserve">1.Brindar atención a excombatientes del Departamento del Quindío                 2.Brindar capacitación a los excombatientes del
Departamento del Quindío
</t>
  </si>
  <si>
    <t>Atención y asistencia a la poblacion excombatiente del depto</t>
  </si>
  <si>
    <t>0309 - 2 - 3.2.2.1.3.0.0.0.41030522.32690 - 20</t>
  </si>
  <si>
    <t>0309 - 2 - 3.2.1.1.3.2.1.0.41030522.44198 - 20</t>
  </si>
  <si>
    <t>0309 - 2 - 3.2.2.2.9.0.0.0.41030522.91119 - 88</t>
  </si>
  <si>
    <t>Apoyo a la productividad de la poblacion excombatiente</t>
  </si>
  <si>
    <t>0309 - 2 - 3.2.2.2.9.0.0.0.41030522.91119 - 20</t>
  </si>
  <si>
    <t>0309 - 2 - 3.2.2.2.9.0.0.0.41030522.88901 - 20</t>
  </si>
  <si>
    <t>0309 - 2 - 3.2.2.1.4.0.0.0.41030522.44198 - 88</t>
  </si>
  <si>
    <t>0309 - 2 - 3.2.2.1.4.0.0.0.41030522.44611 - 88</t>
  </si>
  <si>
    <t>Jornadas de reconciliacion de la poblacion excombatiente de la sociedad del depto</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</si>
  <si>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</si>
  <si>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</si>
  <si>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</si>
  <si>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</si>
  <si>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 xml:space="preserve">Proyectos de convivencia y seguridad ciudadana apoyados financieramente </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</si>
  <si>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</si>
  <si>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</si>
  <si>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</si>
  <si>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</si>
  <si>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</si>
  <si>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0309 - 2 - 3.2.1.1.3.7.1.0.4501029.49119 - 42</t>
  </si>
  <si>
    <t>FONDO DE SEGURIDAD 5%</t>
  </si>
  <si>
    <t>0309 - 2 - 3.2.1.1.3.7.1.0.4501029.49119 - 92</t>
  </si>
  <si>
    <t>SUPERÁVIT FONDO DE SEGURIDAD CIUDADANA</t>
  </si>
  <si>
    <t>Suministro de combustible</t>
  </si>
  <si>
    <t>0309 - 2 - 3.2.2.1.3.0.0.0.4501029.33311 - 42</t>
  </si>
  <si>
    <t>Servicios de apoyo en procesos tecnológicos de seguridad en el departamento</t>
  </si>
  <si>
    <t>0309 - 2 - 3.2.2.2.9.0.0.0.4501029.91134 - 42</t>
  </si>
  <si>
    <t>0309 - 2 - 3.2.2.2.9.0.0.0.4501029.91134 - 92</t>
  </si>
  <si>
    <t>Servicios de apoyo para los procesos de adquisición de bienes y servicios con cargo a los organismos de seguridad del departamento</t>
  </si>
  <si>
    <t>0309 - 2 - 3.2.2.2.9.0.0.0.4501029.91119 - 42</t>
  </si>
  <si>
    <t>Servicios de orden social,  Control y Fiscalización de Sustancias Químicas y Estupefacientes en el departamento</t>
  </si>
  <si>
    <t>Pago fuentes humanas</t>
  </si>
  <si>
    <t>Adquisición de bienes y suministro, para material de intendencia y logística</t>
  </si>
  <si>
    <t>0309 - 2 - 3.2.2.1.3.0.0.0.4501029.32690 - 42</t>
  </si>
  <si>
    <t>Suminstro de Alimentación</t>
  </si>
  <si>
    <t>0309 - 2 - 3.2.2.2.6.0.0.0.4501029.63391 - 42</t>
  </si>
  <si>
    <t>Servicios de apoyo en estudios financieros y ecónomicos de los diferentes procesos para los organismos de seguridad</t>
  </si>
  <si>
    <t xml:space="preserve">Prestación de Servicios y/o suministro de logística, material de intendencia o demás programas y/o estrategias relacionados con los organismos de seguridad </t>
  </si>
  <si>
    <t>Financiación del proyecto de tecnología en seguridad</t>
  </si>
  <si>
    <t xml:space="preserve">Construcción, refacción y/o adecuación de guerniciones militares, estaciones de policía, centros carcelarios y/o centros transitorios de reclusión </t>
  </si>
  <si>
    <t>0309 - 2 - 3.2.2.2.9.0.0.0.4501029.91119 - 92</t>
  </si>
  <si>
    <t>Seuperavit Fondo de seguridad 5%</t>
  </si>
  <si>
    <t>Servicio de asistencia tecnica</t>
  </si>
  <si>
    <t>Instancias territoriales de coordinación institucional asistidas y apoyadas</t>
  </si>
  <si>
    <t>202000363-0068</t>
  </si>
  <si>
    <t xml:space="preserve">Fortalecimiento institucional de la entidades municipales para la cosolidación de la convivencia, el orden público  y la seguridad ciudadana  en el departamento del Quindío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</si>
  <si>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</si>
  <si>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</si>
  <si>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0309 - 2 - 3.2.2.2.9.0.0.0.4501001.91119 - 20</t>
  </si>
  <si>
    <t>0309 - 2 - 3.2.2.2.9.0.0.0.4501001.91119 - 88</t>
  </si>
  <si>
    <t>Servicios promocionales y publicitarios de promocion de la convivencia y seguridad ciudadana</t>
  </si>
  <si>
    <t>0309 - 2 - 3.2.2.2.6.0.0.0.4501001.63391 - 20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</si>
  <si>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</si>
  <si>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</si>
  <si>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</si>
  <si>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</si>
  <si>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</si>
  <si>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</si>
  <si>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</si>
  <si>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0309 - 2 - 3.2.2.2.9.0.0.0.3205002.91119 - 20</t>
  </si>
  <si>
    <t>0309 - 2 - 3.2.2.2.9.0.0.0.3205002.91119 - 88</t>
  </si>
  <si>
    <t>Elaboracion de informe que recopile  las areas vulnerables  identificadas en las visitas tecnicas realizadas</t>
  </si>
  <si>
    <t>Gestión del riesgo de desastres y emergencias."Tú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</si>
  <si>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</si>
  <si>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</si>
  <si>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</si>
  <si>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</si>
  <si>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</si>
  <si>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</si>
  <si>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0309 - 2 - 3.2.2.2.9.0.0.0.4503002.91119 - 20</t>
  </si>
  <si>
    <t>0309 - 2 - 3.2.2.2.9.0.0.0.4503002.91119 - 88</t>
  </si>
  <si>
    <t>Impresos y material didactico</t>
  </si>
  <si>
    <t>0309 - 2 - 3.2.2.1.3.0.0.0.4503002.32690 - 88</t>
  </si>
  <si>
    <t>Logistica y refrigerios para la organización de foros, talleres, eventos y/o actividades</t>
  </si>
  <si>
    <t>0309 - 2 - 3.2.2.2.6.0.0.0.4503002.63391 - 20</t>
  </si>
  <si>
    <t>0309 - 2 - 3.2.2.2.6.0.0.0.4503002.63391 - 88</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</si>
  <si>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</si>
  <si>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</si>
  <si>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</si>
  <si>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0309 - 2 - 3.2.1.1.3.5.2.0.4503003.47223 - 20</t>
  </si>
  <si>
    <t>0309 - 2 - 3.2.2.2.8.0.0.0.4503002.87155 - 88</t>
  </si>
  <si>
    <t>Apoyo en formación y capacitación de gestión del riesgo de desastres</t>
  </si>
  <si>
    <t>0309 - 2 - 3.2.2.2.9.0.0.0.4503003.91119 - 88</t>
  </si>
  <si>
    <t>Servicios para la Atención a PQRS y para el desarrollo de actividades y procesos de gestion del riesgo</t>
  </si>
  <si>
    <t>0309 - 2 - 3.2.2.2.9.0.0.0.4503003.91119 - 20</t>
  </si>
  <si>
    <t>0309 - 2 - 3.2.2.2.6.0.0.0.4503003.64112 - 20</t>
  </si>
  <si>
    <t>0309 - 2 - 3.2.2.2.6.0.0.0.453003.9119 - 20</t>
  </si>
  <si>
    <t>Formacion y capacitacion en Gestión del Riesgo de Desastres al Sistema Departamental de Gestion del Riesgo de Desastres</t>
  </si>
  <si>
    <t>Apoyo y fortalecimiento a los Consejos Municipales de Gestión del Riesgo</t>
  </si>
  <si>
    <t>0309 - 2 - 3.2.2.2.7.0.0.0.4503003.72252 - 20</t>
  </si>
  <si>
    <t>0309 - 2 - 3.2.2.1.4.0.0.0.4503003.45221- 88</t>
  </si>
  <si>
    <t>0309 - 2 - 3.2.1.1.3.5.2.0.4503003.47223 - 88</t>
  </si>
  <si>
    <t>0309 - 2 - 3.2.2.1.3.0.0.0.4503003.33370 - 88</t>
  </si>
  <si>
    <t>Servicio de Transporte Terrestre</t>
  </si>
  <si>
    <t>0309 - 2 - 3.2.2.2.6.0.0.0.4503003.64112 - 88</t>
  </si>
  <si>
    <t>Apoyo y Fortalecimiento a las instituciones de socorro</t>
  </si>
  <si>
    <t>0309 - 2 - 3.2.2.2.8.0.0.0.4503003.86140 - 88</t>
  </si>
  <si>
    <t>ASuntos de orden público y seguridad</t>
  </si>
  <si>
    <t>0309 - 2 - 3.2.2.2.9.0.0.0.4503003.91290 - 88</t>
  </si>
  <si>
    <t>Apoyo con servicios de publicación y campañas de promocion para la difusion de los procesos de gestion del riesgo</t>
  </si>
  <si>
    <t>Apoyo y fortalecimiento al sistema de alertas tempranas en el departamento del QUindio</t>
  </si>
  <si>
    <t>0309 - 2 - 3.2.1.1.3.5.2.0.4503003.38999 - 20</t>
  </si>
  <si>
    <t>0309 - 2 - 3.2.2.1.4.0.0.0.4503003.46921 - 88</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</si>
  <si>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</si>
  <si>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</si>
  <si>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</si>
  <si>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</si>
  <si>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</si>
  <si>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 xml:space="preserve">Apoyo para la entrega de ayuda humanitaria </t>
  </si>
  <si>
    <t>0309 - 2 - 3.2.2.2.9.0.0.0.4503016.91119 - 20</t>
  </si>
  <si>
    <t>0309 - 2 - 3.2.2.1.3.0.0.0.4503016.32690 - 20</t>
  </si>
  <si>
    <t>0309 - 2 - 3.2.2.1.9.0.0.0.4503016.91290 - 20</t>
  </si>
  <si>
    <t>0309 - 2 - 3.2.2.2.9.0.0.0.4503016.91119 - 88</t>
  </si>
  <si>
    <t>Suministro de Ayuda  Humanitaria</t>
  </si>
  <si>
    <t>0309 - 2 - 3.2.2.2.9.0.0.0.4503016.91290 - 88</t>
  </si>
  <si>
    <t>Medidas implementadas en cumplimiento de las obligaciones internacionales en materia de Derechos Humanos y Derecho Internacional Humanitario</t>
  </si>
  <si>
    <t>202000363-0067</t>
  </si>
  <si>
    <t>Aumentar la cobertura de asistencia a los municipios del departamento de Quindío en los procesos de la garantía y prevención de derechos humanos a través de la actualización, imlementación y socialización en Plan Integral para la prevención a la vulneración de los DDHH.</t>
  </si>
  <si>
    <t>Promocionar y orientar a las personas del departamento en la apropiación de la paz en el territorio.</t>
  </si>
  <si>
    <t>Papeleria impresa</t>
  </si>
  <si>
    <t>0309 - 2 - 3.2.2.1.3.0.0.0.4502024.32690 - 20</t>
  </si>
  <si>
    <t>Secretario del Interiorr</t>
  </si>
  <si>
    <t>logistica y refrigerios</t>
  </si>
  <si>
    <t>0309 - 2 - 3.2.2.2.6.0.0.0.4502024.63391 - 20</t>
  </si>
  <si>
    <t xml:space="preserve">Actualización e implementación del plan integral de prevención de vulneración de DDHH  </t>
  </si>
  <si>
    <t>0309 - 2 - 3.2.2.2.9.0.0.0.4502024.91119 - 20</t>
  </si>
  <si>
    <t>0309 - 2 - 3.2.2.2.9.0.0.0.4502024.91119 - 88</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</si>
  <si>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</si>
  <si>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</si>
  <si>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</si>
  <si>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 xml:space="preserve">Jornadas de prevención del delito de trata de personas  en los 12 municipios del Departamento </t>
  </si>
  <si>
    <t>Ayuda Humanitaria para victimas de trata de personas</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</si>
  <si>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</si>
  <si>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</si>
  <si>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</si>
  <si>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</si>
  <si>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</si>
  <si>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</si>
  <si>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0309 - 2 - 3.2.2.2.9.0.0.0.45020016.91119 - 20</t>
  </si>
  <si>
    <t>0309 - 2 - 3.2.2.2.9.0.0.0.45020016.91119 - 88</t>
  </si>
  <si>
    <t>Servicios de apoyo a la operatividad del consejo de participación ciudadana</t>
  </si>
  <si>
    <t>0309 - 2 - 3.2.1.1.3.3.2.0.45020016.45221 - 20</t>
  </si>
  <si>
    <t xml:space="preserve">Celebración semana de participación </t>
  </si>
  <si>
    <t>0309 - 2 - 3.2.2.2.9.0.0.0.45020016.96290 - 20</t>
  </si>
  <si>
    <t>Apoyo en la realización de eventos para el  fortalecimiento a la participación ciudadana y control social</t>
  </si>
  <si>
    <t>Apoyar las Iniciativas para la promoción de la participación femenina en escenarios sociales y políticos implementada.</t>
  </si>
  <si>
    <t>Servicios de logistica, transporte, regrigerios y material impreso y de publicidad relacionado</t>
  </si>
  <si>
    <t>0309 - 2 - 3.2.2.1.3.0.0.0.45020016.32690 - 20</t>
  </si>
  <si>
    <t>0309 - 2 - 3.2.2.2.6.0.0.0.45020016.63391 - 20</t>
  </si>
  <si>
    <t>Servicios de Apoyo para eventos de formación y capacitación.</t>
  </si>
  <si>
    <t xml:space="preserve">Apoyo a estrategías y/o programas de promoción y fortalecimiento de la participación ciudadana </t>
  </si>
  <si>
    <t>0309 - 2 - 3.2.2.2.9.0.0.0.45020016.91119 -88</t>
  </si>
  <si>
    <t>Servicios de comunicación, publicación y difusion de los mecanismos de participacion</t>
  </si>
  <si>
    <t xml:space="preserve">Adquisición de equipos tecnológicos y/o muebles logísticos para el mejoramiento de la atención al ciudadano
</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</si>
  <si>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</si>
  <si>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</si>
  <si>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</si>
  <si>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</si>
  <si>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</si>
  <si>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0309 - 2 - 3.2.2.2.9.0.0.0.45020015.91119 - 20</t>
  </si>
  <si>
    <t>Desarrollar las actividades propias  de la implementación de la Política Pública de Libertad Religiosa, cultos y conciencia.</t>
  </si>
  <si>
    <t>Servicios de logistica, regrigerios y material impreso y de publicidad relacionado</t>
  </si>
  <si>
    <t>0309 - 2 - 3.2.2.1.3.0.0.0.45020015.32690 - 20</t>
  </si>
  <si>
    <t>0309 - 2 - 3.2.2.2.6.0.0.0.45020015.63391 - 20</t>
  </si>
  <si>
    <t>Fortalecimiento de los organismos  de acción comunal (OAC)  de los doce municipios del Departamento en lo relacionado a sus procesos formativos, participativos, de organización y  gestión.</t>
  </si>
  <si>
    <t xml:space="preserve">Servicio de promoción a la participación ciudadana </t>
  </si>
  <si>
    <t>Municipos con organismos de acción comunal fortalecidos.</t>
  </si>
  <si>
    <t xml:space="preserve">Iniciativas organizativas de participación ciudadana promovidas </t>
  </si>
  <si>
    <t>Servicios como apoyo al fortalecimiento de los organismos  comunales</t>
  </si>
  <si>
    <t>0309 - 2 - 3.2.2.2.9.0.0.0.45020013.91119 - 20</t>
  </si>
  <si>
    <t>0309 - 2 - 3.2.2.2.9.0.0.0.45020013.91119 - 88</t>
  </si>
  <si>
    <t xml:space="preserve">Apoyo a eventos de carácter municipal, departamental   nacional y   Celebración día comunal
</t>
  </si>
  <si>
    <t>0309 - 2 - 3.2.2.2.6.0.0.0.45020013.63391 - 20</t>
  </si>
  <si>
    <t>Desarrollo de actividades de formación y capacitación</t>
  </si>
  <si>
    <t xml:space="preserve">Material pedagogíco y/o .promocional </t>
  </si>
  <si>
    <t>Actividades de promoción, fortalecimiento, desarrollo de proyectos y participación de la Organización Comunal</t>
  </si>
  <si>
    <t>0309 - 2 - 3.2.2.2.6.0.0.0.45020013.91119 - 88</t>
  </si>
  <si>
    <t xml:space="preserve">Formulación de la  Política Pública Departamental para la  Acción Comunal </t>
  </si>
  <si>
    <t>Una Política Pública formulada.</t>
  </si>
  <si>
    <t xml:space="preserve">Planes estratégicos elaborados </t>
  </si>
  <si>
    <t>Fortalecimiento en la estructuración de políticas, programas, legislación, proyectos sociales y desarrollo comunitario.</t>
  </si>
  <si>
    <t xml:space="preserve">Apoyo en la formulación de la  Política Pública Departamental para la  Acción Comunal </t>
  </si>
  <si>
    <t>0309 - 2 - 3.2.2.2.9.0.0.0.4502035.91119 - 20</t>
  </si>
  <si>
    <t>0309 - 2 - 3.2.2.2.9.0.0.0.4502035.91119 - 88</t>
  </si>
  <si>
    <t xml:space="preserve">Material pedagogíco y/o promocional </t>
  </si>
  <si>
    <t>0309 - 2 - 3.2.2.1.3.0.0.0.4502035.32690 - 20</t>
  </si>
  <si>
    <t xml:space="preserve">Servicios de Apoyo para eventos de formación, capacitación, formulación y/o implementación de la  política publica 
</t>
  </si>
  <si>
    <t>PROGRAMACIÓN PLAN DE ACCIÓN SECRETARIA DEL INTERIOR,   AÑO:    2021
A SEPTIEMBRE 30 DE 2021</t>
  </si>
  <si>
    <t>PROGRAMACIÓN PLAN DE ACCIÓN SECRETARIA  TURISMO, INDUSTRIA Y COMERCIO, AÑO 2021
A SEPTIEMBRE 30 DE 2021</t>
  </si>
  <si>
    <t>PROGRAMACIÓN PLAN DE ACCIÓN SECRETARIA DE EDUCACIÓN 2021
A SEPTIEMBRE 30 DE 2021</t>
  </si>
  <si>
    <t xml:space="preserve">PROGRAMACIÓN PLAN DE ACCIÓN SECRETARIA DE SALUD    AÑO: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</si>
</sst>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3" formatCode="_-* #,##0.00_-;\-* #,##0.00_-;_-* &quot;-&quot;??_-;_-@_-"/>
    <numFmt numFmtId="164" formatCode="00"/>
    <numFmt numFmtId="165" formatCode="dd/mm/yyyy;@"/>
    <numFmt numFmtId="166" formatCode="&quot;$&quot;\ #,##0"/>
    <numFmt numFmtId="167" formatCode="0.0"/>
    <numFmt numFmtId="168" formatCode="_(&quot;$&quot;\ * #,##0.00_);_(&quot;$&quot;\ * \(#,##0.00\);_(&quot;$&quot;\ * &quot;-&quot;??_);_(@_)"/>
    <numFmt numFmtId="169" formatCode="_(* #,##0.00_);_(* \(#,##0.00\);_(* &quot;-&quot;??_);_(@_)"/>
    <numFmt numFmtId="170" formatCode="_ [$€-2]\ * #,##0.00_ ;_ [$€-2]\ * \-#,##0.00_ ;_ [$€-2]\ * &quot;-&quot;??_ "/>
    <numFmt numFmtId="171" formatCode="_-&quot;$&quot;\ * #,##0.00_-;\-&quot;$&quot;\ * #,##0.00_-;_-&quot;$&quot;\ * &quot;-&quot;??_-;_-@_-"/>
    <numFmt numFmtId="172" formatCode="_-* #,##0.00_-;\-* #,##0.00_-;_-* &quot;-&quot;_-;_-@_-"/>
    <numFmt numFmtId="173" formatCode="d/mm/yyyy;@"/>
    <numFmt numFmtId="174" formatCode="&quot;$&quot;\ #,##0.00_);[Red]\(&quot;$&quot;\ #,##0.00\)"/>
    <numFmt numFmtId="175" formatCode="_(&quot;$&quot;\ * #,##0_);_(&quot;$&quot;\ * \(#,##0\);_(&quot;$&quot;\ * &quot;-&quot;_);_(@_)"/>
    <numFmt numFmtId="176" formatCode="_([$$-240A]\ * #,##0.00_);_([$$-240A]\ * \(#,##0.00\);_([$$-240A]\ * &quot;-&quot;??_);_(@_)"/>
    <numFmt numFmtId="177" formatCode="&quot;$&quot;#,##0.00"/>
    <numFmt numFmtId="178" formatCode="&quot;$&quot;\ #,##0.00"/>
    <numFmt numFmtId="179" formatCode="dd/mm/yy;@"/>
    <numFmt numFmtId="180" formatCode="0.0%"/>
    <numFmt numFmtId="181" formatCode="_(&quot;$&quot;\ * #,##0.000_);_(&quot;$&quot;\ * \(#,##0.000\);_(&quot;$&quot;\ * &quot;-&quot;??_);_(@_)"/>
    <numFmt numFmtId="182" formatCode="_-&quot;$&quot;\ * #,##0_-;\-&quot;$&quot;\ * #,##0_-;_-&quot;$&quot;\ * &quot;-&quot;??_-;_-@_-"/>
    <numFmt numFmtId="183" formatCode="_-[$$-409]* #,##0.00_ ;_-[$$-409]* \-#,##0.00\ ;_-[$$-409]* &quot;-&quot;??_ ;_-@_ "/>
    <numFmt numFmtId="184" formatCode="&quot;$&quot;\ #,##0.00;[Red]\-&quot;$&quot;\ #,##0.00"/>
    <numFmt numFmtId="185" formatCode="_-&quot;$&quot;\ * #,##0_-;\-&quot;$&quot;\ * #,##0_-;_-&quot;$&quot;\ * &quot;-&quot;_-;_-@_-"/>
    <numFmt numFmtId="186" formatCode="#,##0;[Red]#,##0"/>
  </numFmts>
  <fonts count="36"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b/>
      <sz val="10"/>
      <color theme="1"/>
      <name val="Arial"/>
      <family val="2"/>
    </font>
    <font>
      <sz val="12"/>
      <color theme="1"/>
      <name val="Arial"/>
      <family val="2"/>
    </font>
    <font>
      <sz val="10"/>
      <color theme="1"/>
      <name val="Arial"/>
      <family val="2"/>
    </font>
    <font>
      <b/>
      <sz val="10"/>
      <color indexed="8"/>
      <name val="Arial"/>
      <family val="2"/>
    </font>
    <font>
      <sz val="12"/>
      <name val="Arial"/>
      <family val="2"/>
    </font>
    <font>
      <sz val="12"/>
      <color rgb="FF000000"/>
      <name val="Arial"/>
      <family val="2"/>
    </font>
    <font>
      <b/>
      <sz val="12"/>
      <color rgb="FF000000"/>
      <name val="Arial"/>
      <family val="2"/>
    </font>
    <font>
      <sz val="14"/>
      <color theme="1"/>
      <name val="Calibri"/>
      <family val="2"/>
      <scheme val="minor"/>
    </font>
    <font>
      <sz val="14"/>
      <color theme="1"/>
      <name val="Arial"/>
      <family val="2"/>
    </font>
    <font>
      <sz val="14"/>
      <color rgb="FF000000"/>
      <name val="Arial"/>
      <family val="2"/>
    </font>
    <font>
      <b/>
      <sz val="12"/>
      <color indexed="8"/>
      <name val="Arial"/>
      <family val="2"/>
    </font>
    <font>
      <b/>
      <sz val="11"/>
      <color theme="1"/>
      <name val="Arial"/>
      <family val="2"/>
    </font>
    <font>
      <sz val="10"/>
      <name val="Arial"/>
      <family val="2"/>
    </font>
    <font>
      <b/>
      <sz val="12"/>
      <color rgb="FF212121"/>
      <name val="Arial"/>
      <family val="2"/>
    </font>
    <font>
      <sz val="12"/>
      <color rgb="FF212121"/>
      <name val="Arial"/>
      <family val="2"/>
    </font>
    <font>
      <sz val="12"/>
      <color rgb="FF444444"/>
      <name val="Arial"/>
      <family val="2"/>
    </font>
    <font>
      <b/>
      <sz val="11"/>
      <color rgb="FF000000"/>
      <name val="Arial"/>
      <family val="2"/>
    </font>
    <font>
      <sz val="11"/>
      <color indexed="8"/>
      <name val="Calibri"/>
      <family val="2"/>
    </font>
    <font>
      <b/>
      <sz val="11"/>
      <color rgb="FF6F6F6E"/>
      <name val="Calibri"/>
      <family val="2"/>
      <scheme val="minor"/>
    </font>
    <font>
      <b/>
      <sz val="12"/>
      <color theme="1"/>
      <name val="Calibri"/>
      <family val="2"/>
      <scheme val="minor"/>
    </font>
    <font>
      <b/>
      <sz val="14"/>
      <color theme="1"/>
      <name val="Arial"/>
      <family val="2"/>
    </font>
    <font>
      <b/>
      <sz val="11"/>
      <name val="Arial"/>
      <family val="2"/>
    </font>
    <font>
      <sz val="10"/>
      <color rgb="FF000000"/>
      <name val="Calibri"/>
      <family val="2"/>
    </font>
    <font>
      <sz val="16"/>
      <color theme="1"/>
      <name val="Arial"/>
      <family val="2"/>
    </font>
    <font>
      <b/>
      <u/>
      <sz val="12"/>
      <color theme="1"/>
      <name val="Arial"/>
      <family val="2"/>
    </font>
    <font>
      <sz val="11"/>
      <color rgb="FF000000"/>
      <name val="Arial"/>
      <family val="2"/>
    </font>
    <font>
      <sz val="11"/>
      <color theme="1"/>
      <name val="Arial"/>
      <family val="2"/>
    </font>
    <font>
      <sz val="10"/>
      <color indexed="8"/>
      <name val="MS Sans Serif"/>
    </font>
    <font>
      <b/>
      <sz val="12"/>
      <color rgb="FFFF0000"/>
      <name val="Arial"/>
      <family val="2"/>
    </font>
    <font>
      <sz val="12"/>
      <color rgb="FF333333"/>
      <name val="Arial"/>
      <family val="2"/>
    </font>
    <font>
      <sz val="11"/>
      <color rgb="FF9C0006"/>
      <name val="Calibri"/>
      <family val="2"/>
      <scheme val="minor"/>
    </font>
    <font>
      <sz val="11"/>
      <color rgb="FF000000"/>
      <name val="Calibri"/>
      <family val="2"/>
    </font>
  </fonts>
  <fills count="2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D966"/>
        <bgColor indexed="64"/>
      </patternFill>
    </fill>
    <fill>
      <patternFill patternType="solid">
        <fgColor rgb="FFFFFFFF"/>
        <bgColor indexed="64"/>
      </patternFill>
    </fill>
    <fill>
      <patternFill patternType="solid">
        <fgColor rgb="FFACB9CA"/>
        <bgColor indexed="64"/>
      </patternFill>
    </fill>
    <fill>
      <patternFill patternType="solid">
        <fgColor rgb="FF00B0F0"/>
        <bgColor rgb="FF000000"/>
      </patternFill>
    </fill>
    <fill>
      <patternFill patternType="solid">
        <fgColor rgb="FF00B0F0"/>
        <bgColor indexed="64"/>
      </patternFill>
    </fill>
    <fill>
      <patternFill patternType="solid">
        <fgColor rgb="FFFFFFFF"/>
        <bgColor rgb="FF000000"/>
      </patternFill>
    </fill>
    <fill>
      <patternFill patternType="solid">
        <fgColor theme="0"/>
        <bgColor rgb="FF000000"/>
      </patternFill>
    </fill>
    <fill>
      <patternFill patternType="solid">
        <fgColor rgb="FFB4C6E7"/>
        <bgColor indexed="64"/>
      </patternFill>
    </fill>
    <fill>
      <patternFill patternType="solid">
        <fgColor theme="8"/>
        <bgColor indexed="64"/>
      </patternFill>
    </fill>
    <fill>
      <patternFill patternType="solid">
        <fgColor rgb="FFFFC000"/>
        <bgColor indexed="64"/>
      </patternFill>
    </fill>
    <fill>
      <patternFill patternType="solid">
        <fgColor theme="3" tint="0.59999389629810485"/>
        <bgColor indexed="64"/>
      </patternFill>
    </fill>
    <fill>
      <patternFill patternType="solid">
        <fgColor rgb="FFECECEC"/>
        <bgColor indexed="64"/>
      </patternFill>
    </fill>
    <fill>
      <patternFill patternType="solid">
        <fgColor rgb="FFBDD7EE"/>
        <bgColor indexed="64"/>
      </patternFill>
    </fill>
    <fill>
      <patternFill patternType="solid">
        <fgColor rgb="FFACB9CA"/>
        <bgColor rgb="FF000000"/>
      </patternFill>
    </fill>
    <fill>
      <patternFill patternType="solid">
        <fgColor theme="8" tint="0.59999389629810485"/>
        <bgColor rgb="FF000000"/>
      </patternFill>
    </fill>
    <fill>
      <patternFill patternType="solid">
        <fgColor rgb="FFFFC7CE"/>
      </patternFill>
    </fill>
  </fills>
  <borders count="8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auto="1"/>
      </right>
      <top style="thin">
        <color indexed="64"/>
      </top>
      <bottom/>
      <diagonal/>
    </border>
    <border>
      <left style="thin">
        <color rgb="FF000000"/>
      </left>
      <right style="thin">
        <color auto="1"/>
      </right>
      <top/>
      <bottom/>
      <diagonal/>
    </border>
    <border>
      <left style="thin">
        <color indexed="64"/>
      </left>
      <right style="thin">
        <color rgb="FF000000"/>
      </right>
      <top/>
      <bottom style="thin">
        <color rgb="FF000000"/>
      </bottom>
      <diagonal/>
    </border>
    <border>
      <left style="thin">
        <color rgb="FF000000"/>
      </left>
      <right style="thin">
        <color auto="1"/>
      </right>
      <top/>
      <bottom style="thin">
        <color auto="1"/>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522B57"/>
      </left>
      <right style="thin">
        <color rgb="FF522B57"/>
      </right>
      <top style="thin">
        <color rgb="FF522B57"/>
      </top>
      <bottom style="thin">
        <color rgb="FF522B57"/>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indexed="64"/>
      </top>
      <bottom style="thin">
        <color indexed="64"/>
      </bottom>
      <diagonal/>
    </border>
    <border>
      <left style="thin">
        <color auto="1"/>
      </left>
      <right style="thin">
        <color rgb="FF000000"/>
      </right>
      <top style="thin">
        <color indexed="64"/>
      </top>
      <bottom style="thin">
        <color rgb="FF000000"/>
      </bottom>
      <diagonal/>
    </border>
    <border>
      <left/>
      <right style="thin">
        <color rgb="FF000000"/>
      </right>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auto="1"/>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bottom style="thin">
        <color indexed="64"/>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indexed="64"/>
      </top>
      <bottom style="thin">
        <color indexed="64"/>
      </bottom>
      <diagonal/>
    </border>
    <border>
      <left/>
      <right style="thin">
        <color rgb="FF000000"/>
      </right>
      <top style="thin">
        <color auto="1"/>
      </top>
      <bottom style="thin">
        <color indexed="64"/>
      </bottom>
      <diagonal/>
    </border>
    <border>
      <left/>
      <right style="thin">
        <color auto="1"/>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right/>
      <top style="thin">
        <color theme="4" tint="0.79998168889431442"/>
      </top>
      <bottom style="thin">
        <color theme="4" tint="0.79998168889431442"/>
      </bottom>
      <diagonal/>
    </border>
  </borders>
  <cellStyleXfs count="32">
    <xf numFmtId="0" fontId="0" fillId="0" borderId="0"/>
    <xf numFmtId="41"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70" fontId="1" fillId="0" borderId="0"/>
    <xf numFmtId="171" fontId="1" fillId="0" borderId="0" applyFont="0" applyFill="0" applyBorder="0" applyAlignment="0" applyProtection="0"/>
    <xf numFmtId="0" fontId="16" fillId="0" borderId="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75" fontId="1" fillId="0" borderId="0" applyFont="0" applyFill="0" applyBorder="0" applyAlignment="0" applyProtection="0"/>
    <xf numFmtId="176" fontId="22" fillId="18" borderId="47">
      <alignment horizontal="center" vertical="center" wrapText="1"/>
    </xf>
    <xf numFmtId="0" fontId="22" fillId="18" borderId="47">
      <alignment horizontal="center" vertical="center" wrapText="1"/>
    </xf>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69" fontId="1" fillId="0" borderId="0" applyFont="0" applyFill="0" applyBorder="0" applyAlignment="0" applyProtection="0"/>
    <xf numFmtId="9" fontId="21" fillId="0" borderId="0" applyFont="0" applyFill="0" applyBorder="0" applyAlignment="0" applyProtection="0"/>
    <xf numFmtId="0" fontId="31" fillId="0" borderId="0"/>
    <xf numFmtId="9" fontId="1" fillId="0" borderId="0" applyFont="0" applyFill="0" applyBorder="0" applyAlignment="0" applyProtection="0"/>
    <xf numFmtId="168" fontId="1" fillId="0" borderId="0" applyFont="0" applyFill="0" applyBorder="0" applyAlignment="0" applyProtection="0"/>
    <xf numFmtId="0" fontId="1" fillId="0" borderId="0"/>
    <xf numFmtId="0" fontId="34" fillId="22" borderId="0" applyNumberFormat="0" applyBorder="0" applyAlignment="0" applyProtection="0"/>
    <xf numFmtId="185" fontId="1" fillId="0" borderId="0" applyFont="0" applyFill="0" applyBorder="0" applyAlignment="0" applyProtection="0"/>
    <xf numFmtId="168" fontId="1" fillId="0" borderId="0" applyFont="0" applyFill="0" applyBorder="0" applyAlignment="0" applyProtection="0"/>
    <xf numFmtId="0" fontId="16" fillId="0" borderId="0"/>
    <xf numFmtId="0" fontId="16" fillId="0" borderId="0"/>
    <xf numFmtId="0" fontId="35" fillId="0" borderId="0"/>
    <xf numFmtId="168" fontId="1" fillId="0" borderId="0" applyFont="0" applyFill="0" applyBorder="0" applyAlignment="0" applyProtection="0"/>
  </cellStyleXfs>
  <cellXfs count="3985">
    <xf numFmtId="0" fontId="0" fillId="0" borderId="0" xfId="0"/>
    <xf numFmtId="0" fontId="3" fillId="0" borderId="2" xfId="0" applyFont="1" applyFill="1" applyBorder="1" applyAlignment="1">
      <alignment horizontal="center" vertical="center"/>
    </xf>
    <xf numFmtId="0" fontId="4" fillId="0" borderId="3" xfId="0" applyFont="1" applyBorder="1" applyAlignment="1">
      <alignment horizontal="center"/>
    </xf>
    <xf numFmtId="0" fontId="5" fillId="2" borderId="0" xfId="0" applyFont="1" applyFill="1" applyAlignment="1">
      <alignment horizontal="center" vertical="center"/>
    </xf>
    <xf numFmtId="0" fontId="5" fillId="0" borderId="0" xfId="0" applyFont="1" applyAlignment="1">
      <alignment horizontal="center" vertical="center"/>
    </xf>
    <xf numFmtId="164" fontId="6" fillId="0" borderId="4" xfId="0" applyNumberFormat="1" applyFont="1" applyBorder="1" applyAlignment="1">
      <alignment horizontal="left"/>
    </xf>
    <xf numFmtId="14" fontId="6" fillId="0" borderId="4" xfId="0" applyNumberFormat="1" applyFont="1" applyBorder="1" applyAlignment="1">
      <alignment horizontal="left"/>
    </xf>
    <xf numFmtId="3" fontId="7" fillId="3" borderId="4"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1" xfId="0" applyFont="1" applyBorder="1" applyAlignment="1">
      <alignment horizontal="center" vertical="center"/>
    </xf>
    <xf numFmtId="1" fontId="2" fillId="5" borderId="2" xfId="0"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166" fontId="2" fillId="6"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3" xfId="0" applyFont="1" applyFill="1" applyBorder="1" applyAlignment="1">
      <alignment horizontal="center" vertical="center" textRotation="90" wrapText="1"/>
    </xf>
    <xf numFmtId="49" fontId="2" fillId="5" borderId="13" xfId="0" applyNumberFormat="1" applyFont="1" applyFill="1" applyBorder="1" applyAlignment="1">
      <alignment horizontal="center" vertical="center" textRotation="90" wrapText="1"/>
    </xf>
    <xf numFmtId="49" fontId="2" fillId="5" borderId="2" xfId="0" applyNumberFormat="1" applyFont="1" applyFill="1" applyBorder="1" applyAlignment="1">
      <alignment horizontal="center" vertical="center" textRotation="90" wrapText="1"/>
    </xf>
    <xf numFmtId="49" fontId="2" fillId="5" borderId="2" xfId="0" applyNumberFormat="1" applyFont="1" applyFill="1" applyBorder="1" applyAlignment="1">
      <alignment horizontal="center" vertical="center" textRotation="90" wrapText="1"/>
    </xf>
    <xf numFmtId="0" fontId="3" fillId="7" borderId="15" xfId="0" applyFont="1" applyFill="1" applyBorder="1" applyAlignment="1">
      <alignment horizontal="center" vertical="center" wrapText="1"/>
    </xf>
    <xf numFmtId="0" fontId="2" fillId="7" borderId="0" xfId="0" applyFont="1" applyFill="1" applyBorder="1" applyAlignment="1">
      <alignment horizontal="center" vertical="center"/>
    </xf>
    <xf numFmtId="0" fontId="2" fillId="7" borderId="0" xfId="0" applyFont="1" applyFill="1" applyBorder="1" applyAlignment="1">
      <alignment horizontal="justify" vertical="center"/>
    </xf>
    <xf numFmtId="0" fontId="2" fillId="7" borderId="0" xfId="0" applyFont="1" applyFill="1" applyBorder="1" applyAlignment="1">
      <alignment horizontal="center" vertical="center" wrapText="1"/>
    </xf>
    <xf numFmtId="167" fontId="2" fillId="7" borderId="0" xfId="0" applyNumberFormat="1" applyFont="1" applyFill="1" applyBorder="1" applyAlignment="1">
      <alignment horizontal="center" vertical="center"/>
    </xf>
    <xf numFmtId="166" fontId="2" fillId="7" borderId="0" xfId="0" applyNumberFormat="1" applyFont="1" applyFill="1" applyBorder="1" applyAlignment="1">
      <alignment horizontal="justify" vertical="center"/>
    </xf>
    <xf numFmtId="166" fontId="2" fillId="7" borderId="0" xfId="0" applyNumberFormat="1" applyFont="1" applyFill="1" applyBorder="1" applyAlignment="1">
      <alignment horizontal="center" vertical="center"/>
    </xf>
    <xf numFmtId="1" fontId="2" fillId="7" borderId="0" xfId="0" applyNumberFormat="1" applyFont="1" applyFill="1" applyBorder="1" applyAlignment="1">
      <alignment horizontal="center" vertical="center"/>
    </xf>
    <xf numFmtId="165" fontId="2" fillId="7" borderId="0" xfId="0" applyNumberFormat="1" applyFont="1" applyFill="1" applyBorder="1" applyAlignment="1">
      <alignment horizontal="center" vertical="center"/>
    </xf>
    <xf numFmtId="165" fontId="2" fillId="7" borderId="17" xfId="0" applyNumberFormat="1" applyFont="1" applyFill="1" applyBorder="1" applyAlignment="1">
      <alignment horizontal="center" vertical="center"/>
    </xf>
    <xf numFmtId="0" fontId="5" fillId="0" borderId="0" xfId="0" applyFont="1" applyBorder="1" applyAlignment="1">
      <alignment horizontal="center" vertical="center"/>
    </xf>
    <xf numFmtId="0" fontId="3" fillId="8" borderId="7" xfId="0" applyFont="1" applyFill="1" applyBorder="1" applyAlignment="1">
      <alignment horizontal="center" vertical="center" wrapText="1"/>
    </xf>
    <xf numFmtId="0" fontId="3" fillId="8" borderId="9" xfId="0" applyFont="1" applyFill="1" applyBorder="1" applyAlignment="1">
      <alignment horizontal="center" vertical="center"/>
    </xf>
    <xf numFmtId="0" fontId="3" fillId="9" borderId="18" xfId="0" applyFont="1" applyFill="1" applyBorder="1" applyAlignment="1">
      <alignment horizontal="center" vertical="center" wrapText="1"/>
    </xf>
    <xf numFmtId="0" fontId="2" fillId="9" borderId="21" xfId="0" applyFont="1" applyFill="1" applyBorder="1" applyAlignment="1">
      <alignment horizontal="justify" vertical="center"/>
    </xf>
    <xf numFmtId="0" fontId="2" fillId="9" borderId="21" xfId="0" applyFont="1" applyFill="1" applyBorder="1" applyAlignment="1">
      <alignment horizontal="center" vertical="center"/>
    </xf>
    <xf numFmtId="0" fontId="2" fillId="9" borderId="21" xfId="0" applyFont="1" applyFill="1" applyBorder="1" applyAlignment="1">
      <alignment horizontal="center" vertical="center" wrapText="1"/>
    </xf>
    <xf numFmtId="167" fontId="2" fillId="9" borderId="21" xfId="0" applyNumberFormat="1" applyFont="1" applyFill="1" applyBorder="1" applyAlignment="1">
      <alignment horizontal="center" vertical="center"/>
    </xf>
    <xf numFmtId="166" fontId="2" fillId="9" borderId="21" xfId="0" applyNumberFormat="1" applyFont="1" applyFill="1" applyBorder="1" applyAlignment="1">
      <alignment horizontal="justify" vertical="center"/>
    </xf>
    <xf numFmtId="166" fontId="2" fillId="9" borderId="21" xfId="0" applyNumberFormat="1" applyFont="1" applyFill="1" applyBorder="1" applyAlignment="1">
      <alignment horizontal="center" vertical="center"/>
    </xf>
    <xf numFmtId="1" fontId="2" fillId="9" borderId="21" xfId="0" applyNumberFormat="1" applyFont="1" applyFill="1" applyBorder="1" applyAlignment="1">
      <alignment horizontal="center" vertical="center"/>
    </xf>
    <xf numFmtId="165" fontId="2" fillId="9" borderId="21" xfId="0" applyNumberFormat="1" applyFont="1" applyFill="1" applyBorder="1" applyAlignment="1">
      <alignment horizontal="center" vertical="center"/>
    </xf>
    <xf numFmtId="165" fontId="2" fillId="9" borderId="18" xfId="0" applyNumberFormat="1" applyFont="1" applyFill="1" applyBorder="1" applyAlignment="1">
      <alignment horizontal="center" vertical="center"/>
    </xf>
    <xf numFmtId="0" fontId="5" fillId="8" borderId="0" xfId="0" applyFont="1" applyFill="1" applyAlignment="1">
      <alignment horizontal="center" vertical="center"/>
    </xf>
    <xf numFmtId="0" fontId="5" fillId="8" borderId="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10" borderId="16" xfId="0" applyFont="1" applyFill="1" applyBorder="1" applyAlignment="1">
      <alignment horizontal="center" vertical="center" wrapText="1"/>
    </xf>
    <xf numFmtId="0" fontId="3" fillId="11" borderId="19" xfId="0" applyFont="1" applyFill="1" applyBorder="1" applyAlignment="1">
      <alignment horizontal="left" vertical="center"/>
    </xf>
    <xf numFmtId="0" fontId="3" fillId="11" borderId="21" xfId="0" applyFont="1" applyFill="1" applyBorder="1" applyAlignment="1">
      <alignment horizontal="left" vertical="center"/>
    </xf>
    <xf numFmtId="0" fontId="3" fillId="11" borderId="21" xfId="0" applyFont="1" applyFill="1" applyBorder="1" applyAlignment="1">
      <alignment horizontal="justify" vertical="center"/>
    </xf>
    <xf numFmtId="0" fontId="2" fillId="11" borderId="21" xfId="0" applyFont="1" applyFill="1" applyBorder="1" applyAlignment="1">
      <alignment horizontal="left" vertical="center"/>
    </xf>
    <xf numFmtId="0" fontId="2" fillId="11" borderId="21" xfId="0" applyFont="1" applyFill="1" applyBorder="1" applyAlignment="1">
      <alignment horizontal="justify" vertical="center"/>
    </xf>
    <xf numFmtId="0" fontId="2" fillId="11" borderId="20" xfId="0" applyFont="1" applyFill="1" applyBorder="1" applyAlignment="1">
      <alignment horizontal="left" vertical="center"/>
    </xf>
    <xf numFmtId="0" fontId="2" fillId="11" borderId="20" xfId="0" applyFont="1" applyFill="1" applyBorder="1" applyAlignment="1">
      <alignment horizontal="justify" vertical="center" wrapText="1"/>
    </xf>
    <xf numFmtId="167" fontId="2" fillId="11" borderId="21" xfId="0" applyNumberFormat="1" applyFont="1" applyFill="1" applyBorder="1" applyAlignment="1">
      <alignment horizontal="center" vertical="center"/>
    </xf>
    <xf numFmtId="166" fontId="2" fillId="11" borderId="21" xfId="0" applyNumberFormat="1" applyFont="1" applyFill="1" applyBorder="1" applyAlignment="1">
      <alignment horizontal="center" vertical="center"/>
    </xf>
    <xf numFmtId="0" fontId="2" fillId="11" borderId="21" xfId="0" applyFont="1" applyFill="1" applyBorder="1" applyAlignment="1">
      <alignment horizontal="center" vertical="center"/>
    </xf>
    <xf numFmtId="1" fontId="2" fillId="11" borderId="21" xfId="0" applyNumberFormat="1" applyFont="1" applyFill="1" applyBorder="1" applyAlignment="1">
      <alignment horizontal="center" vertical="center"/>
    </xf>
    <xf numFmtId="165" fontId="2" fillId="11" borderId="21" xfId="0" applyNumberFormat="1" applyFont="1" applyFill="1" applyBorder="1" applyAlignment="1">
      <alignment horizontal="center" vertical="center"/>
    </xf>
    <xf numFmtId="0" fontId="2" fillId="11" borderId="18" xfId="0" applyFont="1" applyFill="1" applyBorder="1" applyAlignment="1">
      <alignment horizontal="center" vertical="center"/>
    </xf>
    <xf numFmtId="0" fontId="5" fillId="2" borderId="0"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169" fontId="5" fillId="2" borderId="2" xfId="2" applyNumberFormat="1" applyFont="1" applyFill="1" applyBorder="1" applyAlignment="1">
      <alignment horizontal="center" vertical="center"/>
    </xf>
    <xf numFmtId="0" fontId="9"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Border="1" applyAlignment="1">
      <alignment horizontal="center" vertical="center"/>
    </xf>
    <xf numFmtId="0" fontId="9" fillId="2" borderId="26"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12" borderId="27" xfId="0" applyFont="1" applyFill="1" applyBorder="1" applyAlignment="1">
      <alignment horizontal="center" vertical="center" wrapText="1"/>
    </xf>
    <xf numFmtId="0" fontId="9" fillId="12" borderId="2" xfId="0" applyFont="1" applyFill="1" applyBorder="1" applyAlignment="1">
      <alignment horizontal="justify" vertical="center" wrapText="1"/>
    </xf>
    <xf numFmtId="0" fontId="9" fillId="12"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9" fillId="12" borderId="13" xfId="0" applyFont="1" applyFill="1" applyBorder="1" applyAlignment="1">
      <alignment horizontal="justify" vertical="center" wrapText="1"/>
    </xf>
    <xf numFmtId="9" fontId="5" fillId="2" borderId="2" xfId="3" applyNumberFormat="1" applyFont="1" applyFill="1" applyBorder="1" applyAlignment="1">
      <alignment horizontal="center" vertical="center"/>
    </xf>
    <xf numFmtId="43" fontId="5" fillId="2" borderId="2" xfId="4" applyFont="1" applyFill="1" applyBorder="1" applyAlignment="1">
      <alignment horizontal="center" vertical="center"/>
    </xf>
    <xf numFmtId="0" fontId="9" fillId="0" borderId="2" xfId="0" applyFont="1" applyFill="1" applyBorder="1" applyAlignment="1">
      <alignment horizontal="justify" vertical="center" wrapText="1"/>
    </xf>
    <xf numFmtId="14" fontId="9" fillId="12" borderId="2" xfId="0" applyNumberFormat="1" applyFont="1" applyFill="1" applyBorder="1" applyAlignment="1">
      <alignment horizontal="center" vertical="center" wrapText="1"/>
    </xf>
    <xf numFmtId="0" fontId="3" fillId="11" borderId="34" xfId="0" applyFont="1" applyFill="1" applyBorder="1" applyAlignment="1">
      <alignment horizontal="center" vertical="center"/>
    </xf>
    <xf numFmtId="0" fontId="5" fillId="11" borderId="20" xfId="0" applyFont="1" applyFill="1" applyBorder="1" applyAlignment="1">
      <alignment horizontal="center" vertical="center" wrapText="1"/>
    </xf>
    <xf numFmtId="0" fontId="8" fillId="11" borderId="20" xfId="0" applyFont="1" applyFill="1" applyBorder="1" applyAlignment="1">
      <alignment horizontal="center" vertical="center" wrapText="1"/>
    </xf>
    <xf numFmtId="0" fontId="5" fillId="11" borderId="20" xfId="0" applyFont="1" applyFill="1" applyBorder="1" applyAlignment="1">
      <alignment horizontal="justify" vertical="center" wrapText="1"/>
    </xf>
    <xf numFmtId="9" fontId="5" fillId="11" borderId="2" xfId="3" applyFont="1" applyFill="1" applyBorder="1" applyAlignment="1">
      <alignment horizontal="center" vertical="center" wrapText="1"/>
    </xf>
    <xf numFmtId="43" fontId="5" fillId="11" borderId="2" xfId="4" applyFont="1" applyFill="1" applyBorder="1" applyAlignment="1">
      <alignment horizontal="center" vertical="center" wrapText="1"/>
    </xf>
    <xf numFmtId="0" fontId="5" fillId="11" borderId="2" xfId="0" applyFont="1" applyFill="1" applyBorder="1" applyAlignment="1">
      <alignment horizontal="justify" vertical="center" wrapText="1"/>
    </xf>
    <xf numFmtId="169" fontId="5" fillId="11" borderId="2" xfId="0" applyNumberFormat="1" applyFont="1" applyFill="1" applyBorder="1" applyAlignment="1">
      <alignment horizontal="center" vertical="center" wrapText="1"/>
    </xf>
    <xf numFmtId="0" fontId="5" fillId="11" borderId="0" xfId="0" applyFont="1" applyFill="1" applyAlignment="1">
      <alignment horizontal="center" vertical="center" wrapText="1"/>
    </xf>
    <xf numFmtId="1" fontId="5" fillId="11" borderId="2"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1" fontId="2" fillId="11" borderId="2" xfId="0" applyNumberFormat="1" applyFont="1" applyFill="1" applyBorder="1" applyAlignment="1">
      <alignment horizontal="center" vertical="center" textRotation="180" wrapText="1"/>
    </xf>
    <xf numFmtId="1" fontId="2" fillId="11" borderId="2" xfId="0" applyNumberFormat="1" applyFont="1" applyFill="1" applyBorder="1" applyAlignment="1">
      <alignment horizontal="justify" vertical="center" textRotation="180" wrapText="1"/>
    </xf>
    <xf numFmtId="169" fontId="5" fillId="2" borderId="2" xfId="2"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justify" vertical="center"/>
    </xf>
    <xf numFmtId="0" fontId="5" fillId="4" borderId="2" xfId="0" applyFont="1" applyFill="1" applyBorder="1" applyAlignment="1">
      <alignment horizontal="center" vertical="center"/>
    </xf>
    <xf numFmtId="0" fontId="5" fillId="4" borderId="13" xfId="0" applyFont="1" applyFill="1" applyBorder="1" applyAlignment="1">
      <alignment horizontal="justify" vertical="center" wrapText="1"/>
    </xf>
    <xf numFmtId="167" fontId="5" fillId="4" borderId="2" xfId="0" applyNumberFormat="1" applyFont="1" applyFill="1" applyBorder="1" applyAlignment="1">
      <alignment horizontal="center" vertical="center"/>
    </xf>
    <xf numFmtId="43" fontId="2" fillId="4" borderId="2" xfId="4" applyFont="1" applyFill="1" applyBorder="1" applyAlignment="1">
      <alignment horizontal="center" vertical="center"/>
    </xf>
    <xf numFmtId="0" fontId="5" fillId="4" borderId="2" xfId="0" applyFont="1" applyFill="1" applyBorder="1" applyAlignment="1">
      <alignment horizontal="justify" vertical="center"/>
    </xf>
    <xf numFmtId="169" fontId="2"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165" fontId="5" fillId="4" borderId="2" xfId="0" applyNumberFormat="1" applyFont="1" applyFill="1" applyBorder="1" applyAlignment="1">
      <alignment horizontal="center" vertical="center"/>
    </xf>
    <xf numFmtId="0" fontId="5" fillId="0" borderId="0" xfId="0" applyFont="1" applyAlignment="1">
      <alignment horizontal="justify" vertical="center"/>
    </xf>
    <xf numFmtId="0" fontId="5" fillId="2" borderId="0" xfId="0" applyFont="1" applyFill="1" applyAlignment="1">
      <alignment horizontal="justify" vertical="center"/>
    </xf>
    <xf numFmtId="0" fontId="5" fillId="2" borderId="0" xfId="0" applyFont="1" applyFill="1" applyAlignment="1">
      <alignment horizontal="center" vertical="center" wrapText="1"/>
    </xf>
    <xf numFmtId="167" fontId="5" fillId="2" borderId="0" xfId="0" applyNumberFormat="1" applyFont="1" applyFill="1" applyAlignment="1">
      <alignment horizontal="center" vertical="center"/>
    </xf>
    <xf numFmtId="166" fontId="5" fillId="2" borderId="0" xfId="0" applyNumberFormat="1" applyFont="1" applyFill="1" applyAlignment="1">
      <alignment horizontal="justify" vertical="center"/>
    </xf>
    <xf numFmtId="169" fontId="5" fillId="0" borderId="0" xfId="0" applyNumberFormat="1" applyFont="1" applyAlignment="1">
      <alignment horizontal="center" vertical="center"/>
    </xf>
    <xf numFmtId="1" fontId="5" fillId="2" borderId="0" xfId="0" applyNumberFormat="1" applyFont="1" applyFill="1" applyAlignment="1">
      <alignment horizontal="center" vertical="center"/>
    </xf>
    <xf numFmtId="0" fontId="5" fillId="0" borderId="0" xfId="0" applyFont="1" applyBorder="1" applyAlignment="1">
      <alignment horizontal="justify" vertical="center"/>
    </xf>
    <xf numFmtId="0" fontId="5" fillId="2" borderId="0" xfId="0" applyFont="1" applyFill="1" applyBorder="1" applyAlignment="1">
      <alignment horizontal="justify" vertical="center"/>
    </xf>
    <xf numFmtId="169" fontId="5" fillId="2" borderId="0" xfId="0" applyNumberFormat="1" applyFont="1" applyFill="1" applyAlignment="1">
      <alignment horizontal="center" vertical="center"/>
    </xf>
    <xf numFmtId="166" fontId="5" fillId="2" borderId="0" xfId="0" applyNumberFormat="1" applyFont="1" applyFill="1" applyAlignment="1">
      <alignment horizontal="center" vertical="center"/>
    </xf>
    <xf numFmtId="167" fontId="5" fillId="2" borderId="0" xfId="0" applyNumberFormat="1" applyFont="1" applyFill="1" applyBorder="1" applyAlignment="1">
      <alignment horizontal="justify" vertical="center"/>
    </xf>
    <xf numFmtId="167" fontId="5" fillId="2" borderId="0"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 fontId="5" fillId="0" borderId="0" xfId="0" applyNumberFormat="1" applyFont="1" applyAlignment="1">
      <alignment horizontal="center" vertical="center"/>
    </xf>
    <xf numFmtId="165" fontId="5" fillId="0" borderId="0" xfId="0" applyNumberFormat="1" applyFont="1" applyFill="1" applyAlignment="1">
      <alignment horizontal="center" vertical="center"/>
    </xf>
    <xf numFmtId="165" fontId="5" fillId="0" borderId="0" xfId="0" applyNumberFormat="1" applyFont="1" applyAlignment="1">
      <alignment horizontal="center" vertical="center"/>
    </xf>
    <xf numFmtId="0" fontId="2" fillId="0" borderId="2" xfId="0" applyFont="1" applyFill="1" applyBorder="1" applyAlignment="1">
      <alignment horizontal="center" vertical="center"/>
    </xf>
    <xf numFmtId="0" fontId="8" fillId="0" borderId="2" xfId="0" applyFont="1" applyFill="1" applyBorder="1" applyAlignment="1">
      <alignment horizontal="left" vertical="center"/>
    </xf>
    <xf numFmtId="14" fontId="8"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center" vertical="center" wrapText="1"/>
    </xf>
    <xf numFmtId="1" fontId="2" fillId="5" borderId="2" xfId="0" applyNumberFormat="1" applyFont="1" applyFill="1" applyBorder="1" applyAlignment="1">
      <alignment horizontal="justify" vertical="center" wrapText="1"/>
    </xf>
    <xf numFmtId="1" fontId="2" fillId="5" borderId="13"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5" borderId="2" xfId="0" applyFont="1" applyFill="1" applyBorder="1" applyAlignment="1">
      <alignment horizontal="center" vertical="center" textRotation="90" wrapText="1"/>
    </xf>
    <xf numFmtId="0" fontId="3" fillId="7" borderId="2" xfId="0" applyNumberFormat="1" applyFont="1" applyFill="1" applyBorder="1" applyAlignment="1">
      <alignment horizontal="center" vertical="center" wrapText="1"/>
    </xf>
    <xf numFmtId="0" fontId="2" fillId="7" borderId="2" xfId="0" applyFont="1" applyFill="1" applyBorder="1" applyAlignment="1">
      <alignment horizontal="justify" vertical="center"/>
    </xf>
    <xf numFmtId="0" fontId="2" fillId="7" borderId="2" xfId="0" applyFont="1" applyFill="1" applyBorder="1" applyAlignment="1">
      <alignment horizontal="center" vertical="center"/>
    </xf>
    <xf numFmtId="0" fontId="2" fillId="7" borderId="13" xfId="0" applyFont="1" applyFill="1" applyBorder="1" applyAlignment="1">
      <alignment horizontal="justify" vertical="center"/>
    </xf>
    <xf numFmtId="0" fontId="2" fillId="7" borderId="2" xfId="0" applyFont="1" applyFill="1" applyBorder="1" applyAlignment="1">
      <alignment horizontal="center" vertical="center" wrapText="1"/>
    </xf>
    <xf numFmtId="167" fontId="2" fillId="7" borderId="2" xfId="0" applyNumberFormat="1" applyFont="1" applyFill="1" applyBorder="1" applyAlignment="1">
      <alignment horizontal="center" vertical="center"/>
    </xf>
    <xf numFmtId="166" fontId="2" fillId="7" borderId="2" xfId="0" applyNumberFormat="1" applyFont="1" applyFill="1" applyBorder="1" applyAlignment="1">
      <alignment horizontal="justify" vertical="center"/>
    </xf>
    <xf numFmtId="166" fontId="2" fillId="7" borderId="2" xfId="0" applyNumberFormat="1" applyFont="1" applyFill="1" applyBorder="1" applyAlignment="1">
      <alignment horizontal="center" vertical="center"/>
    </xf>
    <xf numFmtId="1" fontId="2" fillId="7" borderId="2" xfId="0" applyNumberFormat="1" applyFont="1" applyFill="1" applyBorder="1" applyAlignment="1">
      <alignment horizontal="justify" vertical="center"/>
    </xf>
    <xf numFmtId="165" fontId="2" fillId="7" borderId="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9" borderId="17" xfId="0" applyFont="1" applyFill="1" applyBorder="1" applyAlignment="1">
      <alignment horizontal="center" vertical="center" wrapText="1"/>
    </xf>
    <xf numFmtId="0" fontId="2" fillId="9" borderId="0" xfId="0" applyFont="1" applyFill="1" applyBorder="1" applyAlignment="1">
      <alignment horizontal="center" vertical="center"/>
    </xf>
    <xf numFmtId="0" fontId="2" fillId="9" borderId="0" xfId="0" applyFont="1" applyFill="1" applyBorder="1" applyAlignment="1">
      <alignment horizontal="justify" vertical="center"/>
    </xf>
    <xf numFmtId="0" fontId="2" fillId="9" borderId="2" xfId="0" applyFont="1" applyFill="1" applyBorder="1" applyAlignment="1">
      <alignment horizontal="center" vertical="center"/>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wrapText="1"/>
    </xf>
    <xf numFmtId="167" fontId="2" fillId="9" borderId="2" xfId="0" applyNumberFormat="1" applyFont="1" applyFill="1" applyBorder="1" applyAlignment="1">
      <alignment horizontal="center" vertical="center"/>
    </xf>
    <xf numFmtId="166" fontId="2" fillId="9" borderId="2" xfId="0" applyNumberFormat="1" applyFont="1" applyFill="1" applyBorder="1" applyAlignment="1">
      <alignment horizontal="justify" vertical="center"/>
    </xf>
    <xf numFmtId="166" fontId="2" fillId="9" borderId="2" xfId="0" applyNumberFormat="1" applyFont="1" applyFill="1" applyBorder="1" applyAlignment="1">
      <alignment horizontal="center" vertical="center"/>
    </xf>
    <xf numFmtId="1" fontId="2" fillId="9" borderId="2" xfId="0" applyNumberFormat="1" applyFont="1" applyFill="1" applyBorder="1" applyAlignment="1">
      <alignment horizontal="justify" vertical="center"/>
    </xf>
    <xf numFmtId="165" fontId="2" fillId="9" borderId="2"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3" fillId="11" borderId="18" xfId="0" applyFont="1" applyFill="1" applyBorder="1" applyAlignment="1">
      <alignment horizontal="center" vertical="center"/>
    </xf>
    <xf numFmtId="0" fontId="10" fillId="11" borderId="2"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 xfId="0" applyFont="1" applyFill="1" applyBorder="1" applyAlignment="1">
      <alignment horizontal="justify" vertical="center" wrapText="1"/>
    </xf>
    <xf numFmtId="167" fontId="2" fillId="11" borderId="2" xfId="0" applyNumberFormat="1" applyFont="1" applyFill="1" applyBorder="1" applyAlignment="1">
      <alignment horizontal="center" vertical="center"/>
    </xf>
    <xf numFmtId="166" fontId="2" fillId="11" borderId="2" xfId="0" applyNumberFormat="1" applyFont="1" applyFill="1" applyBorder="1" applyAlignment="1">
      <alignment horizontal="center" vertical="center"/>
    </xf>
    <xf numFmtId="0" fontId="2" fillId="11" borderId="2" xfId="0" applyFont="1" applyFill="1" applyBorder="1" applyAlignment="1">
      <alignment horizontal="justify" vertical="center"/>
    </xf>
    <xf numFmtId="1" fontId="2" fillId="11" borderId="2" xfId="0" applyNumberFormat="1" applyFont="1" applyFill="1" applyBorder="1" applyAlignment="1">
      <alignment horizontal="center" vertical="center"/>
    </xf>
    <xf numFmtId="165" fontId="2" fillId="11" borderId="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43" fontId="9" fillId="2" borderId="2"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0" fontId="5" fillId="0" borderId="2" xfId="4" applyNumberFormat="1" applyFont="1" applyFill="1" applyBorder="1" applyAlignment="1">
      <alignment horizontal="center" vertical="center"/>
    </xf>
    <xf numFmtId="170" fontId="8" fillId="0" borderId="2" xfId="6" applyFont="1" applyFill="1" applyBorder="1" applyAlignment="1">
      <alignment horizontal="justify" vertical="center" wrapText="1"/>
    </xf>
    <xf numFmtId="0" fontId="3" fillId="0" borderId="0" xfId="0" applyFont="1" applyFill="1" applyBorder="1" applyAlignment="1">
      <alignment horizontal="center" vertical="center"/>
    </xf>
    <xf numFmtId="43" fontId="8" fillId="2" borderId="2" xfId="0" applyNumberFormat="1" applyFont="1" applyFill="1" applyBorder="1" applyAlignment="1">
      <alignment horizontal="center" vertical="center" wrapText="1"/>
    </xf>
    <xf numFmtId="0" fontId="5" fillId="2" borderId="2" xfId="4" applyNumberFormat="1" applyFont="1" applyFill="1" applyBorder="1" applyAlignment="1">
      <alignment horizontal="center" vertical="center"/>
    </xf>
    <xf numFmtId="0" fontId="9" fillId="0" borderId="20" xfId="0" applyFont="1" applyBorder="1" applyAlignment="1">
      <alignment horizontal="center" vertical="center" wrapText="1"/>
    </xf>
    <xf numFmtId="43" fontId="9" fillId="2" borderId="22" xfId="0" applyNumberFormat="1" applyFont="1" applyFill="1" applyBorder="1" applyAlignment="1">
      <alignment horizontal="center" vertical="center" wrapText="1"/>
    </xf>
    <xf numFmtId="0" fontId="9" fillId="0" borderId="21" xfId="0" applyFont="1" applyBorder="1" applyAlignment="1">
      <alignment horizontal="center" vertical="center" wrapText="1"/>
    </xf>
    <xf numFmtId="0" fontId="3" fillId="0" borderId="1" xfId="0" applyFont="1" applyFill="1" applyBorder="1" applyAlignment="1">
      <alignment horizontal="center" vertical="center"/>
    </xf>
    <xf numFmtId="43" fontId="9" fillId="13"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70" fontId="8" fillId="0" borderId="2" xfId="6" applyFont="1" applyBorder="1" applyAlignment="1">
      <alignment horizontal="justify" vertical="center" wrapText="1"/>
    </xf>
    <xf numFmtId="43" fontId="9" fillId="2" borderId="36" xfId="0" applyNumberFormat="1" applyFont="1" applyFill="1" applyBorder="1" applyAlignment="1">
      <alignment horizontal="center" vertical="center" wrapText="1"/>
    </xf>
    <xf numFmtId="0" fontId="9" fillId="0" borderId="36" xfId="0" applyFont="1" applyBorder="1" applyAlignment="1">
      <alignment horizontal="center" vertical="center" wrapText="1"/>
    </xf>
    <xf numFmtId="43" fontId="9" fillId="2" borderId="34" xfId="0" applyNumberFormat="1" applyFont="1" applyFill="1" applyBorder="1" applyAlignment="1">
      <alignment horizontal="center" vertical="center" wrapText="1"/>
    </xf>
    <xf numFmtId="0" fontId="9" fillId="0" borderId="0" xfId="0" applyFont="1" applyAlignment="1">
      <alignment horizontal="center" vertical="center" wrapText="1"/>
    </xf>
    <xf numFmtId="170" fontId="8" fillId="2" borderId="2" xfId="6" applyFont="1" applyFill="1" applyBorder="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4" xfId="0" applyNumberFormat="1" applyFont="1" applyFill="1" applyBorder="1" applyAlignment="1">
      <alignment horizontal="center" vertical="center"/>
    </xf>
    <xf numFmtId="0" fontId="3" fillId="4"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4" xfId="0" applyFont="1" applyFill="1" applyBorder="1" applyAlignment="1">
      <alignment horizontal="justify" vertical="center"/>
    </xf>
    <xf numFmtId="0" fontId="5" fillId="4" borderId="2" xfId="0" applyFont="1" applyFill="1" applyBorder="1" applyAlignment="1">
      <alignment horizontal="justify" vertical="center" wrapText="1"/>
    </xf>
    <xf numFmtId="4" fontId="2" fillId="4" borderId="2" xfId="0" applyNumberFormat="1" applyFont="1" applyFill="1" applyBorder="1" applyAlignment="1">
      <alignment horizontal="center" vertical="center"/>
    </xf>
    <xf numFmtId="0" fontId="5" fillId="4" borderId="22" xfId="0" applyFont="1" applyFill="1" applyBorder="1" applyAlignment="1">
      <alignment horizontal="justify" vertical="center"/>
    </xf>
    <xf numFmtId="0" fontId="2" fillId="4" borderId="22" xfId="0" applyFont="1" applyFill="1" applyBorder="1" applyAlignment="1">
      <alignment horizontal="justify" vertical="center"/>
    </xf>
    <xf numFmtId="169" fontId="2" fillId="4" borderId="22" xfId="2" applyNumberFormat="1" applyFont="1" applyFill="1" applyBorder="1" applyAlignment="1">
      <alignment horizontal="center" vertical="center"/>
    </xf>
    <xf numFmtId="4" fontId="2" fillId="4" borderId="2" xfId="0" applyNumberFormat="1" applyFont="1" applyFill="1" applyBorder="1" applyAlignment="1">
      <alignment horizontal="justify" vertical="center"/>
    </xf>
    <xf numFmtId="0" fontId="5" fillId="2" borderId="8" xfId="0" applyFont="1" applyFill="1" applyBorder="1" applyAlignment="1">
      <alignment horizontal="justify" vertical="center"/>
    </xf>
    <xf numFmtId="0" fontId="9" fillId="0" borderId="8" xfId="0" applyFont="1" applyBorder="1" applyAlignment="1">
      <alignment vertical="center" wrapText="1"/>
    </xf>
    <xf numFmtId="0" fontId="5" fillId="0" borderId="8" xfId="0" applyFont="1" applyBorder="1" applyAlignment="1">
      <alignment horizontal="center" vertical="center"/>
    </xf>
    <xf numFmtId="1" fontId="5" fillId="2" borderId="0" xfId="0" applyNumberFormat="1" applyFont="1" applyFill="1" applyAlignment="1">
      <alignment horizontal="justify" vertical="center"/>
    </xf>
    <xf numFmtId="169" fontId="11" fillId="15" borderId="2" xfId="2" applyNumberFormat="1" applyFont="1" applyFill="1" applyBorder="1"/>
    <xf numFmtId="166" fontId="12" fillId="2" borderId="0" xfId="0" applyNumberFormat="1" applyFont="1" applyFill="1" applyAlignment="1">
      <alignment horizontal="justify" vertical="center"/>
    </xf>
    <xf numFmtId="0" fontId="12" fillId="2" borderId="0" xfId="0" applyFont="1" applyFill="1" applyBorder="1" applyAlignment="1">
      <alignment horizontal="justify" vertical="center"/>
    </xf>
    <xf numFmtId="0" fontId="13" fillId="0" borderId="0" xfId="0" applyFont="1" applyBorder="1" applyAlignment="1">
      <alignment vertical="center" wrapText="1"/>
    </xf>
    <xf numFmtId="167" fontId="12" fillId="2" borderId="0" xfId="0" applyNumberFormat="1" applyFont="1" applyFill="1" applyAlignment="1">
      <alignment horizontal="center" vertical="center"/>
    </xf>
    <xf numFmtId="0" fontId="12" fillId="0" borderId="0"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justify" vertical="center"/>
    </xf>
    <xf numFmtId="0" fontId="9" fillId="0" borderId="0" xfId="0" applyFont="1" applyBorder="1" applyAlignment="1">
      <alignment vertical="center" wrapText="1"/>
    </xf>
    <xf numFmtId="167" fontId="5" fillId="2" borderId="0" xfId="0" applyNumberFormat="1" applyFont="1" applyFill="1" applyAlignment="1">
      <alignment horizontal="justify" vertical="center"/>
    </xf>
    <xf numFmtId="0" fontId="2" fillId="0" borderId="2" xfId="0" applyFont="1" applyBorder="1" applyAlignment="1">
      <alignment vertical="center"/>
    </xf>
    <xf numFmtId="0" fontId="5" fillId="2" borderId="0" xfId="0" applyFont="1" applyFill="1"/>
    <xf numFmtId="0" fontId="5" fillId="0" borderId="0" xfId="0" applyFont="1"/>
    <xf numFmtId="0" fontId="2" fillId="0" borderId="2" xfId="0" applyFont="1" applyBorder="1" applyAlignment="1">
      <alignment horizontal="left" vertical="center"/>
    </xf>
    <xf numFmtId="3" fontId="14" fillId="0" borderId="2" xfId="0" applyNumberFormat="1" applyFont="1" applyBorder="1" applyAlignment="1">
      <alignment horizontal="left" vertical="center" wrapText="1"/>
    </xf>
    <xf numFmtId="0" fontId="2" fillId="0" borderId="5" xfId="0" applyFont="1" applyBorder="1" applyAlignment="1">
      <alignment vertical="center"/>
    </xf>
    <xf numFmtId="4" fontId="2" fillId="0" borderId="5" xfId="0" applyNumberFormat="1" applyFont="1" applyBorder="1" applyAlignment="1">
      <alignment vertical="center"/>
    </xf>
    <xf numFmtId="0" fontId="2" fillId="0" borderId="5" xfId="0" applyFont="1" applyBorder="1" applyAlignment="1">
      <alignment horizontal="justify" vertical="center" wrapText="1"/>
    </xf>
    <xf numFmtId="0" fontId="2" fillId="0" borderId="5" xfId="0" applyFont="1" applyBorder="1" applyAlignment="1">
      <alignment horizontal="center" vertical="center"/>
    </xf>
    <xf numFmtId="4" fontId="2" fillId="0" borderId="5" xfId="0" applyNumberFormat="1" applyFont="1" applyBorder="1" applyAlignment="1">
      <alignment horizontal="right" vertical="center"/>
    </xf>
    <xf numFmtId="0" fontId="2" fillId="0" borderId="11" xfId="0" applyFont="1" applyFill="1" applyBorder="1" applyAlignment="1">
      <alignment vertical="center" wrapText="1"/>
    </xf>
    <xf numFmtId="0" fontId="2" fillId="0" borderId="6" xfId="0" applyFont="1" applyBorder="1" applyAlignment="1">
      <alignment vertical="center"/>
    </xf>
    <xf numFmtId="0" fontId="2" fillId="4" borderId="14" xfId="0" applyFont="1" applyFill="1" applyBorder="1" applyAlignment="1">
      <alignment vertical="center" wrapText="1"/>
    </xf>
    <xf numFmtId="1" fontId="2" fillId="5" borderId="9" xfId="0" applyNumberFormat="1" applyFont="1" applyFill="1" applyBorder="1" applyAlignment="1">
      <alignment horizontal="center" vertical="center" wrapText="1"/>
    </xf>
    <xf numFmtId="0" fontId="2" fillId="5" borderId="22" xfId="0" applyFont="1" applyFill="1" applyBorder="1" applyAlignment="1">
      <alignment horizontal="center" vertical="center" wrapText="1"/>
    </xf>
    <xf numFmtId="167" fontId="2" fillId="5" borderId="22" xfId="0" applyNumberFormat="1" applyFont="1" applyFill="1" applyBorder="1" applyAlignment="1">
      <alignment horizontal="center" vertical="center" wrapText="1"/>
    </xf>
    <xf numFmtId="4" fontId="2" fillId="5" borderId="22" xfId="0" applyNumberFormat="1" applyFont="1" applyFill="1" applyBorder="1" applyAlignment="1">
      <alignment horizontal="center" vertical="center" wrapText="1"/>
    </xf>
    <xf numFmtId="4" fontId="2" fillId="5" borderId="13" xfId="0" applyNumberFormat="1" applyFont="1" applyFill="1" applyBorder="1" applyAlignment="1">
      <alignment horizontal="center" vertical="center" wrapText="1"/>
    </xf>
    <xf numFmtId="1" fontId="2" fillId="5" borderId="22" xfId="0" applyNumberFormat="1" applyFont="1" applyFill="1" applyBorder="1" applyAlignment="1">
      <alignment horizontal="center" vertical="center" wrapText="1"/>
    </xf>
    <xf numFmtId="0" fontId="5" fillId="2" borderId="0" xfId="0" applyFont="1" applyFill="1" applyAlignment="1">
      <alignment horizontal="center"/>
    </xf>
    <xf numFmtId="0" fontId="5" fillId="0" borderId="0" xfId="0" applyFont="1" applyAlignment="1">
      <alignment horizontal="center"/>
    </xf>
    <xf numFmtId="0" fontId="3" fillId="16" borderId="22" xfId="0" applyFont="1" applyFill="1" applyBorder="1" applyAlignment="1">
      <alignment horizontal="left" vertical="center" wrapText="1"/>
    </xf>
    <xf numFmtId="0" fontId="3" fillId="16" borderId="22" xfId="0" applyFont="1" applyFill="1" applyBorder="1" applyAlignment="1">
      <alignment horizontal="left" vertical="center"/>
    </xf>
    <xf numFmtId="0" fontId="3" fillId="16" borderId="2" xfId="0" applyFont="1" applyFill="1" applyBorder="1" applyAlignment="1">
      <alignment horizontal="left" vertical="center"/>
    </xf>
    <xf numFmtId="0" fontId="5" fillId="16" borderId="2" xfId="0" applyFont="1" applyFill="1" applyBorder="1"/>
    <xf numFmtId="0" fontId="2" fillId="16" borderId="2" xfId="0" applyFont="1" applyFill="1" applyBorder="1" applyAlignment="1">
      <alignment vertical="center"/>
    </xf>
    <xf numFmtId="0" fontId="2" fillId="16" borderId="2" xfId="0" applyFont="1" applyFill="1" applyBorder="1" applyAlignment="1">
      <alignment horizontal="justify" vertical="center"/>
    </xf>
    <xf numFmtId="1" fontId="2" fillId="16" borderId="2" xfId="0" applyNumberFormat="1" applyFont="1" applyFill="1" applyBorder="1" applyAlignment="1">
      <alignment horizontal="center" vertical="center"/>
    </xf>
    <xf numFmtId="0" fontId="2" fillId="16" borderId="2" xfId="0" applyFont="1" applyFill="1" applyBorder="1" applyAlignment="1">
      <alignment horizontal="center" vertical="center"/>
    </xf>
    <xf numFmtId="0" fontId="2" fillId="16" borderId="10" xfId="0" applyFont="1" applyFill="1" applyBorder="1" applyAlignment="1">
      <alignment vertical="center"/>
    </xf>
    <xf numFmtId="165" fontId="2" fillId="16" borderId="2" xfId="0" applyNumberFormat="1" applyFont="1" applyFill="1" applyBorder="1" applyAlignment="1">
      <alignment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xf>
    <xf numFmtId="0" fontId="15" fillId="17" borderId="9" xfId="0" applyFont="1" applyFill="1" applyBorder="1" applyAlignment="1">
      <alignment horizontal="center" vertical="center"/>
    </xf>
    <xf numFmtId="0" fontId="15" fillId="17" borderId="22" xfId="0" applyFont="1" applyFill="1" applyBorder="1" applyAlignment="1">
      <alignment vertical="center"/>
    </xf>
    <xf numFmtId="0" fontId="15" fillId="17" borderId="2" xfId="0" applyFont="1" applyFill="1" applyBorder="1" applyAlignment="1">
      <alignment vertical="center"/>
    </xf>
    <xf numFmtId="0" fontId="3" fillId="0" borderId="12"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11" borderId="10" xfId="0" applyFont="1" applyFill="1" applyBorder="1" applyAlignment="1">
      <alignment horizontal="left" vertical="center"/>
    </xf>
    <xf numFmtId="0" fontId="3" fillId="11" borderId="2" xfId="0" applyFont="1" applyFill="1" applyBorder="1" applyAlignment="1">
      <alignment horizontal="left" vertical="center"/>
    </xf>
    <xf numFmtId="0" fontId="2" fillId="11" borderId="2" xfId="0" applyFont="1" applyFill="1" applyBorder="1" applyAlignment="1">
      <alignment vertical="center"/>
    </xf>
    <xf numFmtId="0" fontId="2" fillId="11" borderId="22" xfId="0" applyFont="1" applyFill="1" applyBorder="1" applyAlignment="1">
      <alignment horizontal="justify" vertical="center"/>
    </xf>
    <xf numFmtId="0" fontId="2" fillId="11" borderId="22" xfId="0" applyFont="1" applyFill="1" applyBorder="1" applyAlignment="1">
      <alignment vertical="center"/>
    </xf>
    <xf numFmtId="0" fontId="2" fillId="11" borderId="22" xfId="0" applyFont="1" applyFill="1" applyBorder="1" applyAlignment="1">
      <alignment horizontal="center" vertical="center"/>
    </xf>
    <xf numFmtId="4" fontId="2" fillId="11" borderId="2" xfId="0" applyNumberFormat="1" applyFont="1" applyFill="1" applyBorder="1" applyAlignment="1">
      <alignment vertical="center"/>
    </xf>
    <xf numFmtId="4" fontId="2" fillId="11" borderId="2" xfId="0" applyNumberFormat="1" applyFont="1" applyFill="1" applyBorder="1" applyAlignment="1">
      <alignment horizontal="right" vertical="center"/>
    </xf>
    <xf numFmtId="0" fontId="2" fillId="11" borderId="9" xfId="0" applyFont="1" applyFill="1" applyBorder="1" applyAlignment="1">
      <alignment vertical="center"/>
    </xf>
    <xf numFmtId="165" fontId="2" fillId="11" borderId="22" xfId="0" applyNumberFormat="1"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horizontal="left" vertical="center"/>
    </xf>
    <xf numFmtId="172" fontId="5" fillId="0" borderId="10" xfId="1"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49" fontId="8" fillId="0" borderId="2" xfId="8" applyNumberFormat="1" applyFont="1" applyFill="1" applyBorder="1" applyAlignment="1">
      <alignment horizontal="justify" vertical="center" wrapText="1"/>
    </xf>
    <xf numFmtId="0" fontId="8" fillId="0" borderId="2" xfId="0" applyFont="1" applyFill="1" applyBorder="1" applyAlignment="1">
      <alignment horizontal="justify" vertical="center" wrapText="1"/>
    </xf>
    <xf numFmtId="0" fontId="9" fillId="0" borderId="2" xfId="0" applyFont="1" applyFill="1" applyBorder="1" applyAlignment="1">
      <alignment vertical="center"/>
    </xf>
    <xf numFmtId="0" fontId="8" fillId="0"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8" fillId="0" borderId="27" xfId="0" applyFont="1" applyFill="1" applyBorder="1" applyAlignment="1">
      <alignment horizontal="justify" vertical="center" wrapText="1"/>
    </xf>
    <xf numFmtId="0" fontId="9" fillId="0" borderId="35" xfId="0" applyFont="1" applyFill="1" applyBorder="1" applyAlignment="1">
      <alignment horizontal="center" vertical="center" wrapText="1"/>
    </xf>
    <xf numFmtId="172" fontId="8" fillId="0" borderId="10" xfId="1"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2" borderId="2" xfId="0" applyFont="1" applyFill="1" applyBorder="1" applyAlignment="1">
      <alignment horizontal="justify" vertical="center" wrapText="1"/>
    </xf>
    <xf numFmtId="0" fontId="3" fillId="11" borderId="19" xfId="0" applyFont="1" applyFill="1" applyBorder="1" applyAlignment="1">
      <alignment vertical="center"/>
    </xf>
    <xf numFmtId="0" fontId="8" fillId="11" borderId="2" xfId="0" applyFont="1" applyFill="1" applyBorder="1" applyAlignment="1">
      <alignment horizontal="justify" vertical="center" wrapText="1"/>
    </xf>
    <xf numFmtId="0" fontId="8" fillId="11" borderId="27" xfId="0" applyFont="1" applyFill="1" applyBorder="1" applyAlignment="1">
      <alignment horizontal="center" vertical="center" wrapText="1"/>
    </xf>
    <xf numFmtId="0" fontId="5" fillId="11" borderId="27" xfId="0" applyFont="1" applyFill="1" applyBorder="1" applyAlignment="1">
      <alignment horizontal="justify" vertical="center" wrapText="1"/>
    </xf>
    <xf numFmtId="9" fontId="5" fillId="11" borderId="27" xfId="3" applyFont="1" applyFill="1" applyBorder="1" applyAlignment="1">
      <alignment horizontal="center" vertical="center" wrapText="1"/>
    </xf>
    <xf numFmtId="4" fontId="5" fillId="11" borderId="27" xfId="0" applyNumberFormat="1" applyFont="1" applyFill="1" applyBorder="1" applyAlignment="1">
      <alignment horizontal="center" vertical="center" wrapText="1"/>
    </xf>
    <xf numFmtId="0" fontId="5" fillId="11" borderId="11" xfId="0" applyFont="1" applyFill="1" applyBorder="1" applyAlignment="1">
      <alignment horizontal="justify" vertical="center" wrapText="1"/>
    </xf>
    <xf numFmtId="172" fontId="5" fillId="11" borderId="10" xfId="1" applyNumberFormat="1" applyFont="1" applyFill="1" applyBorder="1" applyAlignment="1">
      <alignment horizontal="center" vertical="center" wrapText="1"/>
    </xf>
    <xf numFmtId="0" fontId="3" fillId="0" borderId="8" xfId="0" applyFont="1" applyBorder="1" applyAlignment="1">
      <alignment horizontal="left" vertical="center"/>
    </xf>
    <xf numFmtId="169" fontId="9" fillId="0" borderId="10" xfId="9" applyFont="1" applyFill="1" applyBorder="1" applyAlignment="1">
      <alignment horizontal="center" vertical="center" wrapText="1"/>
    </xf>
    <xf numFmtId="0" fontId="8" fillId="0" borderId="2" xfId="0" applyFont="1" applyFill="1" applyBorder="1" applyAlignment="1">
      <alignment vertical="center" wrapText="1"/>
    </xf>
    <xf numFmtId="0" fontId="3" fillId="0" borderId="1" xfId="0" applyFont="1" applyBorder="1" applyAlignment="1">
      <alignment horizontal="left" vertical="center"/>
    </xf>
    <xf numFmtId="169" fontId="9" fillId="0" borderId="6" xfId="9" applyFont="1" applyFill="1" applyBorder="1" applyAlignment="1">
      <alignment horizontal="center" vertical="center" wrapText="1"/>
    </xf>
    <xf numFmtId="1" fontId="5" fillId="0" borderId="12" xfId="0" applyNumberFormat="1" applyFont="1" applyBorder="1"/>
    <xf numFmtId="0" fontId="5" fillId="0" borderId="12" xfId="0" applyFont="1" applyBorder="1"/>
    <xf numFmtId="0" fontId="5" fillId="0" borderId="1" xfId="0" applyFont="1" applyBorder="1"/>
    <xf numFmtId="169" fontId="9" fillId="0" borderId="9" xfId="9" applyFont="1" applyFill="1" applyBorder="1" applyAlignment="1">
      <alignment horizontal="center" vertical="center" wrapText="1"/>
    </xf>
    <xf numFmtId="172" fontId="8" fillId="0" borderId="6" xfId="1" applyNumberFormat="1" applyFont="1" applyFill="1" applyBorder="1" applyAlignment="1">
      <alignment horizontal="center" vertical="center" wrapText="1"/>
    </xf>
    <xf numFmtId="0" fontId="9" fillId="0" borderId="2" xfId="0" applyFont="1" applyFill="1" applyBorder="1" applyAlignment="1">
      <alignment horizontal="justify" wrapText="1"/>
    </xf>
    <xf numFmtId="0" fontId="8" fillId="0" borderId="36" xfId="0" applyFont="1" applyBorder="1" applyAlignment="1">
      <alignment horizontal="center" vertical="center" wrapText="1"/>
    </xf>
    <xf numFmtId="0" fontId="8" fillId="0" borderId="26" xfId="0" applyFont="1" applyBorder="1" applyAlignment="1">
      <alignment horizontal="justify" vertical="center" wrapText="1"/>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9" fontId="5" fillId="0" borderId="2" xfId="0" applyNumberFormat="1" applyFont="1" applyBorder="1" applyAlignment="1">
      <alignment horizontal="center" vertical="center" wrapText="1"/>
    </xf>
    <xf numFmtId="172" fontId="5" fillId="0" borderId="10" xfId="1" applyNumberFormat="1" applyFont="1" applyFill="1" applyBorder="1" applyAlignment="1">
      <alignment horizontal="center" vertical="center"/>
    </xf>
    <xf numFmtId="0" fontId="5" fillId="0" borderId="2" xfId="0" applyFont="1" applyFill="1" applyBorder="1" applyAlignment="1">
      <alignment horizontal="left" vertical="center" wrapText="1"/>
    </xf>
    <xf numFmtId="0" fontId="8" fillId="0" borderId="28" xfId="0" applyFont="1" applyBorder="1" applyAlignment="1">
      <alignment horizontal="justify" vertical="center" wrapText="1"/>
    </xf>
    <xf numFmtId="0" fontId="8" fillId="0" borderId="28" xfId="0" applyFont="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2" xfId="0" applyFont="1" applyBorder="1" applyAlignment="1">
      <alignment horizontal="justify" vertical="center" wrapText="1"/>
    </xf>
    <xf numFmtId="0" fontId="8" fillId="0" borderId="28" xfId="5" applyFont="1" applyBorder="1" applyAlignment="1">
      <alignment horizontal="justify" vertical="center"/>
    </xf>
    <xf numFmtId="0" fontId="17" fillId="0" borderId="2" xfId="0" applyFont="1" applyFill="1" applyBorder="1" applyAlignment="1">
      <alignment horizontal="justify" vertical="center" wrapText="1"/>
    </xf>
    <xf numFmtId="0" fontId="19" fillId="0" borderId="2" xfId="0" applyFont="1" applyFill="1" applyBorder="1" applyAlignment="1">
      <alignment horizontal="left" vertical="center" wrapText="1"/>
    </xf>
    <xf numFmtId="0" fontId="18" fillId="0" borderId="2" xfId="0" applyFont="1" applyFill="1" applyBorder="1" applyAlignment="1">
      <alignment horizontal="justify" vertical="center" wrapText="1"/>
    </xf>
    <xf numFmtId="1" fontId="5" fillId="0" borderId="12" xfId="0" applyNumberFormat="1" applyFont="1" applyFill="1" applyBorder="1"/>
    <xf numFmtId="0" fontId="5" fillId="0" borderId="0" xfId="0" applyFont="1" applyFill="1"/>
    <xf numFmtId="0" fontId="5" fillId="0" borderId="12" xfId="0" applyFont="1" applyFill="1" applyBorder="1"/>
    <xf numFmtId="0" fontId="5" fillId="0" borderId="1" xfId="0" applyFont="1" applyFill="1" applyBorder="1"/>
    <xf numFmtId="41" fontId="5" fillId="0" borderId="2" xfId="1" applyFont="1" applyFill="1" applyBorder="1" applyAlignment="1">
      <alignment horizontal="justify" vertical="center" wrapText="1"/>
    </xf>
    <xf numFmtId="1" fontId="8" fillId="0" borderId="11"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4" fontId="3" fillId="0" borderId="2" xfId="0" applyNumberFormat="1" applyFont="1" applyFill="1" applyBorder="1" applyAlignment="1">
      <alignment horizontal="right" vertical="center"/>
    </xf>
    <xf numFmtId="166" fontId="8" fillId="0" borderId="2" xfId="0" applyNumberFormat="1" applyFont="1" applyFill="1" applyBorder="1" applyAlignment="1">
      <alignment horizontal="justify" vertical="center" wrapText="1"/>
    </xf>
    <xf numFmtId="0" fontId="3" fillId="0" borderId="13" xfId="0" applyFont="1" applyFill="1" applyBorder="1" applyAlignment="1">
      <alignment horizontal="center" vertical="center"/>
    </xf>
    <xf numFmtId="172" fontId="3" fillId="0" borderId="2" xfId="1"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6" fontId="8"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0" fontId="8" fillId="0" borderId="0" xfId="0" applyFont="1" applyFill="1" applyAlignment="1">
      <alignment horizontal="center" vertical="center"/>
    </xf>
    <xf numFmtId="1" fontId="5" fillId="0" borderId="0" xfId="0" applyNumberFormat="1" applyFont="1"/>
    <xf numFmtId="0" fontId="5" fillId="2" borderId="0" xfId="0" applyFont="1" applyFill="1" applyAlignment="1">
      <alignment horizontal="justify" vertical="center" wrapText="1"/>
    </xf>
    <xf numFmtId="4" fontId="5" fillId="2" borderId="0" xfId="0" applyNumberFormat="1" applyFont="1" applyFill="1" applyAlignment="1">
      <alignment horizontal="center" vertical="center"/>
    </xf>
    <xf numFmtId="166" fontId="5" fillId="2" borderId="0" xfId="0" applyNumberFormat="1" applyFont="1" applyFill="1" applyAlignment="1">
      <alignment horizontal="justify" vertical="center" wrapText="1"/>
    </xf>
    <xf numFmtId="0" fontId="15" fillId="2" borderId="0" xfId="0" applyFont="1" applyFill="1" applyAlignment="1">
      <alignment horizontal="justify" vertical="center"/>
    </xf>
    <xf numFmtId="174" fontId="20" fillId="12" borderId="0" xfId="0" applyNumberFormat="1" applyFont="1" applyFill="1" applyAlignment="1">
      <alignment horizontal="right" vertical="center"/>
    </xf>
    <xf numFmtId="0" fontId="5" fillId="0" borderId="0" xfId="0" applyFont="1" applyFill="1" applyAlignment="1">
      <alignment wrapText="1"/>
    </xf>
    <xf numFmtId="165" fontId="5" fillId="0" borderId="0" xfId="0" applyNumberFormat="1" applyFont="1" applyAlignment="1">
      <alignment horizontal="right" vertical="center"/>
    </xf>
    <xf numFmtId="165" fontId="5" fillId="0" borderId="0" xfId="0" applyNumberFormat="1" applyFont="1" applyAlignment="1">
      <alignment horizontal="center"/>
    </xf>
    <xf numFmtId="4" fontId="15" fillId="2" borderId="0" xfId="0" applyNumberFormat="1" applyFont="1" applyFill="1" applyAlignment="1">
      <alignment horizontal="center" vertical="center"/>
    </xf>
    <xf numFmtId="4" fontId="5" fillId="2" borderId="0" xfId="0" applyNumberFormat="1" applyFont="1" applyFill="1" applyAlignment="1">
      <alignment horizontal="right" vertical="center"/>
    </xf>
    <xf numFmtId="0" fontId="2" fillId="0" borderId="0" xfId="0" applyFont="1" applyFill="1" applyAlignment="1">
      <alignment wrapText="1"/>
    </xf>
    <xf numFmtId="0" fontId="5" fillId="0" borderId="0" xfId="0" applyFont="1" applyFill="1" applyAlignment="1">
      <alignment horizontal="left" vertical="center" wrapText="1"/>
    </xf>
    <xf numFmtId="0" fontId="9" fillId="12" borderId="2" xfId="0" applyFont="1" applyFill="1" applyBorder="1" applyAlignment="1">
      <alignment horizontal="justify" vertical="center" wrapText="1"/>
    </xf>
    <xf numFmtId="0" fontId="9" fillId="0" borderId="12" xfId="0" applyFont="1" applyFill="1" applyBorder="1" applyAlignment="1">
      <alignment horizontal="justify" vertical="center" wrapText="1"/>
    </xf>
    <xf numFmtId="9" fontId="5" fillId="2" borderId="2" xfId="3"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8" fillId="2" borderId="2" xfId="0" applyFont="1" applyFill="1" applyBorder="1" applyAlignment="1">
      <alignment horizontal="justify" vertical="center" wrapText="1"/>
    </xf>
    <xf numFmtId="0" fontId="8" fillId="2" borderId="2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2" fillId="5" borderId="2" xfId="0" applyNumberFormat="1" applyFont="1" applyFill="1" applyBorder="1" applyAlignment="1">
      <alignment horizontal="center" vertical="center" textRotation="90"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8" fillId="0" borderId="2" xfId="0" applyFont="1" applyBorder="1" applyAlignment="1">
      <alignment horizontal="justify"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8" fillId="13" borderId="2" xfId="0" applyFont="1" applyFill="1" applyBorder="1" applyAlignment="1">
      <alignment horizontal="center" vertical="center" wrapText="1"/>
    </xf>
    <xf numFmtId="0" fontId="8" fillId="0" borderId="37" xfId="0" applyFont="1" applyFill="1" applyBorder="1" applyAlignment="1">
      <alignment horizontal="justify" vertical="center" wrapText="1"/>
    </xf>
    <xf numFmtId="1" fontId="2" fillId="5"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49" fontId="8" fillId="0" borderId="2" xfId="0" applyNumberFormat="1" applyFont="1" applyBorder="1" applyAlignment="1">
      <alignment horizontal="left" vertical="center"/>
    </xf>
    <xf numFmtId="14" fontId="8" fillId="0" borderId="2" xfId="0" applyNumberFormat="1" applyFont="1" applyBorder="1" applyAlignment="1">
      <alignment horizontal="left" vertical="center" wrapText="1"/>
    </xf>
    <xf numFmtId="3" fontId="3" fillId="0" borderId="2"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justify" vertical="center"/>
    </xf>
    <xf numFmtId="0" fontId="3" fillId="0" borderId="10" xfId="0" applyFont="1" applyBorder="1" applyAlignment="1">
      <alignment horizontal="center" vertical="center"/>
    </xf>
    <xf numFmtId="1" fontId="2" fillId="7" borderId="35" xfId="0" applyNumberFormat="1" applyFont="1" applyFill="1" applyBorder="1" applyAlignment="1">
      <alignment horizontal="center" vertical="center" wrapText="1"/>
    </xf>
    <xf numFmtId="0" fontId="3" fillId="7" borderId="24" xfId="0" applyFont="1" applyFill="1" applyBorder="1" applyAlignment="1">
      <alignment horizontal="left" vertical="center"/>
    </xf>
    <xf numFmtId="0" fontId="3" fillId="7" borderId="8" xfId="0" applyFont="1" applyFill="1" applyBorder="1" applyAlignment="1">
      <alignment horizontal="left" vertical="center"/>
    </xf>
    <xf numFmtId="0" fontId="2" fillId="7" borderId="21" xfId="0" applyFont="1" applyFill="1" applyBorder="1" applyAlignment="1">
      <alignment horizontal="justify" vertical="center"/>
    </xf>
    <xf numFmtId="0" fontId="2" fillId="7" borderId="21" xfId="0" applyFont="1" applyFill="1" applyBorder="1" applyAlignment="1">
      <alignment horizontal="center" vertical="center"/>
    </xf>
    <xf numFmtId="167" fontId="2" fillId="7" borderId="21"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xf numFmtId="0" fontId="5" fillId="7" borderId="21" xfId="0" applyFont="1" applyFill="1" applyBorder="1" applyAlignment="1">
      <alignment horizontal="justify" vertical="center"/>
    </xf>
    <xf numFmtId="1" fontId="2" fillId="7" borderId="21" xfId="0" applyNumberFormat="1" applyFont="1" applyFill="1" applyBorder="1" applyAlignment="1">
      <alignment horizontal="center" vertical="center"/>
    </xf>
    <xf numFmtId="0" fontId="2" fillId="7" borderId="17" xfId="0" applyFont="1" applyFill="1" applyBorder="1" applyAlignment="1">
      <alignment horizontal="center" vertical="center"/>
    </xf>
    <xf numFmtId="1" fontId="2" fillId="0" borderId="7"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 fillId="9" borderId="21" xfId="0" applyFont="1" applyFill="1" applyBorder="1" applyAlignment="1">
      <alignment horizontal="justify" vertical="center"/>
    </xf>
    <xf numFmtId="0" fontId="2" fillId="9" borderId="18" xfId="0" applyFont="1" applyFill="1" applyBorder="1" applyAlignment="1">
      <alignment horizontal="center" vertical="center"/>
    </xf>
    <xf numFmtId="1" fontId="2" fillId="0" borderId="1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0" xfId="0" applyFont="1" applyFill="1" applyBorder="1" applyAlignment="1">
      <alignment horizontal="center" vertical="center"/>
    </xf>
    <xf numFmtId="0" fontId="3" fillId="11" borderId="20" xfId="0" applyFont="1" applyFill="1" applyBorder="1" applyAlignment="1">
      <alignment horizontal="justify" vertical="center"/>
    </xf>
    <xf numFmtId="0" fontId="8" fillId="11" borderId="20" xfId="0" applyFont="1" applyFill="1" applyBorder="1" applyAlignment="1">
      <alignment horizontal="justify" vertical="center"/>
    </xf>
    <xf numFmtId="0" fontId="3" fillId="11" borderId="21" xfId="0" applyFont="1" applyFill="1" applyBorder="1" applyAlignment="1">
      <alignment horizontal="center" vertical="center"/>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9" fontId="8" fillId="2" borderId="2" xfId="10" applyNumberFormat="1" applyFont="1" applyFill="1" applyBorder="1" applyAlignment="1">
      <alignment horizontal="center" vertical="center"/>
    </xf>
    <xf numFmtId="0" fontId="9" fillId="2" borderId="20" xfId="0" applyFont="1" applyFill="1" applyBorder="1" applyAlignment="1">
      <alignment horizontal="center" vertical="center" wrapText="1"/>
    </xf>
    <xf numFmtId="169" fontId="8" fillId="2" borderId="22" xfId="10" applyNumberFormat="1" applyFont="1" applyFill="1" applyBorder="1" applyAlignment="1">
      <alignment horizontal="center" vertical="center"/>
    </xf>
    <xf numFmtId="0" fontId="9" fillId="2" borderId="21" xfId="0" applyFont="1" applyFill="1" applyBorder="1" applyAlignment="1">
      <alignment horizontal="center" vertical="center" wrapText="1"/>
    </xf>
    <xf numFmtId="0" fontId="3" fillId="0" borderId="0" xfId="0" applyFont="1" applyBorder="1" applyAlignment="1">
      <alignment horizontal="center" vertical="center" wrapText="1"/>
    </xf>
    <xf numFmtId="169" fontId="8" fillId="2" borderId="2" xfId="0" applyNumberFormat="1" applyFont="1" applyFill="1" applyBorder="1" applyAlignment="1">
      <alignment horizontal="center" vertical="center"/>
    </xf>
    <xf numFmtId="0" fontId="8" fillId="0" borderId="2" xfId="10" applyNumberFormat="1" applyFont="1" applyFill="1" applyBorder="1" applyAlignment="1">
      <alignment horizontal="center" vertical="center"/>
    </xf>
    <xf numFmtId="169" fontId="8" fillId="2" borderId="2" xfId="10" applyFont="1" applyFill="1" applyBorder="1" applyAlignment="1">
      <alignment horizontal="center" vertical="center" wrapText="1"/>
    </xf>
    <xf numFmtId="169" fontId="8" fillId="2" borderId="28" xfId="10" applyFont="1" applyFill="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11" borderId="18"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6" xfId="0" applyFont="1" applyFill="1" applyBorder="1" applyAlignment="1">
      <alignment horizontal="justify" vertical="center" wrapText="1"/>
    </xf>
    <xf numFmtId="0" fontId="3" fillId="11" borderId="16" xfId="0" applyFont="1" applyFill="1" applyBorder="1" applyAlignment="1">
      <alignment horizontal="justify" vertical="center"/>
    </xf>
    <xf numFmtId="0" fontId="3" fillId="11" borderId="2" xfId="0" applyFont="1" applyFill="1" applyBorder="1" applyAlignment="1">
      <alignment horizontal="center" vertical="center" wrapText="1"/>
    </xf>
    <xf numFmtId="169" fontId="8" fillId="11" borderId="2" xfId="0" applyNumberFormat="1" applyFont="1" applyFill="1" applyBorder="1" applyAlignment="1">
      <alignment horizontal="justify" vertical="center"/>
    </xf>
    <xf numFmtId="169" fontId="3" fillId="11" borderId="2" xfId="0" applyNumberFormat="1" applyFont="1" applyFill="1" applyBorder="1" applyAlignment="1">
      <alignment horizontal="justify" vertical="center"/>
    </xf>
    <xf numFmtId="169" fontId="3" fillId="11" borderId="2" xfId="0" applyNumberFormat="1" applyFont="1" applyFill="1" applyBorder="1" applyAlignment="1">
      <alignment horizontal="center" vertical="center"/>
    </xf>
    <xf numFmtId="0" fontId="8" fillId="11" borderId="2" xfId="0" applyFont="1" applyFill="1" applyBorder="1" applyAlignment="1">
      <alignment horizontal="center" vertical="center"/>
    </xf>
    <xf numFmtId="169" fontId="3" fillId="11" borderId="2" xfId="0" applyNumberFormat="1" applyFont="1" applyFill="1" applyBorder="1" applyAlignment="1">
      <alignment horizontal="center" vertical="center" wrapText="1"/>
    </xf>
    <xf numFmtId="169" fontId="8" fillId="0" borderId="30" xfId="0" applyNumberFormat="1" applyFont="1" applyBorder="1" applyAlignment="1">
      <alignment horizontal="justify" vertical="center" wrapText="1"/>
    </xf>
    <xf numFmtId="169" fontId="8" fillId="0" borderId="27"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0" fontId="8" fillId="0" borderId="36" xfId="0" applyFont="1" applyBorder="1" applyAlignment="1">
      <alignment horizontal="center" vertical="center"/>
    </xf>
    <xf numFmtId="169" fontId="8" fillId="0" borderId="26" xfId="0" applyNumberFormat="1" applyFont="1" applyBorder="1" applyAlignment="1">
      <alignment horizontal="center" vertical="center" wrapText="1"/>
    </xf>
    <xf numFmtId="0" fontId="3" fillId="0" borderId="1" xfId="0" applyFont="1" applyBorder="1" applyAlignment="1">
      <alignment horizontal="center" vertical="center"/>
    </xf>
    <xf numFmtId="169" fontId="8" fillId="0" borderId="19" xfId="10" applyFont="1" applyFill="1" applyBorder="1" applyAlignment="1">
      <alignment horizontal="justify" vertical="center"/>
    </xf>
    <xf numFmtId="169" fontId="8" fillId="0" borderId="2"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8" fillId="0" borderId="18" xfId="0" applyFont="1" applyBorder="1" applyAlignment="1">
      <alignment horizontal="center" vertical="center"/>
    </xf>
    <xf numFmtId="169" fontId="8" fillId="0" borderId="35" xfId="0" applyNumberFormat="1" applyFont="1" applyBorder="1" applyAlignment="1">
      <alignment horizontal="center" vertical="center" wrapText="1"/>
    </xf>
    <xf numFmtId="0" fontId="2" fillId="4" borderId="13" xfId="0" applyFont="1" applyFill="1" applyBorder="1" applyAlignment="1">
      <alignment horizontal="center" vertical="center"/>
    </xf>
    <xf numFmtId="41" fontId="2" fillId="4" borderId="14" xfId="12" applyNumberFormat="1" applyFont="1" applyFill="1" applyBorder="1" applyAlignment="1">
      <alignment vertical="center"/>
    </xf>
    <xf numFmtId="169" fontId="2" fillId="4" borderId="2" xfId="12" applyNumberFormat="1" applyFont="1" applyFill="1" applyBorder="1" applyAlignment="1">
      <alignment horizontal="center" vertical="center"/>
    </xf>
    <xf numFmtId="0" fontId="2" fillId="4" borderId="10" xfId="0" applyFont="1" applyFill="1" applyBorder="1" applyAlignment="1">
      <alignment horizontal="center" vertical="center"/>
    </xf>
    <xf numFmtId="0" fontId="2" fillId="0" borderId="3" xfId="0" applyFont="1" applyBorder="1" applyAlignment="1">
      <alignment horizontal="center"/>
    </xf>
    <xf numFmtId="164" fontId="5" fillId="0" borderId="4" xfId="0" applyNumberFormat="1" applyFont="1" applyBorder="1" applyAlignment="1">
      <alignment horizontal="left"/>
    </xf>
    <xf numFmtId="14" fontId="5" fillId="0" borderId="4" xfId="0" applyNumberFormat="1" applyFont="1" applyBorder="1" applyAlignment="1">
      <alignment horizontal="left"/>
    </xf>
    <xf numFmtId="3" fontId="14" fillId="3" borderId="4" xfId="0" applyNumberFormat="1" applyFont="1" applyFill="1" applyBorder="1" applyAlignment="1">
      <alignment horizontal="center" vertical="center" wrapText="1"/>
    </xf>
    <xf numFmtId="0" fontId="2" fillId="0" borderId="6" xfId="0" applyFont="1" applyBorder="1" applyAlignment="1">
      <alignment horizontal="justify" vertical="center"/>
    </xf>
    <xf numFmtId="1" fontId="2" fillId="5" borderId="10"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0" fontId="2" fillId="7" borderId="10" xfId="0" applyFont="1" applyFill="1" applyBorder="1" applyAlignment="1">
      <alignment horizontal="center" vertical="center"/>
    </xf>
    <xf numFmtId="1" fontId="2" fillId="7" borderId="2" xfId="0" applyNumberFormat="1" applyFont="1" applyFill="1" applyBorder="1" applyAlignment="1">
      <alignment horizontal="center" vertical="center"/>
    </xf>
    <xf numFmtId="167" fontId="2" fillId="9" borderId="0" xfId="0" applyNumberFormat="1" applyFont="1" applyFill="1" applyBorder="1" applyAlignment="1">
      <alignment horizontal="center" vertical="center"/>
    </xf>
    <xf numFmtId="166" fontId="2" fillId="9" borderId="0" xfId="0" applyNumberFormat="1" applyFont="1" applyFill="1" applyBorder="1" applyAlignment="1">
      <alignment horizontal="center" vertical="center"/>
    </xf>
    <xf numFmtId="1" fontId="2" fillId="9" borderId="0" xfId="0" applyNumberFormat="1" applyFont="1" applyFill="1" applyBorder="1" applyAlignment="1">
      <alignment horizontal="center" vertical="center"/>
    </xf>
    <xf numFmtId="165" fontId="2" fillId="9" borderId="0" xfId="0" applyNumberFormat="1" applyFont="1" applyFill="1" applyBorder="1" applyAlignment="1">
      <alignment horizontal="center" vertical="center"/>
    </xf>
    <xf numFmtId="0" fontId="2" fillId="9" borderId="17" xfId="0" applyFont="1" applyFill="1" applyBorder="1" applyAlignment="1">
      <alignment horizontal="justify" vertical="center"/>
    </xf>
    <xf numFmtId="0" fontId="2" fillId="11" borderId="18" xfId="0" applyFont="1" applyFill="1" applyBorder="1" applyAlignment="1">
      <alignment horizontal="justify" vertical="center"/>
    </xf>
    <xf numFmtId="169" fontId="8" fillId="0" borderId="2" xfId="2"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5" fillId="0" borderId="2" xfId="5" applyFont="1" applyFill="1" applyBorder="1" applyAlignment="1">
      <alignment horizontal="justify" vertical="center" wrapText="1"/>
    </xf>
    <xf numFmtId="169" fontId="5" fillId="0" borderId="2" xfId="2" applyNumberFormat="1" applyFont="1" applyFill="1" applyBorder="1" applyAlignment="1">
      <alignment horizontal="center" vertical="center"/>
    </xf>
    <xf numFmtId="0" fontId="3" fillId="9" borderId="2" xfId="0" applyFont="1" applyFill="1" applyBorder="1" applyAlignment="1">
      <alignment horizontal="center" vertical="center" wrapText="1"/>
    </xf>
    <xf numFmtId="0" fontId="8" fillId="9" borderId="2" xfId="13" applyNumberFormat="1" applyFont="1" applyFill="1" applyBorder="1" applyAlignment="1">
      <alignment horizontal="center" vertical="center" wrapText="1"/>
    </xf>
    <xf numFmtId="0" fontId="8" fillId="9" borderId="2" xfId="13" applyNumberFormat="1" applyFont="1" applyFill="1" applyBorder="1" applyAlignment="1">
      <alignment horizontal="justify"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justify" vertical="center" wrapText="1"/>
    </xf>
    <xf numFmtId="9" fontId="5" fillId="9" borderId="2" xfId="3" applyFont="1" applyFill="1" applyBorder="1" applyAlignment="1">
      <alignment horizontal="center" vertical="center" wrapText="1"/>
    </xf>
    <xf numFmtId="169" fontId="8" fillId="9" borderId="2" xfId="11" applyNumberFormat="1" applyFont="1" applyFill="1" applyBorder="1" applyAlignment="1">
      <alignment horizontal="center" vertical="center" wrapText="1"/>
    </xf>
    <xf numFmtId="3" fontId="5" fillId="9" borderId="2" xfId="0" applyNumberFormat="1" applyFont="1" applyFill="1" applyBorder="1" applyAlignment="1">
      <alignment horizontal="justify" vertical="center" wrapText="1"/>
    </xf>
    <xf numFmtId="0" fontId="5" fillId="9" borderId="2" xfId="5" applyFont="1" applyFill="1" applyBorder="1" applyAlignment="1">
      <alignment horizontal="justify" vertical="center" wrapText="1"/>
    </xf>
    <xf numFmtId="169" fontId="5" fillId="9" borderId="2" xfId="2" applyNumberFormat="1" applyFont="1" applyFill="1" applyBorder="1" applyAlignment="1">
      <alignment horizontal="center" vertical="center"/>
    </xf>
    <xf numFmtId="0" fontId="5" fillId="9" borderId="0" xfId="0" applyFont="1" applyFill="1" applyBorder="1" applyAlignment="1">
      <alignment horizontal="center" vertical="center" wrapText="1"/>
    </xf>
    <xf numFmtId="1" fontId="5" fillId="9" borderId="2" xfId="0" applyNumberFormat="1" applyFont="1" applyFill="1" applyBorder="1" applyAlignment="1">
      <alignment horizontal="center" vertical="center" wrapText="1"/>
    </xf>
    <xf numFmtId="3" fontId="5" fillId="9" borderId="2" xfId="0" applyNumberFormat="1" applyFont="1" applyFill="1" applyBorder="1" applyAlignment="1">
      <alignment horizontal="center" vertical="center"/>
    </xf>
    <xf numFmtId="165" fontId="5" fillId="9" borderId="2" xfId="0" applyNumberFormat="1" applyFont="1" applyFill="1" applyBorder="1" applyAlignment="1">
      <alignment horizontal="center" vertical="center" wrapText="1"/>
    </xf>
    <xf numFmtId="169" fontId="2" fillId="11" borderId="2" xfId="0" applyNumberFormat="1" applyFont="1" applyFill="1" applyBorder="1" applyAlignment="1">
      <alignment horizontal="center" vertical="center"/>
    </xf>
    <xf numFmtId="169" fontId="5" fillId="11" borderId="2" xfId="2" applyNumberFormat="1" applyFont="1" applyFill="1" applyBorder="1" applyAlignment="1">
      <alignment horizontal="center" vertical="center"/>
    </xf>
    <xf numFmtId="0" fontId="5" fillId="0" borderId="2" xfId="5" applyFont="1" applyBorder="1" applyAlignment="1">
      <alignment horizontal="justify" vertical="center" wrapText="1"/>
    </xf>
    <xf numFmtId="0" fontId="8" fillId="9" borderId="2" xfId="14" applyNumberFormat="1" applyFont="1" applyFill="1" applyBorder="1" applyAlignment="1">
      <alignment horizontal="center" vertical="center" wrapText="1"/>
    </xf>
    <xf numFmtId="0" fontId="8" fillId="9" borderId="2" xfId="14" applyFont="1" applyFill="1" applyBorder="1" applyAlignment="1">
      <alignment horizontal="justify" vertical="center" wrapText="1"/>
    </xf>
    <xf numFmtId="0" fontId="8" fillId="9" borderId="2" xfId="14" applyFont="1" applyFill="1" applyBorder="1" applyAlignment="1">
      <alignment horizontal="center" vertical="center" wrapText="1"/>
    </xf>
    <xf numFmtId="9" fontId="5" fillId="9" borderId="2" xfId="3" applyFont="1" applyFill="1" applyBorder="1" applyAlignment="1">
      <alignment horizontal="center" vertical="center"/>
    </xf>
    <xf numFmtId="169" fontId="5" fillId="9" borderId="2" xfId="0" applyNumberFormat="1" applyFont="1" applyFill="1" applyBorder="1" applyAlignment="1">
      <alignment horizontal="center" vertical="center" wrapText="1"/>
    </xf>
    <xf numFmtId="0" fontId="5" fillId="9" borderId="2" xfId="0" applyFont="1" applyFill="1" applyBorder="1" applyAlignment="1">
      <alignment horizontal="justify" vertical="center"/>
    </xf>
    <xf numFmtId="0" fontId="2" fillId="11" borderId="2" xfId="0" applyFont="1" applyFill="1" applyBorder="1" applyAlignment="1">
      <alignment horizontal="left" vertical="center"/>
    </xf>
    <xf numFmtId="0" fontId="9" fillId="0" borderId="28" xfId="0" applyFont="1" applyFill="1" applyBorder="1" applyAlignment="1">
      <alignment horizontal="justify" vertical="center" wrapText="1"/>
    </xf>
    <xf numFmtId="0" fontId="8" fillId="9" borderId="2" xfId="0" applyFont="1" applyFill="1" applyBorder="1" applyAlignment="1">
      <alignment horizontal="justify" vertical="center" wrapText="1"/>
    </xf>
    <xf numFmtId="165" fontId="5" fillId="9" borderId="2" xfId="0" applyNumberFormat="1" applyFont="1" applyFill="1" applyBorder="1" applyAlignment="1">
      <alignment horizontal="justify" vertical="center" wrapText="1"/>
    </xf>
    <xf numFmtId="0" fontId="2" fillId="11" borderId="10" xfId="0" applyFont="1" applyFill="1" applyBorder="1" applyAlignment="1">
      <alignment horizontal="center" vertical="center"/>
    </xf>
    <xf numFmtId="169" fontId="8" fillId="2" borderId="2" xfId="2"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4" xfId="0" applyFont="1" applyFill="1" applyBorder="1" applyAlignment="1">
      <alignment horizontal="center" vertical="center"/>
    </xf>
    <xf numFmtId="0" fontId="8" fillId="2" borderId="28" xfId="0" applyFont="1" applyFill="1" applyBorder="1" applyAlignment="1">
      <alignment horizontal="justify" vertical="center" wrapText="1"/>
    </xf>
    <xf numFmtId="1" fontId="2" fillId="7" borderId="48" xfId="0" applyNumberFormat="1" applyFont="1" applyFill="1" applyBorder="1" applyAlignment="1">
      <alignment horizontal="center" vertical="center" wrapText="1"/>
    </xf>
    <xf numFmtId="169" fontId="2" fillId="7" borderId="2" xfId="0" applyNumberFormat="1" applyFont="1" applyFill="1" applyBorder="1" applyAlignment="1">
      <alignment horizontal="center" vertical="center"/>
    </xf>
    <xf numFmtId="169" fontId="5" fillId="7" borderId="2" xfId="2" applyNumberFormat="1" applyFont="1" applyFill="1" applyBorder="1" applyAlignment="1">
      <alignment horizontal="center" vertical="center"/>
    </xf>
    <xf numFmtId="169" fontId="2" fillId="9" borderId="2" xfId="0" applyNumberFormat="1" applyFont="1" applyFill="1" applyBorder="1" applyAlignment="1">
      <alignment horizontal="center" vertical="center"/>
    </xf>
    <xf numFmtId="1" fontId="2" fillId="9" borderId="2" xfId="0" applyNumberFormat="1" applyFont="1" applyFill="1" applyBorder="1" applyAlignment="1">
      <alignment horizontal="center" vertical="center"/>
    </xf>
    <xf numFmtId="0" fontId="2" fillId="11" borderId="2" xfId="0" applyFont="1" applyFill="1" applyBorder="1" applyAlignment="1">
      <alignment horizontal="center" vertical="center" wrapText="1"/>
    </xf>
    <xf numFmtId="177" fontId="8" fillId="0" borderId="2" xfId="0" applyNumberFormat="1" applyFont="1" applyFill="1" applyBorder="1" applyAlignment="1">
      <alignment horizontal="justify" vertical="center" wrapText="1"/>
    </xf>
    <xf numFmtId="169" fontId="8" fillId="2" borderId="2" xfId="2" applyNumberFormat="1" applyFont="1" applyFill="1" applyBorder="1" applyAlignment="1">
      <alignment horizontal="center" vertical="center"/>
    </xf>
    <xf numFmtId="169" fontId="8" fillId="0" borderId="2" xfId="2" applyNumberFormat="1" applyFont="1" applyFill="1" applyBorder="1" applyAlignment="1">
      <alignment horizontal="center" vertical="center"/>
    </xf>
    <xf numFmtId="177" fontId="8" fillId="2" borderId="25" xfId="0" applyNumberFormat="1" applyFont="1" applyFill="1" applyBorder="1" applyAlignment="1">
      <alignment horizontal="justify" vertical="center" wrapText="1"/>
    </xf>
    <xf numFmtId="0" fontId="9" fillId="2" borderId="34" xfId="0"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13" borderId="10" xfId="0" applyFont="1" applyFill="1" applyBorder="1" applyAlignment="1">
      <alignment horizontal="center" vertical="center" wrapText="1"/>
    </xf>
    <xf numFmtId="177" fontId="8" fillId="2" borderId="13" xfId="0" applyNumberFormat="1" applyFont="1" applyFill="1" applyBorder="1" applyAlignment="1">
      <alignment horizontal="justify" vertical="center" wrapText="1"/>
    </xf>
    <xf numFmtId="0" fontId="8" fillId="2" borderId="2" xfId="0" applyNumberFormat="1" applyFont="1" applyFill="1" applyBorder="1" applyAlignment="1">
      <alignment horizontal="center" vertical="center" wrapText="1"/>
    </xf>
    <xf numFmtId="169" fontId="5" fillId="2" borderId="2" xfId="0" applyNumberFormat="1" applyFont="1" applyFill="1" applyBorder="1" applyAlignment="1">
      <alignment horizontal="center" vertical="center" wrapText="1"/>
    </xf>
    <xf numFmtId="169" fontId="5" fillId="0" borderId="2" xfId="2"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justify" vertical="center" wrapText="1"/>
    </xf>
    <xf numFmtId="0" fontId="8"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169" fontId="5" fillId="9" borderId="2" xfId="2" applyNumberFormat="1" applyFont="1" applyFill="1" applyBorder="1" applyAlignment="1">
      <alignment horizontal="center" vertical="center" wrapText="1"/>
    </xf>
    <xf numFmtId="0" fontId="8" fillId="9" borderId="0" xfId="0" applyFont="1" applyFill="1" applyBorder="1" applyAlignment="1">
      <alignment horizontal="center" vertical="center" wrapText="1"/>
    </xf>
    <xf numFmtId="0" fontId="5" fillId="0" borderId="0" xfId="0" applyFont="1" applyAlignment="1">
      <alignment horizontal="center" vertical="center" wrapText="1"/>
    </xf>
    <xf numFmtId="169" fontId="8" fillId="2" borderId="2" xfId="2" quotePrefix="1" applyNumberFormat="1" applyFont="1" applyFill="1" applyBorder="1" applyAlignment="1">
      <alignment horizontal="center" vertical="center" wrapText="1"/>
    </xf>
    <xf numFmtId="177" fontId="8" fillId="2" borderId="28" xfId="0" applyNumberFormat="1" applyFont="1" applyFill="1" applyBorder="1" applyAlignment="1">
      <alignment horizontal="justify" vertical="center" wrapText="1"/>
    </xf>
    <xf numFmtId="177" fontId="8" fillId="2" borderId="35" xfId="0" applyNumberFormat="1" applyFont="1" applyFill="1" applyBorder="1" applyAlignment="1">
      <alignment horizontal="justify" vertical="center" wrapText="1"/>
    </xf>
    <xf numFmtId="177" fontId="8" fillId="9" borderId="2" xfId="0" applyNumberFormat="1" applyFont="1" applyFill="1" applyBorder="1" applyAlignment="1">
      <alignment horizontal="justify" vertical="center" wrapText="1"/>
    </xf>
    <xf numFmtId="0" fontId="19" fillId="9" borderId="0"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3" fillId="7" borderId="49" xfId="0" applyFont="1" applyFill="1" applyBorder="1" applyAlignment="1">
      <alignment horizontal="center" vertical="center" wrapText="1"/>
    </xf>
    <xf numFmtId="0" fontId="8" fillId="7" borderId="2" xfId="5" applyFont="1" applyFill="1" applyBorder="1" applyAlignment="1">
      <alignment horizontal="center" vertical="center" wrapText="1"/>
    </xf>
    <xf numFmtId="0" fontId="8" fillId="7" borderId="2" xfId="5" applyFont="1" applyFill="1" applyBorder="1" applyAlignment="1">
      <alignment horizontal="justify" vertical="center" wrapText="1"/>
    </xf>
    <xf numFmtId="0" fontId="5"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horizontal="justify" vertical="center" wrapText="1"/>
    </xf>
    <xf numFmtId="9" fontId="5" fillId="7" borderId="2" xfId="3" applyFont="1" applyFill="1" applyBorder="1" applyAlignment="1">
      <alignment horizontal="center" vertical="center" wrapText="1"/>
    </xf>
    <xf numFmtId="169" fontId="5" fillId="7" borderId="2" xfId="0" applyNumberFormat="1" applyFont="1" applyFill="1" applyBorder="1" applyAlignment="1">
      <alignment horizontal="center" vertical="center" wrapText="1"/>
    </xf>
    <xf numFmtId="0" fontId="5" fillId="7" borderId="2" xfId="0" applyFont="1" applyFill="1" applyBorder="1" applyAlignment="1">
      <alignment horizontal="justify" vertical="center" wrapText="1"/>
    </xf>
    <xf numFmtId="169" fontId="5" fillId="7" borderId="2" xfId="2"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 fontId="5" fillId="7" borderId="2" xfId="0" applyNumberFormat="1" applyFont="1" applyFill="1" applyBorder="1" applyAlignment="1">
      <alignment horizontal="center" vertical="center" wrapText="1"/>
    </xf>
    <xf numFmtId="165" fontId="5" fillId="7" borderId="2" xfId="0" applyNumberFormat="1" applyFont="1" applyFill="1" applyBorder="1" applyAlignment="1">
      <alignment horizontal="center" vertical="center" wrapText="1"/>
    </xf>
    <xf numFmtId="3" fontId="5" fillId="7" borderId="2" xfId="0" applyNumberFormat="1" applyFont="1" applyFill="1" applyBorder="1" applyAlignment="1">
      <alignment horizontal="justify" vertical="center" wrapText="1"/>
    </xf>
    <xf numFmtId="0" fontId="8" fillId="9" borderId="2" xfId="5" applyFont="1" applyFill="1" applyBorder="1" applyAlignment="1">
      <alignment horizontal="center" vertical="center" wrapText="1"/>
    </xf>
    <xf numFmtId="0" fontId="8" fillId="9" borderId="2" xfId="5" applyFont="1" applyFill="1" applyBorder="1" applyAlignment="1">
      <alignment horizontal="justify" vertical="center" wrapText="1"/>
    </xf>
    <xf numFmtId="0" fontId="5" fillId="9" borderId="21" xfId="0" applyFont="1" applyFill="1" applyBorder="1" applyAlignment="1">
      <alignment horizontal="center" vertical="center" wrapText="1"/>
    </xf>
    <xf numFmtId="0" fontId="2" fillId="11" borderId="0" xfId="0" applyFont="1" applyFill="1" applyBorder="1" applyAlignment="1">
      <alignment horizontal="center" vertical="center"/>
    </xf>
    <xf numFmtId="1" fontId="2" fillId="7" borderId="49" xfId="0" applyNumberFormat="1" applyFont="1" applyFill="1" applyBorder="1" applyAlignment="1">
      <alignment horizontal="center" vertical="center" wrapText="1"/>
    </xf>
    <xf numFmtId="0" fontId="19" fillId="9" borderId="21" xfId="0" applyFont="1" applyFill="1" applyBorder="1" applyAlignment="1">
      <alignment horizontal="center" vertical="center" wrapText="1"/>
    </xf>
    <xf numFmtId="0" fontId="8" fillId="0" borderId="2" xfId="13" applyNumberFormat="1" applyFont="1" applyFill="1" applyBorder="1" applyAlignment="1">
      <alignment horizontal="center" vertical="center" wrapText="1"/>
    </xf>
    <xf numFmtId="176" fontId="8" fillId="0" borderId="2" xfId="13" applyFont="1" applyFill="1" applyBorder="1" applyAlignment="1">
      <alignment horizontal="justify" vertical="center" wrapText="1"/>
    </xf>
    <xf numFmtId="0" fontId="5" fillId="0" borderId="2" xfId="0" applyFont="1" applyFill="1" applyBorder="1" applyAlignment="1">
      <alignment horizontal="center" vertical="center"/>
    </xf>
    <xf numFmtId="10" fontId="5" fillId="0" borderId="2" xfId="3" applyNumberFormat="1" applyFont="1" applyFill="1" applyBorder="1" applyAlignment="1">
      <alignment horizontal="center" vertical="center"/>
    </xf>
    <xf numFmtId="176" fontId="8" fillId="2" borderId="2" xfId="13" applyFont="1" applyFill="1" applyBorder="1" applyAlignment="1">
      <alignment horizontal="justify" vertical="center" wrapText="1"/>
    </xf>
    <xf numFmtId="0" fontId="9" fillId="2" borderId="2" xfId="0" applyFont="1" applyFill="1" applyBorder="1" applyAlignment="1">
      <alignment horizontal="justify" vertical="center" wrapText="1"/>
    </xf>
    <xf numFmtId="0" fontId="8" fillId="0" borderId="2" xfId="13" applyNumberFormat="1" applyFont="1" applyFill="1" applyBorder="1" applyAlignment="1">
      <alignment horizontal="justify" vertical="center" wrapText="1"/>
    </xf>
    <xf numFmtId="0" fontId="8" fillId="0" borderId="2" xfId="14" applyFont="1" applyFill="1" applyBorder="1" applyAlignment="1">
      <alignment horizontal="justify" vertical="center" wrapText="1"/>
    </xf>
    <xf numFmtId="0" fontId="8" fillId="0" borderId="22" xfId="0" applyFont="1" applyFill="1" applyBorder="1" applyAlignment="1">
      <alignment horizontal="justify" vertical="center" wrapText="1"/>
    </xf>
    <xf numFmtId="178" fontId="2" fillId="4" borderId="2" xfId="2" applyNumberFormat="1" applyFont="1" applyFill="1" applyBorder="1" applyAlignment="1">
      <alignment horizontal="center" vertical="center"/>
    </xf>
    <xf numFmtId="0" fontId="2" fillId="2" borderId="0" xfId="0" applyFont="1" applyFill="1" applyBorder="1" applyAlignment="1">
      <alignment horizontal="justify" vertical="center"/>
    </xf>
    <xf numFmtId="169" fontId="2" fillId="2" borderId="0" xfId="2" applyNumberFormat="1" applyFont="1" applyFill="1" applyBorder="1" applyAlignment="1">
      <alignment horizontal="center" vertical="center"/>
    </xf>
    <xf numFmtId="168" fontId="23" fillId="15" borderId="2" xfId="2" applyFont="1" applyFill="1" applyBorder="1" applyAlignment="1">
      <alignment horizontal="center" vertical="center"/>
    </xf>
    <xf numFmtId="0" fontId="9" fillId="0" borderId="2" xfId="0" applyFont="1" applyFill="1" applyBorder="1" applyAlignment="1">
      <alignment horizontal="center" vertical="center" wrapText="1"/>
    </xf>
    <xf numFmtId="0" fontId="2" fillId="2" borderId="0" xfId="0" applyFont="1" applyFill="1" applyAlignment="1">
      <alignment horizontal="center" vertical="center"/>
    </xf>
    <xf numFmtId="0" fontId="9" fillId="0" borderId="2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5" fillId="2" borderId="2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justify" vertical="center" wrapText="1"/>
    </xf>
    <xf numFmtId="0" fontId="5" fillId="2" borderId="25" xfId="0" applyFont="1" applyFill="1" applyBorder="1" applyAlignment="1">
      <alignment horizontal="justify" vertical="center" wrapText="1"/>
    </xf>
    <xf numFmtId="0" fontId="5" fillId="2" borderId="27" xfId="0" applyFont="1" applyFill="1" applyBorder="1" applyAlignment="1">
      <alignment horizontal="justify" vertical="center" wrapText="1"/>
    </xf>
    <xf numFmtId="0" fontId="5" fillId="2" borderId="22" xfId="0"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1" fontId="5" fillId="2" borderId="2" xfId="0" applyNumberFormat="1" applyFont="1" applyFill="1" applyBorder="1" applyAlignment="1">
      <alignment horizontal="center" vertical="center" wrapText="1"/>
    </xf>
    <xf numFmtId="165" fontId="5" fillId="0" borderId="25"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7" xfId="0" applyFont="1" applyFill="1" applyBorder="1" applyAlignment="1">
      <alignment horizontal="justify" vertical="center" wrapText="1"/>
    </xf>
    <xf numFmtId="1" fontId="5" fillId="0" borderId="2"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0" fontId="5" fillId="2" borderId="12" xfId="0" applyFont="1" applyFill="1" applyBorder="1" applyAlignment="1">
      <alignment horizontal="justify" vertical="center" wrapText="1"/>
    </xf>
    <xf numFmtId="0" fontId="5" fillId="2" borderId="11" xfId="0" applyFont="1" applyFill="1" applyBorder="1" applyAlignment="1">
      <alignment horizontal="justify" vertical="center" wrapText="1"/>
    </xf>
    <xf numFmtId="3" fontId="5" fillId="2" borderId="22" xfId="0" applyNumberFormat="1" applyFont="1" applyFill="1" applyBorder="1" applyAlignment="1">
      <alignment horizontal="justify" vertical="center" wrapText="1"/>
    </xf>
    <xf numFmtId="3" fontId="5" fillId="2" borderId="25" xfId="0" applyNumberFormat="1" applyFont="1" applyFill="1" applyBorder="1" applyAlignment="1">
      <alignment horizontal="justify" vertical="center" wrapText="1"/>
    </xf>
    <xf numFmtId="1" fontId="2" fillId="0" borderId="7"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11" borderId="45" xfId="0" applyFont="1" applyFill="1" applyBorder="1" applyAlignment="1">
      <alignment horizontal="left" vertical="center"/>
    </xf>
    <xf numFmtId="0" fontId="3" fillId="11" borderId="46"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8" fillId="2" borderId="2"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8"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8" fillId="2" borderId="22" xfId="0" applyFont="1" applyFill="1" applyBorder="1" applyAlignment="1">
      <alignment horizontal="justify" vertical="center" wrapText="1"/>
    </xf>
    <xf numFmtId="0" fontId="5" fillId="0" borderId="1" xfId="0" applyFont="1" applyBorder="1" applyAlignment="1">
      <alignment horizontal="center" vertical="center"/>
    </xf>
    <xf numFmtId="9" fontId="5" fillId="2" borderId="2" xfId="3" applyFont="1" applyFill="1" applyBorder="1" applyAlignment="1">
      <alignment horizontal="center"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2" borderId="28"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7"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2" xfId="0" applyFont="1" applyBorder="1" applyAlignment="1">
      <alignment horizontal="justify" vertical="center" wrapText="1"/>
    </xf>
    <xf numFmtId="9" fontId="5" fillId="2" borderId="22" xfId="3"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4" xfId="0" applyFont="1" applyBorder="1" applyAlignment="1">
      <alignment horizontal="center" vertical="center" wrapText="1"/>
    </xf>
    <xf numFmtId="0" fontId="5" fillId="2" borderId="22"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horizontal="justify"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justify"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1" fontId="2" fillId="0" borderId="1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8" fillId="0" borderId="22"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2" xfId="5" applyFont="1" applyBorder="1" applyAlignment="1">
      <alignment horizontal="center" vertical="center" wrapText="1"/>
    </xf>
    <xf numFmtId="1" fontId="5" fillId="0" borderId="12" xfId="0" applyNumberFormat="1" applyFont="1" applyBorder="1" applyAlignment="1">
      <alignment horizontal="center" vertical="center" wrapText="1"/>
    </xf>
    <xf numFmtId="0" fontId="8" fillId="0" borderId="35" xfId="0" applyFont="1" applyBorder="1" applyAlignment="1">
      <alignment horizontal="justify" vertical="center" wrapText="1"/>
    </xf>
    <xf numFmtId="0" fontId="5" fillId="0" borderId="2" xfId="0" applyFont="1" applyBorder="1" applyAlignment="1">
      <alignment horizontal="left" vertical="center"/>
    </xf>
    <xf numFmtId="14" fontId="5" fillId="0" borderId="2" xfId="0" applyNumberFormat="1" applyFont="1" applyBorder="1" applyAlignment="1">
      <alignment horizontal="left" vertical="center" wrapText="1"/>
    </xf>
    <xf numFmtId="3" fontId="14" fillId="0" borderId="2" xfId="0" applyNumberFormat="1" applyFont="1" applyBorder="1" applyAlignment="1">
      <alignment horizontal="center" vertical="center" wrapText="1"/>
    </xf>
    <xf numFmtId="0" fontId="15" fillId="5" borderId="1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25" fillId="5" borderId="2" xfId="0" applyFont="1" applyFill="1" applyBorder="1" applyAlignment="1">
      <alignment horizontal="center" vertical="center" wrapText="1"/>
    </xf>
    <xf numFmtId="179" fontId="15" fillId="5" borderId="2" xfId="0" applyNumberFormat="1" applyFont="1" applyFill="1" applyBorder="1" applyAlignment="1">
      <alignment horizontal="center" vertical="center" wrapText="1"/>
    </xf>
    <xf numFmtId="179" fontId="25" fillId="5" borderId="2" xfId="0" applyNumberFormat="1" applyFont="1" applyFill="1" applyBorder="1" applyAlignment="1">
      <alignment horizontal="center" vertical="center" wrapText="1"/>
    </xf>
    <xf numFmtId="0" fontId="2" fillId="7" borderId="8" xfId="0" applyFont="1" applyFill="1" applyBorder="1" applyAlignment="1">
      <alignment horizontal="center" vertical="center"/>
    </xf>
    <xf numFmtId="167" fontId="2" fillId="7" borderId="8" xfId="0" applyNumberFormat="1" applyFont="1" applyFill="1" applyBorder="1" applyAlignment="1">
      <alignment horizontal="center" vertical="center"/>
    </xf>
    <xf numFmtId="166" fontId="2" fillId="7" borderId="8" xfId="0" applyNumberFormat="1" applyFont="1" applyFill="1" applyBorder="1" applyAlignment="1">
      <alignment horizontal="center" vertical="center"/>
    </xf>
    <xf numFmtId="1" fontId="2" fillId="7" borderId="8" xfId="0" applyNumberFormat="1" applyFont="1" applyFill="1" applyBorder="1" applyAlignment="1">
      <alignment horizontal="center" vertical="center"/>
    </xf>
    <xf numFmtId="165" fontId="2" fillId="7" borderId="8" xfId="0" applyNumberFormat="1" applyFont="1" applyFill="1" applyBorder="1" applyAlignment="1">
      <alignment horizontal="center" vertical="center"/>
    </xf>
    <xf numFmtId="0" fontId="2" fillId="7" borderId="9" xfId="0" applyFont="1" applyFill="1" applyBorder="1" applyAlignment="1">
      <alignment horizontal="center" vertical="center"/>
    </xf>
    <xf numFmtId="0" fontId="2" fillId="9" borderId="20" xfId="0" applyFont="1" applyFill="1" applyBorder="1" applyAlignment="1">
      <alignment horizontal="center" vertical="center"/>
    </xf>
    <xf numFmtId="167" fontId="2" fillId="9" borderId="20" xfId="0" applyNumberFormat="1" applyFont="1" applyFill="1" applyBorder="1" applyAlignment="1">
      <alignment horizontal="center" vertical="center"/>
    </xf>
    <xf numFmtId="166" fontId="2" fillId="9" borderId="20" xfId="0" applyNumberFormat="1" applyFont="1" applyFill="1" applyBorder="1" applyAlignment="1">
      <alignment horizontal="center" vertical="center"/>
    </xf>
    <xf numFmtId="1" fontId="2" fillId="9" borderId="20" xfId="0" applyNumberFormat="1" applyFont="1" applyFill="1" applyBorder="1" applyAlignment="1">
      <alignment horizontal="center" vertical="center"/>
    </xf>
    <xf numFmtId="165" fontId="2" fillId="9" borderId="20" xfId="0" applyNumberFormat="1" applyFont="1" applyFill="1" applyBorder="1" applyAlignment="1">
      <alignment horizontal="center" vertical="center"/>
    </xf>
    <xf numFmtId="0" fontId="2" fillId="9" borderId="34" xfId="0" applyFont="1" applyFill="1" applyBorder="1" applyAlignment="1">
      <alignment horizontal="center" vertical="center"/>
    </xf>
    <xf numFmtId="0" fontId="3" fillId="11" borderId="36" xfId="0" applyFont="1" applyFill="1" applyBorder="1" applyAlignment="1">
      <alignment horizontal="center" vertical="center" wrapText="1"/>
    </xf>
    <xf numFmtId="167" fontId="2" fillId="11" borderId="0" xfId="0" applyNumberFormat="1" applyFont="1" applyFill="1" applyBorder="1" applyAlignment="1">
      <alignment horizontal="center" vertical="center"/>
    </xf>
    <xf numFmtId="166" fontId="2" fillId="11" borderId="0" xfId="0" applyNumberFormat="1" applyFont="1" applyFill="1" applyBorder="1" applyAlignment="1">
      <alignment horizontal="center" vertical="center"/>
    </xf>
    <xf numFmtId="0" fontId="2" fillId="11" borderId="5" xfId="0" applyFont="1" applyFill="1" applyBorder="1" applyAlignment="1">
      <alignment horizontal="center" vertical="center"/>
    </xf>
    <xf numFmtId="166" fontId="2" fillId="11" borderId="5" xfId="0" applyNumberFormat="1" applyFont="1" applyFill="1" applyBorder="1" applyAlignment="1">
      <alignment horizontal="center" vertical="center"/>
    </xf>
    <xf numFmtId="1" fontId="2" fillId="11" borderId="0" xfId="0" applyNumberFormat="1" applyFont="1" applyFill="1" applyBorder="1" applyAlignment="1">
      <alignment horizontal="center" vertical="center"/>
    </xf>
    <xf numFmtId="165" fontId="2" fillId="11" borderId="0" xfId="0" applyNumberFormat="1" applyFont="1" applyFill="1" applyBorder="1" applyAlignment="1">
      <alignment horizontal="center" vertical="center"/>
    </xf>
    <xf numFmtId="0" fontId="2" fillId="11" borderId="1" xfId="0" applyFont="1" applyFill="1" applyBorder="1" applyAlignment="1">
      <alignment horizontal="center" vertical="center"/>
    </xf>
    <xf numFmtId="0" fontId="9" fillId="2" borderId="10" xfId="5" applyFont="1" applyFill="1" applyBorder="1" applyAlignment="1">
      <alignment horizontal="justify" vertical="center" wrapText="1"/>
    </xf>
    <xf numFmtId="43" fontId="5" fillId="2" borderId="11" xfId="16" applyFont="1" applyFill="1" applyBorder="1" applyAlignment="1">
      <alignment horizontal="center" vertical="center" wrapText="1"/>
    </xf>
    <xf numFmtId="0" fontId="9" fillId="0" borderId="28" xfId="0"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0" fontId="5" fillId="2" borderId="10" xfId="5" applyFont="1" applyFill="1" applyBorder="1" applyAlignment="1">
      <alignment horizontal="justify" vertical="center" wrapText="1"/>
    </xf>
    <xf numFmtId="0" fontId="5" fillId="2" borderId="9" xfId="5" applyFont="1" applyFill="1" applyBorder="1" applyAlignment="1">
      <alignment horizontal="justify" vertical="center" wrapText="1"/>
    </xf>
    <xf numFmtId="43" fontId="5" fillId="2" borderId="12" xfId="16" applyFont="1" applyFill="1" applyBorder="1" applyAlignment="1">
      <alignment horizontal="center" vertical="center" wrapText="1"/>
    </xf>
    <xf numFmtId="0" fontId="5" fillId="2" borderId="2" xfId="5" applyFont="1" applyFill="1" applyBorder="1" applyAlignment="1">
      <alignment horizontal="justify" vertical="center" wrapText="1"/>
    </xf>
    <xf numFmtId="43" fontId="5" fillId="2" borderId="2" xfId="16" applyFont="1" applyFill="1" applyBorder="1" applyAlignment="1">
      <alignment horizontal="center" vertical="center" wrapText="1"/>
    </xf>
    <xf numFmtId="0" fontId="5" fillId="2" borderId="30" xfId="5" applyFont="1" applyFill="1" applyBorder="1" applyAlignment="1">
      <alignment horizontal="justify" vertical="center" wrapText="1"/>
    </xf>
    <xf numFmtId="43" fontId="5" fillId="2" borderId="30" xfId="16" applyFont="1" applyFill="1" applyBorder="1" applyAlignment="1">
      <alignment horizontal="center" vertical="center" wrapText="1"/>
    </xf>
    <xf numFmtId="0" fontId="9" fillId="0" borderId="26" xfId="0" applyFont="1" applyFill="1" applyBorder="1" applyAlignment="1">
      <alignment horizontal="center" vertical="center" wrapText="1"/>
    </xf>
    <xf numFmtId="0" fontId="5" fillId="2" borderId="37" xfId="5" applyFont="1" applyFill="1" applyBorder="1" applyAlignment="1">
      <alignment horizontal="justify" vertical="center" wrapText="1"/>
    </xf>
    <xf numFmtId="43" fontId="5" fillId="2" borderId="37" xfId="16" applyFont="1" applyFill="1" applyBorder="1" applyAlignment="1">
      <alignment horizontal="center" vertical="center" wrapText="1"/>
    </xf>
    <xf numFmtId="0" fontId="3" fillId="9" borderId="0" xfId="0" applyFont="1" applyFill="1" applyBorder="1" applyAlignment="1">
      <alignment horizontal="center" vertical="center"/>
    </xf>
    <xf numFmtId="0" fontId="5" fillId="9" borderId="20" xfId="0" applyFont="1" applyFill="1" applyBorder="1" applyAlignment="1">
      <alignment horizontal="center" vertical="center" wrapText="1"/>
    </xf>
    <xf numFmtId="9" fontId="5" fillId="9" borderId="0" xfId="3" applyFont="1" applyFill="1" applyBorder="1" applyAlignment="1">
      <alignment horizontal="center" vertical="center" wrapText="1"/>
    </xf>
    <xf numFmtId="43" fontId="5" fillId="9" borderId="0" xfId="16" applyFont="1" applyFill="1" applyBorder="1" applyAlignment="1">
      <alignment horizontal="center" vertical="center" wrapText="1"/>
    </xf>
    <xf numFmtId="3" fontId="5" fillId="9" borderId="0" xfId="0" applyNumberFormat="1" applyFont="1" applyFill="1" applyBorder="1" applyAlignment="1">
      <alignment horizontal="center" vertical="center" wrapText="1"/>
    </xf>
    <xf numFmtId="0" fontId="5" fillId="9" borderId="0" xfId="5" applyFont="1" applyFill="1" applyBorder="1" applyAlignment="1">
      <alignment horizontal="center" vertical="center" wrapText="1"/>
    </xf>
    <xf numFmtId="0" fontId="9" fillId="9" borderId="0" xfId="0" applyFont="1" applyFill="1" applyBorder="1" applyAlignment="1">
      <alignment horizontal="center" vertical="center" wrapText="1"/>
    </xf>
    <xf numFmtId="1" fontId="5" fillId="9" borderId="0" xfId="0" applyNumberFormat="1" applyFont="1" applyFill="1" applyBorder="1" applyAlignment="1">
      <alignment horizontal="center" vertical="center" wrapText="1"/>
    </xf>
    <xf numFmtId="165" fontId="5" fillId="9" borderId="0" xfId="0" applyNumberFormat="1" applyFont="1" applyFill="1" applyBorder="1" applyAlignment="1">
      <alignment horizontal="center" vertical="center" wrapText="1"/>
    </xf>
    <xf numFmtId="3" fontId="5" fillId="9" borderId="17" xfId="0" applyNumberFormat="1" applyFont="1" applyFill="1" applyBorder="1" applyAlignment="1">
      <alignment horizontal="center" vertical="center" wrapText="1"/>
    </xf>
    <xf numFmtId="0" fontId="2" fillId="11" borderId="20" xfId="0" applyFont="1" applyFill="1" applyBorder="1" applyAlignment="1">
      <alignment horizontal="center" vertical="center"/>
    </xf>
    <xf numFmtId="167" fontId="2" fillId="11" borderId="20" xfId="0" applyNumberFormat="1" applyFont="1" applyFill="1" applyBorder="1" applyAlignment="1">
      <alignment horizontal="center" vertical="center"/>
    </xf>
    <xf numFmtId="43" fontId="2" fillId="11" borderId="20" xfId="16" applyFont="1" applyFill="1" applyBorder="1" applyAlignment="1">
      <alignment horizontal="center" vertical="center"/>
    </xf>
    <xf numFmtId="1" fontId="2" fillId="11" borderId="20" xfId="0" applyNumberFormat="1" applyFont="1" applyFill="1" applyBorder="1" applyAlignment="1">
      <alignment horizontal="center" vertical="center"/>
    </xf>
    <xf numFmtId="165" fontId="2" fillId="11" borderId="20" xfId="0" applyNumberFormat="1" applyFont="1" applyFill="1" applyBorder="1" applyAlignment="1">
      <alignment horizontal="center" vertical="center"/>
    </xf>
    <xf numFmtId="0" fontId="2" fillId="11" borderId="34"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 xfId="0" applyFont="1" applyFill="1" applyBorder="1" applyAlignment="1">
      <alignment horizontal="justify" vertical="center" wrapText="1"/>
    </xf>
    <xf numFmtId="9" fontId="5" fillId="2" borderId="25" xfId="0" applyNumberFormat="1" applyFont="1" applyFill="1" applyBorder="1" applyAlignment="1">
      <alignment horizontal="center" vertical="center" wrapText="1"/>
    </xf>
    <xf numFmtId="43" fontId="5" fillId="2" borderId="25" xfId="16"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5" fillId="0" borderId="25" xfId="0" applyNumberFormat="1" applyFont="1" applyFill="1" applyBorder="1" applyAlignment="1">
      <alignment horizontal="center" vertical="center" wrapText="1"/>
    </xf>
    <xf numFmtId="165" fontId="5" fillId="2" borderId="25" xfId="0" applyNumberFormat="1" applyFont="1" applyFill="1" applyBorder="1" applyAlignment="1">
      <alignment horizontal="center" vertical="center" wrapText="1"/>
    </xf>
    <xf numFmtId="3" fontId="5" fillId="2" borderId="25" xfId="0" applyNumberFormat="1" applyFont="1" applyFill="1" applyBorder="1" applyAlignment="1">
      <alignment horizontal="center" vertical="center" wrapText="1"/>
    </xf>
    <xf numFmtId="9" fontId="5" fillId="9" borderId="21" xfId="0" applyNumberFormat="1" applyFont="1" applyFill="1" applyBorder="1" applyAlignment="1">
      <alignment horizontal="center" vertical="center" wrapText="1"/>
    </xf>
    <xf numFmtId="43" fontId="5" fillId="9" borderId="21" xfId="16" applyFont="1" applyFill="1" applyBorder="1" applyAlignment="1">
      <alignment horizontal="center" vertical="center" wrapText="1"/>
    </xf>
    <xf numFmtId="3" fontId="5" fillId="9" borderId="21" xfId="0" applyNumberFormat="1" applyFont="1" applyFill="1" applyBorder="1" applyAlignment="1">
      <alignment horizontal="center" vertical="center" wrapText="1"/>
    </xf>
    <xf numFmtId="1" fontId="5" fillId="9" borderId="21" xfId="0" applyNumberFormat="1" applyFont="1" applyFill="1" applyBorder="1" applyAlignment="1">
      <alignment horizontal="center" vertical="center" wrapText="1"/>
    </xf>
    <xf numFmtId="0" fontId="9" fillId="9" borderId="21" xfId="0" applyFont="1" applyFill="1" applyBorder="1" applyAlignment="1">
      <alignment horizontal="center" vertical="center" wrapText="1"/>
    </xf>
    <xf numFmtId="165" fontId="5" fillId="9" borderId="21" xfId="0" applyNumberFormat="1" applyFont="1" applyFill="1" applyBorder="1" applyAlignment="1">
      <alignment horizontal="center" vertical="center" wrapText="1"/>
    </xf>
    <xf numFmtId="3" fontId="5" fillId="9" borderId="18" xfId="0" applyNumberFormat="1"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45" xfId="0" applyFont="1" applyFill="1" applyBorder="1" applyAlignment="1">
      <alignment vertical="center"/>
    </xf>
    <xf numFmtId="0" fontId="3" fillId="11" borderId="46" xfId="0" applyFont="1" applyFill="1" applyBorder="1" applyAlignment="1">
      <alignment vertical="center"/>
    </xf>
    <xf numFmtId="0" fontId="2" fillId="11" borderId="46"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9" fillId="0" borderId="37" xfId="0"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0" fontId="5" fillId="2" borderId="28" xfId="0" applyFont="1" applyFill="1" applyBorder="1" applyAlignment="1">
      <alignment horizontal="justify" vertical="center" wrapText="1"/>
    </xf>
    <xf numFmtId="43" fontId="9" fillId="2" borderId="5" xfId="16" applyFont="1" applyFill="1" applyBorder="1" applyAlignment="1">
      <alignment horizontal="center" vertical="center" wrapText="1"/>
    </xf>
    <xf numFmtId="0" fontId="9" fillId="2" borderId="28" xfId="0" applyFont="1" applyFill="1" applyBorder="1" applyAlignment="1">
      <alignment horizontal="justify" vertical="center" wrapText="1"/>
    </xf>
    <xf numFmtId="0" fontId="9" fillId="2" borderId="35"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33" xfId="0" applyFont="1" applyFill="1" applyBorder="1" applyAlignment="1">
      <alignment horizontal="center" vertical="center" wrapText="1"/>
    </xf>
    <xf numFmtId="0" fontId="8" fillId="0" borderId="26"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43" fontId="9" fillId="2" borderId="11" xfId="16"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28" xfId="0" applyFont="1" applyFill="1" applyBorder="1" applyAlignment="1">
      <alignment horizontal="center" vertical="center" wrapText="1"/>
    </xf>
    <xf numFmtId="0" fontId="8" fillId="0" borderId="28" xfId="0" applyFont="1" applyFill="1" applyBorder="1" applyAlignment="1" applyProtection="1">
      <alignment horizontal="justify" vertical="center" wrapText="1"/>
      <protection locked="0"/>
    </xf>
    <xf numFmtId="0" fontId="5" fillId="0" borderId="22" xfId="0"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0" fontId="9" fillId="2" borderId="11" xfId="0" applyFont="1" applyFill="1" applyBorder="1" applyAlignment="1">
      <alignment horizontal="justify" vertical="center" wrapText="1"/>
    </xf>
    <xf numFmtId="43" fontId="9" fillId="2" borderId="27" xfId="16" applyFont="1" applyFill="1" applyBorder="1" applyAlignment="1">
      <alignment horizontal="center" vertical="center" wrapText="1"/>
    </xf>
    <xf numFmtId="0" fontId="9" fillId="2" borderId="12" xfId="0" applyFont="1" applyFill="1" applyBorder="1" applyAlignment="1">
      <alignment horizontal="justify" vertical="center" wrapText="1"/>
    </xf>
    <xf numFmtId="43" fontId="9" fillId="2" borderId="25" xfId="16" applyFont="1" applyFill="1" applyBorder="1" applyAlignment="1">
      <alignment horizontal="center" vertical="center" wrapText="1"/>
    </xf>
    <xf numFmtId="0" fontId="2" fillId="11" borderId="46" xfId="0" applyFont="1" applyFill="1" applyBorder="1" applyAlignment="1">
      <alignment vertical="center"/>
    </xf>
    <xf numFmtId="0" fontId="2" fillId="11" borderId="20" xfId="0" applyFont="1" applyFill="1" applyBorder="1" applyAlignment="1">
      <alignment horizontal="justify" vertical="center"/>
    </xf>
    <xf numFmtId="0" fontId="5" fillId="0" borderId="27" xfId="0"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43" fontId="5" fillId="2" borderId="22" xfId="16"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22"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43" fontId="5" fillId="2" borderId="56" xfId="16" applyFont="1" applyFill="1" applyBorder="1" applyAlignment="1">
      <alignment vertical="center" wrapText="1"/>
    </xf>
    <xf numFmtId="0" fontId="9" fillId="2" borderId="35" xfId="0" applyFont="1" applyFill="1" applyBorder="1" applyAlignment="1">
      <alignment horizontal="center" vertical="center" wrapText="1"/>
    </xf>
    <xf numFmtId="1" fontId="5" fillId="0" borderId="41" xfId="0" applyNumberFormat="1" applyFont="1" applyFill="1" applyBorder="1" applyAlignment="1">
      <alignment horizontal="center" vertical="center" wrapText="1"/>
    </xf>
    <xf numFmtId="43" fontId="5" fillId="2" borderId="2" xfId="16" applyFont="1" applyFill="1" applyBorder="1" applyAlignment="1">
      <alignment vertical="center" wrapText="1"/>
    </xf>
    <xf numFmtId="0" fontId="5" fillId="2" borderId="35" xfId="0" applyFont="1" applyFill="1" applyBorder="1" applyAlignment="1">
      <alignment horizontal="justify" vertical="center" wrapText="1"/>
    </xf>
    <xf numFmtId="0" fontId="5" fillId="2" borderId="5" xfId="0" applyFont="1" applyFill="1" applyBorder="1" applyAlignment="1">
      <alignment horizontal="justify" vertical="center" wrapText="1"/>
    </xf>
    <xf numFmtId="43" fontId="5" fillId="2" borderId="5" xfId="16" applyFont="1" applyFill="1" applyBorder="1" applyAlignment="1">
      <alignment horizontal="center" vertical="center" wrapText="1"/>
    </xf>
    <xf numFmtId="0" fontId="5" fillId="2" borderId="37" xfId="0" applyFont="1" applyFill="1" applyBorder="1" applyAlignment="1">
      <alignment horizontal="justify" vertical="center" wrapText="1"/>
    </xf>
    <xf numFmtId="43" fontId="5" fillId="2" borderId="28" xfId="16" applyFont="1" applyFill="1" applyBorder="1" applyAlignment="1">
      <alignment horizontal="center" vertical="center" wrapText="1"/>
    </xf>
    <xf numFmtId="0" fontId="3" fillId="11" borderId="46" xfId="0" applyFont="1" applyFill="1" applyBorder="1" applyAlignment="1">
      <alignment horizontal="justify" vertical="center"/>
    </xf>
    <xf numFmtId="0" fontId="3" fillId="11" borderId="46" xfId="0" applyFont="1" applyFill="1" applyBorder="1" applyAlignment="1">
      <alignment horizontal="left" vertical="center" wrapText="1"/>
    </xf>
    <xf numFmtId="0" fontId="3" fillId="11" borderId="46" xfId="0" applyFont="1" applyFill="1" applyBorder="1" applyAlignment="1">
      <alignment horizontal="justify" vertical="center" wrapText="1"/>
    </xf>
    <xf numFmtId="0" fontId="2" fillId="11" borderId="0" xfId="0" applyFont="1" applyFill="1" applyBorder="1" applyAlignment="1">
      <alignment horizontal="justify" vertical="center"/>
    </xf>
    <xf numFmtId="43" fontId="2" fillId="11" borderId="16" xfId="16" applyFont="1" applyFill="1" applyBorder="1" applyAlignment="1">
      <alignment horizontal="center" vertical="center"/>
    </xf>
    <xf numFmtId="0" fontId="2" fillId="11" borderId="16" xfId="0" applyFont="1" applyFill="1" applyBorder="1" applyAlignment="1">
      <alignment horizontal="justify" vertical="center"/>
    </xf>
    <xf numFmtId="169" fontId="8" fillId="11" borderId="0" xfId="11" applyFont="1" applyFill="1" applyBorder="1" applyAlignment="1">
      <alignment horizontal="center" vertical="center"/>
    </xf>
    <xf numFmtId="0" fontId="2" fillId="11" borderId="16" xfId="0" applyFont="1" applyFill="1" applyBorder="1" applyAlignment="1">
      <alignment horizontal="center" vertical="center"/>
    </xf>
    <xf numFmtId="165" fontId="2" fillId="11" borderId="16" xfId="0" applyNumberFormat="1" applyFont="1" applyFill="1" applyBorder="1" applyAlignment="1">
      <alignment horizontal="center" vertical="center"/>
    </xf>
    <xf numFmtId="0" fontId="2" fillId="11" borderId="36" xfId="0" applyFont="1" applyFill="1" applyBorder="1" applyAlignment="1">
      <alignment horizontal="center" vertical="center"/>
    </xf>
    <xf numFmtId="0" fontId="5" fillId="0" borderId="28" xfId="0" applyFont="1" applyFill="1" applyBorder="1" applyAlignment="1">
      <alignment horizontal="justify" vertical="center" wrapText="1"/>
    </xf>
    <xf numFmtId="0" fontId="5" fillId="0" borderId="21"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8" fillId="0" borderId="28" xfId="0" applyFont="1" applyFill="1" applyBorder="1" applyAlignment="1">
      <alignment horizontal="center" vertical="center" wrapText="1"/>
    </xf>
    <xf numFmtId="9" fontId="5" fillId="0" borderId="28"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43" fontId="5" fillId="0" borderId="11" xfId="16" applyFont="1" applyFill="1" applyBorder="1" applyAlignment="1">
      <alignment horizontal="center" vertical="center" wrapText="1"/>
    </xf>
    <xf numFmtId="0" fontId="5" fillId="2" borderId="22" xfId="0" applyFont="1" applyFill="1" applyBorder="1" applyAlignment="1">
      <alignment vertical="center" wrapText="1"/>
    </xf>
    <xf numFmtId="3" fontId="5" fillId="2" borderId="26" xfId="0" applyNumberFormat="1" applyFont="1" applyFill="1" applyBorder="1" applyAlignment="1">
      <alignment horizontal="justify" vertical="center" wrapText="1"/>
    </xf>
    <xf numFmtId="3" fontId="5" fillId="2" borderId="28" xfId="0" applyNumberFormat="1" applyFont="1" applyFill="1" applyBorder="1" applyAlignment="1">
      <alignment horizontal="justify" vertical="center" wrapText="1"/>
    </xf>
    <xf numFmtId="43" fontId="9" fillId="2" borderId="2" xfId="16" applyFont="1" applyFill="1" applyBorder="1" applyAlignment="1">
      <alignment horizontal="center" vertical="center" wrapText="1"/>
    </xf>
    <xf numFmtId="0" fontId="9" fillId="2" borderId="37" xfId="0" applyFont="1" applyFill="1" applyBorder="1" applyAlignment="1">
      <alignment horizontal="center" vertical="center" wrapText="1"/>
    </xf>
    <xf numFmtId="1" fontId="5" fillId="2" borderId="37"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1" fontId="5" fillId="2" borderId="30" xfId="0" applyNumberFormat="1" applyFont="1" applyFill="1" applyBorder="1" applyAlignment="1">
      <alignment horizontal="center" vertical="center" wrapText="1"/>
    </xf>
    <xf numFmtId="1" fontId="2" fillId="7" borderId="12" xfId="0" applyNumberFormat="1" applyFont="1" applyFill="1" applyBorder="1" applyAlignment="1">
      <alignment horizontal="center" vertical="center" wrapText="1"/>
    </xf>
    <xf numFmtId="0" fontId="2" fillId="7" borderId="16" xfId="0" applyFont="1" applyFill="1" applyBorder="1" applyAlignment="1">
      <alignment horizontal="center" vertical="center"/>
    </xf>
    <xf numFmtId="0" fontId="2" fillId="7" borderId="16" xfId="0" applyFont="1" applyFill="1" applyBorder="1" applyAlignment="1">
      <alignment horizontal="justify" vertical="center"/>
    </xf>
    <xf numFmtId="167" fontId="2" fillId="7" borderId="16" xfId="0" applyNumberFormat="1" applyFont="1" applyFill="1" applyBorder="1" applyAlignment="1">
      <alignment horizontal="center" vertical="center"/>
    </xf>
    <xf numFmtId="43" fontId="2" fillId="7" borderId="16" xfId="16" applyFont="1" applyFill="1" applyBorder="1" applyAlignment="1">
      <alignment horizontal="center" vertical="center"/>
    </xf>
    <xf numFmtId="0" fontId="2" fillId="7" borderId="20" xfId="0" applyFont="1" applyFill="1" applyBorder="1" applyAlignment="1">
      <alignment horizontal="center" vertical="center"/>
    </xf>
    <xf numFmtId="165" fontId="2" fillId="7" borderId="20" xfId="0" applyNumberFormat="1" applyFont="1" applyFill="1" applyBorder="1" applyAlignment="1">
      <alignment horizontal="center" vertical="center"/>
    </xf>
    <xf numFmtId="0" fontId="2" fillId="7" borderId="34" xfId="0" applyFont="1" applyFill="1" applyBorder="1" applyAlignment="1">
      <alignment horizontal="center" vertical="center"/>
    </xf>
    <xf numFmtId="0" fontId="3" fillId="9" borderId="58" xfId="0" applyFont="1" applyFill="1" applyBorder="1" applyAlignment="1">
      <alignment horizontal="center" vertical="center" wrapText="1"/>
    </xf>
    <xf numFmtId="43" fontId="2" fillId="9" borderId="0" xfId="16" applyFont="1" applyFill="1" applyBorder="1" applyAlignment="1">
      <alignment horizontal="center" vertical="center"/>
    </xf>
    <xf numFmtId="0" fontId="2" fillId="9" borderId="17" xfId="0" applyFont="1" applyFill="1" applyBorder="1" applyAlignment="1">
      <alignment horizontal="center" vertical="center"/>
    </xf>
    <xf numFmtId="1" fontId="2" fillId="0" borderId="0"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vertical="center"/>
    </xf>
    <xf numFmtId="0" fontId="3" fillId="9" borderId="8" xfId="0" applyFont="1" applyFill="1" applyBorder="1" applyAlignment="1">
      <alignment vertical="center"/>
    </xf>
    <xf numFmtId="0" fontId="3" fillId="9" borderId="8" xfId="0" applyFont="1" applyFill="1" applyBorder="1" applyAlignment="1">
      <alignment horizontal="justify" vertical="center"/>
    </xf>
    <xf numFmtId="0" fontId="5" fillId="9" borderId="21" xfId="0" applyFont="1" applyFill="1" applyBorder="1" applyAlignment="1">
      <alignment horizontal="justify" vertical="center" wrapText="1"/>
    </xf>
    <xf numFmtId="3" fontId="5" fillId="9" borderId="21" xfId="0" applyNumberFormat="1" applyFont="1" applyFill="1" applyBorder="1" applyAlignment="1">
      <alignment horizontal="justify" vertical="center" wrapText="1"/>
    </xf>
    <xf numFmtId="14" fontId="5" fillId="9" borderId="21" xfId="0" applyNumberFormat="1" applyFont="1" applyFill="1" applyBorder="1" applyAlignment="1">
      <alignment horizontal="center" vertical="center" wrapText="1"/>
    </xf>
    <xf numFmtId="1" fontId="5" fillId="9" borderId="18" xfId="0" applyNumberFormat="1" applyFont="1" applyFill="1" applyBorder="1" applyAlignment="1">
      <alignment horizontal="center" vertical="center" wrapText="1"/>
    </xf>
    <xf numFmtId="0" fontId="3" fillId="11" borderId="59" xfId="0" applyFont="1" applyFill="1" applyBorder="1" applyAlignment="1">
      <alignment horizontal="center" vertical="center" wrapText="1"/>
    </xf>
    <xf numFmtId="0" fontId="8" fillId="11" borderId="21" xfId="0" applyFont="1" applyFill="1" applyBorder="1" applyAlignment="1">
      <alignment horizontal="center" vertical="center"/>
    </xf>
    <xf numFmtId="1" fontId="2" fillId="7" borderId="15" xfId="0" applyNumberFormat="1" applyFont="1" applyFill="1" applyBorder="1" applyAlignment="1">
      <alignment horizontal="center" vertical="center" wrapText="1"/>
    </xf>
    <xf numFmtId="0" fontId="2" fillId="7" borderId="20" xfId="0" applyFont="1" applyFill="1" applyBorder="1" applyAlignment="1">
      <alignment horizontal="justify" vertical="center"/>
    </xf>
    <xf numFmtId="167" fontId="2" fillId="7" borderId="20" xfId="0" applyNumberFormat="1" applyFont="1" applyFill="1" applyBorder="1" applyAlignment="1">
      <alignment horizontal="center" vertical="center"/>
    </xf>
    <xf numFmtId="43" fontId="2" fillId="7" borderId="20" xfId="16" applyFont="1" applyFill="1" applyBorder="1" applyAlignment="1">
      <alignment horizontal="center" vertical="center"/>
    </xf>
    <xf numFmtId="1" fontId="2" fillId="7" borderId="16"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3" fillId="9" borderId="43" xfId="0" applyFont="1" applyFill="1" applyBorder="1" applyAlignment="1">
      <alignment horizontal="center" vertical="center" wrapText="1"/>
    </xf>
    <xf numFmtId="0" fontId="2" fillId="9" borderId="8" xfId="0" applyFont="1" applyFill="1" applyBorder="1" applyAlignment="1">
      <alignment horizontal="justify" vertical="center"/>
    </xf>
    <xf numFmtId="0" fontId="3" fillId="11" borderId="34" xfId="0" applyFont="1" applyFill="1" applyBorder="1" applyAlignment="1">
      <alignment horizontal="center" vertical="center" wrapText="1"/>
    </xf>
    <xf numFmtId="0" fontId="8" fillId="11" borderId="46" xfId="0" applyFont="1" applyFill="1" applyBorder="1" applyAlignment="1">
      <alignment horizontal="justify" vertical="center"/>
    </xf>
    <xf numFmtId="0" fontId="8" fillId="11" borderId="46" xfId="0" applyFont="1" applyFill="1" applyBorder="1" applyAlignment="1">
      <alignment horizontal="left" vertical="center"/>
    </xf>
    <xf numFmtId="0" fontId="3" fillId="11" borderId="20" xfId="0" applyFont="1" applyFill="1" applyBorder="1" applyAlignment="1">
      <alignment horizontal="justify" vertical="center" wrapText="1"/>
    </xf>
    <xf numFmtId="43" fontId="3" fillId="11" borderId="20" xfId="16"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13" borderId="5" xfId="0" applyFont="1" applyFill="1" applyBorder="1" applyAlignment="1">
      <alignment horizontal="justify" vertical="center" wrapText="1"/>
    </xf>
    <xf numFmtId="43" fontId="9" fillId="13" borderId="27" xfId="16" applyFont="1" applyFill="1" applyBorder="1" applyAlignment="1">
      <alignment horizontal="center" vertical="center" wrapText="1"/>
    </xf>
    <xf numFmtId="43" fontId="9" fillId="13" borderId="11" xfId="16" applyFont="1" applyFill="1" applyBorder="1" applyAlignment="1">
      <alignment horizontal="center" vertical="center" wrapText="1"/>
    </xf>
    <xf numFmtId="0" fontId="9" fillId="2" borderId="5" xfId="0" applyFont="1" applyFill="1" applyBorder="1" applyAlignment="1">
      <alignment horizontal="justify" vertical="center" wrapText="1"/>
    </xf>
    <xf numFmtId="0" fontId="5" fillId="0" borderId="1" xfId="0" applyFont="1" applyFill="1" applyBorder="1" applyAlignment="1">
      <alignment horizontal="center" vertical="center" wrapText="1"/>
    </xf>
    <xf numFmtId="43" fontId="8" fillId="2" borderId="11" xfId="16" applyFont="1" applyFill="1" applyBorder="1" applyAlignment="1">
      <alignment horizontal="center" vertical="center" wrapText="1"/>
    </xf>
    <xf numFmtId="43" fontId="3" fillId="11" borderId="20" xfId="16" applyFont="1" applyFill="1" applyBorder="1" applyAlignment="1">
      <alignment horizontal="center" vertical="center"/>
    </xf>
    <xf numFmtId="43" fontId="5" fillId="11" borderId="20" xfId="16" applyFont="1" applyFill="1" applyBorder="1" applyAlignment="1">
      <alignment horizontal="center" vertical="center" wrapText="1"/>
    </xf>
    <xf numFmtId="1" fontId="5" fillId="11" borderId="21" xfId="0" applyNumberFormat="1" applyFont="1" applyFill="1" applyBorder="1" applyAlignment="1">
      <alignment horizontal="center" vertical="center" wrapText="1"/>
    </xf>
    <xf numFmtId="1" fontId="5" fillId="11" borderId="20" xfId="0" applyNumberFormat="1" applyFont="1" applyFill="1" applyBorder="1" applyAlignment="1">
      <alignment horizontal="center" vertical="center" wrapText="1"/>
    </xf>
    <xf numFmtId="14" fontId="5" fillId="11" borderId="20" xfId="0" applyNumberFormat="1" applyFont="1" applyFill="1" applyBorder="1" applyAlignment="1">
      <alignment horizontal="center" vertical="center" wrapText="1"/>
    </xf>
    <xf numFmtId="1" fontId="5" fillId="11" borderId="34" xfId="0" applyNumberFormat="1" applyFont="1" applyFill="1" applyBorder="1" applyAlignment="1">
      <alignment horizontal="center" vertical="center" wrapText="1"/>
    </xf>
    <xf numFmtId="9" fontId="5" fillId="2" borderId="22"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3" fontId="5" fillId="2" borderId="22" xfId="0" applyNumberFormat="1" applyFont="1" applyFill="1" applyBorder="1" applyAlignment="1">
      <alignment horizontal="center" vertical="center" wrapText="1"/>
    </xf>
    <xf numFmtId="0" fontId="9" fillId="13" borderId="10" xfId="0" applyFont="1" applyFill="1" applyBorder="1" applyAlignment="1">
      <alignment horizontal="justify"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0" fontId="9" fillId="2" borderId="34"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2" fillId="4" borderId="30"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0" xfId="0" applyFont="1" applyFill="1" applyBorder="1" applyAlignment="1">
      <alignment horizontal="center" vertical="center"/>
    </xf>
    <xf numFmtId="167" fontId="2" fillId="4" borderId="16" xfId="0" applyNumberFormat="1" applyFont="1" applyFill="1" applyBorder="1" applyAlignment="1">
      <alignment horizontal="center" vertical="center"/>
    </xf>
    <xf numFmtId="43" fontId="2" fillId="4" borderId="2" xfId="16" applyFont="1" applyFill="1" applyBorder="1" applyAlignment="1">
      <alignment horizontal="center" vertical="center"/>
    </xf>
    <xf numFmtId="1" fontId="2" fillId="4" borderId="16" xfId="0" applyNumberFormat="1" applyFont="1" applyFill="1" applyBorder="1" applyAlignment="1">
      <alignment horizontal="center" vertical="center"/>
    </xf>
    <xf numFmtId="165" fontId="2" fillId="4" borderId="16" xfId="0" applyNumberFormat="1" applyFont="1" applyFill="1" applyBorder="1" applyAlignment="1">
      <alignment horizontal="center" vertical="center"/>
    </xf>
    <xf numFmtId="0" fontId="2" fillId="4" borderId="36" xfId="0" applyFont="1" applyFill="1" applyBorder="1" applyAlignment="1">
      <alignment horizontal="center" vertical="center"/>
    </xf>
    <xf numFmtId="166" fontId="2" fillId="2" borderId="0" xfId="0" applyNumberFormat="1" applyFont="1" applyFill="1" applyAlignment="1">
      <alignment horizontal="center" vertical="center"/>
    </xf>
    <xf numFmtId="181" fontId="5" fillId="2" borderId="0" xfId="2" applyNumberFormat="1" applyFont="1" applyFill="1" applyAlignment="1">
      <alignment horizontal="center" vertical="center"/>
    </xf>
    <xf numFmtId="0" fontId="27" fillId="2" borderId="0" xfId="0" applyFont="1" applyFill="1" applyAlignment="1">
      <alignment horizontal="center" vertical="center"/>
    </xf>
    <xf numFmtId="0" fontId="2" fillId="2" borderId="0" xfId="0" applyFont="1" applyFill="1" applyAlignment="1">
      <alignment horizontal="center" vertical="center"/>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5" fillId="0" borderId="12" xfId="0" applyFont="1" applyBorder="1" applyAlignment="1">
      <alignment horizontal="center" vertical="center"/>
    </xf>
    <xf numFmtId="0" fontId="8" fillId="0" borderId="22" xfId="0" applyFont="1" applyBorder="1" applyAlignment="1">
      <alignment horizontal="justify" vertical="center" wrapText="1"/>
    </xf>
    <xf numFmtId="0" fontId="8" fillId="0" borderId="27" xfId="0" applyFont="1" applyBorder="1" applyAlignment="1">
      <alignment horizontal="justify" vertical="center" wrapText="1"/>
    </xf>
    <xf numFmtId="0" fontId="5" fillId="2" borderId="27" xfId="0" applyFont="1" applyFill="1" applyBorder="1" applyAlignment="1">
      <alignment horizontal="justify"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2" xfId="0" applyFont="1" applyFill="1" applyBorder="1" applyAlignment="1">
      <alignment horizontal="justify" vertical="center" wrapText="1"/>
    </xf>
    <xf numFmtId="0" fontId="8" fillId="2" borderId="27"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2" borderId="2" xfId="0" applyFont="1" applyFill="1" applyBorder="1" applyAlignment="1">
      <alignment horizontal="justify" vertical="center" wrapText="1"/>
    </xf>
    <xf numFmtId="3" fontId="5" fillId="2" borderId="22" xfId="0" applyNumberFormat="1" applyFont="1" applyFill="1" applyBorder="1" applyAlignment="1">
      <alignment horizontal="justify" vertical="center" wrapText="1"/>
    </xf>
    <xf numFmtId="3" fontId="5" fillId="2" borderId="27" xfId="0" applyNumberFormat="1" applyFont="1" applyFill="1" applyBorder="1" applyAlignment="1">
      <alignment horizontal="justify" vertical="center" wrapText="1"/>
    </xf>
    <xf numFmtId="1" fontId="5" fillId="0" borderId="28"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horizontal="justify" vertical="center" wrapText="1"/>
    </xf>
    <xf numFmtId="1" fontId="5" fillId="2" borderId="6"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9" fontId="2" fillId="0" borderId="0" xfId="3" applyFont="1" applyBorder="1" applyAlignment="1">
      <alignment horizontal="center" vertical="center"/>
    </xf>
    <xf numFmtId="0" fontId="2" fillId="0" borderId="0" xfId="0" applyFont="1" applyAlignment="1">
      <alignment horizontal="right" vertical="center"/>
    </xf>
    <xf numFmtId="0" fontId="2" fillId="5" borderId="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28" xfId="0" applyFont="1" applyFill="1" applyBorder="1" applyAlignment="1">
      <alignment horizontal="center" vertical="center" wrapText="1"/>
    </xf>
    <xf numFmtId="9" fontId="2" fillId="5" borderId="28" xfId="3" applyFont="1" applyFill="1" applyBorder="1" applyAlignment="1">
      <alignment horizontal="center" vertical="center" wrapText="1"/>
    </xf>
    <xf numFmtId="166" fontId="2" fillId="5" borderId="28" xfId="0" applyNumberFormat="1" applyFont="1" applyFill="1" applyBorder="1" applyAlignment="1">
      <alignment horizontal="center" vertical="center" wrapText="1"/>
    </xf>
    <xf numFmtId="0" fontId="2" fillId="5" borderId="22" xfId="0" applyFont="1" applyFill="1" applyBorder="1" applyAlignment="1">
      <alignment horizontal="center" vertical="center" textRotation="90" wrapText="1"/>
    </xf>
    <xf numFmtId="49" fontId="2" fillId="5" borderId="22" xfId="0" applyNumberFormat="1" applyFont="1" applyFill="1" applyBorder="1" applyAlignment="1">
      <alignment horizontal="center" vertical="center" textRotation="90" wrapText="1"/>
    </xf>
    <xf numFmtId="0" fontId="2" fillId="5" borderId="7" xfId="0" applyFont="1" applyFill="1" applyBorder="1" applyAlignment="1">
      <alignment horizontal="center" vertical="center" textRotation="90" wrapText="1"/>
    </xf>
    <xf numFmtId="0" fontId="3" fillId="7" borderId="53" xfId="0" applyFont="1" applyFill="1" applyBorder="1" applyAlignment="1">
      <alignment horizontal="center" vertical="center" wrapText="1"/>
    </xf>
    <xf numFmtId="0" fontId="2" fillId="7" borderId="21" xfId="0" applyFont="1" applyFill="1" applyBorder="1" applyAlignment="1">
      <alignment horizontal="justify" vertical="center" wrapText="1"/>
    </xf>
    <xf numFmtId="9" fontId="2" fillId="7" borderId="21" xfId="3" applyFont="1" applyFill="1" applyBorder="1" applyAlignment="1">
      <alignment horizontal="center" vertical="center"/>
    </xf>
    <xf numFmtId="166" fontId="2" fillId="7" borderId="21" xfId="0" applyNumberFormat="1" applyFont="1" applyFill="1" applyBorder="1" applyAlignment="1">
      <alignment horizontal="right" vertical="center"/>
    </xf>
    <xf numFmtId="165" fontId="2" fillId="7" borderId="21" xfId="0" applyNumberFormat="1" applyFont="1" applyFill="1" applyBorder="1" applyAlignment="1">
      <alignment horizontal="center" vertical="center"/>
    </xf>
    <xf numFmtId="0" fontId="2" fillId="7" borderId="18" xfId="0" applyFont="1" applyFill="1" applyBorder="1" applyAlignment="1">
      <alignment horizontal="center" vertical="center"/>
    </xf>
    <xf numFmtId="0" fontId="2" fillId="9" borderId="20" xfId="0" applyFont="1" applyFill="1" applyBorder="1" applyAlignment="1">
      <alignment horizontal="justify" vertical="center" wrapText="1"/>
    </xf>
    <xf numFmtId="9" fontId="2" fillId="9" borderId="20" xfId="3" applyFont="1" applyFill="1" applyBorder="1" applyAlignment="1">
      <alignment horizontal="center" vertical="center"/>
    </xf>
    <xf numFmtId="166" fontId="2" fillId="9" borderId="20" xfId="0" applyNumberFormat="1" applyFont="1" applyFill="1" applyBorder="1" applyAlignment="1">
      <alignment horizontal="right" vertical="center"/>
    </xf>
    <xf numFmtId="9" fontId="2" fillId="11" borderId="5" xfId="3" applyFont="1" applyFill="1" applyBorder="1" applyAlignment="1">
      <alignment horizontal="center" vertical="center"/>
    </xf>
    <xf numFmtId="0" fontId="2" fillId="11" borderId="5" xfId="0" applyFont="1" applyFill="1" applyBorder="1" applyAlignment="1">
      <alignment horizontal="justify" vertical="center" wrapText="1"/>
    </xf>
    <xf numFmtId="166" fontId="2" fillId="11" borderId="5" xfId="0" applyNumberFormat="1" applyFont="1" applyFill="1" applyBorder="1" applyAlignment="1">
      <alignment horizontal="right" vertical="center"/>
    </xf>
    <xf numFmtId="0" fontId="2" fillId="11" borderId="0" xfId="0" applyFont="1" applyFill="1" applyAlignment="1">
      <alignment horizontal="center" vertical="center"/>
    </xf>
    <xf numFmtId="1" fontId="2" fillId="11" borderId="5" xfId="0" applyNumberFormat="1" applyFont="1" applyFill="1" applyBorder="1" applyAlignment="1">
      <alignment horizontal="center" vertical="center"/>
    </xf>
    <xf numFmtId="165" fontId="2" fillId="11" borderId="5" xfId="0" applyNumberFormat="1" applyFont="1" applyFill="1" applyBorder="1" applyAlignment="1">
      <alignment horizontal="center" vertical="center"/>
    </xf>
    <xf numFmtId="0" fontId="2" fillId="11" borderId="6" xfId="0" applyFont="1" applyFill="1" applyBorder="1" applyAlignment="1">
      <alignment horizontal="center" vertical="center"/>
    </xf>
    <xf numFmtId="0" fontId="5" fillId="2" borderId="0" xfId="0" applyFont="1" applyFill="1" applyAlignment="1">
      <alignment horizontal="center" vertical="center" wrapText="1"/>
    </xf>
    <xf numFmtId="166" fontId="5" fillId="2" borderId="2" xfId="0" applyNumberFormat="1" applyFont="1" applyFill="1" applyBorder="1" applyAlignment="1">
      <alignment horizontal="right" vertical="center" wrapText="1"/>
    </xf>
    <xf numFmtId="1" fontId="5" fillId="2" borderId="10" xfId="0" applyNumberFormat="1" applyFont="1" applyFill="1" applyBorder="1" applyAlignment="1">
      <alignment horizontal="center" vertical="center" wrapText="1"/>
    </xf>
    <xf numFmtId="182" fontId="8" fillId="2" borderId="2" xfId="7" applyNumberFormat="1" applyFont="1" applyFill="1" applyBorder="1" applyAlignment="1">
      <alignment horizontal="right" vertical="center" wrapText="1"/>
    </xf>
    <xf numFmtId="166" fontId="5" fillId="2" borderId="22" xfId="0" applyNumberFormat="1" applyFont="1" applyFill="1" applyBorder="1" applyAlignment="1">
      <alignment horizontal="justify" vertical="center" wrapText="1"/>
    </xf>
    <xf numFmtId="166" fontId="5" fillId="2" borderId="22" xfId="0" applyNumberFormat="1" applyFont="1" applyFill="1" applyBorder="1" applyAlignment="1">
      <alignment horizontal="right" vertical="center" wrapText="1"/>
    </xf>
    <xf numFmtId="1" fontId="5" fillId="2"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9" fontId="5" fillId="0" borderId="2" xfId="3" applyFont="1" applyFill="1" applyBorder="1" applyAlignment="1">
      <alignment horizontal="center" vertical="center" wrapText="1"/>
    </xf>
    <xf numFmtId="182" fontId="5" fillId="0" borderId="2" xfId="7" applyNumberFormat="1" applyFont="1" applyFill="1" applyBorder="1" applyAlignment="1">
      <alignment horizontal="right" vertical="center" wrapText="1"/>
    </xf>
    <xf numFmtId="0" fontId="5" fillId="0" borderId="7" xfId="0" applyFont="1" applyFill="1" applyBorder="1" applyAlignment="1">
      <alignment horizontal="justify" vertical="center" wrapText="1"/>
    </xf>
    <xf numFmtId="9" fontId="5" fillId="0" borderId="22" xfId="3" applyFont="1" applyFill="1" applyBorder="1" applyAlignment="1">
      <alignment horizontal="center" vertical="center" wrapText="1"/>
    </xf>
    <xf numFmtId="166" fontId="5" fillId="0" borderId="2" xfId="0" applyNumberFormat="1" applyFont="1" applyFill="1" applyBorder="1" applyAlignment="1">
      <alignment horizontal="right" vertical="center" wrapText="1"/>
    </xf>
    <xf numFmtId="1" fontId="5" fillId="0" borderId="6" xfId="0" applyNumberFormat="1" applyFont="1" applyFill="1" applyBorder="1" applyAlignment="1">
      <alignment horizontal="center" vertical="center" wrapText="1"/>
    </xf>
    <xf numFmtId="0" fontId="2" fillId="11" borderId="14" xfId="0" applyFont="1" applyFill="1" applyBorder="1" applyAlignment="1">
      <alignment horizontal="justify" vertical="center" wrapText="1"/>
    </xf>
    <xf numFmtId="0" fontId="2" fillId="11" borderId="14" xfId="0" applyFont="1" applyFill="1" applyBorder="1" applyAlignment="1">
      <alignment horizontal="right" vertical="center" wrapText="1"/>
    </xf>
    <xf numFmtId="0" fontId="2" fillId="11" borderId="0" xfId="0" applyFont="1" applyFill="1" applyAlignment="1">
      <alignment horizontal="center" vertical="center" wrapText="1"/>
    </xf>
    <xf numFmtId="0" fontId="2" fillId="11" borderId="14" xfId="0" applyFont="1" applyFill="1" applyBorder="1" applyAlignment="1">
      <alignment horizontal="center" vertical="center" wrapText="1"/>
    </xf>
    <xf numFmtId="0" fontId="2" fillId="11" borderId="14" xfId="0" applyFont="1" applyFill="1" applyBorder="1" applyAlignment="1">
      <alignment horizontal="center" vertical="center"/>
    </xf>
    <xf numFmtId="0" fontId="2" fillId="11" borderId="8" xfId="0" applyFont="1" applyFill="1" applyBorder="1" applyAlignment="1">
      <alignment horizontal="center" vertical="center"/>
    </xf>
    <xf numFmtId="165" fontId="2" fillId="11" borderId="8" xfId="0" applyNumberFormat="1" applyFont="1" applyFill="1" applyBorder="1" applyAlignment="1">
      <alignment horizontal="center" vertical="center"/>
    </xf>
    <xf numFmtId="0" fontId="2" fillId="11" borderId="9" xfId="0" applyFont="1" applyFill="1" applyBorder="1" applyAlignment="1">
      <alignment horizontal="center" vertical="center"/>
    </xf>
    <xf numFmtId="1" fontId="5" fillId="0" borderId="12" xfId="0" applyNumberFormat="1" applyFont="1" applyBorder="1" applyAlignment="1">
      <alignment horizontal="center" vertical="center"/>
    </xf>
    <xf numFmtId="0" fontId="5" fillId="0" borderId="21" xfId="0" applyFont="1" applyBorder="1" applyAlignment="1">
      <alignment horizontal="center" vertical="center"/>
    </xf>
    <xf numFmtId="0" fontId="5" fillId="0" borderId="62" xfId="0" applyFont="1" applyBorder="1" applyAlignment="1">
      <alignment horizontal="center" vertical="center" wrapText="1"/>
    </xf>
    <xf numFmtId="0" fontId="5" fillId="0" borderId="39" xfId="0" applyFont="1" applyBorder="1" applyAlignment="1">
      <alignment horizontal="justify" vertical="center" wrapText="1"/>
    </xf>
    <xf numFmtId="1" fontId="5" fillId="0" borderId="10" xfId="0" applyNumberFormat="1" applyFont="1" applyBorder="1" applyAlignment="1">
      <alignment horizontal="center" vertical="center" wrapText="1"/>
    </xf>
    <xf numFmtId="0" fontId="8" fillId="0" borderId="28" xfId="5" applyFont="1" applyBorder="1" applyAlignment="1">
      <alignment horizontal="center" vertical="center" wrapText="1"/>
    </xf>
    <xf numFmtId="182" fontId="5" fillId="0" borderId="22" xfId="7" applyNumberFormat="1" applyFont="1" applyFill="1" applyBorder="1" applyAlignment="1">
      <alignment horizontal="right" vertical="center" wrapText="1"/>
    </xf>
    <xf numFmtId="1" fontId="5" fillId="0" borderId="9" xfId="0" applyNumberFormat="1" applyFont="1" applyFill="1" applyBorder="1" applyAlignment="1">
      <alignment horizontal="center" vertical="center" wrapText="1"/>
    </xf>
    <xf numFmtId="183" fontId="5" fillId="0" borderId="3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8" fillId="0" borderId="27" xfId="5" applyFont="1" applyBorder="1" applyAlignment="1">
      <alignment horizontal="center" vertical="center" wrapText="1"/>
    </xf>
    <xf numFmtId="9" fontId="5" fillId="0" borderId="27" xfId="3" applyFont="1" applyFill="1" applyBorder="1" applyAlignment="1">
      <alignment horizontal="center" vertical="center" wrapText="1"/>
    </xf>
    <xf numFmtId="182" fontId="5" fillId="0" borderId="11" xfId="7" applyNumberFormat="1" applyFont="1" applyFill="1" applyBorder="1" applyAlignment="1">
      <alignment horizontal="right" vertical="center" wrapText="1"/>
    </xf>
    <xf numFmtId="0" fontId="5" fillId="0" borderId="13" xfId="0" applyFont="1" applyBorder="1" applyAlignment="1">
      <alignment horizontal="center" vertical="center" wrapText="1"/>
    </xf>
    <xf numFmtId="0" fontId="9" fillId="0" borderId="33" xfId="0" applyFont="1" applyBorder="1" applyAlignment="1">
      <alignment horizontal="center" vertical="center" wrapText="1"/>
    </xf>
    <xf numFmtId="1" fontId="5" fillId="0" borderId="6"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0" fontId="5" fillId="0" borderId="16" xfId="0"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justify" vertical="center" wrapText="1"/>
    </xf>
    <xf numFmtId="0" fontId="8" fillId="0" borderId="64" xfId="0" applyFont="1" applyBorder="1" applyAlignment="1">
      <alignment horizontal="center" vertical="center" wrapText="1"/>
    </xf>
    <xf numFmtId="0" fontId="8" fillId="0" borderId="22" xfId="5" applyFont="1" applyBorder="1" applyAlignment="1">
      <alignment horizontal="center" vertical="center" wrapText="1"/>
    </xf>
    <xf numFmtId="1" fontId="5" fillId="0" borderId="9" xfId="0" applyNumberFormat="1" applyFont="1" applyBorder="1" applyAlignment="1">
      <alignment horizontal="center" vertical="center" wrapText="1"/>
    </xf>
    <xf numFmtId="0" fontId="3" fillId="7" borderId="42" xfId="0" applyFont="1" applyFill="1" applyBorder="1" applyAlignment="1">
      <alignment horizontal="center" vertical="center" wrapText="1"/>
    </xf>
    <xf numFmtId="0" fontId="2" fillId="7" borderId="0" xfId="0" applyFont="1" applyFill="1" applyAlignment="1">
      <alignment horizontal="justify" vertical="center" wrapText="1"/>
    </xf>
    <xf numFmtId="0" fontId="2" fillId="7" borderId="0" xfId="0" applyFont="1" applyFill="1" applyAlignment="1">
      <alignment horizontal="center" vertical="center"/>
    </xf>
    <xf numFmtId="165" fontId="2" fillId="7" borderId="0" xfId="0" applyNumberFormat="1" applyFont="1" applyFill="1" applyAlignment="1">
      <alignment horizontal="center" vertical="center"/>
    </xf>
    <xf numFmtId="0" fontId="2" fillId="9" borderId="21" xfId="0" applyFont="1" applyFill="1" applyBorder="1" applyAlignment="1">
      <alignment horizontal="justify" vertical="center" wrapText="1"/>
    </xf>
    <xf numFmtId="9" fontId="2" fillId="9" borderId="21" xfId="3" applyFont="1" applyFill="1" applyBorder="1" applyAlignment="1">
      <alignment horizontal="center" vertical="center"/>
    </xf>
    <xf numFmtId="0" fontId="2" fillId="11" borderId="5" xfId="0" applyFont="1" applyFill="1" applyBorder="1" applyAlignment="1">
      <alignment horizontal="right" vertical="center" wrapText="1"/>
    </xf>
    <xf numFmtId="0" fontId="2" fillId="11" borderId="5" xfId="0" applyFont="1" applyFill="1" applyBorder="1" applyAlignment="1">
      <alignment horizontal="center" vertical="center" wrapText="1"/>
    </xf>
    <xf numFmtId="0" fontId="8" fillId="0" borderId="37" xfId="14" applyFont="1" applyFill="1" applyBorder="1">
      <alignment horizontal="center" vertical="center" wrapText="1"/>
    </xf>
    <xf numFmtId="1" fontId="5" fillId="0" borderId="11"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5" fillId="0" borderId="67" xfId="0" applyFont="1" applyBorder="1" applyAlignment="1">
      <alignment horizontal="center" vertical="center" wrapText="1"/>
    </xf>
    <xf numFmtId="0" fontId="8" fillId="0" borderId="19" xfId="14" applyFont="1" applyFill="1" applyBorder="1">
      <alignment horizontal="center" vertical="center" wrapText="1"/>
    </xf>
    <xf numFmtId="9" fontId="5" fillId="0" borderId="22" xfId="3" applyFont="1" applyFill="1" applyBorder="1" applyAlignment="1">
      <alignment horizontal="justify" vertical="center" wrapText="1"/>
    </xf>
    <xf numFmtId="0" fontId="3" fillId="11" borderId="36" xfId="0" applyFont="1" applyFill="1" applyBorder="1" applyAlignment="1">
      <alignment horizontal="center" vertical="center"/>
    </xf>
    <xf numFmtId="0" fontId="5" fillId="0" borderId="0" xfId="0" applyFont="1" applyAlignment="1">
      <alignment horizontal="center" vertical="center"/>
    </xf>
    <xf numFmtId="1" fontId="8" fillId="0" borderId="26" xfId="5" applyNumberFormat="1" applyFont="1" applyBorder="1" applyAlignment="1">
      <alignment horizontal="center" vertical="center" wrapText="1"/>
    </xf>
    <xf numFmtId="0" fontId="8" fillId="0" borderId="30" xfId="5" applyFont="1" applyBorder="1" applyAlignment="1">
      <alignment horizontal="justify" vertical="center" wrapText="1"/>
    </xf>
    <xf numFmtId="1" fontId="8" fillId="0" borderId="28" xfId="5" applyNumberFormat="1" applyFont="1" applyBorder="1" applyAlignment="1">
      <alignment horizontal="center" vertical="center" wrapText="1"/>
    </xf>
    <xf numFmtId="0" fontId="8" fillId="0" borderId="37" xfId="5" applyFont="1" applyBorder="1" applyAlignment="1">
      <alignment horizontal="justify" vertical="center" wrapText="1"/>
    </xf>
    <xf numFmtId="0" fontId="2" fillId="11" borderId="8" xfId="0" applyFont="1" applyFill="1" applyBorder="1" applyAlignment="1">
      <alignment horizontal="justify" vertical="center" wrapText="1"/>
    </xf>
    <xf numFmtId="0" fontId="2" fillId="11" borderId="8" xfId="0" applyFont="1" applyFill="1" applyBorder="1" applyAlignment="1">
      <alignment horizontal="center" vertical="center" wrapText="1"/>
    </xf>
    <xf numFmtId="0" fontId="2" fillId="11" borderId="8" xfId="0" applyFont="1" applyFill="1" applyBorder="1" applyAlignment="1">
      <alignment horizontal="right" vertical="center" wrapText="1"/>
    </xf>
    <xf numFmtId="165" fontId="2" fillId="11" borderId="0" xfId="0" applyNumberFormat="1" applyFont="1" applyFill="1" applyAlignment="1">
      <alignment horizontal="center" vertical="center"/>
    </xf>
    <xf numFmtId="166" fontId="5" fillId="0" borderId="20" xfId="0" applyNumberFormat="1" applyFont="1" applyFill="1" applyBorder="1" applyAlignment="1">
      <alignment horizontal="right" vertical="center" wrapText="1"/>
    </xf>
    <xf numFmtId="0" fontId="9" fillId="0" borderId="28" xfId="0" applyFont="1" applyBorder="1" applyAlignment="1">
      <alignment vertical="center" wrapText="1"/>
    </xf>
    <xf numFmtId="166" fontId="5" fillId="0" borderId="21" xfId="0" applyNumberFormat="1" applyFont="1" applyFill="1" applyBorder="1" applyAlignment="1">
      <alignment horizontal="right" vertical="center" wrapText="1"/>
    </xf>
    <xf numFmtId="0" fontId="9" fillId="0" borderId="35" xfId="0" applyFont="1" applyBorder="1" applyAlignment="1">
      <alignment vertical="center" wrapText="1"/>
    </xf>
    <xf numFmtId="1" fontId="5" fillId="19" borderId="13" xfId="0" applyNumberFormat="1" applyFont="1" applyFill="1" applyBorder="1" applyAlignment="1">
      <alignment horizontal="center" vertical="center"/>
    </xf>
    <xf numFmtId="0" fontId="5" fillId="19" borderId="14" xfId="0" applyFont="1" applyFill="1" applyBorder="1" applyAlignment="1">
      <alignment horizontal="center" vertical="center"/>
    </xf>
    <xf numFmtId="0" fontId="5" fillId="19" borderId="14" xfId="0" applyFont="1" applyFill="1" applyBorder="1" applyAlignment="1">
      <alignment horizontal="justify" vertical="center" wrapText="1"/>
    </xf>
    <xf numFmtId="9" fontId="5" fillId="19" borderId="14" xfId="3" applyFont="1" applyFill="1" applyBorder="1" applyAlignment="1">
      <alignment horizontal="center" vertical="center"/>
    </xf>
    <xf numFmtId="166" fontId="2" fillId="19" borderId="14" xfId="0" applyNumberFormat="1" applyFont="1" applyFill="1" applyBorder="1" applyAlignment="1">
      <alignment horizontal="center" vertical="center"/>
    </xf>
    <xf numFmtId="0" fontId="15" fillId="19" borderId="68" xfId="0" applyFont="1" applyFill="1" applyBorder="1" applyAlignment="1">
      <alignment horizontal="justify" vertical="center" wrapText="1"/>
    </xf>
    <xf numFmtId="183" fontId="15" fillId="19" borderId="68" xfId="0" applyNumberFormat="1" applyFont="1" applyFill="1" applyBorder="1" applyAlignment="1">
      <alignment horizontal="right" vertical="center"/>
    </xf>
    <xf numFmtId="166" fontId="5" fillId="19" borderId="14" xfId="0" applyNumberFormat="1" applyFont="1" applyFill="1" applyBorder="1" applyAlignment="1">
      <alignment horizontal="center" vertical="center"/>
    </xf>
    <xf numFmtId="1" fontId="5" fillId="19" borderId="14" xfId="0" applyNumberFormat="1" applyFont="1" applyFill="1" applyBorder="1" applyAlignment="1">
      <alignment horizontal="center" vertical="center"/>
    </xf>
    <xf numFmtId="165" fontId="5" fillId="19" borderId="14" xfId="0" applyNumberFormat="1" applyFont="1" applyFill="1" applyBorder="1" applyAlignment="1">
      <alignment horizontal="center" vertical="center"/>
    </xf>
    <xf numFmtId="0" fontId="5" fillId="19" borderId="10" xfId="0" applyFont="1" applyFill="1" applyBorder="1" applyAlignment="1">
      <alignment horizontal="center" vertical="center"/>
    </xf>
    <xf numFmtId="9" fontId="5" fillId="2" borderId="0" xfId="3" applyFont="1" applyFill="1" applyAlignment="1">
      <alignment horizontal="center" vertical="center"/>
    </xf>
    <xf numFmtId="166" fontId="5" fillId="2" borderId="0" xfId="0" applyNumberFormat="1" applyFont="1" applyFill="1" applyAlignment="1">
      <alignment horizontal="righ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1" fontId="2" fillId="4" borderId="13"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textRotation="90" wrapText="1"/>
    </xf>
    <xf numFmtId="0" fontId="3" fillId="4" borderId="2"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8" fillId="0" borderId="3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7" xfId="0" applyFont="1" applyBorder="1" applyAlignment="1">
      <alignment horizontal="justify" vertical="center" wrapText="1"/>
    </xf>
    <xf numFmtId="0" fontId="5" fillId="0" borderId="1" xfId="0" applyFont="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0" fontId="5" fillId="2" borderId="0" xfId="0" applyFont="1" applyFill="1" applyBorder="1" applyAlignment="1">
      <alignment horizontal="center" vertical="center"/>
    </xf>
    <xf numFmtId="0" fontId="2" fillId="2" borderId="0" xfId="0" applyFont="1" applyFill="1" applyAlignment="1">
      <alignment horizontal="center" vertical="center"/>
    </xf>
    <xf numFmtId="1" fontId="2" fillId="4" borderId="10" xfId="0" applyNumberFormat="1"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27" xfId="0" applyFont="1" applyBorder="1" applyAlignment="1">
      <alignment horizontal="center" vertical="center" wrapText="1"/>
    </xf>
    <xf numFmtId="0" fontId="8" fillId="0" borderId="34" xfId="0" applyFont="1" applyBorder="1" applyAlignment="1">
      <alignment horizontal="center" vertical="center" wrapText="1"/>
    </xf>
    <xf numFmtId="0" fontId="5" fillId="0" borderId="27" xfId="0" applyFont="1" applyBorder="1" applyAlignment="1">
      <alignment horizontal="center" vertical="center"/>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8" fillId="2" borderId="26" xfId="0" applyFont="1" applyFill="1" applyBorder="1" applyAlignment="1">
      <alignment horizontal="justify" vertical="center" wrapText="1"/>
    </xf>
    <xf numFmtId="0" fontId="8" fillId="0" borderId="27"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12" xfId="0" applyFont="1" applyBorder="1" applyAlignment="1">
      <alignment horizontal="center" vertical="center"/>
    </xf>
    <xf numFmtId="1" fontId="2" fillId="5" borderId="2" xfId="0" applyNumberFormat="1" applyFont="1" applyFill="1" applyBorder="1" applyAlignment="1">
      <alignment horizontal="center" vertical="center" wrapText="1"/>
    </xf>
    <xf numFmtId="0" fontId="3" fillId="9" borderId="0" xfId="0" applyFont="1" applyFill="1" applyBorder="1" applyAlignment="1">
      <alignment horizontal="left" vertical="center"/>
    </xf>
    <xf numFmtId="0" fontId="2" fillId="0" borderId="14" xfId="0" applyFont="1" applyBorder="1" applyAlignment="1">
      <alignment horizontal="center" vertical="center"/>
    </xf>
    <xf numFmtId="1" fontId="2" fillId="0" borderId="1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9" fontId="5" fillId="2" borderId="27" xfId="3"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8" xfId="0" applyFont="1" applyBorder="1" applyAlignment="1">
      <alignment horizontal="center" vertical="center" wrapText="1"/>
    </xf>
    <xf numFmtId="0" fontId="2" fillId="0" borderId="2" xfId="0" applyFont="1" applyBorder="1" applyAlignment="1">
      <alignment horizontal="center" vertical="center" wrapText="1"/>
    </xf>
    <xf numFmtId="1" fontId="2" fillId="4" borderId="5"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7" borderId="8" xfId="0" applyFont="1" applyFill="1" applyBorder="1" applyAlignment="1">
      <alignment horizontal="left" vertical="center"/>
    </xf>
    <xf numFmtId="0" fontId="9" fillId="0" borderId="20" xfId="0" applyFont="1" applyFill="1" applyBorder="1" applyAlignment="1">
      <alignment horizontal="center" vertical="center" wrapText="1"/>
    </xf>
    <xf numFmtId="0" fontId="9" fillId="0" borderId="28" xfId="0" applyFont="1" applyFill="1" applyBorder="1" applyAlignment="1">
      <alignment horizontal="center" vertical="center" wrapText="1"/>
    </xf>
    <xf numFmtId="3" fontId="5" fillId="2" borderId="28" xfId="0" applyNumberFormat="1" applyFont="1" applyFill="1" applyBorder="1" applyAlignment="1">
      <alignment horizontal="justify" vertical="center" wrapText="1"/>
    </xf>
    <xf numFmtId="1" fontId="5" fillId="0" borderId="28"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12" borderId="0"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0" fontId="5" fillId="0" borderId="37" xfId="0" applyFont="1" applyFill="1" applyBorder="1" applyAlignment="1">
      <alignment horizontal="justify" vertical="center" wrapText="1"/>
    </xf>
    <xf numFmtId="1" fontId="5" fillId="2" borderId="28" xfId="0" applyNumberFormat="1" applyFont="1" applyFill="1" applyBorder="1" applyAlignment="1">
      <alignment horizontal="center" vertical="center" wrapText="1"/>
    </xf>
    <xf numFmtId="3" fontId="5" fillId="2" borderId="26" xfId="0" applyNumberFormat="1" applyFont="1" applyFill="1" applyBorder="1" applyAlignment="1">
      <alignment horizontal="justify" vertical="center" wrapText="1"/>
    </xf>
    <xf numFmtId="43" fontId="5" fillId="2" borderId="27" xfId="16" applyFont="1" applyFill="1" applyBorder="1" applyAlignment="1">
      <alignment horizontal="center" vertical="center" wrapText="1"/>
    </xf>
    <xf numFmtId="43" fontId="5" fillId="2" borderId="22" xfId="16"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5" fillId="2" borderId="33" xfId="0"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43" fontId="5" fillId="0" borderId="28" xfId="16" applyFont="1" applyFill="1" applyBorder="1" applyAlignment="1">
      <alignment horizontal="center" vertical="center" wrapText="1"/>
    </xf>
    <xf numFmtId="43" fontId="5" fillId="0" borderId="25" xfId="16" applyFont="1" applyFill="1" applyBorder="1" applyAlignment="1">
      <alignment horizontal="center" vertical="center" wrapText="1"/>
    </xf>
    <xf numFmtId="43" fontId="5" fillId="0" borderId="27" xfId="16" applyFont="1" applyFill="1" applyBorder="1" applyAlignment="1">
      <alignment horizontal="center" vertical="center" wrapText="1"/>
    </xf>
    <xf numFmtId="43" fontId="5" fillId="2" borderId="2" xfId="16" applyFont="1" applyFill="1" applyBorder="1" applyAlignment="1">
      <alignment horizontal="center" vertical="center" wrapText="1"/>
    </xf>
    <xf numFmtId="0" fontId="2" fillId="11" borderId="20" xfId="0" applyFont="1" applyFill="1" applyBorder="1" applyAlignment="1">
      <alignment horizontal="left" vertical="center"/>
    </xf>
    <xf numFmtId="0" fontId="5" fillId="0" borderId="0" xfId="0" applyFont="1" applyAlignment="1">
      <alignment horizontal="center" vertical="center"/>
    </xf>
    <xf numFmtId="0" fontId="8" fillId="0" borderId="36" xfId="0" applyFont="1" applyBorder="1" applyAlignment="1">
      <alignment horizontal="center" vertical="center" wrapText="1"/>
    </xf>
    <xf numFmtId="0" fontId="8" fillId="0" borderId="26" xfId="0" applyFont="1" applyBorder="1" applyAlignment="1">
      <alignment horizontal="justify" vertical="center" wrapText="1"/>
    </xf>
    <xf numFmtId="0" fontId="5" fillId="0" borderId="10" xfId="0" applyFont="1" applyBorder="1" applyAlignment="1">
      <alignment horizontal="center" vertical="center" wrapText="1"/>
    </xf>
    <xf numFmtId="0" fontId="8" fillId="0" borderId="37"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9" xfId="0" applyFont="1" applyBorder="1" applyAlignment="1">
      <alignment horizontal="justify" vertical="center" wrapText="1"/>
    </xf>
    <xf numFmtId="0" fontId="5" fillId="2" borderId="0" xfId="0" applyFont="1" applyFill="1" applyAlignment="1">
      <alignment horizontal="center" vertical="center" wrapText="1"/>
    </xf>
    <xf numFmtId="0" fontId="2" fillId="0" borderId="0" xfId="0" applyFont="1" applyAlignment="1">
      <alignment horizontal="center" vertical="center"/>
    </xf>
    <xf numFmtId="0" fontId="2" fillId="14" borderId="35" xfId="0" applyFont="1" applyFill="1" applyBorder="1" applyAlignment="1">
      <alignment horizontal="center" vertical="center"/>
    </xf>
    <xf numFmtId="167" fontId="2" fillId="5" borderId="28" xfId="0" applyNumberFormat="1" applyFont="1" applyFill="1" applyBorder="1" applyAlignment="1">
      <alignment horizontal="center" vertical="center" wrapText="1"/>
    </xf>
    <xf numFmtId="0" fontId="2" fillId="5" borderId="10" xfId="0" applyFont="1" applyFill="1" applyBorder="1" applyAlignment="1">
      <alignment horizontal="center" vertical="center" wrapText="1"/>
    </xf>
    <xf numFmtId="166" fontId="2" fillId="11" borderId="20" xfId="0" applyNumberFormat="1" applyFont="1" applyFill="1" applyBorder="1" applyAlignment="1">
      <alignment horizontal="center" vertical="center"/>
    </xf>
    <xf numFmtId="0" fontId="8" fillId="0" borderId="26" xfId="0" applyFont="1" applyBorder="1" applyAlignment="1">
      <alignment horizontal="center" vertical="center"/>
    </xf>
    <xf numFmtId="0" fontId="8" fillId="2" borderId="6"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8" fillId="2" borderId="26" xfId="5" applyFont="1" applyFill="1" applyBorder="1" applyAlignment="1">
      <alignment horizontal="center" vertical="center" wrapText="1"/>
    </xf>
    <xf numFmtId="10" fontId="5" fillId="2" borderId="6" xfId="0" applyNumberFormat="1" applyFont="1" applyFill="1" applyBorder="1" applyAlignment="1">
      <alignment horizontal="center" vertical="center" wrapText="1"/>
    </xf>
    <xf numFmtId="169" fontId="8" fillId="0" borderId="30" xfId="11" applyFont="1" applyBorder="1" applyAlignment="1">
      <alignment horizontal="center" vertical="center" wrapText="1"/>
    </xf>
    <xf numFmtId="169" fontId="8" fillId="0" borderId="37" xfId="11" applyFont="1" applyBorder="1" applyAlignment="1">
      <alignment horizontal="center" vertical="center" wrapText="1"/>
    </xf>
    <xf numFmtId="0" fontId="8" fillId="0" borderId="6" xfId="0" applyFont="1" applyBorder="1" applyAlignment="1">
      <alignment horizontal="justify" vertical="center" wrapText="1"/>
    </xf>
    <xf numFmtId="0" fontId="8" fillId="0" borderId="11" xfId="0" applyFont="1" applyBorder="1" applyAlignment="1">
      <alignment horizontal="justify" vertical="center" wrapText="1"/>
    </xf>
    <xf numFmtId="169" fontId="8" fillId="0" borderId="37" xfId="11" applyFont="1" applyFill="1" applyBorder="1" applyAlignment="1">
      <alignment horizontal="center" vertical="center" wrapText="1"/>
    </xf>
    <xf numFmtId="0" fontId="8" fillId="0" borderId="28" xfId="13" applyNumberFormat="1" applyFont="1" applyFill="1" applyBorder="1">
      <alignment horizontal="center" vertical="center" wrapText="1"/>
    </xf>
    <xf numFmtId="0" fontId="8" fillId="0" borderId="10" xfId="0" applyFont="1" applyBorder="1" applyAlignment="1">
      <alignment horizontal="justify" vertical="center" wrapText="1"/>
    </xf>
    <xf numFmtId="0" fontId="8" fillId="0" borderId="2" xfId="14" applyFont="1" applyFill="1" applyBorder="1">
      <alignment horizontal="center" vertical="center" wrapText="1"/>
    </xf>
    <xf numFmtId="0" fontId="8" fillId="0" borderId="13" xfId="5" applyFont="1" applyBorder="1" applyAlignment="1">
      <alignment horizontal="justify" vertical="center" wrapText="1"/>
    </xf>
    <xf numFmtId="10" fontId="5" fillId="2"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8" fillId="0" borderId="19" xfId="0" applyFont="1" applyBorder="1" applyAlignment="1">
      <alignment horizontal="justify" vertical="center" wrapText="1"/>
    </xf>
    <xf numFmtId="0" fontId="8" fillId="0" borderId="13" xfId="0" applyFont="1" applyFill="1" applyBorder="1" applyAlignment="1">
      <alignment horizontal="center" vertical="center" wrapText="1"/>
    </xf>
    <xf numFmtId="0" fontId="8" fillId="0" borderId="15"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7" xfId="5" applyFont="1" applyBorder="1" applyAlignment="1">
      <alignment horizontal="center" vertical="center" wrapText="1"/>
    </xf>
    <xf numFmtId="10" fontId="5" fillId="2" borderId="8"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8" fillId="0" borderId="37" xfId="5" applyFont="1" applyBorder="1" applyAlignment="1">
      <alignment horizontal="center" vertical="center" wrapText="1"/>
    </xf>
    <xf numFmtId="0" fontId="8" fillId="0" borderId="7" xfId="0" applyFont="1" applyFill="1" applyBorder="1" applyAlignment="1">
      <alignment horizontal="center" vertical="center" wrapText="1"/>
    </xf>
    <xf numFmtId="169" fontId="8" fillId="0" borderId="19" xfId="11" applyFont="1" applyFill="1" applyBorder="1" applyAlignment="1">
      <alignment horizontal="center" vertical="center" wrapText="1"/>
    </xf>
    <xf numFmtId="169" fontId="8" fillId="0" borderId="21" xfId="11" applyFont="1" applyFill="1" applyBorder="1" applyAlignment="1">
      <alignment horizontal="center" vertical="center"/>
    </xf>
    <xf numFmtId="0" fontId="3" fillId="9" borderId="32" xfId="0" applyFont="1" applyFill="1" applyBorder="1" applyAlignment="1">
      <alignment horizontal="center" vertical="center"/>
    </xf>
    <xf numFmtId="0" fontId="8" fillId="9" borderId="16" xfId="13" applyNumberFormat="1" applyFont="1" applyFill="1" applyBorder="1">
      <alignment horizontal="center" vertical="center" wrapText="1"/>
    </xf>
    <xf numFmtId="0" fontId="8" fillId="9" borderId="21" xfId="0" applyFont="1" applyFill="1" applyBorder="1" applyAlignment="1">
      <alignment horizontal="justify" vertical="center" wrapText="1"/>
    </xf>
    <xf numFmtId="0" fontId="8" fillId="9" borderId="21" xfId="0" applyFont="1" applyFill="1" applyBorder="1" applyAlignment="1">
      <alignment horizontal="center" vertical="center" wrapText="1"/>
    </xf>
    <xf numFmtId="0" fontId="8" fillId="9" borderId="21" xfId="5" applyFont="1" applyFill="1" applyBorder="1" applyAlignment="1">
      <alignment horizontal="center" vertical="center" wrapText="1"/>
    </xf>
    <xf numFmtId="169" fontId="8" fillId="9" borderId="21" xfId="11" applyFont="1" applyFill="1" applyBorder="1" applyAlignment="1">
      <alignment horizontal="center" vertical="center"/>
    </xf>
    <xf numFmtId="0" fontId="5" fillId="9" borderId="0" xfId="0" applyFont="1" applyFill="1" applyAlignment="1">
      <alignment horizontal="justify" vertical="center" wrapText="1"/>
    </xf>
    <xf numFmtId="0" fontId="5" fillId="9" borderId="0" xfId="0" applyFont="1" applyFill="1" applyAlignment="1">
      <alignment horizontal="center" vertical="center" wrapText="1"/>
    </xf>
    <xf numFmtId="1" fontId="2" fillId="0" borderId="12" xfId="0" applyNumberFormat="1" applyFont="1" applyBorder="1" applyAlignment="1">
      <alignment horizontal="center" vertical="center" wrapText="1" indent="1"/>
    </xf>
    <xf numFmtId="1" fontId="2" fillId="0" borderId="1" xfId="0" applyNumberFormat="1" applyFont="1" applyBorder="1" applyAlignment="1">
      <alignment horizontal="center" vertical="center" wrapText="1" indent="1"/>
    </xf>
    <xf numFmtId="1" fontId="2" fillId="0" borderId="7" xfId="0" applyNumberFormat="1" applyFont="1" applyBorder="1" applyAlignment="1">
      <alignment horizontal="center" vertical="center" wrapText="1" indent="1"/>
    </xf>
    <xf numFmtId="1" fontId="2" fillId="0" borderId="9" xfId="0" applyNumberFormat="1" applyFont="1" applyBorder="1" applyAlignment="1">
      <alignment horizontal="center" vertical="center" wrapText="1" indent="1"/>
    </xf>
    <xf numFmtId="0" fontId="5" fillId="11" borderId="20" xfId="0" applyFont="1" applyFill="1" applyBorder="1" applyAlignment="1">
      <alignment horizontal="center" vertical="center"/>
    </xf>
    <xf numFmtId="0" fontId="8" fillId="0" borderId="27" xfId="14" applyFont="1" applyFill="1" applyBorder="1">
      <alignment horizontal="center" vertical="center" wrapText="1"/>
    </xf>
    <xf numFmtId="0" fontId="8" fillId="0" borderId="27" xfId="5" applyFont="1" applyBorder="1" applyAlignment="1">
      <alignment horizontal="justify" vertical="center" wrapText="1"/>
    </xf>
    <xf numFmtId="9" fontId="5" fillId="2" borderId="27" xfId="0" applyNumberFormat="1" applyFont="1" applyFill="1" applyBorder="1" applyAlignment="1">
      <alignment horizontal="center" vertical="center"/>
    </xf>
    <xf numFmtId="169" fontId="8" fillId="0" borderId="30" xfId="11" applyFont="1" applyFill="1" applyBorder="1" applyAlignment="1">
      <alignment horizontal="center" vertical="center" wrapText="1"/>
    </xf>
    <xf numFmtId="167" fontId="5" fillId="19" borderId="10" xfId="0" applyNumberFormat="1" applyFont="1" applyFill="1" applyBorder="1" applyAlignment="1">
      <alignment horizontal="center" vertical="center"/>
    </xf>
    <xf numFmtId="178" fontId="2" fillId="19" borderId="2" xfId="0" applyNumberFormat="1" applyFont="1" applyFill="1" applyBorder="1" applyAlignment="1">
      <alignment horizontal="center" vertical="center"/>
    </xf>
    <xf numFmtId="0" fontId="5" fillId="19" borderId="13" xfId="0" applyFont="1" applyFill="1" applyBorder="1" applyAlignment="1">
      <alignment horizontal="justify" vertical="center" wrapText="1"/>
    </xf>
    <xf numFmtId="0" fontId="5" fillId="19" borderId="10" xfId="0" applyFont="1" applyFill="1" applyBorder="1" applyAlignment="1">
      <alignment horizontal="justify" vertical="center" wrapText="1"/>
    </xf>
    <xf numFmtId="0" fontId="2" fillId="19" borderId="2" xfId="0" applyFont="1" applyFill="1" applyBorder="1" applyAlignment="1">
      <alignment horizontal="justify" vertical="center" wrapText="1"/>
    </xf>
    <xf numFmtId="0" fontId="2" fillId="0" borderId="2" xfId="5" applyFont="1" applyBorder="1" applyAlignment="1">
      <alignment horizontal="center" vertical="center"/>
    </xf>
    <xf numFmtId="0" fontId="5" fillId="0" borderId="2" xfId="5" applyFont="1" applyBorder="1" applyAlignment="1">
      <alignment horizontal="left" vertical="center"/>
    </xf>
    <xf numFmtId="14" fontId="5" fillId="0" borderId="2" xfId="5" applyNumberFormat="1" applyFont="1" applyBorder="1" applyAlignment="1">
      <alignment horizontal="left" vertical="center" wrapText="1"/>
    </xf>
    <xf numFmtId="3" fontId="14" fillId="0" borderId="2" xfId="5" applyNumberFormat="1" applyFont="1" applyBorder="1" applyAlignment="1">
      <alignment horizontal="center" vertical="center" wrapText="1"/>
    </xf>
    <xf numFmtId="4" fontId="2" fillId="5" borderId="28" xfId="0" applyNumberFormat="1" applyFont="1" applyFill="1" applyBorder="1" applyAlignment="1">
      <alignment horizontal="center" vertical="center" wrapText="1"/>
    </xf>
    <xf numFmtId="4" fontId="2" fillId="7" borderId="21" xfId="0" applyNumberFormat="1" applyFont="1" applyFill="1" applyBorder="1" applyAlignment="1">
      <alignment horizontal="center" vertical="center"/>
    </xf>
    <xf numFmtId="0" fontId="3" fillId="9" borderId="35" xfId="0" applyFont="1" applyFill="1" applyBorder="1" applyAlignment="1">
      <alignment horizontal="center" vertical="center"/>
    </xf>
    <xf numFmtId="4" fontId="2" fillId="9" borderId="20" xfId="0" applyNumberFormat="1" applyFont="1" applyFill="1" applyBorder="1" applyAlignment="1">
      <alignment horizontal="center" vertical="center"/>
    </xf>
    <xf numFmtId="1" fontId="2" fillId="11" borderId="34" xfId="0" applyNumberFormat="1" applyFont="1" applyFill="1" applyBorder="1" applyAlignment="1">
      <alignment horizontal="center" vertical="center" wrapText="1" indent="1"/>
    </xf>
    <xf numFmtId="167" fontId="2" fillId="11" borderId="0" xfId="0" applyNumberFormat="1" applyFont="1" applyFill="1" applyAlignment="1">
      <alignment horizontal="center" vertical="center"/>
    </xf>
    <xf numFmtId="167" fontId="2" fillId="11" borderId="5" xfId="0" applyNumberFormat="1" applyFont="1" applyFill="1" applyBorder="1" applyAlignment="1">
      <alignment horizontal="center" vertical="center"/>
    </xf>
    <xf numFmtId="166" fontId="2" fillId="11" borderId="0" xfId="0" applyNumberFormat="1" applyFont="1" applyFill="1" applyAlignment="1">
      <alignment horizontal="center" vertical="center"/>
    </xf>
    <xf numFmtId="4" fontId="2" fillId="11" borderId="5" xfId="0" applyNumberFormat="1" applyFont="1" applyFill="1" applyBorder="1" applyAlignment="1">
      <alignment horizontal="center" vertical="center"/>
    </xf>
    <xf numFmtId="43" fontId="5" fillId="2" borderId="39" xfId="16"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43" fontId="5" fillId="2" borderId="25" xfId="16" applyFont="1" applyFill="1" applyBorder="1" applyAlignment="1">
      <alignment horizontal="center" vertical="center"/>
    </xf>
    <xf numFmtId="43" fontId="5" fillId="0" borderId="2" xfId="16" applyFont="1" applyBorder="1" applyAlignment="1">
      <alignment horizontal="center" vertical="center" wrapText="1"/>
    </xf>
    <xf numFmtId="0" fontId="5" fillId="2" borderId="11" xfId="0" applyFont="1" applyFill="1" applyBorder="1" applyAlignment="1">
      <alignment horizontal="center" vertical="center" wrapText="1"/>
    </xf>
    <xf numFmtId="10" fontId="5" fillId="2" borderId="5" xfId="3" applyNumberFormat="1" applyFont="1" applyFill="1" applyBorder="1" applyAlignment="1">
      <alignment horizontal="center" vertical="center" wrapText="1"/>
    </xf>
    <xf numFmtId="0" fontId="8" fillId="2" borderId="28" xfId="0" applyFont="1" applyFill="1" applyBorder="1" applyAlignment="1">
      <alignment horizontal="center" vertical="center" wrapText="1"/>
    </xf>
    <xf numFmtId="10" fontId="5" fillId="2" borderId="14" xfId="3" applyNumberFormat="1" applyFont="1" applyFill="1" applyBorder="1" applyAlignment="1">
      <alignment horizontal="center" vertical="center" wrapText="1"/>
    </xf>
    <xf numFmtId="0" fontId="8" fillId="0" borderId="35" xfId="17" applyNumberFormat="1" applyFont="1" applyBorder="1" applyAlignment="1">
      <alignment horizontal="center" vertical="center" wrapText="1"/>
    </xf>
    <xf numFmtId="0" fontId="5" fillId="2" borderId="7" xfId="0" applyFont="1" applyFill="1" applyBorder="1" applyAlignment="1">
      <alignment horizontal="center" vertical="center" wrapText="1"/>
    </xf>
    <xf numFmtId="10" fontId="5" fillId="2" borderId="8" xfId="3" applyNumberFormat="1" applyFont="1" applyFill="1" applyBorder="1" applyAlignment="1">
      <alignment horizontal="center" vertical="center" wrapText="1"/>
    </xf>
    <xf numFmtId="43" fontId="9" fillId="2" borderId="2" xfId="16" applyFont="1" applyFill="1" applyBorder="1" applyAlignment="1">
      <alignment horizontal="center" vertical="center"/>
    </xf>
    <xf numFmtId="0" fontId="9" fillId="2" borderId="18" xfId="0" applyFont="1" applyFill="1" applyBorder="1" applyAlignment="1">
      <alignment horizontal="center" vertical="center" wrapText="1"/>
    </xf>
    <xf numFmtId="0" fontId="9" fillId="0" borderId="34" xfId="0" applyFont="1" applyBorder="1" applyAlignment="1">
      <alignment horizontal="center" vertical="center"/>
    </xf>
    <xf numFmtId="0" fontId="9" fillId="0" borderId="36" xfId="18" applyFont="1" applyBorder="1" applyAlignment="1">
      <alignment horizontal="center" vertical="center"/>
    </xf>
    <xf numFmtId="43" fontId="9" fillId="2" borderId="22" xfId="16" applyFont="1" applyFill="1" applyBorder="1" applyAlignment="1">
      <alignment horizontal="center" vertical="center" wrapText="1"/>
    </xf>
    <xf numFmtId="43" fontId="5" fillId="0" borderId="72" xfId="16" applyFont="1" applyFill="1" applyBorder="1" applyAlignment="1">
      <alignment horizontal="center" vertical="center"/>
    </xf>
    <xf numFmtId="43" fontId="5" fillId="0" borderId="54" xfId="16" applyFont="1" applyBorder="1" applyAlignment="1">
      <alignment horizontal="center" vertical="center" wrapText="1"/>
    </xf>
    <xf numFmtId="0" fontId="9" fillId="0" borderId="16" xfId="0" applyFont="1" applyBorder="1" applyAlignment="1">
      <alignment horizontal="center" vertical="center" wrapText="1"/>
    </xf>
    <xf numFmtId="43" fontId="5" fillId="0" borderId="39" xfId="16" applyFont="1" applyBorder="1" applyAlignment="1">
      <alignment horizontal="center" vertical="center" wrapText="1"/>
    </xf>
    <xf numFmtId="0" fontId="9" fillId="0" borderId="18" xfId="0" applyFont="1" applyBorder="1" applyAlignment="1">
      <alignment horizontal="center" vertical="center" wrapText="1"/>
    </xf>
    <xf numFmtId="1" fontId="5" fillId="2" borderId="17" xfId="0" applyNumberFormat="1" applyFont="1" applyFill="1" applyBorder="1" applyAlignment="1">
      <alignment horizontal="center" vertical="center" wrapText="1"/>
    </xf>
    <xf numFmtId="43" fontId="5" fillId="2" borderId="72" xfId="16" applyFont="1" applyFill="1" applyBorder="1" applyAlignment="1">
      <alignment horizontal="center" vertical="center"/>
    </xf>
    <xf numFmtId="0" fontId="5" fillId="2" borderId="34" xfId="0" applyFont="1" applyFill="1" applyBorder="1" applyAlignment="1">
      <alignment horizontal="center" vertical="center"/>
    </xf>
    <xf numFmtId="0" fontId="2" fillId="11" borderId="20" xfId="0" applyFont="1" applyFill="1" applyBorder="1" applyAlignment="1">
      <alignment horizontal="center" vertical="center" wrapText="1"/>
    </xf>
    <xf numFmtId="0" fontId="2" fillId="11" borderId="16" xfId="0" applyFont="1" applyFill="1" applyBorder="1" applyAlignment="1">
      <alignment horizontal="center" vertical="center" wrapText="1"/>
    </xf>
    <xf numFmtId="178" fontId="2" fillId="11" borderId="0" xfId="0" applyNumberFormat="1" applyFont="1" applyFill="1" applyAlignment="1">
      <alignment horizontal="center" vertical="center" wrapText="1"/>
    </xf>
    <xf numFmtId="0" fontId="2" fillId="11" borderId="30"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5" fillId="2" borderId="15" xfId="0" applyFont="1" applyFill="1" applyBorder="1" applyAlignment="1">
      <alignment horizontal="center" vertical="center" wrapText="1"/>
    </xf>
    <xf numFmtId="43" fontId="5" fillId="0" borderId="72" xfId="16" applyFont="1" applyBorder="1" applyAlignment="1">
      <alignment horizontal="center" vertical="center" wrapText="1"/>
    </xf>
    <xf numFmtId="43" fontId="5" fillId="2" borderId="72" xfId="16"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19" borderId="5" xfId="0" applyFont="1" applyFill="1" applyBorder="1" applyAlignment="1">
      <alignment horizontal="center" vertical="center"/>
    </xf>
    <xf numFmtId="167" fontId="2" fillId="19" borderId="5" xfId="0" applyNumberFormat="1" applyFont="1" applyFill="1" applyBorder="1" applyAlignment="1">
      <alignment horizontal="center" vertical="center"/>
    </xf>
    <xf numFmtId="4" fontId="2" fillId="19" borderId="5" xfId="0" applyNumberFormat="1" applyFont="1" applyFill="1" applyBorder="1" applyAlignment="1">
      <alignment horizontal="center" vertical="center"/>
    </xf>
    <xf numFmtId="4" fontId="2" fillId="19" borderId="2" xfId="0" applyNumberFormat="1" applyFont="1" applyFill="1" applyBorder="1" applyAlignment="1">
      <alignment vertical="center"/>
    </xf>
    <xf numFmtId="1" fontId="2" fillId="19" borderId="5" xfId="0" applyNumberFormat="1" applyFont="1" applyFill="1" applyBorder="1" applyAlignment="1">
      <alignment horizontal="center" vertical="center"/>
    </xf>
    <xf numFmtId="165" fontId="2" fillId="19" borderId="5" xfId="0" applyNumberFormat="1" applyFont="1" applyFill="1" applyBorder="1" applyAlignment="1">
      <alignment horizontal="center" vertical="center"/>
    </xf>
    <xf numFmtId="0" fontId="2" fillId="19" borderId="6" xfId="0" applyFont="1" applyFill="1" applyBorder="1" applyAlignment="1">
      <alignment horizontal="center" vertical="center"/>
    </xf>
    <xf numFmtId="0" fontId="5" fillId="0" borderId="6" xfId="0" applyFont="1" applyBorder="1" applyAlignment="1">
      <alignment horizontal="justify" vertical="center" wrapText="1"/>
    </xf>
    <xf numFmtId="0" fontId="5" fillId="2" borderId="13"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0" borderId="30" xfId="0" applyFont="1" applyBorder="1" applyAlignment="1">
      <alignment horizontal="justify" vertical="center" wrapText="1"/>
    </xf>
    <xf numFmtId="0" fontId="5" fillId="0" borderId="19" xfId="0" applyFont="1" applyBorder="1" applyAlignment="1">
      <alignment horizontal="justify" vertical="center" wrapText="1"/>
    </xf>
    <xf numFmtId="3" fontId="5" fillId="0" borderId="26" xfId="0" applyNumberFormat="1" applyFont="1" applyBorder="1" applyAlignment="1">
      <alignment horizontal="justify" vertical="center" wrapText="1"/>
    </xf>
    <xf numFmtId="0" fontId="2" fillId="11" borderId="30" xfId="0" applyFont="1" applyFill="1" applyBorder="1" applyAlignment="1">
      <alignment vertical="center"/>
    </xf>
    <xf numFmtId="0" fontId="2" fillId="11" borderId="20" xfId="0" applyFont="1" applyFill="1" applyBorder="1" applyAlignment="1">
      <alignment vertical="center"/>
    </xf>
    <xf numFmtId="167" fontId="2" fillId="5" borderId="2" xfId="0" applyNumberFormat="1"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0" fontId="20" fillId="7" borderId="26"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20" borderId="15" xfId="0" applyFont="1" applyFill="1" applyBorder="1" applyAlignment="1">
      <alignment horizontal="center" vertical="center" wrapText="1"/>
    </xf>
    <xf numFmtId="0" fontId="3" fillId="9" borderId="19" xfId="0" applyFont="1" applyFill="1" applyBorder="1" applyAlignment="1">
      <alignment horizontal="center" vertical="center"/>
    </xf>
    <xf numFmtId="0" fontId="20" fillId="9" borderId="20"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0" fillId="11" borderId="20" xfId="0" applyFont="1" applyFill="1" applyBorder="1" applyAlignment="1">
      <alignment horizontal="center" vertical="center" wrapText="1"/>
    </xf>
    <xf numFmtId="0" fontId="20" fillId="11" borderId="34" xfId="0" applyFont="1" applyFill="1" applyBorder="1" applyAlignment="1">
      <alignment horizontal="center" vertical="center" wrapText="1"/>
    </xf>
    <xf numFmtId="0" fontId="29" fillId="12" borderId="0" xfId="0" applyFont="1" applyFill="1" applyAlignment="1">
      <alignment horizontal="center" vertical="center" wrapText="1"/>
    </xf>
    <xf numFmtId="0" fontId="30" fillId="0" borderId="0" xfId="0" applyFont="1" applyAlignment="1">
      <alignment horizontal="center" vertical="center"/>
    </xf>
    <xf numFmtId="0" fontId="20" fillId="12" borderId="12"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8" fillId="0" borderId="36" xfId="0" applyFont="1" applyBorder="1" applyAlignment="1">
      <alignment horizontal="justify" vertical="center" wrapText="1"/>
    </xf>
    <xf numFmtId="0" fontId="9" fillId="12" borderId="6" xfId="0" applyFont="1" applyFill="1" applyBorder="1" applyAlignment="1">
      <alignment horizontal="center" vertical="center" wrapText="1"/>
    </xf>
    <xf numFmtId="9" fontId="9" fillId="12" borderId="6" xfId="0" applyNumberFormat="1" applyFont="1" applyFill="1" applyBorder="1" applyAlignment="1">
      <alignment horizontal="center" vertical="center" wrapText="1"/>
    </xf>
    <xf numFmtId="0" fontId="9" fillId="0" borderId="6" xfId="0" applyFont="1" applyBorder="1" applyAlignment="1">
      <alignment horizontal="justify" vertical="center" wrapText="1"/>
    </xf>
    <xf numFmtId="4" fontId="8" fillId="0" borderId="36" xfId="0" applyNumberFormat="1" applyFont="1" applyBorder="1" applyAlignment="1">
      <alignment horizontal="center" vertical="center" wrapText="1"/>
    </xf>
    <xf numFmtId="0" fontId="9" fillId="12" borderId="0" xfId="0" applyFont="1" applyFill="1" applyAlignment="1">
      <alignment horizontal="center" vertical="center" wrapText="1"/>
    </xf>
    <xf numFmtId="4" fontId="8" fillId="0" borderId="26" xfId="0" applyNumberFormat="1" applyFont="1" applyBorder="1" applyAlignment="1">
      <alignment horizontal="center" vertical="center" wrapText="1"/>
    </xf>
    <xf numFmtId="4" fontId="8" fillId="0" borderId="33" xfId="0" applyNumberFormat="1" applyFont="1" applyBorder="1" applyAlignment="1">
      <alignment horizontal="center" vertical="center" wrapText="1"/>
    </xf>
    <xf numFmtId="0" fontId="20" fillId="12" borderId="11"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9" fillId="20" borderId="5" xfId="0" applyFont="1" applyFill="1" applyBorder="1" applyAlignment="1">
      <alignment horizontal="center" vertical="center" wrapText="1"/>
    </xf>
    <xf numFmtId="4" fontId="10" fillId="20" borderId="5" xfId="0" applyNumberFormat="1" applyFont="1" applyFill="1" applyBorder="1" applyAlignment="1">
      <alignment horizontal="center" vertical="center" wrapText="1"/>
    </xf>
    <xf numFmtId="4" fontId="10" fillId="20" borderId="2" xfId="0" applyNumberFormat="1" applyFont="1" applyFill="1" applyBorder="1" applyAlignment="1">
      <alignment horizontal="center" vertical="center" wrapText="1"/>
    </xf>
    <xf numFmtId="0" fontId="9" fillId="20" borderId="6" xfId="0" applyFont="1" applyFill="1" applyBorder="1" applyAlignment="1">
      <alignment horizontal="center" vertical="center" wrapText="1"/>
    </xf>
    <xf numFmtId="169" fontId="8" fillId="0" borderId="30" xfId="19" applyFont="1" applyFill="1" applyBorder="1" applyAlignment="1">
      <alignment horizontal="center" vertical="center" wrapText="1"/>
    </xf>
    <xf numFmtId="169" fontId="8" fillId="0" borderId="2" xfId="19" applyFont="1" applyFill="1" applyBorder="1" applyAlignment="1">
      <alignment horizontal="center" vertical="center" wrapText="1"/>
    </xf>
    <xf numFmtId="0" fontId="4" fillId="0" borderId="2" xfId="0" applyFont="1" applyFill="1" applyBorder="1" applyAlignment="1">
      <alignment horizontal="center" vertical="center"/>
    </xf>
    <xf numFmtId="164" fontId="6" fillId="0" borderId="2" xfId="0" applyNumberFormat="1" applyFont="1" applyFill="1" applyBorder="1" applyAlignment="1">
      <alignment horizontal="left" vertical="center"/>
    </xf>
    <xf numFmtId="14" fontId="6" fillId="0" borderId="2"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1" fontId="2" fillId="5" borderId="0" xfId="0"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5" xfId="0" applyFont="1" applyFill="1" applyBorder="1" applyAlignment="1">
      <alignment horizontal="center" vertical="center" wrapText="1"/>
    </xf>
    <xf numFmtId="167" fontId="2" fillId="5" borderId="0" xfId="0" applyNumberFormat="1" applyFont="1" applyFill="1" applyBorder="1" applyAlignment="1">
      <alignment horizontal="center" vertical="center" wrapText="1"/>
    </xf>
    <xf numFmtId="166" fontId="2" fillId="5" borderId="0" xfId="0" applyNumberFormat="1" applyFont="1" applyFill="1" applyBorder="1" applyAlignment="1">
      <alignment horizontal="center" vertical="center" wrapText="1"/>
    </xf>
    <xf numFmtId="0" fontId="2" fillId="5" borderId="0" xfId="0" applyFont="1" applyFill="1" applyBorder="1" applyAlignment="1">
      <alignment horizontal="center" vertical="center" textRotation="90" wrapText="1"/>
    </xf>
    <xf numFmtId="49" fontId="2" fillId="5" borderId="0" xfId="0" applyNumberFormat="1" applyFont="1" applyFill="1" applyBorder="1" applyAlignment="1">
      <alignment horizontal="center" vertical="center" textRotation="90" wrapText="1"/>
    </xf>
    <xf numFmtId="165" fontId="2" fillId="5" borderId="0" xfId="0" applyNumberFormat="1" applyFont="1" applyFill="1" applyBorder="1" applyAlignment="1">
      <alignment horizontal="center" vertical="center" wrapText="1"/>
    </xf>
    <xf numFmtId="3" fontId="2" fillId="5" borderId="0" xfId="0" applyNumberFormat="1"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8" xfId="0" applyFont="1" applyFill="1" applyBorder="1" applyAlignment="1">
      <alignment horizontal="left"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34"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169" fontId="9" fillId="0" borderId="28" xfId="19" applyFont="1" applyFill="1" applyBorder="1" applyAlignment="1">
      <alignment horizontal="center" vertical="center" wrapText="1"/>
    </xf>
    <xf numFmtId="0" fontId="9" fillId="0" borderId="26" xfId="0" applyFont="1" applyFill="1" applyBorder="1" applyAlignment="1">
      <alignment horizontal="justify" vertical="center" wrapText="1"/>
    </xf>
    <xf numFmtId="0" fontId="8" fillId="0" borderId="0" xfId="0" applyFont="1" applyFill="1" applyBorder="1" applyAlignment="1">
      <alignment horizontal="center" vertical="center" wrapText="1"/>
    </xf>
    <xf numFmtId="169" fontId="9" fillId="0" borderId="73" xfId="19" applyFont="1" applyFill="1" applyBorder="1" applyAlignment="1">
      <alignment horizontal="center" vertical="center" wrapText="1"/>
    </xf>
    <xf numFmtId="0" fontId="9" fillId="0" borderId="73" xfId="0" applyFont="1" applyFill="1" applyBorder="1" applyAlignment="1">
      <alignment horizontal="center" vertical="center" wrapText="1"/>
    </xf>
    <xf numFmtId="169" fontId="9" fillId="0" borderId="74" xfId="19" applyFont="1" applyFill="1" applyBorder="1" applyAlignment="1">
      <alignment horizontal="center" vertical="center" wrapText="1"/>
    </xf>
    <xf numFmtId="0" fontId="9" fillId="0" borderId="74" xfId="0" applyFont="1" applyFill="1" applyBorder="1" applyAlignment="1">
      <alignment horizontal="center" vertical="center" wrapText="1"/>
    </xf>
    <xf numFmtId="169" fontId="9" fillId="0" borderId="35" xfId="19" applyFont="1" applyFill="1" applyBorder="1" applyAlignment="1">
      <alignment horizontal="center" vertical="center" wrapText="1"/>
    </xf>
    <xf numFmtId="169" fontId="8" fillId="0" borderId="28" xfId="19" applyFont="1" applyFill="1" applyBorder="1" applyAlignment="1">
      <alignment horizontal="center" vertical="center" wrapText="1"/>
    </xf>
    <xf numFmtId="0" fontId="9" fillId="0" borderId="73" xfId="0" applyFont="1" applyFill="1" applyBorder="1" applyAlignment="1">
      <alignment horizontal="justify" vertical="center" wrapText="1"/>
    </xf>
    <xf numFmtId="0" fontId="3" fillId="10" borderId="20" xfId="0" applyFont="1" applyFill="1" applyBorder="1" applyAlignment="1">
      <alignment horizontal="center" vertical="center" wrapText="1"/>
    </xf>
    <xf numFmtId="0" fontId="3" fillId="11" borderId="37" xfId="0" applyFont="1" applyFill="1" applyBorder="1" applyAlignment="1">
      <alignment vertical="center"/>
    </xf>
    <xf numFmtId="0" fontId="3" fillId="11" borderId="20" xfId="0" applyFont="1" applyFill="1" applyBorder="1" applyAlignment="1">
      <alignment vertical="center"/>
    </xf>
    <xf numFmtId="0" fontId="10" fillId="11" borderId="0" xfId="0" applyFont="1" applyFill="1" applyBorder="1" applyAlignment="1">
      <alignment horizontal="center" vertical="center" wrapText="1"/>
    </xf>
    <xf numFmtId="169" fontId="10" fillId="11" borderId="0" xfId="19" applyFont="1" applyFill="1" applyBorder="1" applyAlignment="1">
      <alignment horizontal="center" vertical="center" wrapText="1"/>
    </xf>
    <xf numFmtId="0" fontId="10" fillId="11" borderId="0" xfId="0" applyFont="1" applyFill="1" applyBorder="1" applyAlignment="1">
      <alignment horizontal="justify" vertical="center" wrapText="1"/>
    </xf>
    <xf numFmtId="0" fontId="10" fillId="11" borderId="20" xfId="0" applyFont="1" applyFill="1" applyBorder="1" applyAlignment="1">
      <alignment horizontal="center" vertical="center" wrapText="1"/>
    </xf>
    <xf numFmtId="0" fontId="10" fillId="11" borderId="34" xfId="0" applyFont="1" applyFill="1" applyBorder="1" applyAlignment="1">
      <alignment horizontal="center" vertical="center" wrapText="1"/>
    </xf>
    <xf numFmtId="169" fontId="8" fillId="0" borderId="35" xfId="19" applyFont="1" applyFill="1" applyBorder="1" applyAlignment="1">
      <alignment horizontal="center" vertical="center" wrapText="1"/>
    </xf>
    <xf numFmtId="0" fontId="9" fillId="0" borderId="35" xfId="0" applyFont="1" applyFill="1" applyBorder="1" applyAlignment="1">
      <alignment horizontal="justify" vertical="center" wrapText="1"/>
    </xf>
    <xf numFmtId="169" fontId="8" fillId="0" borderId="73" xfId="19" applyFont="1" applyFill="1" applyBorder="1" applyAlignment="1">
      <alignment horizontal="center" vertical="center" wrapText="1"/>
    </xf>
    <xf numFmtId="169" fontId="8" fillId="0" borderId="27" xfId="19" applyFont="1" applyFill="1" applyBorder="1" applyAlignment="1">
      <alignment horizontal="center" vertical="center" wrapText="1"/>
    </xf>
    <xf numFmtId="0" fontId="9" fillId="0" borderId="38" xfId="0" applyFont="1" applyFill="1" applyBorder="1" applyAlignment="1">
      <alignment vertical="center" wrapText="1"/>
    </xf>
    <xf numFmtId="169" fontId="8" fillId="0" borderId="69" xfId="19" applyFont="1" applyFill="1" applyBorder="1" applyAlignment="1">
      <alignment vertical="center" wrapText="1"/>
    </xf>
    <xf numFmtId="0" fontId="9" fillId="0" borderId="33" xfId="0" applyFont="1" applyFill="1" applyBorder="1" applyAlignment="1">
      <alignment horizontal="center" vertical="center" wrapText="1"/>
    </xf>
    <xf numFmtId="0" fontId="10" fillId="21" borderId="13" xfId="0" applyFont="1" applyFill="1" applyBorder="1" applyAlignment="1">
      <alignment horizontal="center" vertical="center" wrapText="1"/>
    </xf>
    <xf numFmtId="0" fontId="10" fillId="21" borderId="14" xfId="0" applyFont="1" applyFill="1" applyBorder="1" applyAlignment="1">
      <alignment horizontal="center" vertical="center" wrapText="1"/>
    </xf>
    <xf numFmtId="169" fontId="10" fillId="21" borderId="14" xfId="19" applyFont="1" applyFill="1" applyBorder="1" applyAlignment="1">
      <alignment horizontal="center" vertical="center" wrapText="1"/>
    </xf>
    <xf numFmtId="169" fontId="10" fillId="21" borderId="2" xfId="19" applyFont="1" applyFill="1" applyBorder="1" applyAlignment="1">
      <alignment horizontal="center" vertical="center" wrapText="1"/>
    </xf>
    <xf numFmtId="0" fontId="10" fillId="21" borderId="10" xfId="0" applyFont="1" applyFill="1" applyBorder="1" applyAlignment="1">
      <alignment horizontal="center" vertical="center" wrapText="1"/>
    </xf>
    <xf numFmtId="9" fontId="5" fillId="0" borderId="0" xfId="0" applyNumberFormat="1" applyFont="1" applyAlignment="1">
      <alignment horizontal="center" vertical="center"/>
    </xf>
    <xf numFmtId="178" fontId="5" fillId="0" borderId="0" xfId="0" applyNumberFormat="1" applyFont="1" applyAlignment="1">
      <alignment horizontal="center" vertical="center"/>
    </xf>
    <xf numFmtId="14" fontId="2" fillId="0" borderId="2" xfId="0" applyNumberFormat="1" applyFont="1" applyBorder="1" applyAlignment="1">
      <alignment horizontal="center" vertical="center"/>
    </xf>
    <xf numFmtId="14" fontId="2" fillId="0" borderId="22" xfId="0" applyNumberFormat="1" applyFont="1" applyBorder="1" applyAlignment="1">
      <alignment horizontal="center" vertical="center"/>
    </xf>
    <xf numFmtId="3" fontId="14" fillId="0" borderId="22" xfId="0" applyNumberFormat="1" applyFont="1" applyBorder="1" applyAlignment="1">
      <alignment horizontal="center" vertical="center" wrapText="1"/>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14" fontId="2" fillId="0" borderId="5" xfId="0" applyNumberFormat="1" applyFont="1" applyBorder="1" applyAlignment="1">
      <alignment horizontal="center" vertical="center"/>
    </xf>
    <xf numFmtId="0" fontId="2" fillId="5" borderId="22" xfId="0" applyFont="1" applyFill="1" applyBorder="1" applyAlignment="1">
      <alignment vertical="center" wrapText="1"/>
    </xf>
    <xf numFmtId="0" fontId="2" fillId="5" borderId="26" xfId="0" applyFont="1" applyFill="1" applyBorder="1" applyAlignment="1">
      <alignment horizontal="center" vertical="center" wrapText="1"/>
    </xf>
    <xf numFmtId="167" fontId="2" fillId="5" borderId="26" xfId="0" applyNumberFormat="1" applyFont="1" applyFill="1" applyBorder="1" applyAlignment="1">
      <alignment horizontal="center" vertical="center" wrapText="1"/>
    </xf>
    <xf numFmtId="166" fontId="2" fillId="5" borderId="26" xfId="0" applyNumberFormat="1" applyFont="1" applyFill="1" applyBorder="1" applyAlignment="1">
      <alignment horizontal="center" vertical="center" wrapText="1"/>
    </xf>
    <xf numFmtId="0" fontId="2" fillId="5" borderId="26" xfId="0" applyFont="1" applyFill="1" applyBorder="1" applyAlignment="1">
      <alignment horizontal="left" vertical="center" wrapText="1"/>
    </xf>
    <xf numFmtId="166" fontId="2" fillId="5" borderId="30" xfId="0" applyNumberFormat="1" applyFont="1" applyFill="1" applyBorder="1" applyAlignment="1">
      <alignment horizontal="center" vertical="center" wrapText="1"/>
    </xf>
    <xf numFmtId="0" fontId="2" fillId="5" borderId="34" xfId="0" applyFont="1" applyFill="1" applyBorder="1" applyAlignment="1">
      <alignment horizontal="center" vertical="center" wrapText="1"/>
    </xf>
    <xf numFmtId="1" fontId="2" fillId="5" borderId="7" xfId="0" applyNumberFormat="1" applyFont="1" applyFill="1" applyBorder="1" applyAlignment="1">
      <alignment horizontal="center" vertical="center" textRotation="90" wrapText="1"/>
    </xf>
    <xf numFmtId="1" fontId="2" fillId="7" borderId="22" xfId="0" applyNumberFormat="1" applyFont="1" applyFill="1" applyBorder="1" applyAlignment="1">
      <alignment horizontal="center" vertical="center" wrapText="1"/>
    </xf>
    <xf numFmtId="0" fontId="2" fillId="7" borderId="8" xfId="0" applyFont="1" applyFill="1" applyBorder="1" applyAlignment="1">
      <alignment vertical="center"/>
    </xf>
    <xf numFmtId="14" fontId="2" fillId="7" borderId="8" xfId="0" applyNumberFormat="1" applyFont="1" applyFill="1" applyBorder="1" applyAlignment="1">
      <alignment horizontal="center" vertical="center"/>
    </xf>
    <xf numFmtId="0" fontId="2" fillId="9" borderId="21" xfId="0" applyFont="1" applyFill="1" applyBorder="1" applyAlignment="1">
      <alignment horizontal="left" vertical="center"/>
    </xf>
    <xf numFmtId="0" fontId="2" fillId="9" borderId="21" xfId="0" applyFont="1" applyFill="1" applyBorder="1" applyAlignment="1">
      <alignment vertical="center"/>
    </xf>
    <xf numFmtId="14" fontId="2" fillId="9" borderId="21" xfId="0" applyNumberFormat="1" applyFont="1" applyFill="1" applyBorder="1" applyAlignment="1">
      <alignment horizontal="center" vertical="center"/>
    </xf>
    <xf numFmtId="14" fontId="2" fillId="11" borderId="20" xfId="0" applyNumberFormat="1" applyFont="1" applyFill="1" applyBorder="1" applyAlignment="1">
      <alignment horizontal="center" vertical="center"/>
    </xf>
    <xf numFmtId="43" fontId="5" fillId="0" borderId="2" xfId="16" applyFont="1" applyFill="1" applyBorder="1" applyAlignment="1">
      <alignment horizontal="center" vertical="center" wrapText="1"/>
    </xf>
    <xf numFmtId="43" fontId="5" fillId="0" borderId="22" xfId="16" applyFont="1" applyFill="1" applyBorder="1" applyAlignment="1">
      <alignment horizontal="center" vertical="center" wrapText="1"/>
    </xf>
    <xf numFmtId="0" fontId="9" fillId="0" borderId="18" xfId="0" applyFont="1" applyBorder="1" applyAlignment="1">
      <alignment horizontal="center" wrapText="1"/>
    </xf>
    <xf numFmtId="1" fontId="8" fillId="0" borderId="35" xfId="5"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43" fontId="5" fillId="0" borderId="35" xfId="16" applyFont="1" applyFill="1" applyBorder="1" applyAlignment="1">
      <alignment horizontal="center" vertical="center" wrapText="1"/>
    </xf>
    <xf numFmtId="43" fontId="5" fillId="0" borderId="22" xfId="16" applyFont="1" applyFill="1" applyBorder="1" applyAlignment="1">
      <alignment horizontal="center" vertical="center"/>
    </xf>
    <xf numFmtId="1" fontId="8" fillId="0" borderId="2" xfId="5" applyNumberFormat="1" applyFont="1" applyBorder="1" applyAlignment="1">
      <alignment horizontal="center" vertical="center" wrapText="1"/>
    </xf>
    <xf numFmtId="1" fontId="5" fillId="0" borderId="6"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8" fillId="0" borderId="28" xfId="0" applyNumberFormat="1" applyFont="1" applyBorder="1" applyAlignment="1">
      <alignment horizontal="center" vertical="center" wrapText="1"/>
    </xf>
    <xf numFmtId="0" fontId="5" fillId="0" borderId="2" xfId="0" applyFont="1" applyBorder="1" applyAlignment="1">
      <alignment horizontal="center" vertical="center"/>
    </xf>
    <xf numFmtId="9" fontId="5" fillId="0" borderId="2" xfId="3" applyFont="1" applyFill="1" applyBorder="1" applyAlignment="1">
      <alignment horizontal="center" vertical="center"/>
    </xf>
    <xf numFmtId="166" fontId="5" fillId="0" borderId="2" xfId="0" applyNumberFormat="1" applyFont="1" applyBorder="1" applyAlignment="1">
      <alignment horizontal="center" vertical="center"/>
    </xf>
    <xf numFmtId="43" fontId="5" fillId="0" borderId="2" xfId="16" applyFont="1" applyFill="1" applyBorder="1" applyAlignment="1">
      <alignment horizontal="center" vertical="center"/>
    </xf>
    <xf numFmtId="1" fontId="8" fillId="0" borderId="35" xfId="0" applyNumberFormat="1" applyFont="1" applyBorder="1" applyAlignment="1">
      <alignment horizontal="center" vertical="center" wrapText="1"/>
    </xf>
    <xf numFmtId="0" fontId="5" fillId="0" borderId="10" xfId="24" applyFont="1" applyBorder="1" applyAlignment="1">
      <alignment horizontal="center" vertical="center" wrapText="1"/>
    </xf>
    <xf numFmtId="0" fontId="5" fillId="0" borderId="13" xfId="24" applyFont="1" applyBorder="1" applyAlignment="1">
      <alignment horizontal="center" vertical="center" wrapText="1"/>
    </xf>
    <xf numFmtId="41" fontId="5" fillId="0" borderId="2" xfId="1" applyFont="1" applyFill="1" applyBorder="1" applyAlignment="1">
      <alignment horizontal="center" vertical="center" wrapText="1"/>
    </xf>
    <xf numFmtId="0" fontId="8" fillId="0" borderId="2" xfId="24" applyFont="1" applyBorder="1" applyAlignment="1">
      <alignment horizontal="center" vertical="center" wrapText="1"/>
    </xf>
    <xf numFmtId="1" fontId="5" fillId="0" borderId="10" xfId="24" applyNumberFormat="1" applyFont="1" applyBorder="1" applyAlignment="1">
      <alignment horizontal="center" vertical="center" wrapText="1"/>
    </xf>
    <xf numFmtId="43" fontId="8" fillId="0" borderId="2" xfId="16" applyFont="1" applyFill="1" applyBorder="1" applyAlignment="1">
      <alignment horizontal="center" vertical="center" wrapText="1"/>
    </xf>
    <xf numFmtId="43" fontId="8" fillId="0" borderId="22" xfId="16" applyFont="1" applyFill="1" applyBorder="1" applyAlignment="1">
      <alignment horizontal="center" vertical="center"/>
    </xf>
    <xf numFmtId="166" fontId="2" fillId="11" borderId="16" xfId="0" applyNumberFormat="1" applyFont="1" applyFill="1" applyBorder="1" applyAlignment="1">
      <alignment horizontal="center" vertical="center"/>
    </xf>
    <xf numFmtId="1" fontId="2" fillId="11" borderId="16" xfId="0" applyNumberFormat="1" applyFont="1" applyFill="1" applyBorder="1" applyAlignment="1">
      <alignment horizontal="center" vertical="center"/>
    </xf>
    <xf numFmtId="1" fontId="8" fillId="11" borderId="20" xfId="0" applyNumberFormat="1" applyFont="1" applyFill="1" applyBorder="1" applyAlignment="1">
      <alignment horizontal="center" vertical="center" wrapText="1"/>
    </xf>
    <xf numFmtId="0" fontId="8" fillId="11" borderId="34" xfId="0" applyFont="1" applyFill="1" applyBorder="1" applyAlignment="1">
      <alignment horizontal="center" vertical="center" wrapText="1"/>
    </xf>
    <xf numFmtId="1" fontId="8" fillId="0" borderId="27" xfId="5" applyNumberFormat="1" applyFont="1" applyBorder="1" applyAlignment="1">
      <alignment horizontal="center" vertical="center" wrapText="1"/>
    </xf>
    <xf numFmtId="0" fontId="5" fillId="0" borderId="34" xfId="0" applyFont="1" applyBorder="1" applyAlignment="1">
      <alignment horizontal="center" vertical="center"/>
    </xf>
    <xf numFmtId="184" fontId="9" fillId="0" borderId="28" xfId="0" applyNumberFormat="1" applyFont="1" applyBorder="1" applyAlignment="1">
      <alignment horizontal="center" vertical="center" wrapText="1"/>
    </xf>
    <xf numFmtId="0" fontId="5" fillId="0" borderId="2" xfId="24" applyFont="1" applyBorder="1" applyAlignment="1">
      <alignment horizontal="center" vertical="center" wrapText="1"/>
    </xf>
    <xf numFmtId="0" fontId="8" fillId="0" borderId="30" xfId="5" applyFont="1" applyBorder="1" applyAlignment="1">
      <alignment horizontal="center" vertical="center" wrapText="1"/>
    </xf>
    <xf numFmtId="0" fontId="8" fillId="0" borderId="19" xfId="5" applyFont="1" applyBorder="1" applyAlignment="1">
      <alignment horizontal="center" vertical="center" wrapText="1"/>
    </xf>
    <xf numFmtId="0" fontId="2" fillId="19" borderId="2" xfId="0" applyFont="1" applyFill="1" applyBorder="1" applyAlignment="1">
      <alignment horizontal="left" vertical="center"/>
    </xf>
    <xf numFmtId="14" fontId="5" fillId="0" borderId="0" xfId="0" applyNumberFormat="1" applyFont="1" applyAlignment="1">
      <alignment horizontal="center" vertical="center"/>
    </xf>
    <xf numFmtId="0" fontId="5" fillId="2" borderId="0" xfId="0" applyFont="1" applyFill="1" applyAlignment="1">
      <alignment vertical="center"/>
    </xf>
    <xf numFmtId="0" fontId="5" fillId="2" borderId="0" xfId="0" applyFont="1" applyFill="1" applyAlignment="1">
      <alignment horizontal="left" vertical="center"/>
    </xf>
    <xf numFmtId="3" fontId="2" fillId="0" borderId="5" xfId="0" applyNumberFormat="1" applyFont="1" applyBorder="1" applyAlignment="1">
      <alignment horizontal="center" vertical="center"/>
    </xf>
    <xf numFmtId="3" fontId="2" fillId="5" borderId="22" xfId="0" applyNumberFormat="1" applyFont="1" applyFill="1" applyBorder="1" applyAlignment="1">
      <alignment horizontal="center" vertical="center" textRotation="90" wrapText="1"/>
    </xf>
    <xf numFmtId="3" fontId="2" fillId="5" borderId="7" xfId="0" applyNumberFormat="1" applyFont="1" applyFill="1" applyBorder="1" applyAlignment="1">
      <alignment horizontal="center" vertical="center" textRotation="90" wrapText="1"/>
    </xf>
    <xf numFmtId="0" fontId="10" fillId="7" borderId="8" xfId="0" applyFont="1" applyFill="1" applyBorder="1" applyAlignment="1">
      <alignment horizontal="center" wrapText="1"/>
    </xf>
    <xf numFmtId="0" fontId="32" fillId="7" borderId="8" xfId="0" applyFont="1" applyFill="1" applyBorder="1" applyAlignment="1">
      <alignment horizontal="center" wrapText="1"/>
    </xf>
    <xf numFmtId="3" fontId="10" fillId="7" borderId="8" xfId="0" applyNumberFormat="1" applyFont="1" applyFill="1" applyBorder="1" applyAlignment="1">
      <alignment horizontal="center" wrapText="1"/>
    </xf>
    <xf numFmtId="0" fontId="10" fillId="7" borderId="9" xfId="0" applyFont="1" applyFill="1" applyBorder="1" applyAlignment="1">
      <alignment horizontal="center" wrapText="1"/>
    </xf>
    <xf numFmtId="0" fontId="9" fillId="12" borderId="0" xfId="0" applyFont="1" applyFill="1" applyAlignment="1">
      <alignment horizontal="center" wrapText="1"/>
    </xf>
    <xf numFmtId="0" fontId="9" fillId="0" borderId="0" xfId="0" applyFont="1" applyAlignment="1">
      <alignment horizontal="center" wrapText="1"/>
    </xf>
    <xf numFmtId="0" fontId="29" fillId="0" borderId="0" xfId="0" applyFont="1" applyAlignment="1">
      <alignment horizontal="center" wrapText="1"/>
    </xf>
    <xf numFmtId="0" fontId="10" fillId="9" borderId="21" xfId="0" applyFont="1" applyFill="1" applyBorder="1" applyAlignment="1">
      <alignment horizontal="center" wrapText="1"/>
    </xf>
    <xf numFmtId="0" fontId="10" fillId="9" borderId="21" xfId="0" applyFont="1" applyFill="1" applyBorder="1" applyAlignment="1">
      <alignment horizontal="center" vertical="center" wrapText="1"/>
    </xf>
    <xf numFmtId="0" fontId="32" fillId="9" borderId="21" xfId="0" applyFont="1" applyFill="1" applyBorder="1" applyAlignment="1">
      <alignment horizontal="center" wrapText="1"/>
    </xf>
    <xf numFmtId="3" fontId="10" fillId="9" borderId="21" xfId="0" applyNumberFormat="1" applyFont="1" applyFill="1" applyBorder="1" applyAlignment="1">
      <alignment horizontal="center" wrapText="1"/>
    </xf>
    <xf numFmtId="0" fontId="10" fillId="9" borderId="18" xfId="0" applyFont="1" applyFill="1" applyBorder="1" applyAlignment="1">
      <alignment horizontal="center" wrapText="1"/>
    </xf>
    <xf numFmtId="0" fontId="8" fillId="0" borderId="0" xfId="0" applyFont="1" applyAlignment="1">
      <alignment horizontal="center" wrapText="1"/>
    </xf>
    <xf numFmtId="0" fontId="3" fillId="0" borderId="0" xfId="0" applyFont="1" applyAlignment="1">
      <alignment horizontal="center" wrapText="1"/>
    </xf>
    <xf numFmtId="0" fontId="3" fillId="10" borderId="20" xfId="0" applyFont="1" applyFill="1" applyBorder="1" applyAlignment="1">
      <alignment horizontal="center" wrapText="1"/>
    </xf>
    <xf numFmtId="3" fontId="3" fillId="10" borderId="20" xfId="0" applyNumberFormat="1" applyFont="1" applyFill="1" applyBorder="1" applyAlignment="1">
      <alignment horizontal="center" wrapText="1"/>
    </xf>
    <xf numFmtId="3" fontId="8" fillId="10" borderId="20" xfId="0" applyNumberFormat="1" applyFont="1" applyFill="1" applyBorder="1" applyAlignment="1">
      <alignment horizontal="center" wrapText="1"/>
    </xf>
    <xf numFmtId="0" fontId="8" fillId="10" borderId="20" xfId="0" applyFont="1" applyFill="1" applyBorder="1" applyAlignment="1">
      <alignment horizontal="center" wrapText="1"/>
    </xf>
    <xf numFmtId="0" fontId="8" fillId="10" borderId="34" xfId="0" applyFont="1" applyFill="1" applyBorder="1" applyAlignment="1">
      <alignment horizontal="center" wrapText="1"/>
    </xf>
    <xf numFmtId="0" fontId="8" fillId="12" borderId="0" xfId="0" applyFont="1" applyFill="1" applyAlignment="1">
      <alignment horizontal="center" wrapText="1"/>
    </xf>
    <xf numFmtId="0" fontId="29" fillId="12" borderId="0" xfId="0" applyFont="1" applyFill="1" applyAlignment="1">
      <alignment horizontal="center" wrapText="1"/>
    </xf>
    <xf numFmtId="0" fontId="30" fillId="0" borderId="0" xfId="0" applyFont="1" applyAlignment="1">
      <alignment horizont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wrapText="1"/>
    </xf>
    <xf numFmtId="0" fontId="3" fillId="9" borderId="37" xfId="0" applyFont="1" applyFill="1" applyBorder="1" applyAlignment="1">
      <alignment horizontal="center" wrapText="1"/>
    </xf>
    <xf numFmtId="9" fontId="9" fillId="9" borderId="21" xfId="0" applyNumberFormat="1" applyFont="1" applyFill="1" applyBorder="1" applyAlignment="1">
      <alignment horizontal="center" vertical="center" wrapText="1"/>
    </xf>
    <xf numFmtId="0" fontId="9" fillId="9" borderId="18" xfId="0" applyFont="1" applyFill="1" applyBorder="1" applyAlignment="1">
      <alignment horizontal="center" vertical="center" wrapText="1"/>
    </xf>
    <xf numFmtId="3" fontId="3" fillId="10" borderId="20" xfId="0" applyNumberFormat="1" applyFont="1" applyFill="1" applyBorder="1" applyAlignment="1">
      <alignment horizontal="center" vertical="center" wrapText="1"/>
    </xf>
    <xf numFmtId="3" fontId="8" fillId="10" borderId="20" xfId="0" applyNumberFormat="1"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9" fillId="0" borderId="22" xfId="0" applyFont="1" applyBorder="1" applyAlignment="1">
      <alignment horizontal="center" vertical="center" wrapText="1"/>
    </xf>
    <xf numFmtId="0" fontId="3" fillId="7" borderId="20" xfId="0" applyFont="1" applyFill="1" applyBorder="1" applyAlignment="1">
      <alignment horizontal="center" vertical="center" wrapText="1"/>
    </xf>
    <xf numFmtId="0" fontId="8" fillId="7" borderId="20" xfId="0"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3" fontId="8" fillId="7" borderId="20" xfId="0" applyNumberFormat="1" applyFont="1" applyFill="1" applyBorder="1" applyAlignment="1">
      <alignment horizontal="center" vertical="center" wrapText="1"/>
    </xf>
    <xf numFmtId="0" fontId="8" fillId="7" borderId="34" xfId="0" applyFont="1" applyFill="1" applyBorder="1" applyAlignment="1">
      <alignment horizontal="center" vertical="center" wrapText="1"/>
    </xf>
    <xf numFmtId="0" fontId="3" fillId="9" borderId="16" xfId="0" applyFont="1" applyFill="1" applyBorder="1" applyAlignment="1">
      <alignment horizontal="center" wrapText="1"/>
    </xf>
    <xf numFmtId="0" fontId="3" fillId="9" borderId="0" xfId="0" applyFont="1" applyFill="1" applyAlignment="1">
      <alignment horizontal="center" vertical="center" wrapText="1"/>
    </xf>
    <xf numFmtId="0" fontId="8" fillId="9" borderId="0" xfId="0" applyFont="1" applyFill="1" applyAlignment="1">
      <alignment horizontal="center" vertical="center" wrapText="1"/>
    </xf>
    <xf numFmtId="3" fontId="3" fillId="9" borderId="0" xfId="0" applyNumberFormat="1" applyFont="1" applyFill="1" applyAlignment="1">
      <alignment horizontal="center" vertical="center" wrapText="1"/>
    </xf>
    <xf numFmtId="3" fontId="8" fillId="9" borderId="0" xfId="0" applyNumberFormat="1" applyFont="1" applyFill="1" applyAlignment="1">
      <alignment horizontal="center" vertical="center" wrapText="1"/>
    </xf>
    <xf numFmtId="0" fontId="8" fillId="9" borderId="17" xfId="0" applyFont="1" applyFill="1" applyBorder="1" applyAlignment="1">
      <alignment horizontal="center" vertical="center" wrapText="1"/>
    </xf>
    <xf numFmtId="3" fontId="3" fillId="11" borderId="20" xfId="0" applyNumberFormat="1" applyFont="1" applyFill="1" applyBorder="1" applyAlignment="1">
      <alignment horizontal="center" vertical="center" wrapText="1"/>
    </xf>
    <xf numFmtId="3" fontId="8" fillId="11" borderId="20" xfId="0" applyNumberFormat="1" applyFont="1" applyFill="1" applyBorder="1" applyAlignment="1">
      <alignment horizontal="center" vertical="center" wrapText="1"/>
    </xf>
    <xf numFmtId="0" fontId="9" fillId="9" borderId="0" xfId="0" applyFont="1" applyFill="1" applyAlignment="1">
      <alignment horizontal="center" vertical="center" wrapText="1"/>
    </xf>
    <xf numFmtId="0" fontId="9" fillId="0" borderId="39" xfId="0" applyFont="1" applyBorder="1" applyAlignment="1">
      <alignment horizontal="center" vertical="center" wrapText="1"/>
    </xf>
    <xf numFmtId="10" fontId="9" fillId="0" borderId="6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2" borderId="27"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32" fillId="19" borderId="5" xfId="0" applyFont="1" applyFill="1" applyBorder="1" applyAlignment="1">
      <alignment horizontal="center" vertical="center" wrapText="1"/>
    </xf>
    <xf numFmtId="3" fontId="10" fillId="19" borderId="5" xfId="0" applyNumberFormat="1" applyFont="1" applyFill="1" applyBorder="1" applyAlignment="1">
      <alignment horizontal="center" wrapText="1"/>
    </xf>
    <xf numFmtId="0" fontId="10" fillId="19" borderId="5" xfId="0" applyFont="1" applyFill="1" applyBorder="1" applyAlignment="1">
      <alignment horizontal="center" wrapText="1"/>
    </xf>
    <xf numFmtId="0" fontId="10" fillId="19" borderId="6" xfId="0" applyFont="1" applyFill="1" applyBorder="1" applyAlignment="1">
      <alignment horizontal="center" wrapText="1"/>
    </xf>
    <xf numFmtId="3" fontId="5" fillId="0" borderId="0" xfId="0" applyNumberFormat="1" applyFont="1" applyAlignment="1">
      <alignment horizont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 fillId="5" borderId="2" xfId="0" applyNumberFormat="1"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22" xfId="0" applyFont="1" applyBorder="1" applyAlignment="1">
      <alignment horizontal="justify" vertical="center" wrapText="1"/>
    </xf>
    <xf numFmtId="0" fontId="9" fillId="0" borderId="25" xfId="0" applyFont="1" applyBorder="1" applyAlignment="1">
      <alignment horizontal="justify" vertical="center" wrapText="1"/>
    </xf>
    <xf numFmtId="0" fontId="5" fillId="0" borderId="1" xfId="0" applyFont="1" applyBorder="1" applyAlignment="1">
      <alignment horizontal="center" vertical="center"/>
    </xf>
    <xf numFmtId="0" fontId="5" fillId="0" borderId="28" xfId="0" applyFont="1" applyBorder="1" applyAlignment="1">
      <alignment horizontal="justify" vertical="center" wrapText="1"/>
    </xf>
    <xf numFmtId="0" fontId="8" fillId="2" borderId="35" xfId="0" applyFont="1" applyFill="1" applyBorder="1" applyAlignment="1">
      <alignment horizontal="justify" vertical="center" wrapText="1"/>
    </xf>
    <xf numFmtId="0" fontId="8" fillId="2" borderId="35" xfId="5" applyFont="1" applyFill="1" applyBorder="1" applyAlignment="1">
      <alignment horizontal="center" vertical="center" wrapText="1"/>
    </xf>
    <xf numFmtId="0" fontId="8" fillId="0" borderId="35" xfId="5" applyFont="1" applyBorder="1" applyAlignment="1">
      <alignment horizontal="justify" vertical="center" wrapText="1"/>
    </xf>
    <xf numFmtId="0" fontId="8" fillId="2" borderId="2" xfId="5" applyFont="1" applyFill="1" applyBorder="1" applyAlignment="1">
      <alignment horizontal="center" vertical="center" wrapText="1"/>
    </xf>
    <xf numFmtId="0" fontId="8" fillId="0" borderId="2" xfId="5" applyFont="1" applyBorder="1" applyAlignment="1">
      <alignment horizontal="justify"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2" borderId="28" xfId="0" applyFont="1" applyFill="1" applyBorder="1" applyAlignment="1">
      <alignment horizontal="center" vertical="center"/>
    </xf>
    <xf numFmtId="0" fontId="5" fillId="0" borderId="13" xfId="0" applyFont="1" applyBorder="1" applyAlignment="1">
      <alignment horizontal="justify" vertical="center" wrapText="1"/>
    </xf>
    <xf numFmtId="0" fontId="5" fillId="0" borderId="7"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2" xfId="0" applyFont="1" applyBorder="1" applyAlignment="1">
      <alignment horizontal="justify" vertical="center" wrapText="1"/>
    </xf>
    <xf numFmtId="0" fontId="5" fillId="2" borderId="2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8" fillId="0" borderId="27" xfId="0" applyFont="1" applyBorder="1" applyAlignment="1">
      <alignment horizontal="justify" vertical="center" wrapText="1"/>
    </xf>
    <xf numFmtId="0" fontId="5" fillId="2" borderId="2" xfId="0" applyFont="1" applyFill="1" applyBorder="1" applyAlignment="1">
      <alignment horizontal="center" vertical="center" wrapText="1"/>
    </xf>
    <xf numFmtId="0" fontId="5" fillId="0" borderId="12" xfId="0" applyFont="1" applyBorder="1" applyAlignment="1">
      <alignment horizontal="center" vertical="center"/>
    </xf>
    <xf numFmtId="1" fontId="2" fillId="5" borderId="2" xfId="0" applyNumberFormat="1" applyFont="1" applyFill="1" applyBorder="1" applyAlignment="1">
      <alignment horizontal="center" vertical="center" wrapText="1"/>
    </xf>
    <xf numFmtId="0" fontId="8" fillId="0" borderId="30" xfId="0" applyFont="1" applyBorder="1" applyAlignment="1">
      <alignment horizontal="justify" vertical="center" wrapText="1"/>
    </xf>
    <xf numFmtId="0" fontId="8" fillId="0" borderId="2" xfId="0" applyNumberFormat="1" applyFont="1" applyFill="1" applyBorder="1" applyAlignment="1">
      <alignment horizontal="center" vertical="center" wrapText="1"/>
    </xf>
    <xf numFmtId="0" fontId="8" fillId="0" borderId="2" xfId="13"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8" fillId="0" borderId="2" xfId="14" applyNumberFormat="1" applyFont="1" applyFill="1" applyBorder="1" applyAlignment="1">
      <alignment horizontal="center" vertical="center" wrapText="1"/>
    </xf>
    <xf numFmtId="0" fontId="2" fillId="11" borderId="2" xfId="0" applyFont="1" applyFill="1" applyBorder="1" applyAlignment="1">
      <alignment horizontal="left" vertical="center"/>
    </xf>
    <xf numFmtId="0" fontId="8" fillId="0" borderId="2" xfId="0" applyNumberFormat="1" applyFont="1" applyFill="1" applyBorder="1" applyAlignment="1">
      <alignment horizontal="justify" vertical="center" wrapText="1"/>
    </xf>
    <xf numFmtId="165" fontId="5" fillId="0" borderId="2"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justify" vertical="center" wrapText="1"/>
    </xf>
    <xf numFmtId="0" fontId="8" fillId="0" borderId="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xf>
    <xf numFmtId="0" fontId="5" fillId="2" borderId="35" xfId="0" applyFont="1" applyFill="1" applyBorder="1" applyAlignment="1">
      <alignment horizontal="center" vertical="center" wrapText="1"/>
    </xf>
    <xf numFmtId="0" fontId="8" fillId="0" borderId="26" xfId="0" applyFont="1" applyBorder="1" applyAlignment="1">
      <alignment horizontal="justify" vertical="center" wrapText="1"/>
    </xf>
    <xf numFmtId="0" fontId="8" fillId="0" borderId="28" xfId="0" applyFont="1" applyBorder="1" applyAlignment="1">
      <alignment horizontal="justify" vertical="center" wrapText="1"/>
    </xf>
    <xf numFmtId="0" fontId="5" fillId="2" borderId="28" xfId="0" applyFont="1" applyFill="1" applyBorder="1" applyAlignment="1">
      <alignment horizontal="center" vertical="center" wrapText="1"/>
    </xf>
    <xf numFmtId="0" fontId="5" fillId="0" borderId="8" xfId="0" applyFont="1" applyBorder="1" applyAlignment="1">
      <alignment horizontal="justify" vertical="center" wrapText="1"/>
    </xf>
    <xf numFmtId="0" fontId="8" fillId="0" borderId="37" xfId="0" applyFont="1" applyBorder="1" applyAlignment="1">
      <alignment horizontal="justify" vertical="center" wrapText="1"/>
    </xf>
    <xf numFmtId="0" fontId="8" fillId="2" borderId="28" xfId="5" applyFont="1" applyFill="1" applyBorder="1" applyAlignment="1">
      <alignment horizontal="center" vertical="center" wrapText="1"/>
    </xf>
    <xf numFmtId="0" fontId="8" fillId="0" borderId="28" xfId="13" applyNumberFormat="1" applyFont="1" applyFill="1" applyBorder="1" applyAlignment="1">
      <alignment horizontal="center" vertical="center" wrapText="1"/>
    </xf>
    <xf numFmtId="0" fontId="8" fillId="0" borderId="35" xfId="13" applyNumberFormat="1" applyFont="1" applyFill="1" applyBorder="1" applyAlignment="1">
      <alignment horizontal="center" vertical="center" wrapText="1"/>
    </xf>
    <xf numFmtId="1" fontId="5" fillId="2" borderId="28"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8" fillId="0" borderId="35" xfId="0" applyFont="1" applyBorder="1" applyAlignment="1">
      <alignment horizontal="justify" vertical="center" wrapText="1"/>
    </xf>
    <xf numFmtId="0" fontId="5"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26" xfId="0" applyFont="1" applyFill="1" applyBorder="1" applyAlignment="1">
      <alignment horizontal="justify" vertical="center" wrapText="1"/>
    </xf>
    <xf numFmtId="43" fontId="5" fillId="0" borderId="27" xfId="16" applyFont="1" applyFill="1" applyBorder="1" applyAlignment="1">
      <alignment horizontal="center" vertical="center" wrapText="1"/>
    </xf>
    <xf numFmtId="9" fontId="5" fillId="2" borderId="22"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9" fontId="5" fillId="0" borderId="22" xfId="3" applyFont="1" applyFill="1" applyBorder="1" applyAlignment="1">
      <alignment horizontal="center" vertical="center"/>
    </xf>
    <xf numFmtId="43" fontId="5" fillId="0" borderId="2" xfId="16" applyFont="1" applyFill="1" applyBorder="1" applyAlignment="1">
      <alignment horizontal="center" vertical="center" wrapText="1"/>
    </xf>
    <xf numFmtId="0" fontId="5" fillId="0" borderId="0" xfId="0" applyFont="1" applyAlignment="1">
      <alignment horizontal="center" vertical="center"/>
    </xf>
    <xf numFmtId="1" fontId="8" fillId="0" borderId="22" xfId="5" applyNumberFormat="1" applyFont="1" applyBorder="1" applyAlignment="1">
      <alignment horizontal="center" vertical="center" wrapText="1"/>
    </xf>
    <xf numFmtId="0" fontId="8" fillId="0" borderId="26" xfId="0" applyFont="1" applyFill="1" applyBorder="1" applyAlignment="1">
      <alignment horizontal="justify" vertical="center" wrapText="1"/>
    </xf>
    <xf numFmtId="0" fontId="5" fillId="0" borderId="11"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4" xfId="0" applyFont="1" applyBorder="1" applyAlignment="1">
      <alignment horizontal="justify" vertical="center" wrapText="1"/>
    </xf>
    <xf numFmtId="0" fontId="8" fillId="0" borderId="9" xfId="0" applyFont="1" applyBorder="1" applyAlignment="1">
      <alignment horizontal="center" vertical="center" wrapText="1"/>
    </xf>
    <xf numFmtId="0" fontId="9" fillId="0" borderId="28" xfId="0" applyFont="1" applyBorder="1" applyAlignment="1">
      <alignment horizontal="center" vertical="center" wrapText="1"/>
    </xf>
    <xf numFmtId="0" fontId="5"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8" fillId="0" borderId="2" xfId="0" applyFont="1" applyBorder="1" applyAlignment="1">
      <alignment horizontal="justify"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2" borderId="27"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2" fillId="0" borderId="5" xfId="0" applyFont="1" applyBorder="1" applyAlignment="1">
      <alignment horizontal="center" vertical="center" wrapText="1"/>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5" fillId="2" borderId="0" xfId="0" applyFont="1" applyFill="1" applyAlignment="1">
      <alignment horizontal="center" vertical="center" wrapText="1"/>
    </xf>
    <xf numFmtId="0" fontId="5" fillId="2" borderId="28" xfId="0" applyFont="1" applyFill="1" applyBorder="1" applyAlignment="1">
      <alignment horizontal="justify" vertical="center" wrapText="1"/>
    </xf>
    <xf numFmtId="0" fontId="8" fillId="0" borderId="28" xfId="0" applyFont="1" applyBorder="1" applyAlignment="1">
      <alignment horizontal="justify" vertical="center" wrapText="1"/>
    </xf>
    <xf numFmtId="178" fontId="5" fillId="2" borderId="28" xfId="0" applyNumberFormat="1"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0" fontId="5" fillId="0" borderId="0" xfId="0" applyFont="1" applyAlignment="1">
      <alignment horizontal="justify" vertical="center" wrapText="1"/>
    </xf>
    <xf numFmtId="0" fontId="8" fillId="0" borderId="26" xfId="0" applyFont="1" applyBorder="1" applyAlignment="1">
      <alignment horizontal="justify" vertical="center" wrapText="1"/>
    </xf>
    <xf numFmtId="178" fontId="5" fillId="2" borderId="27"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0" fontId="8" fillId="0" borderId="35" xfId="0" applyFont="1" applyBorder="1" applyAlignment="1">
      <alignment horizontal="justify" vertical="center" wrapText="1"/>
    </xf>
    <xf numFmtId="1" fontId="5" fillId="0" borderId="28"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5" fillId="0" borderId="26"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9" fillId="0" borderId="36" xfId="0" applyFont="1" applyFill="1" applyBorder="1" applyAlignment="1">
      <alignment horizontal="center" vertical="center" wrapText="1"/>
    </xf>
    <xf numFmtId="0" fontId="5" fillId="0" borderId="35" xfId="0" applyFont="1" applyFill="1" applyBorder="1" applyAlignment="1">
      <alignment horizontal="justify" vertical="center" wrapText="1"/>
    </xf>
    <xf numFmtId="0" fontId="9" fillId="0" borderId="35" xfId="0" applyFont="1" applyFill="1" applyBorder="1" applyAlignment="1">
      <alignment horizontal="center" vertical="center" wrapText="1"/>
    </xf>
    <xf numFmtId="0" fontId="5" fillId="0" borderId="0" xfId="0" applyFont="1" applyAlignment="1">
      <alignment horizontal="center" vertical="center"/>
    </xf>
    <xf numFmtId="1" fontId="5" fillId="0" borderId="6"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28" xfId="0" applyFont="1" applyBorder="1" applyAlignment="1">
      <alignment horizontal="center" vertical="center" wrapText="1"/>
    </xf>
    <xf numFmtId="0" fontId="2" fillId="2" borderId="2" xfId="0" applyFont="1" applyFill="1" applyBorder="1" applyAlignment="1">
      <alignment horizontal="center" vertical="center"/>
    </xf>
    <xf numFmtId="0" fontId="2" fillId="0" borderId="0" xfId="0" applyFont="1" applyBorder="1" applyAlignment="1">
      <alignment vertical="center" wrapText="1"/>
    </xf>
    <xf numFmtId="0" fontId="3" fillId="2" borderId="2" xfId="0" applyFont="1" applyFill="1" applyBorder="1" applyAlignment="1">
      <alignment horizontal="center" vertical="center"/>
    </xf>
    <xf numFmtId="49" fontId="8" fillId="0" borderId="2" xfId="0" applyNumberFormat="1" applyFont="1" applyFill="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horizontal="justify" vertical="center"/>
    </xf>
    <xf numFmtId="1" fontId="2" fillId="5" borderId="22" xfId="0" applyNumberFormat="1" applyFont="1" applyFill="1" applyBorder="1" applyAlignment="1">
      <alignment horizontal="center" vertical="center" wrapText="1"/>
    </xf>
    <xf numFmtId="1" fontId="2" fillId="7" borderId="80" xfId="0" applyNumberFormat="1" applyFont="1" applyFill="1" applyBorder="1" applyAlignment="1">
      <alignment horizontal="center" vertical="center" wrapText="1"/>
    </xf>
    <xf numFmtId="1" fontId="2" fillId="11" borderId="2" xfId="0" applyNumberFormat="1" applyFont="1" applyFill="1" applyBorder="1" applyAlignment="1">
      <alignment horizontal="center" vertical="center" wrapText="1"/>
    </xf>
    <xf numFmtId="169" fontId="8" fillId="2" borderId="2" xfId="12" applyNumberFormat="1" applyFont="1" applyFill="1" applyBorder="1" applyAlignment="1">
      <alignment horizontal="center" vertical="center" wrapText="1"/>
    </xf>
    <xf numFmtId="1" fontId="8" fillId="0" borderId="2" xfId="14" applyNumberFormat="1" applyFont="1" applyFill="1" applyBorder="1" applyAlignment="1">
      <alignment horizontal="center" vertical="center" wrapText="1"/>
    </xf>
    <xf numFmtId="0" fontId="8" fillId="0" borderId="2" xfId="5" applyFont="1" applyFill="1" applyBorder="1" applyAlignment="1">
      <alignment horizontal="justify" vertical="center" wrapText="1"/>
    </xf>
    <xf numFmtId="0" fontId="8" fillId="0" borderId="2" xfId="5" applyFont="1" applyFill="1" applyBorder="1" applyAlignment="1">
      <alignment horizontal="center" vertical="center" wrapText="1"/>
    </xf>
    <xf numFmtId="0" fontId="8" fillId="0" borderId="22" xfId="13" applyNumberFormat="1" applyFont="1" applyFill="1" applyBorder="1" applyAlignment="1">
      <alignment vertical="center" wrapText="1"/>
    </xf>
    <xf numFmtId="0" fontId="8" fillId="0" borderId="22" xfId="0" applyNumberFormat="1" applyFont="1" applyFill="1" applyBorder="1" applyAlignment="1">
      <alignment vertical="center" wrapText="1"/>
    </xf>
    <xf numFmtId="0" fontId="8" fillId="0" borderId="27" xfId="13" applyNumberFormat="1" applyFont="1" applyFill="1" applyBorder="1" applyAlignment="1">
      <alignment vertical="center" wrapText="1"/>
    </xf>
    <xf numFmtId="0" fontId="8" fillId="0" borderId="27" xfId="0" applyNumberFormat="1" applyFont="1" applyFill="1" applyBorder="1" applyAlignment="1">
      <alignment vertical="center" wrapText="1"/>
    </xf>
    <xf numFmtId="9" fontId="5" fillId="0" borderId="2" xfId="0" applyNumberFormat="1" applyFont="1" applyFill="1" applyBorder="1" applyAlignment="1">
      <alignment horizontal="center" vertical="center" wrapText="1"/>
    </xf>
    <xf numFmtId="0" fontId="33" fillId="0" borderId="2" xfId="0" applyFont="1" applyBorder="1" applyAlignment="1">
      <alignment horizontal="justify" vertical="center" wrapText="1"/>
    </xf>
    <xf numFmtId="169" fontId="8" fillId="0" borderId="2" xfId="9" applyFont="1" applyFill="1" applyBorder="1" applyAlignment="1">
      <alignment horizontal="center" vertical="center" wrapText="1"/>
    </xf>
    <xf numFmtId="169" fontId="2" fillId="11" borderId="2" xfId="9" applyFont="1" applyFill="1" applyBorder="1" applyAlignment="1">
      <alignment horizontal="center" vertical="center"/>
    </xf>
    <xf numFmtId="0" fontId="2" fillId="11" borderId="8" xfId="0" applyFont="1" applyFill="1" applyBorder="1" applyAlignment="1">
      <alignment horizontal="justify" vertical="center"/>
    </xf>
    <xf numFmtId="1" fontId="2" fillId="11" borderId="8" xfId="0" applyNumberFormat="1" applyFont="1" applyFill="1" applyBorder="1" applyAlignment="1">
      <alignment horizontal="center" vertical="center"/>
    </xf>
    <xf numFmtId="165" fontId="2" fillId="11" borderId="14" xfId="0" applyNumberFormat="1" applyFont="1" applyFill="1" applyBorder="1" applyAlignment="1">
      <alignment horizontal="center" vertical="center"/>
    </xf>
    <xf numFmtId="169" fontId="8" fillId="0" borderId="2" xfId="12" applyNumberFormat="1" applyFont="1" applyFill="1" applyBorder="1" applyAlignment="1">
      <alignment horizontal="center" vertical="center" wrapText="1"/>
    </xf>
    <xf numFmtId="1" fontId="5" fillId="0" borderId="22" xfId="0" applyNumberFormat="1" applyFont="1" applyFill="1" applyBorder="1" applyAlignment="1">
      <alignment vertical="center" wrapText="1"/>
    </xf>
    <xf numFmtId="1" fontId="5" fillId="2" borderId="14" xfId="0" applyNumberFormat="1" applyFont="1" applyFill="1" applyBorder="1" applyAlignment="1">
      <alignment horizontal="center" vertical="center" wrapText="1"/>
    </xf>
    <xf numFmtId="1" fontId="5" fillId="0" borderId="27" xfId="0" applyNumberFormat="1" applyFont="1" applyFill="1" applyBorder="1" applyAlignment="1">
      <alignment vertical="center" wrapText="1"/>
    </xf>
    <xf numFmtId="0" fontId="2" fillId="11" borderId="5" xfId="0" applyFont="1" applyFill="1" applyBorder="1" applyAlignment="1">
      <alignment horizontal="justify" vertical="center"/>
    </xf>
    <xf numFmtId="169" fontId="8" fillId="0" borderId="2" xfId="12" applyNumberFormat="1" applyFont="1" applyFill="1" applyBorder="1" applyAlignment="1">
      <alignment horizontal="center" vertical="center"/>
    </xf>
    <xf numFmtId="0" fontId="2" fillId="11" borderId="14" xfId="0" applyFont="1" applyFill="1" applyBorder="1" applyAlignment="1">
      <alignment horizontal="justify" vertical="center"/>
    </xf>
    <xf numFmtId="1" fontId="2" fillId="11" borderId="14" xfId="0" applyNumberFormat="1" applyFont="1" applyFill="1" applyBorder="1" applyAlignment="1">
      <alignment horizontal="center" vertical="center"/>
    </xf>
    <xf numFmtId="0" fontId="8" fillId="9" borderId="2" xfId="0" applyNumberFormat="1" applyFont="1" applyFill="1" applyBorder="1" applyAlignment="1">
      <alignment horizontal="center" vertical="center" wrapText="1"/>
    </xf>
    <xf numFmtId="0" fontId="8" fillId="9" borderId="2" xfId="0" applyFont="1" applyFill="1" applyBorder="1" applyAlignment="1">
      <alignment horizontal="center" vertical="center"/>
    </xf>
    <xf numFmtId="9" fontId="5" fillId="9" borderId="2" xfId="0" applyNumberFormat="1" applyFont="1" applyFill="1" applyBorder="1" applyAlignment="1">
      <alignment horizontal="center" vertical="center" wrapText="1"/>
    </xf>
    <xf numFmtId="169" fontId="8" fillId="9" borderId="2" xfId="9" applyFont="1" applyFill="1" applyBorder="1" applyAlignment="1">
      <alignment horizontal="center" vertical="center"/>
    </xf>
    <xf numFmtId="0" fontId="33" fillId="9" borderId="2" xfId="0" applyFont="1" applyFill="1" applyBorder="1" applyAlignment="1">
      <alignment horizontal="justify" vertical="center" wrapText="1"/>
    </xf>
    <xf numFmtId="0" fontId="5" fillId="9" borderId="20" xfId="0" applyFont="1" applyFill="1" applyBorder="1" applyAlignment="1">
      <alignment horizontal="justify" vertical="center" wrapText="1"/>
    </xf>
    <xf numFmtId="169" fontId="8" fillId="9" borderId="2" xfId="12" applyNumberFormat="1" applyFont="1" applyFill="1" applyBorder="1" applyAlignment="1">
      <alignment horizontal="center" vertical="center"/>
    </xf>
    <xf numFmtId="0" fontId="5" fillId="9" borderId="16" xfId="0" applyFont="1" applyFill="1" applyBorder="1" applyAlignment="1">
      <alignment horizontal="center" vertical="center" wrapText="1"/>
    </xf>
    <xf numFmtId="1" fontId="5" fillId="9" borderId="20" xfId="0" applyNumberFormat="1" applyFont="1" applyFill="1" applyBorder="1" applyAlignment="1">
      <alignment horizontal="center" vertical="center" wrapText="1"/>
    </xf>
    <xf numFmtId="1" fontId="2" fillId="9" borderId="14" xfId="0" applyNumberFormat="1" applyFont="1" applyFill="1" applyBorder="1" applyAlignment="1">
      <alignment horizontal="center" vertical="center" textRotation="180" wrapText="1"/>
    </xf>
    <xf numFmtId="1" fontId="5" fillId="9" borderId="14" xfId="0" applyNumberFormat="1" applyFont="1" applyFill="1" applyBorder="1" applyAlignment="1">
      <alignment horizontal="center" vertical="center" textRotation="180" wrapText="1"/>
    </xf>
    <xf numFmtId="165" fontId="5" fillId="9" borderId="14" xfId="0" applyNumberFormat="1" applyFont="1" applyFill="1" applyBorder="1" applyAlignment="1">
      <alignment horizontal="center" vertical="center" wrapText="1"/>
    </xf>
    <xf numFmtId="3" fontId="5" fillId="9" borderId="81" xfId="0" applyNumberFormat="1" applyFont="1" applyFill="1" applyBorder="1" applyAlignment="1">
      <alignment horizontal="center" vertical="center" wrapText="1"/>
    </xf>
    <xf numFmtId="169" fontId="2" fillId="7" borderId="2" xfId="9" applyFont="1" applyFill="1" applyBorder="1" applyAlignment="1">
      <alignment horizontal="center" vertical="center"/>
    </xf>
    <xf numFmtId="169" fontId="2" fillId="9" borderId="2" xfId="9" applyFont="1" applyFill="1" applyBorder="1" applyAlignment="1">
      <alignment horizontal="center" vertical="center"/>
    </xf>
    <xf numFmtId="0" fontId="2" fillId="9" borderId="20" xfId="0" applyFont="1" applyFill="1" applyBorder="1" applyAlignment="1">
      <alignment horizontal="justify" vertical="center"/>
    </xf>
    <xf numFmtId="0" fontId="2" fillId="11" borderId="0" xfId="0" applyFont="1" applyFill="1" applyAlignment="1">
      <alignment horizontal="justify" vertical="center"/>
    </xf>
    <xf numFmtId="9" fontId="5" fillId="0" borderId="2" xfId="0" applyNumberFormat="1" applyFont="1" applyFill="1" applyBorder="1" applyAlignment="1">
      <alignment horizontal="center" vertical="center"/>
    </xf>
    <xf numFmtId="0" fontId="33" fillId="0" borderId="37" xfId="0" applyFont="1" applyBorder="1" applyAlignment="1">
      <alignment horizontal="justify" vertical="center" wrapText="1"/>
    </xf>
    <xf numFmtId="169" fontId="5" fillId="0" borderId="2" xfId="0" applyNumberFormat="1" applyFont="1" applyBorder="1" applyAlignment="1">
      <alignment horizontal="center" vertical="center"/>
    </xf>
    <xf numFmtId="1" fontId="5" fillId="0" borderId="28" xfId="0" applyNumberFormat="1" applyFont="1" applyFill="1" applyBorder="1" applyAlignment="1">
      <alignment horizontal="center" vertical="center"/>
    </xf>
    <xf numFmtId="169" fontId="5" fillId="2" borderId="2" xfId="12" applyNumberFormat="1" applyFont="1" applyFill="1" applyBorder="1" applyAlignment="1">
      <alignment horizontal="center" vertical="center"/>
    </xf>
    <xf numFmtId="1" fontId="5" fillId="0" borderId="12" xfId="0" applyNumberFormat="1" applyFont="1" applyBorder="1" applyAlignment="1">
      <alignment horizontal="center" vertical="center"/>
    </xf>
    <xf numFmtId="169" fontId="8" fillId="2" borderId="2" xfId="12" applyNumberFormat="1" applyFont="1" applyFill="1" applyBorder="1" applyAlignment="1">
      <alignment horizontal="center" vertical="center"/>
    </xf>
    <xf numFmtId="169" fontId="5" fillId="2" borderId="2" xfId="0" applyNumberFormat="1" applyFont="1" applyFill="1" applyBorder="1" applyAlignment="1">
      <alignment horizontal="center" vertical="center"/>
    </xf>
    <xf numFmtId="0" fontId="5" fillId="0" borderId="2" xfId="5" applyFont="1" applyFill="1" applyBorder="1" applyAlignment="1">
      <alignment horizontal="center" vertical="center"/>
    </xf>
    <xf numFmtId="1" fontId="5" fillId="0" borderId="11" xfId="0" applyNumberFormat="1" applyFont="1" applyBorder="1" applyAlignment="1">
      <alignment horizontal="center" vertical="center"/>
    </xf>
    <xf numFmtId="0" fontId="8" fillId="0" borderId="33" xfId="13" applyNumberFormat="1" applyFont="1" applyFill="1" applyBorder="1" applyAlignment="1">
      <alignment horizontal="center" vertical="center" wrapText="1"/>
    </xf>
    <xf numFmtId="0" fontId="8" fillId="0" borderId="17" xfId="0" applyNumberFormat="1" applyFont="1" applyFill="1" applyBorder="1" applyAlignment="1">
      <alignment horizontal="justify" vertical="center" wrapText="1"/>
    </xf>
    <xf numFmtId="0" fontId="8" fillId="0" borderId="33" xfId="14" applyNumberFormat="1" applyFont="1" applyFill="1" applyBorder="1" applyAlignment="1">
      <alignment horizontal="center" vertical="center" wrapText="1"/>
    </xf>
    <xf numFmtId="0" fontId="8" fillId="0" borderId="33" xfId="5" applyFont="1" applyFill="1" applyBorder="1" applyAlignment="1">
      <alignment horizontal="justify" vertical="center" wrapText="1"/>
    </xf>
    <xf numFmtId="0" fontId="8" fillId="0" borderId="26" xfId="14" applyNumberFormat="1" applyFont="1" applyFill="1" applyBorder="1" applyAlignment="1">
      <alignment horizontal="center" vertical="center" wrapText="1"/>
    </xf>
    <xf numFmtId="0" fontId="8" fillId="0" borderId="26" xfId="5" applyFont="1" applyFill="1" applyBorder="1" applyAlignment="1">
      <alignment horizontal="justify" vertical="center" wrapText="1"/>
    </xf>
    <xf numFmtId="0" fontId="8" fillId="0" borderId="26" xfId="5" applyFont="1" applyFill="1" applyBorder="1" applyAlignment="1">
      <alignment horizontal="center" vertical="center" wrapText="1"/>
    </xf>
    <xf numFmtId="0" fontId="8" fillId="0" borderId="26" xfId="0" applyFont="1" applyFill="1" applyBorder="1" applyAlignment="1">
      <alignment horizontal="center" vertical="center" wrapText="1"/>
    </xf>
    <xf numFmtId="169" fontId="8" fillId="0" borderId="26" xfId="9" applyFont="1" applyFill="1" applyBorder="1" applyAlignment="1">
      <alignment horizontal="center" vertical="center"/>
    </xf>
    <xf numFmtId="3" fontId="5" fillId="2" borderId="10" xfId="0" applyNumberFormat="1" applyFont="1" applyFill="1" applyBorder="1" applyAlignment="1">
      <alignment horizontal="center" vertical="center" wrapText="1"/>
    </xf>
    <xf numFmtId="1" fontId="2" fillId="11" borderId="82" xfId="0" applyNumberFormat="1" applyFont="1" applyFill="1" applyBorder="1" applyAlignment="1">
      <alignment horizontal="center" vertical="center" wrapText="1"/>
    </xf>
    <xf numFmtId="167" fontId="2" fillId="11" borderId="14" xfId="0" applyNumberFormat="1" applyFont="1" applyFill="1" applyBorder="1" applyAlignment="1">
      <alignment horizontal="center" vertical="center"/>
    </xf>
    <xf numFmtId="169" fontId="2" fillId="11" borderId="14" xfId="9" applyFont="1" applyFill="1" applyBorder="1" applyAlignment="1">
      <alignment horizontal="center" vertical="center"/>
    </xf>
    <xf numFmtId="0" fontId="8" fillId="0" borderId="34" xfId="0" applyNumberFormat="1" applyFont="1" applyFill="1" applyBorder="1" applyAlignment="1">
      <alignment horizontal="justify" vertical="center" wrapText="1"/>
    </xf>
    <xf numFmtId="0" fontId="8" fillId="0" borderId="28" xfId="0" applyNumberFormat="1" applyFont="1" applyFill="1" applyBorder="1" applyAlignment="1">
      <alignment horizontal="center" vertical="center" wrapText="1"/>
    </xf>
    <xf numFmtId="0" fontId="8" fillId="0" borderId="18" xfId="0" applyNumberFormat="1" applyFont="1" applyFill="1" applyBorder="1" applyAlignment="1">
      <alignment horizontal="justify" vertical="center" wrapText="1"/>
    </xf>
    <xf numFmtId="0" fontId="8" fillId="0" borderId="35" xfId="0" applyNumberFormat="1" applyFont="1" applyFill="1" applyBorder="1" applyAlignment="1">
      <alignment horizontal="center" vertical="center" wrapText="1"/>
    </xf>
    <xf numFmtId="0" fontId="8" fillId="0" borderId="35" xfId="0" applyFont="1" applyFill="1" applyBorder="1" applyAlignment="1">
      <alignment horizontal="justify" vertical="center" wrapText="1"/>
    </xf>
    <xf numFmtId="0" fontId="2" fillId="11" borderId="83" xfId="0" applyFont="1" applyFill="1" applyBorder="1" applyAlignment="1">
      <alignment horizontal="left" vertical="center"/>
    </xf>
    <xf numFmtId="0" fontId="2" fillId="11" borderId="46" xfId="0" applyFont="1" applyFill="1" applyBorder="1" applyAlignment="1">
      <alignment horizontal="left" vertical="center"/>
    </xf>
    <xf numFmtId="0" fontId="2" fillId="11" borderId="46" xfId="0" applyFont="1" applyFill="1" applyBorder="1" applyAlignment="1">
      <alignment horizontal="justify" vertical="center"/>
    </xf>
    <xf numFmtId="0" fontId="8" fillId="0" borderId="28" xfId="14" applyNumberFormat="1" applyFont="1" applyFill="1" applyBorder="1" applyAlignment="1">
      <alignment horizontal="center" vertical="center" wrapText="1"/>
    </xf>
    <xf numFmtId="0" fontId="8" fillId="0" borderId="28" xfId="5" applyFont="1" applyFill="1" applyBorder="1" applyAlignment="1">
      <alignment horizontal="justify" vertical="center" wrapText="1"/>
    </xf>
    <xf numFmtId="0" fontId="29" fillId="0" borderId="28" xfId="0" applyFont="1" applyBorder="1" applyAlignment="1">
      <alignment horizontal="center" vertical="center" wrapText="1"/>
    </xf>
    <xf numFmtId="0" fontId="8" fillId="0" borderId="35" xfId="14" applyNumberFormat="1" applyFont="1" applyFill="1" applyBorder="1" applyAlignment="1">
      <alignment horizontal="center" vertical="center" wrapText="1"/>
    </xf>
    <xf numFmtId="0" fontId="8" fillId="0" borderId="35" xfId="5" applyFont="1" applyFill="1" applyBorder="1" applyAlignment="1">
      <alignment horizontal="justify" vertical="center" wrapText="1"/>
    </xf>
    <xf numFmtId="0" fontId="5" fillId="4" borderId="14" xfId="0" applyFont="1" applyFill="1" applyBorder="1" applyAlignment="1">
      <alignment horizontal="center" vertical="center"/>
    </xf>
    <xf numFmtId="0" fontId="5" fillId="4" borderId="14" xfId="0" applyFont="1" applyFill="1" applyBorder="1" applyAlignment="1">
      <alignment horizontal="justify" vertical="center"/>
    </xf>
    <xf numFmtId="167" fontId="5" fillId="4" borderId="10" xfId="0" applyNumberFormat="1" applyFont="1" applyFill="1" applyBorder="1" applyAlignment="1">
      <alignment horizontal="center" vertical="center"/>
    </xf>
    <xf numFmtId="169" fontId="2" fillId="4" borderId="2" xfId="9" applyFont="1" applyFill="1" applyBorder="1" applyAlignment="1">
      <alignment horizontal="center" vertical="center"/>
    </xf>
    <xf numFmtId="0" fontId="5" fillId="4" borderId="13" xfId="0" applyFont="1" applyFill="1" applyBorder="1" applyAlignment="1">
      <alignment horizontal="justify" vertical="center"/>
    </xf>
    <xf numFmtId="0" fontId="5" fillId="4" borderId="10" xfId="0" applyFont="1" applyFill="1" applyBorder="1" applyAlignment="1">
      <alignment horizontal="justify" vertical="center"/>
    </xf>
    <xf numFmtId="169" fontId="2" fillId="4" borderId="2" xfId="2" applyNumberFormat="1" applyFont="1" applyFill="1" applyBorder="1" applyAlignment="1">
      <alignment horizontal="center" vertical="center"/>
    </xf>
    <xf numFmtId="165" fontId="5" fillId="4" borderId="14" xfId="0" applyNumberFormat="1" applyFont="1" applyFill="1" applyBorder="1" applyAlignment="1">
      <alignment horizontal="center" vertical="center"/>
    </xf>
    <xf numFmtId="0" fontId="5" fillId="4" borderId="10" xfId="0" applyFont="1" applyFill="1" applyBorder="1" applyAlignment="1">
      <alignment horizontal="center" vertical="center"/>
    </xf>
    <xf numFmtId="169" fontId="5" fillId="2" borderId="0" xfId="2" applyNumberFormat="1" applyFont="1" applyFill="1" applyAlignment="1">
      <alignment horizontal="center" vertical="center"/>
    </xf>
    <xf numFmtId="168" fontId="5" fillId="0" borderId="0" xfId="2" applyFont="1" applyAlignment="1">
      <alignment horizontal="center" vertical="center"/>
    </xf>
    <xf numFmtId="0" fontId="8" fillId="0" borderId="19" xfId="5" applyFont="1" applyBorder="1" applyAlignment="1">
      <alignment horizontal="justify" vertical="center" wrapText="1"/>
    </xf>
    <xf numFmtId="0" fontId="2" fillId="11" borderId="37" xfId="0" applyFont="1" applyFill="1" applyBorder="1" applyAlignment="1">
      <alignment vertical="center"/>
    </xf>
    <xf numFmtId="0" fontId="2" fillId="11" borderId="16" xfId="0" applyFont="1" applyFill="1" applyBorder="1" applyAlignment="1">
      <alignment vertical="center"/>
    </xf>
    <xf numFmtId="0" fontId="8" fillId="0" borderId="34"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28" xfId="5" applyFont="1" applyBorder="1" applyAlignment="1">
      <alignment horizontal="justify" vertical="center" wrapText="1"/>
    </xf>
    <xf numFmtId="43" fontId="2" fillId="11" borderId="16" xfId="0" applyNumberFormat="1" applyFont="1" applyFill="1" applyBorder="1" applyAlignment="1">
      <alignment horizontal="justify" vertical="center"/>
    </xf>
    <xf numFmtId="0" fontId="5" fillId="0" borderId="2" xfId="0" applyFont="1" applyBorder="1" applyAlignment="1">
      <alignment horizontal="justify" vertical="center"/>
    </xf>
    <xf numFmtId="43" fontId="2" fillId="11" borderId="20" xfId="0" applyNumberFormat="1" applyFont="1" applyFill="1" applyBorder="1" applyAlignment="1">
      <alignment horizontal="justify" vertical="center"/>
    </xf>
    <xf numFmtId="0" fontId="5" fillId="0" borderId="27"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 xfId="24" applyFont="1" applyBorder="1" applyAlignment="1">
      <alignment horizontal="justify" vertical="center"/>
    </xf>
    <xf numFmtId="0" fontId="8" fillId="0" borderId="22" xfId="5" applyFont="1" applyBorder="1" applyAlignment="1">
      <alignment horizontal="justify" vertical="center" wrapText="1"/>
    </xf>
    <xf numFmtId="0" fontId="5" fillId="19" borderId="14" xfId="0" applyFont="1" applyFill="1" applyBorder="1" applyAlignment="1">
      <alignment vertical="center"/>
    </xf>
    <xf numFmtId="0" fontId="5" fillId="19" borderId="14" xfId="0" applyFont="1" applyFill="1" applyBorder="1" applyAlignment="1">
      <alignment horizontal="left" vertical="center"/>
    </xf>
    <xf numFmtId="167" fontId="5" fillId="19" borderId="14" xfId="0" applyNumberFormat="1" applyFont="1" applyFill="1" applyBorder="1" applyAlignment="1">
      <alignment horizontal="center" vertical="center"/>
    </xf>
    <xf numFmtId="43" fontId="2" fillId="19" borderId="14" xfId="0" applyNumberFormat="1" applyFont="1" applyFill="1" applyBorder="1" applyAlignment="1">
      <alignment horizontal="center" vertical="center"/>
    </xf>
    <xf numFmtId="178" fontId="2" fillId="19" borderId="10" xfId="0" applyNumberFormat="1" applyFont="1" applyFill="1" applyBorder="1" applyAlignment="1">
      <alignment horizontal="center" vertical="center"/>
    </xf>
    <xf numFmtId="1" fontId="5" fillId="0" borderId="9" xfId="24" applyNumberFormat="1" applyFont="1" applyBorder="1" applyAlignment="1">
      <alignment horizontal="center" vertical="center" wrapText="1"/>
    </xf>
    <xf numFmtId="0" fontId="5" fillId="0" borderId="22" xfId="24" applyFont="1" applyBorder="1" applyAlignment="1">
      <alignment horizontal="center" vertical="center" wrapText="1"/>
    </xf>
    <xf numFmtId="0" fontId="8" fillId="19" borderId="14" xfId="0" applyFont="1" applyFill="1" applyBorder="1" applyAlignment="1">
      <alignment horizontal="center" vertical="center" wrapText="1"/>
    </xf>
    <xf numFmtId="1" fontId="8" fillId="19" borderId="14" xfId="0" applyNumberFormat="1" applyFont="1" applyFill="1" applyBorder="1" applyAlignment="1">
      <alignment horizontal="center" vertical="center" wrapText="1"/>
    </xf>
    <xf numFmtId="0" fontId="8" fillId="19" borderId="10" xfId="0" applyFont="1" applyFill="1" applyBorder="1" applyAlignment="1">
      <alignment horizontal="center" vertical="center" wrapText="1"/>
    </xf>
    <xf numFmtId="1" fontId="5" fillId="0" borderId="12" xfId="0" applyNumberFormat="1" applyFont="1" applyFill="1" applyBorder="1" applyAlignment="1">
      <alignment horizontal="center" vertical="center"/>
    </xf>
    <xf numFmtId="1" fontId="5" fillId="0" borderId="10" xfId="24" applyNumberFormat="1" applyFont="1" applyFill="1" applyBorder="1" applyAlignment="1">
      <alignment horizontal="center" vertical="center" wrapText="1"/>
    </xf>
    <xf numFmtId="0" fontId="5" fillId="0" borderId="2" xfId="24" applyFont="1" applyFill="1" applyBorder="1" applyAlignment="1">
      <alignment horizontal="center" vertical="center" wrapText="1"/>
    </xf>
    <xf numFmtId="0" fontId="5" fillId="0" borderId="13" xfId="0" applyFont="1" applyBorder="1" applyAlignment="1">
      <alignment horizontal="justify" vertical="center"/>
    </xf>
    <xf numFmtId="43" fontId="5" fillId="0" borderId="72" xfId="16" applyFont="1" applyFill="1" applyBorder="1" applyAlignment="1">
      <alignment horizontal="center" vertical="center" wrapText="1"/>
    </xf>
    <xf numFmtId="166" fontId="2" fillId="11" borderId="72" xfId="0" applyNumberFormat="1" applyFont="1" applyFill="1" applyBorder="1" applyAlignment="1">
      <alignment horizontal="center" vertical="center"/>
    </xf>
    <xf numFmtId="166" fontId="5" fillId="0" borderId="25" xfId="0" applyNumberFormat="1" applyFont="1" applyBorder="1" applyAlignment="1">
      <alignment horizontal="center" vertical="center"/>
    </xf>
    <xf numFmtId="14" fontId="2" fillId="0" borderId="2" xfId="0" applyNumberFormat="1" applyFont="1" applyBorder="1" applyAlignment="1">
      <alignment horizontal="center" vertical="center" wrapText="1"/>
    </xf>
    <xf numFmtId="0" fontId="3" fillId="7" borderId="22" xfId="0" applyFont="1" applyFill="1" applyBorder="1" applyAlignment="1">
      <alignment horizontal="center" vertical="center" wrapText="1"/>
    </xf>
    <xf numFmtId="0" fontId="2" fillId="7" borderId="8" xfId="0" applyFont="1" applyFill="1" applyBorder="1" applyAlignment="1">
      <alignment horizontal="justify" vertical="center"/>
    </xf>
    <xf numFmtId="0" fontId="2" fillId="7" borderId="8" xfId="0" applyFont="1" applyFill="1" applyBorder="1" applyAlignment="1">
      <alignment horizontal="justify" vertical="center" wrapText="1"/>
    </xf>
    <xf numFmtId="167" fontId="2" fillId="7" borderId="0" xfId="0" applyNumberFormat="1" applyFont="1" applyFill="1" applyAlignment="1">
      <alignment horizontal="center" vertical="center"/>
    </xf>
    <xf numFmtId="166" fontId="2" fillId="7" borderId="0" xfId="0" applyNumberFormat="1" applyFont="1" applyFill="1" applyAlignment="1">
      <alignment horizontal="center" vertical="center"/>
    </xf>
    <xf numFmtId="0" fontId="2" fillId="7" borderId="8" xfId="0" applyFont="1" applyFill="1" applyBorder="1" applyAlignment="1">
      <alignment horizontal="center" vertical="center" wrapText="1"/>
    </xf>
    <xf numFmtId="0" fontId="3" fillId="9" borderId="21" xfId="0" applyFont="1" applyFill="1" applyBorder="1" applyAlignment="1">
      <alignment horizontal="center" vertical="center"/>
    </xf>
    <xf numFmtId="0" fontId="32" fillId="9" borderId="21" xfId="0" applyFont="1" applyFill="1" applyBorder="1" applyAlignment="1">
      <alignment horizontal="center" vertical="center"/>
    </xf>
    <xf numFmtId="0" fontId="2" fillId="11" borderId="21" xfId="0" applyFont="1" applyFill="1" applyBorder="1" applyAlignment="1">
      <alignment horizontal="center" vertical="center" wrapText="1"/>
    </xf>
    <xf numFmtId="171" fontId="5" fillId="0" borderId="5" xfId="0" applyNumberFormat="1" applyFont="1" applyFill="1" applyBorder="1" applyAlignment="1">
      <alignment horizontal="center" vertical="center" wrapText="1"/>
    </xf>
    <xf numFmtId="171" fontId="5" fillId="0" borderId="14" xfId="0" applyNumberFormat="1" applyFont="1" applyFill="1" applyBorder="1" applyAlignment="1">
      <alignment horizontal="center" vertical="center" wrapText="1"/>
    </xf>
    <xf numFmtId="171" fontId="5" fillId="0" borderId="8" xfId="0" applyNumberFormat="1" applyFont="1" applyFill="1" applyBorder="1" applyAlignment="1">
      <alignment horizontal="center" vertical="center" wrapText="1"/>
    </xf>
    <xf numFmtId="171" fontId="5" fillId="0" borderId="34"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171" fontId="5" fillId="0" borderId="36" xfId="0" applyNumberFormat="1" applyFont="1" applyFill="1" applyBorder="1" applyAlignment="1">
      <alignment horizontal="center" vertical="center" wrapText="1"/>
    </xf>
    <xf numFmtId="0" fontId="5" fillId="0" borderId="26" xfId="0" applyFont="1" applyFill="1" applyBorder="1" applyAlignment="1">
      <alignment horizontal="center" vertical="center"/>
    </xf>
    <xf numFmtId="49" fontId="8" fillId="0" borderId="2" xfId="0" applyNumberFormat="1" applyFont="1" applyBorder="1" applyAlignment="1">
      <alignment horizontal="center" vertical="center" wrapText="1"/>
    </xf>
    <xf numFmtId="3" fontId="8" fillId="0" borderId="13" xfId="5" applyNumberFormat="1" applyFont="1" applyBorder="1" applyAlignment="1">
      <alignment horizontal="center" vertical="center" wrapText="1"/>
    </xf>
    <xf numFmtId="10" fontId="8" fillId="0" borderId="14" xfId="5" applyNumberFormat="1" applyFont="1" applyBorder="1" applyAlignment="1">
      <alignment horizontal="center" vertical="center" wrapText="1"/>
    </xf>
    <xf numFmtId="0" fontId="8" fillId="0" borderId="2" xfId="13" applyNumberFormat="1" applyFont="1" applyFill="1" applyBorder="1">
      <alignment horizontal="center" vertical="center" wrapText="1"/>
    </xf>
    <xf numFmtId="49" fontId="8" fillId="0" borderId="26" xfId="0" applyNumberFormat="1" applyFont="1" applyBorder="1" applyAlignment="1">
      <alignment horizontal="center" vertical="center" wrapText="1"/>
    </xf>
    <xf numFmtId="0" fontId="8" fillId="0" borderId="26" xfId="13" applyNumberFormat="1" applyFont="1" applyFill="1" applyBorder="1">
      <alignment horizontal="center" vertical="center" wrapText="1"/>
    </xf>
    <xf numFmtId="3" fontId="8" fillId="0" borderId="26" xfId="5" applyNumberFormat="1" applyFont="1" applyBorder="1" applyAlignment="1">
      <alignment horizontal="center" vertical="center" wrapText="1"/>
    </xf>
    <xf numFmtId="10" fontId="8" fillId="0" borderId="26" xfId="5" applyNumberFormat="1" applyFont="1" applyBorder="1" applyAlignment="1">
      <alignment horizontal="center" vertical="center" wrapText="1"/>
    </xf>
    <xf numFmtId="171" fontId="5" fillId="0" borderId="13" xfId="0" applyNumberFormat="1" applyFont="1" applyFill="1" applyBorder="1" applyAlignment="1">
      <alignment horizontal="center" vertical="center" wrapText="1"/>
    </xf>
    <xf numFmtId="49" fontId="8" fillId="0" borderId="28" xfId="0" applyNumberFormat="1" applyFont="1" applyBorder="1" applyAlignment="1">
      <alignment horizontal="center" vertical="center" wrapText="1"/>
    </xf>
    <xf numFmtId="0" fontId="8" fillId="0" borderId="28" xfId="16" applyNumberFormat="1" applyFont="1" applyFill="1" applyBorder="1" applyAlignment="1">
      <alignment horizontal="center" vertical="center" wrapText="1"/>
    </xf>
    <xf numFmtId="3" fontId="8" fillId="0" borderId="28" xfId="5" applyNumberFormat="1" applyFont="1" applyBorder="1" applyAlignment="1">
      <alignment horizontal="center" vertical="center" wrapText="1"/>
    </xf>
    <xf numFmtId="10" fontId="8" fillId="0" borderId="28" xfId="5" applyNumberFormat="1" applyFont="1" applyBorder="1" applyAlignment="1">
      <alignment horizontal="center" vertical="center" wrapText="1"/>
    </xf>
    <xf numFmtId="1" fontId="5" fillId="0" borderId="10" xfId="0" applyNumberFormat="1" applyFont="1" applyFill="1" applyBorder="1" applyAlignment="1">
      <alignment horizontal="center" vertical="center"/>
    </xf>
    <xf numFmtId="49" fontId="5" fillId="0" borderId="85" xfId="0" applyNumberFormat="1" applyFont="1" applyBorder="1" applyAlignment="1">
      <alignment horizontal="justify" vertical="center" wrapText="1"/>
    </xf>
    <xf numFmtId="49" fontId="8" fillId="0" borderId="35" xfId="0" applyNumberFormat="1" applyFont="1" applyBorder="1" applyAlignment="1">
      <alignment horizontal="center" vertical="center" wrapText="1"/>
    </xf>
    <xf numFmtId="0" fontId="8" fillId="0" borderId="35" xfId="13" applyNumberFormat="1" applyFont="1" applyFill="1" applyBorder="1">
      <alignment horizontal="center" vertical="center" wrapText="1"/>
    </xf>
    <xf numFmtId="3" fontId="8" fillId="0" borderId="19" xfId="5" applyNumberFormat="1" applyFont="1" applyBorder="1" applyAlignment="1">
      <alignment horizontal="center" vertical="center" wrapText="1"/>
    </xf>
    <xf numFmtId="10" fontId="8" fillId="0" borderId="19" xfId="5" applyNumberFormat="1" applyFont="1" applyBorder="1" applyAlignment="1">
      <alignment horizontal="center" vertical="center" wrapText="1"/>
    </xf>
    <xf numFmtId="3" fontId="8" fillId="0" borderId="2" xfId="5" applyNumberFormat="1" applyFont="1" applyBorder="1" applyAlignment="1">
      <alignment horizontal="center" vertical="center" wrapText="1"/>
    </xf>
    <xf numFmtId="10" fontId="8" fillId="0" borderId="22" xfId="5" applyNumberFormat="1" applyFont="1" applyBorder="1" applyAlignment="1">
      <alignment horizontal="center" vertical="center" wrapText="1"/>
    </xf>
    <xf numFmtId="1" fontId="5" fillId="0" borderId="9" xfId="0" applyNumberFormat="1" applyFont="1" applyFill="1" applyBorder="1" applyAlignment="1">
      <alignment horizontal="center" vertical="center"/>
    </xf>
    <xf numFmtId="171" fontId="5" fillId="0" borderId="10" xfId="0" applyNumberFormat="1" applyFont="1" applyFill="1" applyBorder="1" applyAlignment="1">
      <alignment horizontal="center" vertical="center" wrapText="1"/>
    </xf>
    <xf numFmtId="171" fontId="9" fillId="0" borderId="10" xfId="0" applyNumberFormat="1" applyFont="1" applyFill="1" applyBorder="1" applyAlignment="1">
      <alignment horizontal="center" vertical="center" wrapText="1"/>
    </xf>
    <xf numFmtId="171" fontId="5" fillId="0" borderId="9" xfId="0" applyNumberFormat="1" applyFont="1" applyFill="1" applyBorder="1" applyAlignment="1">
      <alignment horizontal="center" vertical="center" wrapText="1"/>
    </xf>
    <xf numFmtId="0" fontId="35" fillId="0" borderId="27" xfId="0" applyFont="1" applyFill="1" applyBorder="1" applyAlignment="1">
      <alignment horizontal="justify" vertical="center" wrapText="1"/>
    </xf>
    <xf numFmtId="171" fontId="5" fillId="0" borderId="2" xfId="0" applyNumberFormat="1" applyFont="1" applyFill="1" applyBorder="1" applyAlignment="1">
      <alignment horizontal="center" vertical="center" wrapText="1"/>
    </xf>
    <xf numFmtId="171" fontId="5" fillId="0" borderId="11" xfId="0" applyNumberFormat="1" applyFont="1" applyFill="1" applyBorder="1" applyAlignment="1">
      <alignment horizontal="center" vertical="center" wrapText="1"/>
    </xf>
    <xf numFmtId="1" fontId="5" fillId="0" borderId="80" xfId="0" applyNumberFormat="1" applyFont="1" applyFill="1" applyBorder="1" applyAlignment="1">
      <alignment horizontal="center" vertical="center"/>
    </xf>
    <xf numFmtId="171" fontId="9" fillId="0" borderId="11"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xf>
    <xf numFmtId="171" fontId="5" fillId="0" borderId="7" xfId="0" applyNumberFormat="1" applyFont="1" applyFill="1" applyBorder="1" applyAlignment="1">
      <alignment horizontal="center" vertical="center" wrapText="1"/>
    </xf>
    <xf numFmtId="171" fontId="5" fillId="0" borderId="28" xfId="0" applyNumberFormat="1" applyFont="1" applyFill="1" applyBorder="1" applyAlignment="1">
      <alignment horizontal="center" vertical="center" wrapText="1"/>
    </xf>
    <xf numFmtId="1" fontId="5" fillId="0" borderId="36"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171" fontId="5" fillId="0" borderId="35"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xf>
    <xf numFmtId="0" fontId="2" fillId="11" borderId="0" xfId="0" applyFont="1" applyFill="1" applyAlignment="1">
      <alignment horizontal="justify" vertical="center" wrapText="1"/>
    </xf>
    <xf numFmtId="0" fontId="2" fillId="11" borderId="21" xfId="0" applyFont="1" applyFill="1" applyBorder="1" applyAlignment="1">
      <alignment horizontal="justify" vertical="center" wrapText="1"/>
    </xf>
    <xf numFmtId="0" fontId="5" fillId="11" borderId="21" xfId="0" applyFont="1" applyFill="1" applyBorder="1" applyAlignment="1">
      <alignment horizontal="center" vertical="center"/>
    </xf>
    <xf numFmtId="1" fontId="5" fillId="2" borderId="28" xfId="0" applyNumberFormat="1" applyFont="1" applyFill="1" applyBorder="1" applyAlignment="1">
      <alignment horizontal="center" vertical="center"/>
    </xf>
    <xf numFmtId="178" fontId="5" fillId="0" borderId="28" xfId="0" applyNumberFormat="1" applyFont="1" applyFill="1" applyBorder="1" applyAlignment="1">
      <alignment horizontal="center" vertical="center" wrapText="1"/>
    </xf>
    <xf numFmtId="1" fontId="2" fillId="7" borderId="27" xfId="0" applyNumberFormat="1" applyFont="1" applyFill="1" applyBorder="1" applyAlignment="1">
      <alignment horizontal="center" vertical="center" wrapText="1"/>
    </xf>
    <xf numFmtId="1" fontId="5" fillId="7" borderId="0" xfId="0" applyNumberFormat="1" applyFont="1" applyFill="1" applyAlignment="1">
      <alignment horizontal="center" vertical="center" wrapText="1"/>
    </xf>
    <xf numFmtId="1" fontId="5" fillId="7" borderId="0" xfId="0" applyNumberFormat="1" applyFont="1" applyFill="1" applyAlignment="1">
      <alignment horizontal="justify" vertical="center" wrapText="1"/>
    </xf>
    <xf numFmtId="1" fontId="5" fillId="7" borderId="1" xfId="0" applyNumberFormat="1" applyFont="1" applyFill="1" applyBorder="1" applyAlignment="1">
      <alignment horizontal="center" vertical="center" wrapText="1"/>
    </xf>
    <xf numFmtId="1" fontId="2" fillId="0" borderId="9" xfId="0" applyNumberFormat="1" applyFont="1" applyBorder="1" applyAlignment="1">
      <alignment horizontal="center" vertical="center"/>
    </xf>
    <xf numFmtId="0" fontId="3" fillId="20" borderId="21" xfId="0" applyFont="1" applyFill="1" applyBorder="1" applyAlignment="1">
      <alignment horizontal="center" vertical="center" wrapText="1"/>
    </xf>
    <xf numFmtId="1" fontId="5" fillId="9" borderId="21" xfId="0" applyNumberFormat="1" applyFont="1" applyFill="1" applyBorder="1" applyAlignment="1">
      <alignment horizontal="justify" vertical="center" wrapText="1"/>
    </xf>
    <xf numFmtId="178" fontId="5" fillId="2" borderId="22" xfId="0" applyNumberFormat="1" applyFont="1" applyFill="1" applyBorder="1" applyAlignment="1">
      <alignment horizontal="center" vertical="center" wrapText="1"/>
    </xf>
    <xf numFmtId="0" fontId="5" fillId="19" borderId="14" xfId="0" applyFont="1" applyFill="1" applyBorder="1" applyAlignment="1">
      <alignment horizontal="justify" vertical="center"/>
    </xf>
    <xf numFmtId="0" fontId="2" fillId="19" borderId="2" xfId="0" applyFont="1" applyFill="1" applyBorder="1" applyAlignment="1">
      <alignment horizontal="center" vertical="center"/>
    </xf>
    <xf numFmtId="166" fontId="2" fillId="19" borderId="14" xfId="0" applyNumberFormat="1" applyFont="1" applyFill="1" applyBorder="1" applyAlignment="1">
      <alignment horizontal="center" vertical="center" wrapText="1"/>
    </xf>
    <xf numFmtId="0" fontId="28" fillId="0" borderId="0" xfId="0" applyFont="1" applyAlignment="1">
      <alignment horizontal="center" vertical="center"/>
    </xf>
    <xf numFmtId="166" fontId="5" fillId="2" borderId="0" xfId="0" applyNumberFormat="1" applyFont="1" applyFill="1" applyAlignment="1">
      <alignment horizontal="center" vertical="center" wrapText="1"/>
    </xf>
    <xf numFmtId="0" fontId="9" fillId="0" borderId="2" xfId="0" applyFont="1" applyFill="1" applyBorder="1" applyAlignment="1">
      <alignment horizontal="center" vertical="center" wrapText="1"/>
    </xf>
    <xf numFmtId="0" fontId="8" fillId="0" borderId="28"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5" xfId="0" applyFont="1" applyBorder="1" applyAlignment="1">
      <alignment horizontal="justify"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8" fillId="0" borderId="27" xfId="0" applyFont="1" applyBorder="1" applyAlignment="1">
      <alignment horizontal="center" vertical="center" wrapText="1"/>
    </xf>
    <xf numFmtId="0" fontId="8" fillId="12" borderId="28"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28" xfId="5" applyFont="1" applyBorder="1" applyAlignment="1">
      <alignment horizontal="center" vertical="center" wrapText="1"/>
    </xf>
    <xf numFmtId="0" fontId="8" fillId="0" borderId="2" xfId="5" applyFont="1" applyFill="1" applyBorder="1" applyAlignment="1">
      <alignment horizontal="center" vertical="center" wrapText="1"/>
    </xf>
    <xf numFmtId="0" fontId="8" fillId="0" borderId="22" xfId="5"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8" fillId="0" borderId="35" xfId="5"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8" xfId="0" applyFont="1" applyBorder="1" applyAlignment="1">
      <alignment horizontal="center" vertical="center" wrapText="1"/>
    </xf>
    <xf numFmtId="0" fontId="9" fillId="9" borderId="21" xfId="0" applyFont="1" applyFill="1" applyBorder="1" applyAlignment="1">
      <alignment horizontal="justify" vertical="center" wrapText="1"/>
    </xf>
    <xf numFmtId="0" fontId="3" fillId="10" borderId="20" xfId="0" applyFont="1" applyFill="1" applyBorder="1" applyAlignment="1">
      <alignment horizontal="justify" vertical="center" wrapText="1"/>
    </xf>
    <xf numFmtId="0" fontId="3" fillId="7" borderId="20" xfId="0" applyFont="1" applyFill="1" applyBorder="1" applyAlignment="1">
      <alignment horizontal="justify" vertical="center" wrapText="1"/>
    </xf>
    <xf numFmtId="0" fontId="3" fillId="9" borderId="0" xfId="0" applyFont="1" applyFill="1" applyAlignment="1">
      <alignment horizontal="justify" vertical="center" wrapText="1"/>
    </xf>
    <xf numFmtId="0" fontId="13" fillId="0" borderId="25" xfId="0" applyFont="1" applyBorder="1" applyAlignment="1">
      <alignment horizontal="justify" vertical="center" wrapText="1"/>
    </xf>
    <xf numFmtId="0" fontId="13" fillId="9" borderId="0" xfId="0" applyFont="1" applyFill="1" applyAlignment="1">
      <alignment horizontal="justify" vertical="center" wrapText="1"/>
    </xf>
    <xf numFmtId="0" fontId="9" fillId="0" borderId="1"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0" xfId="0" applyFont="1" applyAlignment="1">
      <alignment horizontal="justify" vertical="center" wrapText="1"/>
    </xf>
    <xf numFmtId="0" fontId="9" fillId="0" borderId="8" xfId="0" applyFont="1" applyBorder="1" applyAlignment="1">
      <alignment horizontal="justify" vertical="center" wrapText="1"/>
    </xf>
    <xf numFmtId="0" fontId="13" fillId="0" borderId="0" xfId="0" applyFont="1" applyAlignment="1">
      <alignment horizontal="justify" vertical="center" wrapText="1"/>
    </xf>
    <xf numFmtId="0" fontId="3" fillId="10" borderId="21" xfId="0" applyFont="1" applyFill="1" applyBorder="1" applyAlignment="1">
      <alignment horizontal="justify" vertical="center" wrapText="1"/>
    </xf>
    <xf numFmtId="0" fontId="3" fillId="10" borderId="20" xfId="0" applyFont="1" applyFill="1" applyBorder="1" applyAlignment="1">
      <alignment vertical="center"/>
    </xf>
    <xf numFmtId="0" fontId="3" fillId="10" borderId="20" xfId="0" applyFont="1" applyFill="1" applyBorder="1" applyAlignment="1">
      <alignment horizontal="justify" vertical="center"/>
    </xf>
    <xf numFmtId="0" fontId="13" fillId="9" borderId="21" xfId="0" applyFont="1" applyFill="1" applyBorder="1" applyAlignment="1">
      <alignment horizontal="justify" vertical="center" wrapText="1"/>
    </xf>
    <xf numFmtId="43" fontId="9" fillId="9" borderId="21" xfId="16" applyFont="1" applyFill="1" applyBorder="1" applyAlignment="1">
      <alignment horizontal="center" vertical="center" wrapText="1"/>
    </xf>
    <xf numFmtId="43" fontId="3" fillId="10" borderId="20" xfId="16" applyFont="1" applyFill="1" applyBorder="1" applyAlignment="1">
      <alignment vertical="center"/>
    </xf>
    <xf numFmtId="43" fontId="3" fillId="7" borderId="20" xfId="16" applyFont="1" applyFill="1" applyBorder="1" applyAlignment="1">
      <alignment horizontal="center" vertical="center" wrapText="1"/>
    </xf>
    <xf numFmtId="43" fontId="3" fillId="9" borderId="0" xfId="16" applyFont="1" applyFill="1" applyAlignment="1">
      <alignment horizontal="center" vertical="center" wrapText="1"/>
    </xf>
    <xf numFmtId="43" fontId="3" fillId="11" borderId="20" xfId="16" applyFont="1" applyFill="1" applyBorder="1" applyAlignment="1">
      <alignment vertical="center"/>
    </xf>
    <xf numFmtId="43" fontId="3" fillId="10" borderId="21" xfId="16" applyFont="1" applyFill="1" applyBorder="1" applyAlignment="1">
      <alignment vertical="center"/>
    </xf>
    <xf numFmtId="43" fontId="10" fillId="19" borderId="5" xfId="16" applyFont="1" applyFill="1" applyBorder="1" applyAlignment="1">
      <alignment horizontal="center" vertical="center" wrapText="1"/>
    </xf>
    <xf numFmtId="0" fontId="8" fillId="7" borderId="20" xfId="0" applyFont="1" applyFill="1" applyBorder="1" applyAlignment="1">
      <alignment horizontal="justify" vertical="center" wrapText="1"/>
    </xf>
    <xf numFmtId="0" fontId="8" fillId="9" borderId="0" xfId="0" applyFont="1" applyFill="1" applyAlignment="1">
      <alignment horizontal="justify" vertical="center" wrapText="1"/>
    </xf>
    <xf numFmtId="0" fontId="9" fillId="0" borderId="39" xfId="0" applyFont="1" applyBorder="1" applyAlignment="1">
      <alignment horizontal="justify" vertical="center" wrapText="1"/>
    </xf>
    <xf numFmtId="0" fontId="9" fillId="0" borderId="53" xfId="0" applyFont="1" applyBorder="1" applyAlignment="1">
      <alignment horizontal="justify" vertical="center" wrapText="1"/>
    </xf>
    <xf numFmtId="0" fontId="3" fillId="10" borderId="35" xfId="0" applyFont="1" applyFill="1" applyBorder="1" applyAlignment="1">
      <alignment horizontal="center" vertical="center" wrapText="1"/>
    </xf>
    <xf numFmtId="0" fontId="30" fillId="9" borderId="0" xfId="0" applyFont="1" applyFill="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6" xfId="0" applyFont="1" applyBorder="1" applyAlignment="1">
      <alignment horizontal="center" vertical="center"/>
    </xf>
    <xf numFmtId="0" fontId="3" fillId="10" borderId="19" xfId="0" applyFont="1" applyFill="1" applyBorder="1" applyAlignment="1">
      <alignment vertical="center"/>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20" borderId="34" xfId="0" applyFont="1" applyFill="1" applyBorder="1" applyAlignment="1">
      <alignment horizontal="center" wrapText="1"/>
    </xf>
    <xf numFmtId="0" fontId="3" fillId="9" borderId="20" xfId="0" applyFont="1" applyFill="1" applyBorder="1" applyAlignment="1">
      <alignment horizontal="center" wrapText="1"/>
    </xf>
    <xf numFmtId="0" fontId="3" fillId="0" borderId="7" xfId="0" applyFont="1" applyBorder="1" applyAlignment="1">
      <alignment horizontal="center" wrapText="1"/>
    </xf>
    <xf numFmtId="0" fontId="8" fillId="0" borderId="12" xfId="0" applyFont="1" applyBorder="1" applyAlignment="1">
      <alignment horizontal="center" wrapText="1"/>
    </xf>
    <xf numFmtId="0" fontId="9" fillId="0" borderId="12" xfId="0" applyFont="1" applyBorder="1" applyAlignment="1">
      <alignment horizontal="center" wrapText="1"/>
    </xf>
    <xf numFmtId="0" fontId="9" fillId="0" borderId="11" xfId="0" applyFont="1" applyBorder="1" applyAlignment="1">
      <alignment horizontal="center" wrapText="1"/>
    </xf>
    <xf numFmtId="0" fontId="3" fillId="9" borderId="20" xfId="0" applyFont="1" applyFill="1" applyBorder="1" applyAlignment="1">
      <alignment horizontal="center" vertical="center" wrapText="1"/>
    </xf>
    <xf numFmtId="0" fontId="3" fillId="20" borderId="20" xfId="0" applyFont="1" applyFill="1" applyBorder="1" applyAlignment="1">
      <alignment horizontal="center" wrapText="1"/>
    </xf>
    <xf numFmtId="0" fontId="10" fillId="7" borderId="22" xfId="0" applyFont="1" applyFill="1" applyBorder="1" applyAlignment="1">
      <alignment horizontal="center" vertical="center" wrapText="1"/>
    </xf>
    <xf numFmtId="0" fontId="10" fillId="0" borderId="7" xfId="0" applyFont="1" applyBorder="1" applyAlignment="1">
      <alignment horizontal="center" wrapText="1"/>
    </xf>
    <xf numFmtId="0" fontId="10" fillId="0" borderId="9" xfId="0" applyFont="1" applyBorder="1" applyAlignment="1">
      <alignment horizontal="center" wrapText="1"/>
    </xf>
    <xf numFmtId="0" fontId="3" fillId="0" borderId="1" xfId="0" applyFont="1" applyBorder="1" applyAlignment="1">
      <alignment horizontal="center" wrapText="1"/>
    </xf>
    <xf numFmtId="0" fontId="30" fillId="0" borderId="12" xfId="0" applyFont="1" applyBorder="1" applyAlignment="1">
      <alignment horizontal="center"/>
    </xf>
    <xf numFmtId="0" fontId="30" fillId="0" borderId="1" xfId="0" applyFont="1" applyBorder="1" applyAlignment="1">
      <alignment horizontal="center" vertical="center"/>
    </xf>
    <xf numFmtId="0" fontId="5" fillId="2" borderId="0" xfId="5" applyFont="1" applyFill="1" applyAlignment="1">
      <alignment horizontal="center" vertical="center"/>
    </xf>
    <xf numFmtId="0" fontId="5" fillId="0" borderId="0" xfId="5" applyFont="1" applyAlignment="1">
      <alignment horizontal="center" vertical="center"/>
    </xf>
    <xf numFmtId="0" fontId="2" fillId="0" borderId="2" xfId="5" applyFont="1" applyBorder="1" applyAlignment="1">
      <alignment horizontal="center" vertical="center" wrapText="1"/>
    </xf>
    <xf numFmtId="0" fontId="2" fillId="0" borderId="0" xfId="5" applyFont="1" applyAlignment="1">
      <alignment horizontal="center" vertical="center"/>
    </xf>
    <xf numFmtId="0" fontId="2" fillId="0" borderId="0" xfId="5" applyFont="1" applyAlignment="1">
      <alignment horizontal="justify" vertical="center" wrapText="1"/>
    </xf>
    <xf numFmtId="0" fontId="2" fillId="0" borderId="0" xfId="5" applyFont="1" applyAlignment="1">
      <alignment horizontal="right" vertical="center"/>
    </xf>
    <xf numFmtId="0" fontId="2" fillId="0" borderId="5" xfId="5" applyFont="1" applyBorder="1" applyAlignment="1">
      <alignment horizontal="center" vertical="center"/>
    </xf>
    <xf numFmtId="0" fontId="2" fillId="0" borderId="6" xfId="5" applyFont="1" applyBorder="1" applyAlignment="1">
      <alignment horizontal="center" vertical="center"/>
    </xf>
    <xf numFmtId="1" fontId="2" fillId="5" borderId="9" xfId="5" applyNumberFormat="1" applyFont="1" applyFill="1" applyBorder="1" applyAlignment="1">
      <alignment horizontal="center" vertical="center" wrapText="1"/>
    </xf>
    <xf numFmtId="0" fontId="2" fillId="5" borderId="22" xfId="5" applyFont="1" applyFill="1" applyBorder="1" applyAlignment="1">
      <alignment horizontal="center" vertical="center" wrapText="1"/>
    </xf>
    <xf numFmtId="0" fontId="2" fillId="5" borderId="9" xfId="5" applyFont="1" applyFill="1" applyBorder="1" applyAlignment="1">
      <alignment horizontal="center" vertical="center" wrapText="1"/>
    </xf>
    <xf numFmtId="0" fontId="2" fillId="5" borderId="25" xfId="5" applyFont="1" applyFill="1" applyBorder="1" applyAlignment="1">
      <alignment horizontal="center" vertical="center" wrapText="1"/>
    </xf>
    <xf numFmtId="167" fontId="2" fillId="5" borderId="12" xfId="5" applyNumberFormat="1" applyFont="1" applyFill="1" applyBorder="1" applyAlignment="1">
      <alignment horizontal="center" vertical="center" wrapText="1"/>
    </xf>
    <xf numFmtId="166" fontId="2" fillId="5" borderId="12" xfId="5" applyNumberFormat="1" applyFont="1" applyFill="1" applyBorder="1" applyAlignment="1">
      <alignment horizontal="center" vertical="center" wrapText="1"/>
    </xf>
    <xf numFmtId="0" fontId="2" fillId="5" borderId="12" xfId="5" applyFont="1" applyFill="1" applyBorder="1" applyAlignment="1">
      <alignment horizontal="center" vertical="center" wrapText="1"/>
    </xf>
    <xf numFmtId="166" fontId="2" fillId="5" borderId="25" xfId="5" applyNumberFormat="1" applyFont="1" applyFill="1" applyBorder="1" applyAlignment="1">
      <alignment horizontal="center" vertical="center" wrapText="1"/>
    </xf>
    <xf numFmtId="1" fontId="2" fillId="5" borderId="22" xfId="5" applyNumberFormat="1" applyFont="1" applyFill="1" applyBorder="1" applyAlignment="1">
      <alignment horizontal="center" vertical="center" wrapText="1"/>
    </xf>
    <xf numFmtId="0" fontId="2" fillId="5" borderId="22" xfId="5" applyFont="1" applyFill="1" applyBorder="1" applyAlignment="1">
      <alignment horizontal="center" vertical="center" textRotation="90" wrapText="1"/>
    </xf>
    <xf numFmtId="49" fontId="2" fillId="5" borderId="22" xfId="5" applyNumberFormat="1" applyFont="1" applyFill="1" applyBorder="1" applyAlignment="1">
      <alignment horizontal="center" vertical="center" textRotation="90" wrapText="1"/>
    </xf>
    <xf numFmtId="0" fontId="2" fillId="5" borderId="7" xfId="5" applyFont="1" applyFill="1" applyBorder="1" applyAlignment="1">
      <alignment horizontal="center" vertical="center" textRotation="90" wrapText="1"/>
    </xf>
    <xf numFmtId="1" fontId="2" fillId="7" borderId="35" xfId="5" applyNumberFormat="1" applyFont="1" applyFill="1" applyBorder="1" applyAlignment="1">
      <alignment horizontal="center" vertical="center" wrapText="1"/>
    </xf>
    <xf numFmtId="0" fontId="2" fillId="7" borderId="21" xfId="5" applyFont="1" applyFill="1" applyBorder="1" applyAlignment="1">
      <alignment horizontal="center" vertical="center"/>
    </xf>
    <xf numFmtId="0" fontId="2" fillId="7" borderId="21" xfId="5" applyFont="1" applyFill="1" applyBorder="1" applyAlignment="1">
      <alignment horizontal="justify" vertical="center" wrapText="1"/>
    </xf>
    <xf numFmtId="0" fontId="2" fillId="7" borderId="20" xfId="5" applyFont="1" applyFill="1" applyBorder="1" applyAlignment="1">
      <alignment horizontal="justify" vertical="center" wrapText="1"/>
    </xf>
    <xf numFmtId="0" fontId="2" fillId="7" borderId="20" xfId="5" applyFont="1" applyFill="1" applyBorder="1" applyAlignment="1">
      <alignment horizontal="center" vertical="center"/>
    </xf>
    <xf numFmtId="167" fontId="2" fillId="7" borderId="20" xfId="5" applyNumberFormat="1" applyFont="1" applyFill="1" applyBorder="1" applyAlignment="1">
      <alignment horizontal="center" vertical="center"/>
    </xf>
    <xf numFmtId="166" fontId="2" fillId="7" borderId="20" xfId="5" applyNumberFormat="1" applyFont="1" applyFill="1" applyBorder="1" applyAlignment="1">
      <alignment horizontal="center" vertical="center"/>
    </xf>
    <xf numFmtId="166" fontId="2" fillId="7" borderId="20" xfId="5" applyNumberFormat="1" applyFont="1" applyFill="1" applyBorder="1" applyAlignment="1">
      <alignment horizontal="right" vertical="center"/>
    </xf>
    <xf numFmtId="1" fontId="2" fillId="7" borderId="20" xfId="5" applyNumberFormat="1" applyFont="1" applyFill="1" applyBorder="1" applyAlignment="1">
      <alignment horizontal="center" vertical="center"/>
    </xf>
    <xf numFmtId="165" fontId="2" fillId="7" borderId="20" xfId="5" applyNumberFormat="1" applyFont="1" applyFill="1" applyBorder="1" applyAlignment="1">
      <alignment horizontal="center" vertical="center"/>
    </xf>
    <xf numFmtId="0" fontId="2" fillId="7" borderId="34" xfId="5" applyFont="1" applyFill="1" applyBorder="1" applyAlignment="1">
      <alignment horizontal="center" vertical="center"/>
    </xf>
    <xf numFmtId="1" fontId="2" fillId="0" borderId="7" xfId="5" applyNumberFormat="1" applyFont="1" applyBorder="1" applyAlignment="1">
      <alignment horizontal="center" vertical="center" wrapText="1"/>
    </xf>
    <xf numFmtId="0" fontId="2" fillId="0" borderId="9" xfId="5" applyFont="1" applyBorder="1" applyAlignment="1">
      <alignment horizontal="center" vertical="center"/>
    </xf>
    <xf numFmtId="0" fontId="2" fillId="9" borderId="5" xfId="5" applyFont="1" applyFill="1" applyBorder="1" applyAlignment="1">
      <alignment horizontal="justify" vertical="center" wrapText="1"/>
    </xf>
    <xf numFmtId="0" fontId="2" fillId="9" borderId="5" xfId="5" applyFont="1" applyFill="1" applyBorder="1" applyAlignment="1">
      <alignment horizontal="center" vertical="center"/>
    </xf>
    <xf numFmtId="167" fontId="2" fillId="9" borderId="5" xfId="5" applyNumberFormat="1" applyFont="1" applyFill="1" applyBorder="1" applyAlignment="1">
      <alignment horizontal="center" vertical="center"/>
    </xf>
    <xf numFmtId="166" fontId="2" fillId="9" borderId="5" xfId="5" applyNumberFormat="1" applyFont="1" applyFill="1" applyBorder="1" applyAlignment="1">
      <alignment horizontal="center" vertical="center"/>
    </xf>
    <xf numFmtId="166" fontId="2" fillId="9" borderId="5" xfId="5" applyNumberFormat="1" applyFont="1" applyFill="1" applyBorder="1" applyAlignment="1">
      <alignment horizontal="right" vertical="center"/>
    </xf>
    <xf numFmtId="1" fontId="2" fillId="9" borderId="5" xfId="5" applyNumberFormat="1" applyFont="1" applyFill="1" applyBorder="1" applyAlignment="1">
      <alignment horizontal="center" vertical="center"/>
    </xf>
    <xf numFmtId="165" fontId="2" fillId="9" borderId="5" xfId="5" applyNumberFormat="1" applyFont="1" applyFill="1" applyBorder="1" applyAlignment="1">
      <alignment horizontal="center" vertical="center"/>
    </xf>
    <xf numFmtId="0" fontId="2" fillId="9" borderId="6" xfId="5"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11" borderId="63" xfId="0" applyFont="1" applyFill="1" applyBorder="1" applyAlignment="1">
      <alignment horizontal="center" vertical="center"/>
    </xf>
    <xf numFmtId="0" fontId="3" fillId="11" borderId="14" xfId="0" applyFont="1" applyFill="1" applyBorder="1" applyAlignment="1">
      <alignment horizontal="justify" vertical="center" wrapText="1"/>
    </xf>
    <xf numFmtId="0" fontId="3" fillId="11" borderId="14" xfId="0" applyFont="1" applyFill="1" applyBorder="1" applyAlignment="1">
      <alignment horizontal="center" vertical="center"/>
    </xf>
    <xf numFmtId="0" fontId="3" fillId="11" borderId="14" xfId="0" applyFont="1" applyFill="1" applyBorder="1" applyAlignment="1">
      <alignment horizontal="right" vertical="center"/>
    </xf>
    <xf numFmtId="0" fontId="3" fillId="11" borderId="8" xfId="0" applyFont="1" applyFill="1" applyBorder="1" applyAlignment="1">
      <alignment horizontal="center" vertical="center"/>
    </xf>
    <xf numFmtId="0" fontId="3" fillId="11"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1" fontId="5" fillId="0" borderId="10" xfId="5" applyNumberFormat="1" applyFont="1" applyFill="1" applyBorder="1" applyAlignment="1">
      <alignment horizontal="center" vertical="center" wrapText="1"/>
    </xf>
    <xf numFmtId="0" fontId="9" fillId="2" borderId="10" xfId="28" applyFont="1" applyFill="1" applyBorder="1" applyAlignment="1">
      <alignment horizontal="justify" vertical="center" wrapText="1"/>
    </xf>
    <xf numFmtId="1" fontId="5" fillId="0" borderId="9" xfId="5" applyNumberFormat="1" applyFont="1" applyFill="1" applyBorder="1" applyAlignment="1">
      <alignment horizontal="center" vertical="center" wrapText="1"/>
    </xf>
    <xf numFmtId="3" fontId="8" fillId="2" borderId="20" xfId="0" applyNumberFormat="1" applyFont="1" applyFill="1" applyBorder="1" applyAlignment="1">
      <alignment horizontal="justify" vertical="center" wrapText="1"/>
    </xf>
    <xf numFmtId="1" fontId="5" fillId="2" borderId="34" xfId="5" applyNumberFormat="1" applyFont="1" applyFill="1" applyBorder="1" applyAlignment="1">
      <alignment horizontal="center" vertical="center" wrapText="1"/>
    </xf>
    <xf numFmtId="0" fontId="3" fillId="11" borderId="82" xfId="0" applyFont="1" applyFill="1" applyBorder="1" applyAlignment="1">
      <alignment horizontal="center" vertical="center"/>
    </xf>
    <xf numFmtId="0" fontId="3" fillId="11" borderId="0" xfId="0" applyFont="1" applyFill="1" applyAlignment="1">
      <alignment horizontal="center" vertical="center"/>
    </xf>
    <xf numFmtId="0" fontId="3" fillId="11" borderId="5" xfId="0" applyFont="1" applyFill="1" applyBorder="1" applyAlignment="1">
      <alignment horizontal="center" vertical="center"/>
    </xf>
    <xf numFmtId="1" fontId="5" fillId="0" borderId="34" xfId="5" applyNumberFormat="1" applyFont="1" applyFill="1" applyBorder="1" applyAlignment="1">
      <alignment horizontal="center" vertical="center" wrapText="1"/>
    </xf>
    <xf numFmtId="185" fontId="8" fillId="0" borderId="28" xfId="26" applyFont="1" applyFill="1" applyBorder="1" applyAlignment="1">
      <alignment vertical="center" wrapText="1"/>
    </xf>
    <xf numFmtId="0" fontId="5" fillId="2" borderId="13" xfId="5" applyFont="1" applyFill="1" applyBorder="1" applyAlignment="1">
      <alignment horizontal="justify" vertical="center" wrapText="1"/>
    </xf>
    <xf numFmtId="0" fontId="3" fillId="11" borderId="9" xfId="0" applyFont="1" applyFill="1" applyBorder="1" applyAlignment="1">
      <alignment horizontal="center" vertical="center"/>
    </xf>
    <xf numFmtId="0" fontId="9" fillId="2" borderId="2" xfId="29" applyFont="1" applyFill="1" applyBorder="1" applyAlignment="1">
      <alignment horizontal="justify" vertical="center" wrapText="1"/>
    </xf>
    <xf numFmtId="0" fontId="8" fillId="0" borderId="10" xfId="5" applyFont="1" applyBorder="1" applyAlignment="1">
      <alignment horizontal="center" vertical="center" wrapText="1"/>
    </xf>
    <xf numFmtId="0" fontId="3" fillId="2" borderId="48" xfId="0" applyFont="1" applyFill="1" applyBorder="1" applyAlignment="1">
      <alignment horizontal="center" vertical="center"/>
    </xf>
    <xf numFmtId="0" fontId="3" fillId="2" borderId="67" xfId="0" applyFont="1" applyFill="1" applyBorder="1" applyAlignment="1">
      <alignment horizontal="center" vertical="center"/>
    </xf>
    <xf numFmtId="0" fontId="9" fillId="2" borderId="28" xfId="29" applyFont="1" applyFill="1" applyBorder="1" applyAlignment="1">
      <alignment horizontal="justify" vertical="center" wrapText="1"/>
    </xf>
    <xf numFmtId="0" fontId="3" fillId="9" borderId="26" xfId="0" applyFont="1" applyFill="1" applyBorder="1" applyAlignment="1">
      <alignment horizontal="center" vertical="center" wrapText="1"/>
    </xf>
    <xf numFmtId="0" fontId="8" fillId="9" borderId="5" xfId="5" applyFont="1" applyFill="1" applyBorder="1" applyAlignment="1">
      <alignment horizontal="justify" vertical="center" wrapText="1"/>
    </xf>
    <xf numFmtId="0" fontId="8" fillId="9" borderId="5" xfId="13" applyNumberFormat="1" applyFont="1" applyFill="1" applyBorder="1">
      <alignment horizontal="center" vertical="center" wrapText="1"/>
    </xf>
    <xf numFmtId="0" fontId="8" fillId="9" borderId="5" xfId="5" applyFont="1" applyFill="1" applyBorder="1" applyAlignment="1">
      <alignment horizontal="center" vertical="center" wrapText="1"/>
    </xf>
    <xf numFmtId="0" fontId="8" fillId="9" borderId="14" xfId="5" applyFont="1" applyFill="1" applyBorder="1" applyAlignment="1">
      <alignment horizontal="justify" vertical="center" wrapText="1"/>
    </xf>
    <xf numFmtId="9" fontId="5" fillId="9" borderId="14" xfId="5" applyNumberFormat="1" applyFont="1" applyFill="1" applyBorder="1" applyAlignment="1">
      <alignment horizontal="center" vertical="center" wrapText="1"/>
    </xf>
    <xf numFmtId="3" fontId="5" fillId="9" borderId="5" xfId="5" applyNumberFormat="1" applyFont="1" applyFill="1" applyBorder="1" applyAlignment="1">
      <alignment horizontal="justify" vertical="center" wrapText="1"/>
    </xf>
    <xf numFmtId="0" fontId="9" fillId="9" borderId="0" xfId="29" applyFont="1" applyFill="1" applyAlignment="1">
      <alignment horizontal="justify" vertical="center" wrapText="1"/>
    </xf>
    <xf numFmtId="0" fontId="5" fillId="9" borderId="5" xfId="5" applyFont="1" applyFill="1" applyBorder="1" applyAlignment="1">
      <alignment horizontal="center" vertical="center" wrapText="1"/>
    </xf>
    <xf numFmtId="1" fontId="5" fillId="9" borderId="0" xfId="5" applyNumberFormat="1" applyFont="1" applyFill="1" applyAlignment="1">
      <alignment horizontal="center" vertical="center" wrapText="1"/>
    </xf>
    <xf numFmtId="0" fontId="8" fillId="9" borderId="8" xfId="5" applyFont="1" applyFill="1" applyBorder="1" applyAlignment="1">
      <alignment horizontal="center" vertical="center" wrapText="1"/>
    </xf>
    <xf numFmtId="3" fontId="5" fillId="9" borderId="5" xfId="0" applyNumberFormat="1" applyFont="1" applyFill="1" applyBorder="1" applyAlignment="1">
      <alignment horizontal="center" vertical="center"/>
    </xf>
    <xf numFmtId="1" fontId="8" fillId="9" borderId="0" xfId="1" applyNumberFormat="1" applyFont="1" applyFill="1" applyBorder="1" applyAlignment="1">
      <alignment horizontal="center" vertical="center" wrapText="1"/>
    </xf>
    <xf numFmtId="165" fontId="8" fillId="9" borderId="0" xfId="0" applyNumberFormat="1" applyFont="1" applyFill="1" applyAlignment="1">
      <alignment horizontal="center" vertical="center"/>
    </xf>
    <xf numFmtId="1" fontId="8" fillId="9" borderId="0" xfId="0" applyNumberFormat="1" applyFont="1" applyFill="1" applyAlignment="1">
      <alignment horizontal="center" vertical="center" wrapText="1"/>
    </xf>
    <xf numFmtId="0" fontId="3" fillId="2" borderId="12"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18" xfId="0" applyFont="1" applyFill="1" applyBorder="1" applyAlignment="1">
      <alignment horizontal="center" vertical="center"/>
    </xf>
    <xf numFmtId="0" fontId="3" fillId="2" borderId="11" xfId="0" applyFont="1" applyFill="1" applyBorder="1" applyAlignment="1">
      <alignment horizontal="center" vertical="center"/>
    </xf>
    <xf numFmtId="0" fontId="8" fillId="9" borderId="16" xfId="0" applyFont="1" applyFill="1" applyBorder="1" applyAlignment="1">
      <alignment horizontal="justify" vertical="center" wrapText="1"/>
    </xf>
    <xf numFmtId="0" fontId="8" fillId="9" borderId="20" xfId="0" applyFont="1" applyFill="1" applyBorder="1" applyAlignment="1">
      <alignment horizontal="center" vertical="center"/>
    </xf>
    <xf numFmtId="0" fontId="8" fillId="9" borderId="20" xfId="0" applyFont="1" applyFill="1" applyBorder="1" applyAlignment="1">
      <alignment horizontal="justify" vertical="center" wrapText="1"/>
    </xf>
    <xf numFmtId="0" fontId="8" fillId="9" borderId="20" xfId="0" applyFont="1" applyFill="1" applyBorder="1" applyAlignment="1">
      <alignment horizontal="center" vertical="center" wrapText="1"/>
    </xf>
    <xf numFmtId="9" fontId="8" fillId="9" borderId="20" xfId="0" applyNumberFormat="1" applyFont="1" applyFill="1" applyBorder="1" applyAlignment="1">
      <alignment horizontal="center" vertical="center"/>
    </xf>
    <xf numFmtId="0" fontId="9" fillId="9" borderId="16" xfId="30" applyFont="1" applyFill="1" applyBorder="1" applyAlignment="1">
      <alignment horizontal="justify" vertical="center" wrapText="1"/>
    </xf>
    <xf numFmtId="0" fontId="8" fillId="9" borderId="16" xfId="0" applyFont="1" applyFill="1" applyBorder="1" applyAlignment="1">
      <alignment horizontal="center" vertical="center"/>
    </xf>
    <xf numFmtId="3" fontId="5" fillId="9" borderId="20" xfId="0" applyNumberFormat="1" applyFont="1" applyFill="1" applyBorder="1" applyAlignment="1">
      <alignment horizontal="center" vertical="center"/>
    </xf>
    <xf numFmtId="1" fontId="8" fillId="9" borderId="20" xfId="1" applyNumberFormat="1" applyFont="1" applyFill="1" applyBorder="1" applyAlignment="1">
      <alignment horizontal="center" vertical="center" wrapText="1"/>
    </xf>
    <xf numFmtId="165" fontId="8" fillId="9" borderId="20" xfId="0" applyNumberFormat="1" applyFont="1" applyFill="1" applyBorder="1" applyAlignment="1">
      <alignment horizontal="center" vertical="center"/>
    </xf>
    <xf numFmtId="1" fontId="8" fillId="9" borderId="34" xfId="0" applyNumberFormat="1" applyFont="1" applyFill="1" applyBorder="1" applyAlignment="1">
      <alignment horizontal="center" vertical="center" wrapText="1"/>
    </xf>
    <xf numFmtId="0" fontId="3" fillId="11" borderId="67" xfId="0" applyFont="1" applyFill="1" applyBorder="1" applyAlignment="1">
      <alignment horizontal="center" vertical="center"/>
    </xf>
    <xf numFmtId="0" fontId="3" fillId="11" borderId="5" xfId="0" applyFont="1" applyFill="1" applyBorder="1" applyAlignment="1">
      <alignment horizontal="justify" vertical="center" wrapText="1"/>
    </xf>
    <xf numFmtId="0" fontId="3" fillId="11" borderId="0" xfId="0" applyFont="1" applyFill="1" applyAlignment="1">
      <alignment horizontal="justify" vertical="center" wrapText="1"/>
    </xf>
    <xf numFmtId="0" fontId="3" fillId="11" borderId="6" xfId="0" applyFont="1" applyFill="1" applyBorder="1" applyAlignment="1">
      <alignment horizontal="center" vertical="center"/>
    </xf>
    <xf numFmtId="0" fontId="8" fillId="2" borderId="8"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8" fillId="0" borderId="34" xfId="0" applyFont="1" applyBorder="1" applyAlignment="1">
      <alignment horizontal="center" vertical="center"/>
    </xf>
    <xf numFmtId="0" fontId="3" fillId="11" borderId="8" xfId="0" applyFont="1" applyFill="1" applyBorder="1" applyAlignment="1">
      <alignment horizontal="justify" vertical="center" wrapText="1"/>
    </xf>
    <xf numFmtId="0" fontId="8" fillId="0" borderId="28" xfId="0" applyFont="1" applyFill="1" applyBorder="1" applyAlignment="1">
      <alignment horizontal="center" vertical="center"/>
    </xf>
    <xf numFmtId="0" fontId="8" fillId="0" borderId="35" xfId="0" applyFont="1" applyFill="1" applyBorder="1" applyAlignment="1">
      <alignment horizontal="center" vertical="center"/>
    </xf>
    <xf numFmtId="0" fontId="3" fillId="2" borderId="6" xfId="0" applyFont="1" applyFill="1" applyBorder="1" applyAlignment="1">
      <alignment horizontal="center" vertical="center"/>
    </xf>
    <xf numFmtId="0" fontId="8" fillId="0" borderId="76" xfId="0" applyFont="1" applyFill="1" applyBorder="1" applyAlignment="1">
      <alignment horizontal="center" vertical="center" wrapText="1"/>
    </xf>
    <xf numFmtId="0" fontId="8" fillId="9" borderId="0" xfId="0" applyFont="1" applyFill="1" applyAlignment="1">
      <alignment horizontal="center" vertical="center"/>
    </xf>
    <xf numFmtId="0" fontId="8" fillId="9" borderId="21" xfId="0" applyFont="1" applyFill="1" applyBorder="1" applyAlignment="1">
      <alignment horizontal="center" vertical="center"/>
    </xf>
    <xf numFmtId="0" fontId="5" fillId="9" borderId="16" xfId="29" applyFont="1" applyFill="1" applyBorder="1" applyAlignment="1">
      <alignment horizontal="justify" vertical="center" wrapText="1"/>
    </xf>
    <xf numFmtId="0" fontId="8" fillId="9" borderId="16" xfId="0" applyFont="1" applyFill="1" applyBorder="1" applyAlignment="1">
      <alignment horizontal="center" vertical="center" wrapText="1"/>
    </xf>
    <xf numFmtId="1" fontId="8" fillId="9"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2" borderId="10" xfId="24" applyFont="1" applyFill="1" applyBorder="1" applyAlignment="1">
      <alignment horizontal="justify" vertical="center" wrapText="1"/>
    </xf>
    <xf numFmtId="0" fontId="5" fillId="2" borderId="10" xfId="24" applyFont="1" applyFill="1" applyBorder="1" applyAlignment="1">
      <alignment horizontal="justify" vertical="center" wrapText="1"/>
    </xf>
    <xf numFmtId="0" fontId="5" fillId="2" borderId="5" xfId="24" applyFont="1" applyFill="1" applyBorder="1" applyAlignment="1">
      <alignment horizontal="justify" vertical="center" wrapText="1"/>
    </xf>
    <xf numFmtId="0" fontId="5" fillId="2" borderId="14" xfId="24" applyFont="1" applyFill="1" applyBorder="1" applyAlignment="1">
      <alignment horizontal="justify" vertical="center" wrapText="1"/>
    </xf>
    <xf numFmtId="0" fontId="8" fillId="0" borderId="12" xfId="0" applyFont="1" applyFill="1" applyBorder="1" applyAlignment="1">
      <alignment horizontal="center" vertical="center" wrapText="1"/>
    </xf>
    <xf numFmtId="0" fontId="5" fillId="2" borderId="9" xfId="24" applyFont="1" applyFill="1" applyBorder="1" applyAlignment="1">
      <alignment horizontal="justify" vertical="center" wrapText="1"/>
    </xf>
    <xf numFmtId="0" fontId="8" fillId="0" borderId="14" xfId="0" applyFont="1" applyFill="1" applyBorder="1" applyAlignment="1">
      <alignment horizontal="center" vertical="center"/>
    </xf>
    <xf numFmtId="0" fontId="8" fillId="0" borderId="3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0" xfId="0" applyFont="1" applyFill="1" applyAlignment="1">
      <alignment horizontal="center" vertical="center"/>
    </xf>
    <xf numFmtId="0" fontId="3" fillId="7" borderId="21" xfId="0" applyFont="1" applyFill="1" applyBorder="1" applyAlignment="1">
      <alignment horizontal="justify" vertical="center" wrapText="1"/>
    </xf>
    <xf numFmtId="0" fontId="3" fillId="7" borderId="21" xfId="0" applyFont="1" applyFill="1" applyBorder="1" applyAlignment="1">
      <alignment horizontal="center" vertical="center"/>
    </xf>
    <xf numFmtId="0" fontId="3" fillId="7" borderId="18" xfId="0" applyFont="1" applyFill="1" applyBorder="1" applyAlignment="1">
      <alignment horizontal="center" vertical="center"/>
    </xf>
    <xf numFmtId="0" fontId="3" fillId="9" borderId="21" xfId="0" applyFont="1" applyFill="1" applyBorder="1" applyAlignment="1">
      <alignment horizontal="justify" vertical="center" wrapText="1"/>
    </xf>
    <xf numFmtId="0" fontId="3" fillId="9" borderId="20" xfId="0" applyFont="1" applyFill="1" applyBorder="1" applyAlignment="1">
      <alignment horizontal="center" vertical="center"/>
    </xf>
    <xf numFmtId="0" fontId="3" fillId="9" borderId="20" xfId="0" applyFont="1" applyFill="1" applyBorder="1" applyAlignment="1">
      <alignment horizontal="justify" vertical="center" wrapText="1"/>
    </xf>
    <xf numFmtId="0" fontId="3" fillId="9" borderId="34" xfId="0" applyFont="1" applyFill="1" applyBorder="1" applyAlignment="1">
      <alignment horizontal="center" vertical="center"/>
    </xf>
    <xf numFmtId="0" fontId="8" fillId="0" borderId="28" xfId="5" applyFont="1" applyFill="1" applyBorder="1" applyAlignment="1">
      <alignment horizontal="center" vertical="center" wrapText="1"/>
    </xf>
    <xf numFmtId="1" fontId="5" fillId="0" borderId="18" xfId="5"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1" fontId="5" fillId="0" borderId="28" xfId="5" applyNumberFormat="1" applyFont="1" applyFill="1" applyBorder="1" applyAlignment="1">
      <alignment horizontal="center" vertical="center" wrapText="1"/>
    </xf>
    <xf numFmtId="0" fontId="8" fillId="9" borderId="16" xfId="5" applyFont="1" applyFill="1" applyBorder="1" applyAlignment="1">
      <alignment horizontal="center" vertical="center"/>
    </xf>
    <xf numFmtId="0" fontId="8" fillId="9" borderId="20" xfId="5" applyFont="1" applyFill="1" applyBorder="1" applyAlignment="1">
      <alignment horizontal="justify" vertical="center" wrapText="1"/>
    </xf>
    <xf numFmtId="0" fontId="8" fillId="9" borderId="20" xfId="14" applyFont="1" applyFill="1" applyBorder="1">
      <alignment horizontal="center" vertical="center" wrapText="1"/>
    </xf>
    <xf numFmtId="0" fontId="8" fillId="9" borderId="20" xfId="5" applyFont="1" applyFill="1" applyBorder="1" applyAlignment="1">
      <alignment horizontal="center" vertical="center" wrapText="1"/>
    </xf>
    <xf numFmtId="9" fontId="5" fillId="9" borderId="20" xfId="5" applyNumberFormat="1" applyFont="1" applyFill="1" applyBorder="1" applyAlignment="1">
      <alignment horizontal="center" vertical="center"/>
    </xf>
    <xf numFmtId="0" fontId="5" fillId="9" borderId="20" xfId="5" applyFont="1" applyFill="1" applyBorder="1" applyAlignment="1">
      <alignment horizontal="justify" vertical="center" wrapText="1"/>
    </xf>
    <xf numFmtId="0" fontId="5" fillId="9" borderId="16" xfId="5" applyFont="1" applyFill="1" applyBorder="1" applyAlignment="1">
      <alignment horizontal="center" vertical="center"/>
    </xf>
    <xf numFmtId="1" fontId="5" fillId="9" borderId="16" xfId="5" applyNumberFormat="1" applyFont="1" applyFill="1" applyBorder="1" applyAlignment="1">
      <alignment horizontal="center" vertical="center" wrapText="1"/>
    </xf>
    <xf numFmtId="0" fontId="8" fillId="9" borderId="16" xfId="5" applyFont="1" applyFill="1" applyBorder="1" applyAlignment="1">
      <alignment horizontal="center" vertical="center" wrapText="1"/>
    </xf>
    <xf numFmtId="14" fontId="5" fillId="9" borderId="20" xfId="0" applyNumberFormat="1" applyFont="1" applyFill="1" applyBorder="1" applyAlignment="1">
      <alignment horizontal="center" vertical="center"/>
    </xf>
    <xf numFmtId="3" fontId="5" fillId="9" borderId="34" xfId="0" applyNumberFormat="1" applyFont="1" applyFill="1" applyBorder="1" applyAlignment="1">
      <alignment horizontal="center" vertical="center"/>
    </xf>
    <xf numFmtId="1" fontId="5" fillId="0" borderId="6" xfId="5" applyNumberFormat="1" applyFont="1" applyFill="1" applyBorder="1" applyAlignment="1">
      <alignment horizontal="center" vertical="center"/>
    </xf>
    <xf numFmtId="0" fontId="5" fillId="0" borderId="27" xfId="5" applyFont="1" applyFill="1" applyBorder="1" applyAlignment="1">
      <alignment horizontal="center" vertical="center" wrapText="1"/>
    </xf>
    <xf numFmtId="1" fontId="5" fillId="0" borderId="10" xfId="5" applyNumberFormat="1" applyFont="1" applyFill="1" applyBorder="1" applyAlignment="1">
      <alignment horizontal="center" vertical="center"/>
    </xf>
    <xf numFmtId="0" fontId="5" fillId="0" borderId="22" xfId="5" applyFont="1" applyFill="1" applyBorder="1" applyAlignment="1">
      <alignment horizontal="center" vertical="center" wrapText="1"/>
    </xf>
    <xf numFmtId="1" fontId="5" fillId="0" borderId="8" xfId="5" applyNumberFormat="1" applyFont="1" applyFill="1" applyBorder="1" applyAlignment="1">
      <alignment horizontal="center" vertical="center"/>
    </xf>
    <xf numFmtId="0" fontId="5" fillId="0" borderId="28" xfId="5" applyFont="1" applyFill="1" applyBorder="1" applyAlignment="1">
      <alignment horizontal="center" vertical="center" wrapText="1"/>
    </xf>
    <xf numFmtId="0" fontId="3" fillId="0" borderId="12" xfId="0" applyFont="1" applyFill="1" applyBorder="1" applyAlignment="1">
      <alignment horizontal="center" vertical="center"/>
    </xf>
    <xf numFmtId="1" fontId="5" fillId="0" borderId="1" xfId="5" applyNumberFormat="1" applyFont="1" applyFill="1" applyBorder="1" applyAlignment="1">
      <alignment horizontal="center" vertical="center"/>
    </xf>
    <xf numFmtId="0" fontId="5" fillId="0" borderId="25" xfId="5" applyFont="1" applyFill="1" applyBorder="1" applyAlignment="1">
      <alignment horizontal="center" vertical="center" wrapText="1"/>
    </xf>
    <xf numFmtId="0" fontId="5" fillId="0" borderId="0" xfId="5" applyFont="1" applyFill="1" applyAlignment="1">
      <alignment horizontal="center" vertical="center"/>
    </xf>
    <xf numFmtId="0" fontId="8" fillId="12" borderId="37" xfId="0" applyFont="1" applyFill="1" applyBorder="1" applyAlignment="1">
      <alignment horizontal="justify" vertical="center" wrapText="1"/>
    </xf>
    <xf numFmtId="0" fontId="8" fillId="12" borderId="15" xfId="0" applyFont="1" applyFill="1" applyBorder="1" applyAlignment="1">
      <alignment horizontal="justify" vertical="center" wrapText="1"/>
    </xf>
    <xf numFmtId="1" fontId="5" fillId="0" borderId="9" xfId="5" applyNumberFormat="1" applyFont="1" applyFill="1" applyBorder="1" applyAlignment="1">
      <alignment horizontal="center" vertical="center"/>
    </xf>
    <xf numFmtId="1" fontId="5" fillId="0" borderId="36" xfId="5" applyNumberFormat="1" applyFont="1" applyFill="1" applyBorder="1" applyAlignment="1">
      <alignment horizontal="center" vertical="center"/>
    </xf>
    <xf numFmtId="0" fontId="5" fillId="0" borderId="26" xfId="5" applyFont="1" applyFill="1" applyBorder="1" applyAlignment="1">
      <alignment horizontal="center" vertical="center" wrapText="1"/>
    </xf>
    <xf numFmtId="1" fontId="5" fillId="0" borderId="34" xfId="5" applyNumberFormat="1" applyFont="1" applyFill="1" applyBorder="1" applyAlignment="1">
      <alignment horizontal="center" vertical="center"/>
    </xf>
    <xf numFmtId="1" fontId="5" fillId="0" borderId="0" xfId="5" applyNumberFormat="1" applyFont="1" applyFill="1" applyAlignment="1">
      <alignment horizontal="center" vertical="center"/>
    </xf>
    <xf numFmtId="0" fontId="3" fillId="7" borderId="0" xfId="0" applyFont="1" applyFill="1" applyAlignment="1">
      <alignment horizontal="justify" vertical="center" wrapText="1"/>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Fill="1" applyBorder="1" applyAlignment="1">
      <alignment horizontal="center" vertical="center"/>
    </xf>
    <xf numFmtId="1" fontId="5" fillId="2" borderId="20" xfId="5" applyNumberFormat="1" applyFont="1" applyFill="1" applyBorder="1" applyAlignment="1">
      <alignment horizontal="center" vertical="center"/>
    </xf>
    <xf numFmtId="0" fontId="5" fillId="2" borderId="28" xfId="5" applyFont="1" applyFill="1" applyBorder="1" applyAlignment="1">
      <alignment horizontal="center" vertical="center" wrapText="1"/>
    </xf>
    <xf numFmtId="1" fontId="5" fillId="0" borderId="20" xfId="5" applyNumberFormat="1" applyFont="1" applyFill="1" applyBorder="1" applyAlignment="1">
      <alignment horizontal="center" vertical="center"/>
    </xf>
    <xf numFmtId="0" fontId="5" fillId="0" borderId="10" xfId="28" applyFont="1" applyBorder="1" applyAlignment="1">
      <alignment horizontal="justify" vertical="center" wrapText="1"/>
    </xf>
    <xf numFmtId="0" fontId="5" fillId="0" borderId="41" xfId="28" applyFont="1" applyBorder="1" applyAlignment="1">
      <alignment horizontal="justify" vertical="center" wrapText="1"/>
    </xf>
    <xf numFmtId="1" fontId="5" fillId="2" borderId="34" xfId="5" applyNumberFormat="1" applyFont="1" applyFill="1" applyBorder="1" applyAlignment="1">
      <alignment horizontal="center" vertical="center"/>
    </xf>
    <xf numFmtId="1" fontId="5" fillId="2" borderId="18" xfId="5" applyNumberFormat="1" applyFont="1" applyFill="1" applyBorder="1" applyAlignment="1">
      <alignment horizontal="center" vertical="center"/>
    </xf>
    <xf numFmtId="0" fontId="5" fillId="2" borderId="35" xfId="5" applyFont="1" applyFill="1" applyBorder="1" applyAlignment="1">
      <alignment horizontal="center" vertical="center" wrapText="1"/>
    </xf>
    <xf numFmtId="0" fontId="5" fillId="0" borderId="14" xfId="28" applyFont="1" applyBorder="1" applyAlignment="1">
      <alignment horizontal="justify" vertical="center" wrapText="1"/>
    </xf>
    <xf numFmtId="0" fontId="5" fillId="0" borderId="10" xfId="28" applyFont="1" applyBorder="1" applyAlignment="1">
      <alignment horizontal="justify" vertical="center" wrapText="1" readingOrder="2"/>
    </xf>
    <xf numFmtId="0" fontId="5" fillId="0" borderId="2" xfId="5" applyFont="1" applyFill="1" applyBorder="1" applyAlignment="1">
      <alignment horizontal="center" vertical="center" wrapText="1"/>
    </xf>
    <xf numFmtId="0" fontId="5" fillId="2" borderId="33" xfId="5" applyFont="1" applyFill="1" applyBorder="1" applyAlignment="1">
      <alignment horizontal="justify" vertical="center" wrapText="1"/>
    </xf>
    <xf numFmtId="0" fontId="9" fillId="2" borderId="9" xfId="28" applyFont="1" applyFill="1" applyBorder="1" applyAlignment="1">
      <alignment horizontal="justify" vertical="center" wrapText="1"/>
    </xf>
    <xf numFmtId="1" fontId="5" fillId="19" borderId="13" xfId="5" applyNumberFormat="1" applyFont="1" applyFill="1" applyBorder="1" applyAlignment="1">
      <alignment horizontal="center" vertical="center"/>
    </xf>
    <xf numFmtId="0" fontId="5" fillId="19" borderId="14" xfId="5" applyFont="1" applyFill="1" applyBorder="1" applyAlignment="1">
      <alignment horizontal="center" vertical="center"/>
    </xf>
    <xf numFmtId="0" fontId="5" fillId="19" borderId="14" xfId="5" applyFont="1" applyFill="1" applyBorder="1" applyAlignment="1">
      <alignment horizontal="justify" vertical="center" wrapText="1"/>
    </xf>
    <xf numFmtId="167" fontId="5" fillId="19" borderId="10" xfId="5" applyNumberFormat="1" applyFont="1" applyFill="1" applyBorder="1" applyAlignment="1">
      <alignment horizontal="center" vertical="center"/>
    </xf>
    <xf numFmtId="0" fontId="5" fillId="19" borderId="13" xfId="5" applyFont="1" applyFill="1" applyBorder="1" applyAlignment="1">
      <alignment horizontal="justify" vertical="center" wrapText="1"/>
    </xf>
    <xf numFmtId="0" fontId="5" fillId="19" borderId="10" xfId="5" applyFont="1" applyFill="1" applyBorder="1" applyAlignment="1">
      <alignment horizontal="justify" vertical="center" wrapText="1"/>
    </xf>
    <xf numFmtId="166" fontId="2" fillId="19" borderId="14" xfId="5" applyNumberFormat="1" applyFont="1" applyFill="1" applyBorder="1" applyAlignment="1">
      <alignment horizontal="center" vertical="center"/>
    </xf>
    <xf numFmtId="1" fontId="5" fillId="19" borderId="14" xfId="5" applyNumberFormat="1" applyFont="1" applyFill="1" applyBorder="1" applyAlignment="1">
      <alignment horizontal="center" vertical="center"/>
    </xf>
    <xf numFmtId="165" fontId="5" fillId="19" borderId="14" xfId="5" applyNumberFormat="1" applyFont="1" applyFill="1" applyBorder="1" applyAlignment="1">
      <alignment horizontal="center" vertical="center"/>
    </xf>
    <xf numFmtId="0" fontId="5" fillId="19" borderId="10" xfId="5" applyFont="1" applyFill="1" applyBorder="1" applyAlignment="1">
      <alignment horizontal="center" vertical="center"/>
    </xf>
    <xf numFmtId="1" fontId="5" fillId="0" borderId="0" xfId="5" applyNumberFormat="1" applyFont="1" applyAlignment="1">
      <alignment horizontal="center" vertical="center"/>
    </xf>
    <xf numFmtId="0" fontId="5" fillId="2" borderId="0" xfId="5" applyFont="1" applyFill="1" applyAlignment="1">
      <alignment horizontal="justify" vertical="center" wrapText="1"/>
    </xf>
    <xf numFmtId="167" fontId="5" fillId="2" borderId="0" xfId="5" applyNumberFormat="1" applyFont="1" applyFill="1" applyAlignment="1">
      <alignment horizontal="center" vertical="center"/>
    </xf>
    <xf numFmtId="166" fontId="5" fillId="2" borderId="0" xfId="5" applyNumberFormat="1" applyFont="1" applyFill="1" applyAlignment="1">
      <alignment horizontal="center" vertical="center"/>
    </xf>
    <xf numFmtId="166" fontId="5" fillId="2" borderId="0" xfId="5" applyNumberFormat="1" applyFont="1" applyFill="1" applyAlignment="1">
      <alignment horizontal="right" vertical="center"/>
    </xf>
    <xf numFmtId="1" fontId="5" fillId="2" borderId="0" xfId="5" applyNumberFormat="1" applyFont="1" applyFill="1" applyAlignment="1">
      <alignment horizontal="center" vertical="center"/>
    </xf>
    <xf numFmtId="165" fontId="5" fillId="0" borderId="0" xfId="5" applyNumberFormat="1" applyFont="1" applyAlignment="1">
      <alignment horizontal="center" vertical="center"/>
    </xf>
    <xf numFmtId="43" fontId="5" fillId="0" borderId="13" xfId="16" applyFont="1" applyFill="1" applyBorder="1" applyAlignment="1">
      <alignment horizontal="right" vertical="center"/>
    </xf>
    <xf numFmtId="43" fontId="5" fillId="0" borderId="7" xfId="16" applyFont="1" applyFill="1" applyBorder="1" applyAlignment="1">
      <alignment horizontal="right" vertical="center"/>
    </xf>
    <xf numFmtId="43" fontId="8" fillId="2" borderId="28" xfId="16" applyFont="1" applyFill="1" applyBorder="1" applyAlignment="1">
      <alignment horizontal="right" vertical="center"/>
    </xf>
    <xf numFmtId="43" fontId="3" fillId="11" borderId="0" xfId="16" applyFont="1" applyFill="1" applyAlignment="1">
      <alignment horizontal="right" vertical="center"/>
    </xf>
    <xf numFmtId="43" fontId="8" fillId="0" borderId="28" xfId="16" applyFont="1" applyFill="1" applyBorder="1" applyAlignment="1">
      <alignment horizontal="right" vertical="center" wrapText="1"/>
    </xf>
    <xf numFmtId="43" fontId="3" fillId="11" borderId="5" xfId="16" applyFont="1" applyFill="1" applyBorder="1" applyAlignment="1">
      <alignment horizontal="right" vertical="center"/>
    </xf>
    <xf numFmtId="43" fontId="5" fillId="0" borderId="7" xfId="16" applyFont="1" applyFill="1" applyBorder="1" applyAlignment="1">
      <alignment horizontal="right" vertical="center" wrapText="1"/>
    </xf>
    <xf numFmtId="43" fontId="5" fillId="0" borderId="37" xfId="16" applyFont="1" applyFill="1" applyBorder="1" applyAlignment="1">
      <alignment horizontal="right" vertical="center" wrapText="1"/>
    </xf>
    <xf numFmtId="43" fontId="5" fillId="0" borderId="19" xfId="16" applyFont="1" applyFill="1" applyBorder="1" applyAlignment="1">
      <alignment horizontal="right" vertical="center" wrapText="1"/>
    </xf>
    <xf numFmtId="43" fontId="5" fillId="2" borderId="20" xfId="16" applyFont="1" applyFill="1" applyBorder="1" applyAlignment="1">
      <alignment horizontal="right" vertical="center" wrapText="1"/>
    </xf>
    <xf numFmtId="43" fontId="5" fillId="9" borderId="0" xfId="16" applyFont="1" applyFill="1" applyBorder="1" applyAlignment="1">
      <alignment horizontal="right" vertical="center" wrapText="1"/>
    </xf>
    <xf numFmtId="43" fontId="3" fillId="11" borderId="14" xfId="16" applyFont="1" applyFill="1" applyBorder="1" applyAlignment="1">
      <alignment horizontal="right" vertical="center"/>
    </xf>
    <xf numFmtId="43" fontId="8" fillId="0" borderId="20" xfId="16" applyFont="1" applyFill="1" applyBorder="1" applyAlignment="1">
      <alignment horizontal="right" vertical="center"/>
    </xf>
    <xf numFmtId="43" fontId="5" fillId="0" borderId="34" xfId="16" applyFont="1" applyFill="1" applyBorder="1" applyAlignment="1">
      <alignment horizontal="right" vertical="center"/>
    </xf>
    <xf numFmtId="43" fontId="8" fillId="0" borderId="21" xfId="16" applyFont="1" applyFill="1" applyBorder="1" applyAlignment="1">
      <alignment horizontal="right" vertical="center"/>
    </xf>
    <xf numFmtId="43" fontId="8" fillId="0" borderId="34" xfId="16" applyFont="1" applyFill="1" applyBorder="1" applyAlignment="1">
      <alignment horizontal="right" vertical="center"/>
    </xf>
    <xf numFmtId="43" fontId="8" fillId="9" borderId="16" xfId="16" applyFont="1" applyFill="1" applyBorder="1" applyAlignment="1">
      <alignment horizontal="right" vertical="center"/>
    </xf>
    <xf numFmtId="43" fontId="8" fillId="0" borderId="19" xfId="16" applyFont="1" applyFill="1" applyBorder="1" applyAlignment="1">
      <alignment horizontal="right" vertical="center"/>
    </xf>
    <xf numFmtId="43" fontId="8" fillId="0" borderId="37" xfId="16" applyFont="1" applyFill="1" applyBorder="1" applyAlignment="1">
      <alignment horizontal="right" vertical="center"/>
    </xf>
    <xf numFmtId="43" fontId="8" fillId="0" borderId="30" xfId="16" applyFont="1" applyFill="1" applyBorder="1" applyAlignment="1">
      <alignment horizontal="right" vertical="center"/>
    </xf>
    <xf numFmtId="43" fontId="8" fillId="0" borderId="2" xfId="16" applyFont="1" applyFill="1" applyBorder="1" applyAlignment="1">
      <alignment horizontal="right" vertical="center"/>
    </xf>
    <xf numFmtId="43" fontId="8" fillId="0" borderId="26" xfId="16" applyFont="1" applyFill="1" applyBorder="1" applyAlignment="1">
      <alignment horizontal="right" vertical="center"/>
    </xf>
    <xf numFmtId="43" fontId="8" fillId="0" borderId="28" xfId="16" applyFont="1" applyFill="1" applyBorder="1" applyAlignment="1">
      <alignment horizontal="right" vertical="center"/>
    </xf>
    <xf numFmtId="43" fontId="3" fillId="11" borderId="8" xfId="16" applyFont="1" applyFill="1" applyBorder="1" applyAlignment="1">
      <alignment horizontal="right" vertical="center"/>
    </xf>
    <xf numFmtId="43" fontId="8" fillId="0" borderId="35" xfId="16" applyFont="1" applyFill="1" applyBorder="1" applyAlignment="1">
      <alignment horizontal="right" vertical="center"/>
    </xf>
    <xf numFmtId="43" fontId="5" fillId="0" borderId="35" xfId="16" applyFont="1" applyFill="1" applyBorder="1" applyAlignment="1">
      <alignment horizontal="right" vertical="center"/>
    </xf>
    <xf numFmtId="43" fontId="5" fillId="0" borderId="28" xfId="16" applyFont="1" applyFill="1" applyBorder="1" applyAlignment="1">
      <alignment horizontal="right" vertical="center"/>
    </xf>
    <xf numFmtId="43" fontId="5" fillId="0" borderId="2" xfId="16" applyFont="1" applyFill="1" applyBorder="1" applyAlignment="1">
      <alignment horizontal="right" vertical="center"/>
    </xf>
    <xf numFmtId="43" fontId="5" fillId="0" borderId="22" xfId="16" applyFont="1" applyFill="1" applyBorder="1" applyAlignment="1">
      <alignment horizontal="right" vertical="center"/>
    </xf>
    <xf numFmtId="43" fontId="5" fillId="0" borderId="19" xfId="16" applyFont="1" applyFill="1" applyBorder="1" applyAlignment="1">
      <alignment horizontal="right" vertical="center"/>
    </xf>
    <xf numFmtId="43" fontId="5" fillId="0" borderId="27" xfId="16" applyFont="1" applyFill="1" applyBorder="1" applyAlignment="1">
      <alignment horizontal="right" vertical="center"/>
    </xf>
    <xf numFmtId="43" fontId="5" fillId="0" borderId="30" xfId="16" applyFont="1" applyFill="1" applyBorder="1" applyAlignment="1">
      <alignment horizontal="right" vertical="center"/>
    </xf>
    <xf numFmtId="43" fontId="3" fillId="7" borderId="21" xfId="16" applyFont="1" applyFill="1" applyBorder="1" applyAlignment="1">
      <alignment horizontal="right" vertical="center"/>
    </xf>
    <xf numFmtId="43" fontId="3" fillId="9" borderId="20" xfId="16" applyFont="1" applyFill="1" applyBorder="1" applyAlignment="1">
      <alignment horizontal="right" vertical="center"/>
    </xf>
    <xf numFmtId="43" fontId="8" fillId="0" borderId="37" xfId="16" applyFont="1" applyFill="1" applyBorder="1" applyAlignment="1">
      <alignment horizontal="right" vertical="center" wrapText="1"/>
    </xf>
    <xf numFmtId="43" fontId="8" fillId="0" borderId="19" xfId="16" applyFont="1" applyFill="1" applyBorder="1" applyAlignment="1">
      <alignment horizontal="right" vertical="center" wrapText="1"/>
    </xf>
    <xf numFmtId="43" fontId="8" fillId="9" borderId="16" xfId="16" applyFont="1" applyFill="1" applyBorder="1" applyAlignment="1">
      <alignment horizontal="right" vertical="center" wrapText="1"/>
    </xf>
    <xf numFmtId="43" fontId="8" fillId="0" borderId="13" xfId="16" applyFont="1" applyFill="1" applyBorder="1" applyAlignment="1">
      <alignment horizontal="right" vertical="center" wrapText="1"/>
    </xf>
    <xf numFmtId="43" fontId="8" fillId="0" borderId="7" xfId="16" applyFont="1" applyFill="1" applyBorder="1" applyAlignment="1">
      <alignment horizontal="right" vertical="center" wrapText="1"/>
    </xf>
    <xf numFmtId="43" fontId="8" fillId="0" borderId="5" xfId="16" applyFont="1" applyFill="1" applyBorder="1" applyAlignment="1">
      <alignment horizontal="right" vertical="center" wrapText="1"/>
    </xf>
    <xf numFmtId="43" fontId="8" fillId="0" borderId="0" xfId="16" applyFont="1" applyFill="1" applyAlignment="1">
      <alignment horizontal="right" vertical="center" wrapText="1"/>
    </xf>
    <xf numFmtId="43" fontId="5" fillId="0" borderId="26" xfId="16" applyFont="1" applyFill="1" applyBorder="1" applyAlignment="1">
      <alignment horizontal="right" vertical="center"/>
    </xf>
    <xf numFmtId="43" fontId="8" fillId="0" borderId="11" xfId="16" applyFont="1" applyFill="1" applyBorder="1" applyAlignment="1">
      <alignment horizontal="right" vertical="center" wrapText="1"/>
    </xf>
    <xf numFmtId="43" fontId="8" fillId="0" borderId="2" xfId="16" applyFont="1" applyFill="1" applyBorder="1" applyAlignment="1">
      <alignment horizontal="right" vertical="center" wrapText="1"/>
    </xf>
    <xf numFmtId="43" fontId="8" fillId="0" borderId="16" xfId="16" applyFont="1" applyFill="1" applyBorder="1" applyAlignment="1">
      <alignment horizontal="right" vertical="center"/>
    </xf>
    <xf numFmtId="43" fontId="9" fillId="0" borderId="2" xfId="16" applyFont="1" applyFill="1" applyBorder="1" applyAlignment="1">
      <alignment horizontal="right" vertical="center" wrapText="1"/>
    </xf>
    <xf numFmtId="43" fontId="9" fillId="0" borderId="25" xfId="16" applyFont="1" applyFill="1" applyBorder="1" applyAlignment="1">
      <alignment horizontal="right" vertical="center" wrapText="1"/>
    </xf>
    <xf numFmtId="43" fontId="9" fillId="0" borderId="37" xfId="16" applyFont="1" applyFill="1" applyBorder="1" applyAlignment="1">
      <alignment horizontal="right" vertical="center" wrapText="1"/>
    </xf>
    <xf numFmtId="43" fontId="9" fillId="0" borderId="35" xfId="16" applyFont="1" applyFill="1" applyBorder="1" applyAlignment="1">
      <alignment horizontal="right" vertical="center" wrapText="1"/>
    </xf>
    <xf numFmtId="43" fontId="9" fillId="0" borderId="28" xfId="16" applyFont="1" applyFill="1" applyBorder="1" applyAlignment="1">
      <alignment horizontal="right" vertical="center" wrapText="1"/>
    </xf>
    <xf numFmtId="43" fontId="9" fillId="0" borderId="26" xfId="16" applyFont="1" applyFill="1" applyBorder="1" applyAlignment="1">
      <alignment horizontal="right" vertical="center" wrapText="1"/>
    </xf>
    <xf numFmtId="43" fontId="5" fillId="0" borderId="12" xfId="16" applyFont="1" applyFill="1" applyBorder="1" applyAlignment="1">
      <alignment horizontal="right" vertical="center"/>
    </xf>
    <xf numFmtId="43" fontId="5" fillId="0" borderId="37" xfId="16" applyFont="1" applyFill="1" applyBorder="1" applyAlignment="1">
      <alignment horizontal="right" vertical="center"/>
    </xf>
    <xf numFmtId="43" fontId="5" fillId="0" borderId="11" xfId="16" applyFont="1" applyFill="1" applyBorder="1" applyAlignment="1">
      <alignment horizontal="right" vertical="center"/>
    </xf>
    <xf numFmtId="43" fontId="5" fillId="0" borderId="34" xfId="16" applyFont="1" applyFill="1" applyBorder="1" applyAlignment="1">
      <alignment horizontal="right" vertical="center" wrapText="1"/>
    </xf>
    <xf numFmtId="43" fontId="5" fillId="0" borderId="30" xfId="16" applyFont="1" applyFill="1" applyBorder="1" applyAlignment="1">
      <alignment horizontal="right" vertical="center" wrapText="1"/>
    </xf>
    <xf numFmtId="43" fontId="5" fillId="0" borderId="11" xfId="16" applyFont="1" applyFill="1" applyBorder="1" applyAlignment="1">
      <alignment horizontal="right" vertical="center" wrapText="1"/>
    </xf>
    <xf numFmtId="43" fontId="5" fillId="0" borderId="13" xfId="16" applyFont="1" applyFill="1" applyBorder="1" applyAlignment="1">
      <alignment horizontal="right" vertical="center" wrapText="1"/>
    </xf>
    <xf numFmtId="43" fontId="2" fillId="19" borderId="2" xfId="16" applyFont="1" applyFill="1" applyBorder="1" applyAlignment="1">
      <alignment horizontal="right" vertical="center"/>
    </xf>
    <xf numFmtId="43" fontId="3" fillId="11" borderId="14" xfId="16" applyFont="1" applyFill="1" applyBorder="1" applyAlignment="1">
      <alignment horizontal="center" vertical="center"/>
    </xf>
    <xf numFmtId="43" fontId="8" fillId="9" borderId="14" xfId="16" applyFont="1" applyFill="1" applyBorder="1" applyAlignment="1">
      <alignment horizontal="center" vertical="center"/>
    </xf>
    <xf numFmtId="43" fontId="8" fillId="9" borderId="20" xfId="16" applyFont="1" applyFill="1" applyBorder="1" applyAlignment="1">
      <alignment horizontal="center" vertical="center"/>
    </xf>
    <xf numFmtId="43" fontId="3" fillId="11" borderId="0" xfId="16" applyFont="1" applyFill="1" applyAlignment="1">
      <alignment horizontal="center" vertical="center"/>
    </xf>
    <xf numFmtId="43" fontId="3" fillId="11" borderId="5" xfId="16" applyFont="1" applyFill="1" applyBorder="1" applyAlignment="1">
      <alignment horizontal="center" vertical="center"/>
    </xf>
    <xf numFmtId="43" fontId="3" fillId="7" borderId="21" xfId="16" applyFont="1" applyFill="1" applyBorder="1" applyAlignment="1">
      <alignment horizontal="center" vertical="center"/>
    </xf>
    <xf numFmtId="43" fontId="3" fillId="9" borderId="20" xfId="16" applyFont="1" applyFill="1" applyBorder="1" applyAlignment="1">
      <alignment horizontal="center" vertical="center"/>
    </xf>
    <xf numFmtId="43" fontId="8" fillId="9" borderId="20" xfId="16" applyFont="1" applyFill="1" applyBorder="1" applyAlignment="1">
      <alignment horizontal="center" vertical="center" wrapText="1"/>
    </xf>
    <xf numFmtId="43" fontId="3" fillId="7" borderId="0" xfId="16" applyFont="1" applyFill="1" applyAlignment="1">
      <alignment horizontal="center" vertical="center"/>
    </xf>
    <xf numFmtId="43" fontId="2" fillId="19" borderId="2" xfId="16" applyFont="1" applyFill="1" applyBorder="1" applyAlignment="1">
      <alignment horizontal="center" vertical="center"/>
    </xf>
    <xf numFmtId="0" fontId="2" fillId="11" borderId="16" xfId="0" applyFont="1" applyFill="1" applyBorder="1" applyAlignment="1">
      <alignment horizontal="justify" vertical="center" wrapText="1"/>
    </xf>
    <xf numFmtId="43" fontId="9" fillId="2" borderId="6" xfId="16" applyFont="1" applyFill="1" applyBorder="1" applyAlignment="1">
      <alignment horizontal="center" vertical="center" wrapText="1"/>
    </xf>
    <xf numFmtId="43" fontId="9" fillId="2" borderId="1" xfId="16" applyFont="1" applyFill="1" applyBorder="1" applyAlignment="1">
      <alignment horizontal="center" vertical="center" wrapText="1"/>
    </xf>
    <xf numFmtId="43" fontId="3" fillId="10" borderId="20" xfId="16" applyFont="1" applyFill="1" applyBorder="1" applyAlignment="1">
      <alignment horizontal="center" vertical="center" wrapText="1"/>
    </xf>
    <xf numFmtId="43" fontId="9" fillId="0" borderId="25" xfId="16" applyFont="1" applyBorder="1" applyAlignment="1">
      <alignment horizontal="center" vertical="center" wrapText="1"/>
    </xf>
    <xf numFmtId="43" fontId="9" fillId="2" borderId="28" xfId="16" applyFont="1" applyFill="1" applyBorder="1" applyAlignment="1">
      <alignment horizontal="center" vertical="center" wrapText="1"/>
    </xf>
    <xf numFmtId="43" fontId="9" fillId="9" borderId="0" xfId="16" applyFont="1" applyFill="1" applyAlignment="1">
      <alignment horizontal="center" vertical="center" wrapText="1"/>
    </xf>
    <xf numFmtId="43" fontId="9" fillId="2" borderId="10" xfId="16" applyFont="1" applyFill="1" applyBorder="1" applyAlignment="1">
      <alignment horizontal="center" vertical="center" wrapText="1"/>
    </xf>
    <xf numFmtId="43" fontId="5" fillId="2" borderId="28" xfId="16" applyFont="1" applyFill="1" applyBorder="1" applyAlignment="1">
      <alignment horizontal="center"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12" borderId="2" xfId="0" applyNumberFormat="1"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2" xfId="0" applyFont="1" applyFill="1" applyBorder="1" applyAlignment="1">
      <alignment horizontal="justify" vertical="center" wrapText="1"/>
    </xf>
    <xf numFmtId="0" fontId="2" fillId="2" borderId="0" xfId="0" applyFont="1" applyFill="1" applyAlignment="1">
      <alignment horizontal="center" vertical="center"/>
    </xf>
    <xf numFmtId="0" fontId="9" fillId="0" borderId="2" xfId="0" applyFont="1" applyFill="1" applyBorder="1" applyAlignment="1">
      <alignment horizontal="justify" vertical="center" wrapText="1"/>
    </xf>
    <xf numFmtId="0" fontId="5" fillId="0" borderId="1" xfId="0" applyFont="1" applyBorder="1" applyAlignment="1">
      <alignment horizontal="center" vertical="center"/>
    </xf>
    <xf numFmtId="0" fontId="8" fillId="0" borderId="25" xfId="0" applyFont="1" applyBorder="1" applyAlignment="1">
      <alignment horizontal="center" vertical="center" wrapText="1"/>
    </xf>
    <xf numFmtId="0" fontId="9" fillId="0" borderId="7" xfId="0" applyFont="1" applyFill="1" applyBorder="1" applyAlignment="1">
      <alignment horizontal="justify" vertical="center" wrapText="1"/>
    </xf>
    <xf numFmtId="0" fontId="9" fillId="0" borderId="12" xfId="0" applyFont="1" applyFill="1" applyBorder="1" applyAlignment="1">
      <alignment horizontal="justify" vertical="center" wrapText="1"/>
    </xf>
    <xf numFmtId="9" fontId="5" fillId="2" borderId="2" xfId="3" applyFont="1" applyFill="1" applyBorder="1" applyAlignment="1">
      <alignment horizontal="center" vertical="center" wrapText="1"/>
    </xf>
    <xf numFmtId="43" fontId="5" fillId="0" borderId="2" xfId="4" applyFont="1" applyBorder="1" applyAlignment="1">
      <alignment horizontal="center" vertical="center"/>
    </xf>
    <xf numFmtId="0" fontId="3" fillId="11" borderId="30" xfId="0" applyFont="1" applyFill="1" applyBorder="1" applyAlignment="1">
      <alignment horizontal="left" vertical="center"/>
    </xf>
    <xf numFmtId="0" fontId="3" fillId="11" borderId="16" xfId="0" applyFont="1" applyFill="1" applyBorder="1" applyAlignment="1">
      <alignment horizontal="left"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26"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0" fontId="8" fillId="2" borderId="35" xfId="0" applyFont="1" applyFill="1" applyBorder="1" applyAlignment="1">
      <alignment horizontal="justify" vertical="center" wrapText="1"/>
    </xf>
    <xf numFmtId="0" fontId="8" fillId="2" borderId="33" xfId="0" applyFont="1" applyFill="1" applyBorder="1" applyAlignment="1">
      <alignment horizontal="justify" vertical="center" wrapText="1"/>
    </xf>
    <xf numFmtId="0" fontId="8" fillId="2" borderId="35" xfId="5" applyFont="1" applyFill="1" applyBorder="1" applyAlignment="1">
      <alignment horizontal="center" vertical="center" wrapText="1"/>
    </xf>
    <xf numFmtId="0" fontId="8" fillId="2" borderId="33" xfId="5" applyFont="1" applyFill="1" applyBorder="1" applyAlignment="1">
      <alignment horizontal="center" vertical="center" wrapText="1"/>
    </xf>
    <xf numFmtId="0" fontId="5" fillId="0" borderId="33" xfId="0" applyFont="1" applyBorder="1" applyAlignment="1">
      <alignment horizontal="justify" vertical="center" wrapText="1"/>
    </xf>
    <xf numFmtId="0" fontId="8" fillId="0" borderId="35" xfId="5" applyFont="1" applyBorder="1" applyAlignment="1">
      <alignment horizontal="justify" vertical="center" wrapText="1"/>
    </xf>
    <xf numFmtId="0" fontId="8" fillId="0" borderId="33" xfId="5" applyFont="1" applyBorder="1" applyAlignment="1">
      <alignment horizontal="justify" vertical="center" wrapText="1"/>
    </xf>
    <xf numFmtId="14" fontId="9" fillId="12" borderId="22" xfId="0" applyNumberFormat="1" applyFont="1" applyFill="1" applyBorder="1" applyAlignment="1">
      <alignment horizontal="center" vertical="center" wrapText="1"/>
    </xf>
    <xf numFmtId="14" fontId="9" fillId="12" borderId="25" xfId="0" applyNumberFormat="1" applyFont="1" applyFill="1" applyBorder="1" applyAlignment="1">
      <alignment horizontal="center" vertical="center" wrapText="1"/>
    </xf>
    <xf numFmtId="14" fontId="9" fillId="12" borderId="27"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5" xfId="0" applyFont="1" applyBorder="1" applyAlignment="1">
      <alignment horizontal="justify" vertical="center" wrapText="1"/>
    </xf>
    <xf numFmtId="0" fontId="8" fillId="2" borderId="3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0" borderId="32" xfId="0" applyFont="1" applyBorder="1" applyAlignment="1">
      <alignment horizontal="justify" vertical="center" wrapText="1"/>
    </xf>
    <xf numFmtId="0" fontId="5"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24" xfId="0" applyFont="1" applyBorder="1" applyAlignment="1">
      <alignment horizontal="justify" vertical="center" wrapText="1"/>
    </xf>
    <xf numFmtId="0" fontId="5" fillId="0" borderId="15" xfId="0" applyFont="1" applyBorder="1" applyAlignment="1">
      <alignment horizontal="justify" vertical="center" wrapText="1"/>
    </xf>
    <xf numFmtId="9" fontId="5" fillId="2" borderId="2" xfId="3"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wrapText="1"/>
    </xf>
    <xf numFmtId="0" fontId="8" fillId="2" borderId="2" xfId="0" applyFont="1" applyFill="1" applyBorder="1" applyAlignment="1">
      <alignment horizontal="justify" vertical="center" wrapText="1"/>
    </xf>
    <xf numFmtId="0" fontId="8" fillId="2" borderId="2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2" borderId="22" xfId="0" applyFont="1" applyFill="1" applyBorder="1" applyAlignment="1">
      <alignment horizontal="center" vertical="center" wrapText="1"/>
    </xf>
    <xf numFmtId="3" fontId="9" fillId="12" borderId="2" xfId="0" applyNumberFormat="1" applyFont="1" applyFill="1" applyBorder="1" applyAlignment="1">
      <alignment horizontal="center" vertical="center" wrapText="1"/>
    </xf>
    <xf numFmtId="43" fontId="8" fillId="2" borderId="2" xfId="4" applyFont="1" applyFill="1" applyBorder="1" applyAlignment="1">
      <alignment horizontal="center" vertical="center"/>
    </xf>
    <xf numFmtId="0" fontId="9" fillId="0" borderId="25"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3" fillId="7" borderId="15" xfId="0" applyFont="1" applyFill="1" applyBorder="1" applyAlignment="1">
      <alignment horizontal="left" vertical="center"/>
    </xf>
    <xf numFmtId="0" fontId="3" fillId="7" borderId="16" xfId="0" applyFont="1" applyFill="1" applyBorder="1" applyAlignment="1">
      <alignment horizontal="left" vertical="center"/>
    </xf>
    <xf numFmtId="0" fontId="3" fillId="9" borderId="19" xfId="0" applyFont="1" applyFill="1" applyBorder="1" applyAlignment="1">
      <alignment horizontal="left" vertical="center"/>
    </xf>
    <xf numFmtId="0" fontId="3" fillId="9" borderId="20" xfId="0" applyFont="1" applyFill="1" applyBorder="1" applyAlignment="1">
      <alignment horizontal="left" vertical="center"/>
    </xf>
    <xf numFmtId="1" fontId="2" fillId="4" borderId="2"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textRotation="90" wrapText="1"/>
    </xf>
    <xf numFmtId="0" fontId="8" fillId="12" borderId="2"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0" borderId="24"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3" fontId="9" fillId="12" borderId="22" xfId="0" applyNumberFormat="1" applyFont="1" applyFill="1" applyBorder="1" applyAlignment="1">
      <alignment horizontal="center" vertical="center" wrapText="1"/>
    </xf>
    <xf numFmtId="3" fontId="9" fillId="12" borderId="25" xfId="0" applyNumberFormat="1" applyFont="1" applyFill="1" applyBorder="1" applyAlignment="1">
      <alignment horizontal="center" vertical="center" wrapText="1"/>
    </xf>
    <xf numFmtId="3" fontId="9" fillId="12" borderId="27"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1" fontId="2" fillId="4" borderId="13"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65" fontId="2" fillId="5" borderId="7" xfId="0" applyNumberFormat="1" applyFont="1" applyFill="1" applyBorder="1" applyAlignment="1">
      <alignment horizontal="center" vertical="center" wrapText="1"/>
    </xf>
    <xf numFmtId="165" fontId="2" fillId="5" borderId="11"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textRotation="90" wrapText="1"/>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justify" vertical="center" wrapText="1"/>
    </xf>
    <xf numFmtId="4" fontId="8" fillId="0" borderId="2" xfId="0" applyNumberFormat="1" applyFont="1" applyBorder="1" applyAlignment="1">
      <alignment horizontal="center" vertical="center" wrapText="1"/>
    </xf>
    <xf numFmtId="0" fontId="8" fillId="0" borderId="13" xfId="0" applyFont="1" applyBorder="1" applyAlignment="1">
      <alignment horizontal="justify"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9" fontId="8" fillId="0" borderId="2" xfId="3" applyFont="1" applyBorder="1" applyAlignment="1">
      <alignment horizontal="center" vertical="center" wrapText="1"/>
    </xf>
    <xf numFmtId="14" fontId="5" fillId="2" borderId="22" xfId="0" applyNumberFormat="1"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 xfId="0" applyFont="1" applyFill="1" applyBorder="1" applyAlignment="1">
      <alignment horizontal="center" vertical="center"/>
    </xf>
    <xf numFmtId="14" fontId="5" fillId="2" borderId="2" xfId="0" applyNumberFormat="1" applyFont="1" applyFill="1" applyBorder="1" applyAlignment="1">
      <alignment horizontal="center" vertical="center"/>
    </xf>
    <xf numFmtId="14" fontId="5" fillId="0" borderId="22" xfId="0" applyNumberFormat="1" applyFont="1" applyBorder="1" applyAlignment="1">
      <alignment horizontal="center" vertical="center"/>
    </xf>
    <xf numFmtId="14" fontId="5" fillId="0" borderId="7"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2" borderId="2" xfId="0" applyFont="1" applyFill="1" applyBorder="1" applyAlignment="1">
      <alignment horizontal="center" vertical="center" wrapText="1"/>
    </xf>
    <xf numFmtId="4" fontId="5" fillId="2" borderId="22" xfId="0" applyNumberFormat="1" applyFont="1" applyFill="1" applyBorder="1" applyAlignment="1">
      <alignment horizontal="center" vertical="center"/>
    </xf>
    <xf numFmtId="4" fontId="5" fillId="2" borderId="25" xfId="0" applyNumberFormat="1" applyFont="1" applyFill="1" applyBorder="1" applyAlignment="1">
      <alignment horizontal="center" vertical="center"/>
    </xf>
    <xf numFmtId="4" fontId="5" fillId="2" borderId="27" xfId="0" applyNumberFormat="1" applyFont="1" applyFill="1" applyBorder="1" applyAlignment="1">
      <alignment horizontal="center" vertical="center"/>
    </xf>
    <xf numFmtId="172" fontId="8" fillId="0" borderId="22" xfId="1" applyNumberFormat="1" applyFont="1" applyBorder="1" applyAlignment="1">
      <alignment horizontal="center" vertical="center" wrapText="1"/>
    </xf>
    <xf numFmtId="172" fontId="8" fillId="0" borderId="25" xfId="1" applyNumberFormat="1" applyFont="1" applyBorder="1" applyAlignment="1">
      <alignment horizontal="center" vertical="center" wrapText="1"/>
    </xf>
    <xf numFmtId="0" fontId="8" fillId="0" borderId="22" xfId="0" applyFont="1" applyBorder="1" applyAlignment="1">
      <alignment horizontal="justify" vertical="center" wrapText="1"/>
    </xf>
    <xf numFmtId="0" fontId="8" fillId="0" borderId="25" xfId="0" applyFont="1" applyBorder="1" applyAlignment="1">
      <alignment horizontal="justify" vertical="center" wrapText="1"/>
    </xf>
    <xf numFmtId="0" fontId="8" fillId="0" borderId="27" xfId="0" applyFont="1" applyBorder="1" applyAlignment="1">
      <alignment horizontal="justify" vertical="center" wrapText="1"/>
    </xf>
    <xf numFmtId="0" fontId="5" fillId="2" borderId="22" xfId="0" applyFont="1" applyFill="1" applyBorder="1" applyAlignment="1">
      <alignment horizontal="justify" vertical="center" wrapText="1"/>
    </xf>
    <xf numFmtId="0" fontId="5" fillId="2" borderId="25" xfId="0" applyFont="1" applyFill="1" applyBorder="1" applyAlignment="1">
      <alignment horizontal="justify" vertical="center" wrapText="1"/>
    </xf>
    <xf numFmtId="0" fontId="5" fillId="2" borderId="27" xfId="0" applyFont="1" applyFill="1" applyBorder="1" applyAlignment="1">
      <alignment horizontal="justify" vertical="center" wrapText="1"/>
    </xf>
    <xf numFmtId="9" fontId="8" fillId="0" borderId="2" xfId="0" applyNumberFormat="1" applyFont="1" applyBorder="1" applyAlignment="1">
      <alignment horizontal="center" vertical="center" wrapText="1"/>
    </xf>
    <xf numFmtId="0" fontId="8" fillId="0" borderId="22" xfId="0" applyFont="1" applyBorder="1" applyAlignment="1">
      <alignment horizontal="center" vertical="center" wrapText="1"/>
    </xf>
    <xf numFmtId="9" fontId="5" fillId="2" borderId="22" xfId="0" applyNumberFormat="1" applyFont="1" applyFill="1" applyBorder="1" applyAlignment="1">
      <alignment horizontal="center" vertical="center"/>
    </xf>
    <xf numFmtId="9" fontId="5" fillId="2" borderId="25" xfId="0" applyNumberFormat="1" applyFont="1" applyFill="1" applyBorder="1" applyAlignment="1">
      <alignment horizontal="center" vertical="center"/>
    </xf>
    <xf numFmtId="9" fontId="8" fillId="0" borderId="22" xfId="0" applyNumberFormat="1" applyFont="1" applyBorder="1" applyAlignment="1">
      <alignment horizontal="center" vertical="center" wrapText="1"/>
    </xf>
    <xf numFmtId="9" fontId="8" fillId="0" borderId="25"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0" fontId="5" fillId="2" borderId="2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6" xfId="0" applyFont="1" applyFill="1" applyBorder="1" applyAlignment="1">
      <alignment horizontal="justify" vertical="center" wrapText="1"/>
    </xf>
    <xf numFmtId="0" fontId="8" fillId="2" borderId="3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34" xfId="0" applyFont="1" applyBorder="1" applyAlignment="1">
      <alignment horizontal="center" vertical="center" wrapText="1"/>
    </xf>
    <xf numFmtId="0" fontId="5" fillId="0" borderId="34" xfId="0" applyFont="1" applyBorder="1" applyAlignment="1">
      <alignment horizontal="justify" vertical="center" wrapText="1"/>
    </xf>
    <xf numFmtId="9" fontId="5" fillId="2" borderId="28" xfId="3"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8" fillId="2" borderId="2" xfId="5" applyFont="1" applyFill="1" applyBorder="1" applyAlignment="1">
      <alignment horizontal="center" vertical="center" wrapText="1"/>
    </xf>
    <xf numFmtId="0" fontId="8" fillId="2" borderId="2" xfId="5" applyFont="1" applyFill="1" applyBorder="1" applyAlignment="1">
      <alignment horizontal="justify" vertical="center" wrapText="1"/>
    </xf>
    <xf numFmtId="0" fontId="8" fillId="0" borderId="2" xfId="5" applyFont="1" applyBorder="1" applyAlignment="1">
      <alignment horizontal="justify" vertical="center" wrapText="1"/>
    </xf>
    <xf numFmtId="3" fontId="5" fillId="2" borderId="20" xfId="0" applyNumberFormat="1" applyFont="1" applyFill="1" applyBorder="1" applyAlignment="1">
      <alignment horizontal="center" vertical="center"/>
    </xf>
    <xf numFmtId="0" fontId="5" fillId="0" borderId="28" xfId="0" applyFont="1" applyBorder="1" applyAlignment="1">
      <alignment horizontal="center" vertical="center"/>
    </xf>
    <xf numFmtId="173" fontId="5" fillId="2" borderId="20" xfId="0" applyNumberFormat="1" applyFont="1" applyFill="1" applyBorder="1" applyAlignment="1">
      <alignment horizontal="center" vertical="center" wrapText="1"/>
    </xf>
    <xf numFmtId="4" fontId="8" fillId="2" borderId="2" xfId="7" applyNumberFormat="1" applyFont="1" applyFill="1" applyBorder="1" applyAlignment="1">
      <alignment horizontal="center" vertical="center"/>
    </xf>
    <xf numFmtId="4" fontId="8" fillId="2" borderId="22" xfId="7" applyNumberFormat="1" applyFont="1" applyFill="1" applyBorder="1" applyAlignment="1">
      <alignment horizontal="center" vertical="center"/>
    </xf>
    <xf numFmtId="0" fontId="5" fillId="0" borderId="13" xfId="0" applyFont="1" applyBorder="1" applyAlignment="1">
      <alignment horizontal="justify" vertical="center" wrapText="1"/>
    </xf>
    <xf numFmtId="0" fontId="5" fillId="0" borderId="7" xfId="0" applyFont="1" applyBorder="1" applyAlignment="1">
      <alignment horizontal="justify" vertical="center" wrapText="1"/>
    </xf>
    <xf numFmtId="0" fontId="8" fillId="13" borderId="2" xfId="0" applyFont="1" applyFill="1" applyBorder="1" applyAlignment="1">
      <alignment horizontal="center" vertical="center" wrapText="1"/>
    </xf>
    <xf numFmtId="0" fontId="8" fillId="13" borderId="22" xfId="0" applyFont="1" applyFill="1" applyBorder="1" applyAlignment="1">
      <alignment horizontal="center" vertical="center" wrapText="1"/>
    </xf>
    <xf numFmtId="9" fontId="5" fillId="2" borderId="22" xfId="3" applyFont="1" applyFill="1" applyBorder="1" applyAlignment="1">
      <alignment horizontal="center" vertical="center" wrapText="1"/>
    </xf>
    <xf numFmtId="0" fontId="5" fillId="0" borderId="37" xfId="0" applyFont="1" applyBorder="1" applyAlignment="1">
      <alignment horizontal="justify" vertical="center" wrapText="1"/>
    </xf>
    <xf numFmtId="14" fontId="5" fillId="0" borderId="39" xfId="0" applyNumberFormat="1" applyFont="1" applyBorder="1" applyAlignment="1">
      <alignment horizontal="center" vertical="center" wrapText="1"/>
    </xf>
    <xf numFmtId="4" fontId="5" fillId="0" borderId="28" xfId="7" applyNumberFormat="1" applyFont="1" applyBorder="1" applyAlignment="1">
      <alignment horizontal="center" vertical="center"/>
    </xf>
    <xf numFmtId="173" fontId="5" fillId="2" borderId="28"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49" fontId="8" fillId="0" borderId="2" xfId="8" applyNumberFormat="1" applyFont="1" applyFill="1" applyBorder="1" applyAlignment="1">
      <alignment horizontal="justify" vertical="center" wrapText="1"/>
    </xf>
    <xf numFmtId="49" fontId="8" fillId="0" borderId="22" xfId="8" applyNumberFormat="1" applyFont="1" applyFill="1" applyBorder="1" applyAlignment="1">
      <alignment horizontal="justify" vertical="center" wrapText="1"/>
    </xf>
    <xf numFmtId="49" fontId="8" fillId="0" borderId="27" xfId="8" applyNumberFormat="1" applyFont="1" applyFill="1" applyBorder="1" applyAlignment="1">
      <alignment horizontal="justify" vertical="center" wrapText="1"/>
    </xf>
    <xf numFmtId="0" fontId="8" fillId="0" borderId="2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3" fontId="5" fillId="2" borderId="28"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3"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0" fontId="5" fillId="0" borderId="26" xfId="0" applyFont="1" applyBorder="1" applyAlignment="1">
      <alignment horizontal="center" vertical="center" wrapText="1"/>
    </xf>
    <xf numFmtId="0" fontId="8" fillId="2" borderId="27" xfId="0" applyFont="1" applyFill="1" applyBorder="1" applyAlignment="1">
      <alignment horizontal="center" vertical="center" wrapText="1"/>
    </xf>
    <xf numFmtId="0" fontId="8" fillId="2" borderId="27" xfId="0" applyFont="1" applyFill="1" applyBorder="1" applyAlignment="1">
      <alignment horizontal="justify"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 fontId="2" fillId="4" borderId="10"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1" fontId="2" fillId="4" borderId="11" xfId="0" applyNumberFormat="1" applyFont="1" applyFill="1" applyBorder="1" applyAlignment="1">
      <alignment horizontal="center" vertical="center" wrapText="1"/>
    </xf>
    <xf numFmtId="0" fontId="3" fillId="4" borderId="7"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165" fontId="2" fillId="5" borderId="12" xfId="0" applyNumberFormat="1" applyFont="1" applyFill="1" applyBorder="1" applyAlignment="1">
      <alignment horizontal="center" vertical="center" wrapText="1"/>
    </xf>
    <xf numFmtId="3" fontId="2" fillId="5" borderId="22" xfId="0" applyNumberFormat="1" applyFont="1" applyFill="1" applyBorder="1" applyAlignment="1">
      <alignment horizontal="center" vertical="center" wrapText="1"/>
    </xf>
    <xf numFmtId="3" fontId="2" fillId="5" borderId="25" xfId="0" applyNumberFormat="1"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8" fillId="0" borderId="12" xfId="0" applyFont="1" applyBorder="1" applyAlignment="1">
      <alignment horizontal="justify" vertical="center" wrapText="1"/>
    </xf>
    <xf numFmtId="0" fontId="8" fillId="0" borderId="12" xfId="0" applyFont="1" applyFill="1" applyBorder="1" applyAlignment="1">
      <alignment horizontal="justify" vertical="center" wrapText="1"/>
    </xf>
    <xf numFmtId="0" fontId="8" fillId="12" borderId="2" xfId="0" applyFont="1" applyFill="1" applyBorder="1" applyAlignment="1">
      <alignment horizontal="justify" vertical="center" wrapText="1"/>
    </xf>
    <xf numFmtId="9" fontId="9" fillId="12" borderId="2" xfId="3" applyFont="1" applyFill="1" applyBorder="1" applyAlignment="1">
      <alignment horizontal="center" vertical="center" wrapText="1"/>
    </xf>
    <xf numFmtId="3" fontId="9" fillId="0" borderId="22" xfId="0" applyNumberFormat="1" applyFont="1" applyFill="1" applyBorder="1" applyAlignment="1" applyProtection="1">
      <alignment horizontal="center" vertical="center" wrapText="1"/>
      <protection locked="0"/>
    </xf>
    <xf numFmtId="3" fontId="9" fillId="0" borderId="25" xfId="0" applyNumberFormat="1" applyFont="1" applyFill="1" applyBorder="1" applyAlignment="1" applyProtection="1">
      <alignment horizontal="center" vertical="center" wrapText="1"/>
      <protection locked="0"/>
    </xf>
    <xf numFmtId="3" fontId="9" fillId="0" borderId="27" xfId="0" applyNumberFormat="1" applyFont="1" applyFill="1" applyBorder="1" applyAlignment="1" applyProtection="1">
      <alignment horizontal="center" vertical="center" wrapText="1"/>
      <protection locked="0"/>
    </xf>
    <xf numFmtId="14" fontId="9" fillId="12" borderId="22" xfId="0" applyNumberFormat="1" applyFont="1" applyFill="1" applyBorder="1" applyAlignment="1" applyProtection="1">
      <alignment horizontal="center" vertical="center" wrapText="1"/>
      <protection locked="0"/>
    </xf>
    <xf numFmtId="14" fontId="9" fillId="12" borderId="25" xfId="0" applyNumberFormat="1" applyFont="1" applyFill="1" applyBorder="1" applyAlignment="1" applyProtection="1">
      <alignment horizontal="center" vertical="center" wrapText="1"/>
      <protection locked="0"/>
    </xf>
    <xf numFmtId="14" fontId="9" fillId="12" borderId="27" xfId="0" applyNumberFormat="1"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9" fillId="0" borderId="2" xfId="0" applyFont="1" applyBorder="1" applyAlignment="1">
      <alignment horizontal="justify" vertical="center" wrapText="1"/>
    </xf>
    <xf numFmtId="169" fontId="9" fillId="0" borderId="2" xfId="0" applyNumberFormat="1" applyFont="1" applyBorder="1" applyAlignment="1">
      <alignment horizontal="center" vertical="center" wrapText="1"/>
    </xf>
    <xf numFmtId="169" fontId="9" fillId="0" borderId="2" xfId="0" applyNumberFormat="1" applyFont="1" applyFill="1" applyBorder="1" applyAlignment="1">
      <alignment horizontal="center" vertical="center" wrapText="1"/>
    </xf>
    <xf numFmtId="0" fontId="8" fillId="12" borderId="36"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2" borderId="18" xfId="0" applyFont="1" applyFill="1" applyBorder="1" applyAlignment="1">
      <alignment horizontal="center" vertical="center" wrapText="1"/>
    </xf>
    <xf numFmtId="0" fontId="8" fillId="12" borderId="26" xfId="0" applyFont="1" applyFill="1" applyBorder="1" applyAlignment="1">
      <alignment horizontal="justify" vertical="center" wrapText="1"/>
    </xf>
    <xf numFmtId="0" fontId="8" fillId="12" borderId="28" xfId="0" applyFont="1" applyFill="1" applyBorder="1" applyAlignment="1">
      <alignment horizontal="justify" vertical="center" wrapText="1"/>
    </xf>
    <xf numFmtId="0" fontId="8" fillId="12" borderId="35" xfId="0" applyFont="1" applyFill="1" applyBorder="1" applyAlignment="1">
      <alignment horizontal="justify" vertical="center" wrapText="1"/>
    </xf>
    <xf numFmtId="0" fontId="8" fillId="2" borderId="33" xfId="0" applyFont="1" applyFill="1" applyBorder="1" applyAlignment="1" applyProtection="1">
      <alignment horizontal="justify" vertical="center" wrapText="1"/>
      <protection locked="0"/>
    </xf>
    <xf numFmtId="0" fontId="8" fillId="2" borderId="38" xfId="0" applyFont="1" applyFill="1" applyBorder="1" applyAlignment="1" applyProtection="1">
      <alignment horizontal="justify" vertical="center" wrapText="1"/>
      <protection locked="0"/>
    </xf>
    <xf numFmtId="0" fontId="8" fillId="0" borderId="30" xfId="0" applyFont="1" applyBorder="1" applyAlignment="1">
      <alignment horizontal="justify" vertical="center" wrapText="1"/>
    </xf>
    <xf numFmtId="0" fontId="8" fillId="0" borderId="37" xfId="0" applyFont="1" applyFill="1" applyBorder="1" applyAlignment="1">
      <alignment horizontal="justify" vertical="center" wrapText="1"/>
    </xf>
    <xf numFmtId="0" fontId="8" fillId="0" borderId="19" xfId="0" applyFont="1" applyFill="1" applyBorder="1" applyAlignment="1">
      <alignment horizontal="justify" vertical="center" wrapText="1"/>
    </xf>
    <xf numFmtId="3" fontId="9" fillId="0" borderId="22"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9" fontId="9" fillId="12" borderId="2" xfId="0" applyNumberFormat="1" applyFont="1" applyFill="1" applyBorder="1" applyAlignment="1">
      <alignment horizontal="center" vertical="center" wrapText="1"/>
    </xf>
    <xf numFmtId="0" fontId="3" fillId="11" borderId="19" xfId="0" applyFont="1" applyFill="1" applyBorder="1" applyAlignment="1">
      <alignment horizontal="left" vertical="center"/>
    </xf>
    <xf numFmtId="0" fontId="3" fillId="11" borderId="21" xfId="0" applyFont="1" applyFill="1" applyBorder="1" applyAlignment="1">
      <alignment horizontal="left" vertical="center"/>
    </xf>
    <xf numFmtId="0" fontId="3" fillId="9" borderId="15" xfId="0" applyFont="1" applyFill="1" applyBorder="1" applyAlignment="1">
      <alignment horizontal="left" vertical="center"/>
    </xf>
    <xf numFmtId="0" fontId="3" fillId="9" borderId="0" xfId="0" applyFont="1" applyFill="1" applyBorder="1" applyAlignment="1">
      <alignment horizontal="left" vertical="center"/>
    </xf>
    <xf numFmtId="3" fontId="3" fillId="4" borderId="2" xfId="0" applyNumberFormat="1" applyFont="1" applyFill="1" applyBorder="1" applyAlignment="1">
      <alignment horizontal="center" vertical="center" wrapText="1"/>
    </xf>
    <xf numFmtId="0" fontId="3" fillId="7" borderId="2" xfId="0" applyNumberFormat="1" applyFont="1" applyFill="1" applyBorder="1" applyAlignment="1">
      <alignment horizontal="left" vertical="center"/>
    </xf>
    <xf numFmtId="0" fontId="2" fillId="14" borderId="2" xfId="0" applyFont="1" applyFill="1" applyBorder="1" applyAlignment="1">
      <alignment horizontal="center" vertical="center"/>
    </xf>
    <xf numFmtId="1" fontId="2" fillId="5" borderId="2" xfId="0" applyNumberFormat="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xf>
    <xf numFmtId="1" fontId="5" fillId="4" borderId="14"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166" fontId="8" fillId="4" borderId="11" xfId="0" applyNumberFormat="1" applyFont="1" applyFill="1" applyBorder="1" applyAlignment="1">
      <alignment horizontal="center" vertical="center"/>
    </xf>
    <xf numFmtId="166" fontId="8" fillId="4" borderId="5" xfId="0" applyNumberFormat="1" applyFont="1" applyFill="1" applyBorder="1" applyAlignment="1">
      <alignment horizontal="center" vertical="center"/>
    </xf>
    <xf numFmtId="166" fontId="8" fillId="4" borderId="6" xfId="0" applyNumberFormat="1" applyFont="1" applyFill="1" applyBorder="1" applyAlignment="1">
      <alignment horizontal="center" vertical="center"/>
    </xf>
    <xf numFmtId="0" fontId="8" fillId="0" borderId="22" xfId="13" applyNumberFormat="1" applyFont="1" applyFill="1" applyBorder="1" applyAlignment="1">
      <alignment horizontal="justify" vertical="center" wrapText="1"/>
    </xf>
    <xf numFmtId="0" fontId="8" fillId="0" borderId="25" xfId="13" applyNumberFormat="1" applyFont="1" applyFill="1" applyBorder="1" applyAlignment="1">
      <alignment horizontal="justify" vertical="center" wrapText="1"/>
    </xf>
    <xf numFmtId="0" fontId="8" fillId="0" borderId="27" xfId="13" applyNumberFormat="1" applyFont="1" applyFill="1" applyBorder="1" applyAlignment="1">
      <alignment horizontal="justify" vertical="center" wrapText="1"/>
    </xf>
    <xf numFmtId="0" fontId="8" fillId="0" borderId="22" xfId="13" applyNumberFormat="1" applyFont="1" applyFill="1" applyBorder="1" applyAlignment="1">
      <alignment horizontal="center" vertical="center" wrapText="1"/>
    </xf>
    <xf numFmtId="0" fontId="8" fillId="0" borderId="25" xfId="13" applyNumberFormat="1" applyFont="1" applyFill="1" applyBorder="1" applyAlignment="1">
      <alignment horizontal="center" vertical="center" wrapText="1"/>
    </xf>
    <xf numFmtId="0" fontId="8" fillId="0" borderId="27" xfId="13" applyNumberFormat="1" applyFont="1" applyFill="1" applyBorder="1" applyAlignment="1">
      <alignment horizontal="center" vertical="center" wrapText="1"/>
    </xf>
    <xf numFmtId="10" fontId="5" fillId="0" borderId="22" xfId="3" applyNumberFormat="1" applyFont="1" applyFill="1" applyBorder="1" applyAlignment="1">
      <alignment horizontal="center" vertical="center"/>
    </xf>
    <xf numFmtId="10" fontId="5" fillId="0" borderId="25" xfId="3" applyNumberFormat="1" applyFont="1" applyFill="1" applyBorder="1" applyAlignment="1">
      <alignment horizontal="center" vertical="center"/>
    </xf>
    <xf numFmtId="10" fontId="5" fillId="0" borderId="27" xfId="3" applyNumberFormat="1" applyFont="1" applyFill="1" applyBorder="1" applyAlignment="1">
      <alignment horizontal="center" vertical="center"/>
    </xf>
    <xf numFmtId="0" fontId="8" fillId="2" borderId="22" xfId="13" applyNumberFormat="1" applyFont="1" applyFill="1" applyBorder="1" applyAlignment="1">
      <alignment horizontal="justify" vertical="center" wrapText="1"/>
    </xf>
    <xf numFmtId="0" fontId="8" fillId="2" borderId="25" xfId="13" applyNumberFormat="1" applyFont="1" applyFill="1" applyBorder="1" applyAlignment="1">
      <alignment horizontal="justify" vertical="center" wrapText="1"/>
    </xf>
    <xf numFmtId="0" fontId="8" fillId="2" borderId="27" xfId="13" applyNumberFormat="1" applyFont="1" applyFill="1" applyBorder="1" applyAlignment="1">
      <alignment horizontal="justify" vertical="center" wrapText="1"/>
    </xf>
    <xf numFmtId="3" fontId="5" fillId="2" borderId="2"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3" fontId="5" fillId="0" borderId="22" xfId="0" applyNumberFormat="1" applyFont="1" applyFill="1" applyBorder="1" applyAlignment="1">
      <alignment horizontal="justify" vertical="center" wrapText="1"/>
    </xf>
    <xf numFmtId="3" fontId="5" fillId="0" borderId="25" xfId="0" applyNumberFormat="1" applyFont="1" applyFill="1" applyBorder="1" applyAlignment="1">
      <alignment horizontal="justify" vertical="center" wrapText="1"/>
    </xf>
    <xf numFmtId="3" fontId="5" fillId="0" borderId="27" xfId="0" applyNumberFormat="1" applyFont="1" applyFill="1" applyBorder="1" applyAlignment="1">
      <alignment horizontal="justify" vertical="center" wrapText="1"/>
    </xf>
    <xf numFmtId="169" fontId="8" fillId="0" borderId="2" xfId="15" applyNumberFormat="1" applyFont="1" applyFill="1" applyBorder="1" applyAlignment="1">
      <alignment horizontal="center" vertical="center"/>
    </xf>
    <xf numFmtId="0" fontId="2" fillId="7" borderId="2" xfId="0" applyFont="1" applyFill="1" applyBorder="1" applyAlignment="1">
      <alignment horizontal="left" vertical="center"/>
    </xf>
    <xf numFmtId="1" fontId="2" fillId="0" borderId="1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0" fontId="3" fillId="9" borderId="2" xfId="0" applyFont="1" applyFill="1" applyBorder="1" applyAlignment="1">
      <alignment horizontal="left" vertical="center"/>
    </xf>
    <xf numFmtId="1" fontId="2" fillId="2" borderId="7"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0" fontId="2" fillId="11" borderId="2" xfId="0" applyFont="1" applyFill="1" applyBorder="1" applyAlignment="1">
      <alignment horizontal="left"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8" fillId="0" borderId="2" xfId="0" applyFont="1" applyFill="1" applyBorder="1" applyAlignment="1">
      <alignment horizontal="center" vertical="center" wrapText="1"/>
    </xf>
    <xf numFmtId="165" fontId="5" fillId="0" borderId="22" xfId="0" applyNumberFormat="1" applyFont="1" applyFill="1" applyBorder="1" applyAlignment="1">
      <alignment horizontal="center" vertical="center" wrapText="1"/>
    </xf>
    <xf numFmtId="165" fontId="5" fillId="0" borderId="25" xfId="0" applyNumberFormat="1" applyFont="1" applyFill="1" applyBorder="1" applyAlignment="1">
      <alignment horizontal="center" vertical="center" wrapText="1"/>
    </xf>
    <xf numFmtId="165" fontId="5" fillId="0" borderId="27" xfId="0" applyNumberFormat="1" applyFont="1" applyFill="1" applyBorder="1" applyAlignment="1">
      <alignment horizontal="center" vertical="center" wrapText="1"/>
    </xf>
    <xf numFmtId="9" fontId="5" fillId="2" borderId="25" xfId="3" applyFont="1" applyFill="1" applyBorder="1" applyAlignment="1">
      <alignment horizontal="center" vertical="center" wrapText="1"/>
    </xf>
    <xf numFmtId="9" fontId="5" fillId="2" borderId="27" xfId="3" applyFont="1" applyFill="1" applyBorder="1" applyAlignment="1">
      <alignment horizontal="center" vertical="center" wrapText="1"/>
    </xf>
    <xf numFmtId="169" fontId="5" fillId="2" borderId="22" xfId="0" applyNumberFormat="1" applyFont="1" applyFill="1" applyBorder="1" applyAlignment="1">
      <alignment horizontal="center" vertical="center" wrapText="1"/>
    </xf>
    <xf numFmtId="169" fontId="5" fillId="2" borderId="25" xfId="0" applyNumberFormat="1" applyFont="1" applyFill="1" applyBorder="1" applyAlignment="1">
      <alignment horizontal="center" vertical="center" wrapText="1"/>
    </xf>
    <xf numFmtId="169" fontId="5" fillId="2" borderId="27" xfId="0" applyNumberFormat="1"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27" xfId="0" applyFont="1" applyFill="1" applyBorder="1" applyAlignment="1">
      <alignment horizontal="justify" vertical="center" wrapText="1"/>
    </xf>
    <xf numFmtId="169" fontId="5" fillId="2" borderId="2"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1" fontId="5" fillId="2" borderId="2"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8" fillId="0" borderId="2" xfId="13" applyNumberFormat="1" applyFont="1" applyFill="1" applyBorder="1" applyAlignment="1">
      <alignment horizontal="center" vertical="center" wrapText="1"/>
    </xf>
    <xf numFmtId="0" fontId="8" fillId="0" borderId="2" xfId="13" applyNumberFormat="1" applyFont="1" applyFill="1" applyBorder="1" applyAlignment="1">
      <alignment horizontal="justify" vertical="center" wrapText="1"/>
    </xf>
    <xf numFmtId="1" fontId="5" fillId="2" borderId="41" xfId="0" applyNumberFormat="1" applyFont="1" applyFill="1" applyBorder="1" applyAlignment="1">
      <alignment horizontal="center" vertical="center" wrapText="1"/>
    </xf>
    <xf numFmtId="1" fontId="5" fillId="2" borderId="42" xfId="0" applyNumberFormat="1" applyFont="1" applyFill="1" applyBorder="1" applyAlignment="1">
      <alignment horizontal="center" vertical="center" wrapText="1"/>
    </xf>
    <xf numFmtId="1" fontId="5" fillId="2" borderId="44" xfId="0" applyNumberFormat="1" applyFont="1" applyFill="1" applyBorder="1" applyAlignment="1">
      <alignment horizontal="center" vertical="center" wrapText="1"/>
    </xf>
    <xf numFmtId="0" fontId="8" fillId="2" borderId="22" xfId="13" applyNumberFormat="1" applyFont="1" applyFill="1" applyBorder="1" applyAlignment="1">
      <alignment horizontal="center" vertical="center" wrapText="1"/>
    </xf>
    <xf numFmtId="0" fontId="8" fillId="2" borderId="25" xfId="13" applyNumberFormat="1" applyFont="1" applyFill="1" applyBorder="1" applyAlignment="1">
      <alignment horizontal="center" vertical="center" wrapText="1"/>
    </xf>
    <xf numFmtId="0" fontId="8" fillId="2" borderId="27" xfId="13" applyNumberFormat="1" applyFont="1" applyFill="1" applyBorder="1" applyAlignment="1">
      <alignment horizontal="center" vertical="center" wrapText="1"/>
    </xf>
    <xf numFmtId="0" fontId="8" fillId="2" borderId="22" xfId="0" applyNumberFormat="1" applyFont="1" applyFill="1" applyBorder="1" applyAlignment="1">
      <alignment horizontal="justify" vertical="center" wrapText="1"/>
    </xf>
    <xf numFmtId="0" fontId="8" fillId="2" borderId="25" xfId="0" applyNumberFormat="1" applyFont="1" applyFill="1" applyBorder="1" applyAlignment="1">
      <alignment horizontal="justify" vertical="center" wrapText="1"/>
    </xf>
    <xf numFmtId="0" fontId="8" fillId="2" borderId="27" xfId="0" applyNumberFormat="1" applyFont="1" applyFill="1" applyBorder="1" applyAlignment="1">
      <alignment horizontal="justify" vertical="center" wrapText="1"/>
    </xf>
    <xf numFmtId="0" fontId="3" fillId="7" borderId="2" xfId="0" applyFont="1" applyFill="1" applyBorder="1" applyAlignment="1">
      <alignment horizontal="left" vertical="center"/>
    </xf>
    <xf numFmtId="1" fontId="5" fillId="0" borderId="12"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2" xfId="0" applyNumberFormat="1" applyFont="1" applyBorder="1" applyAlignment="1">
      <alignment horizontal="center" vertical="center" wrapText="1"/>
    </xf>
    <xf numFmtId="3" fontId="5" fillId="0" borderId="22" xfId="0" applyNumberFormat="1" applyFont="1" applyBorder="1" applyAlignment="1">
      <alignment horizontal="justify" vertical="center" wrapText="1"/>
    </xf>
    <xf numFmtId="3" fontId="5" fillId="0" borderId="27" xfId="0" applyNumberFormat="1" applyFont="1" applyBorder="1" applyAlignment="1">
      <alignment horizontal="justify" vertical="center" wrapText="1"/>
    </xf>
    <xf numFmtId="0" fontId="8" fillId="0" borderId="2" xfId="11" applyNumberFormat="1" applyFont="1" applyBorder="1" applyAlignment="1">
      <alignment horizontal="center" vertical="center" wrapText="1"/>
    </xf>
    <xf numFmtId="0" fontId="8" fillId="0" borderId="2" xfId="5" applyFont="1" applyBorder="1" applyAlignment="1">
      <alignment horizontal="center" vertical="center" wrapText="1"/>
    </xf>
    <xf numFmtId="177" fontId="8" fillId="0" borderId="22" xfId="0" applyNumberFormat="1" applyFont="1" applyFill="1" applyBorder="1" applyAlignment="1">
      <alignment horizontal="justify" vertical="center" wrapText="1"/>
    </xf>
    <xf numFmtId="177" fontId="8" fillId="0" borderId="27" xfId="0" applyNumberFormat="1" applyFont="1" applyFill="1" applyBorder="1" applyAlignment="1">
      <alignment horizontal="justify" vertical="center" wrapText="1"/>
    </xf>
    <xf numFmtId="177" fontId="8" fillId="0" borderId="2" xfId="0" applyNumberFormat="1" applyFont="1" applyFill="1" applyBorder="1" applyAlignment="1">
      <alignment horizontal="justify" vertical="center" wrapText="1"/>
    </xf>
    <xf numFmtId="1" fontId="5" fillId="0" borderId="2" xfId="0" applyNumberFormat="1"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8" fillId="2" borderId="22" xfId="11" applyNumberFormat="1" applyFont="1" applyFill="1" applyBorder="1" applyAlignment="1">
      <alignment horizontal="center" vertical="center" wrapText="1"/>
    </xf>
    <xf numFmtId="0" fontId="8" fillId="2" borderId="25" xfId="11" applyNumberFormat="1" applyFont="1" applyFill="1" applyBorder="1" applyAlignment="1">
      <alignment horizontal="center" vertical="center" wrapText="1"/>
    </xf>
    <xf numFmtId="0" fontId="8" fillId="2" borderId="27" xfId="11" applyNumberFormat="1" applyFont="1" applyFill="1" applyBorder="1" applyAlignment="1">
      <alignment horizontal="center" vertical="center" wrapText="1"/>
    </xf>
    <xf numFmtId="1" fontId="5" fillId="2" borderId="22"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5" fillId="2" borderId="27" xfId="0" applyNumberFormat="1" applyFont="1" applyFill="1" applyBorder="1" applyAlignment="1">
      <alignment horizontal="center" vertical="center" wrapText="1"/>
    </xf>
    <xf numFmtId="177" fontId="8" fillId="0" borderId="25" xfId="0" applyNumberFormat="1" applyFont="1" applyFill="1" applyBorder="1" applyAlignment="1">
      <alignment horizontal="justify" vertical="center" wrapText="1"/>
    </xf>
    <xf numFmtId="177" fontId="8" fillId="2" borderId="27" xfId="0" applyNumberFormat="1" applyFont="1" applyFill="1" applyBorder="1" applyAlignment="1">
      <alignment horizontal="justify" vertical="center" wrapText="1"/>
    </xf>
    <xf numFmtId="177" fontId="8" fillId="2" borderId="22" xfId="0" applyNumberFormat="1"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22"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0" borderId="2" xfId="5" applyFont="1" applyBorder="1" applyAlignment="1">
      <alignment horizontal="justify" vertical="center" wrapText="1"/>
    </xf>
    <xf numFmtId="49" fontId="5" fillId="2" borderId="22"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wrapText="1"/>
    </xf>
    <xf numFmtId="0" fontId="8" fillId="2" borderId="25" xfId="0" applyNumberFormat="1" applyFont="1" applyFill="1" applyBorder="1" applyAlignment="1">
      <alignment horizontal="center" vertical="center" wrapText="1"/>
    </xf>
    <xf numFmtId="0" fontId="8" fillId="2" borderId="27" xfId="0" applyNumberFormat="1" applyFont="1" applyFill="1" applyBorder="1" applyAlignment="1">
      <alignment horizontal="center" vertical="center" wrapText="1"/>
    </xf>
    <xf numFmtId="3" fontId="5" fillId="2" borderId="22" xfId="0" applyNumberFormat="1" applyFont="1" applyFill="1" applyBorder="1" applyAlignment="1">
      <alignment horizontal="justify" vertical="center" wrapText="1"/>
    </xf>
    <xf numFmtId="3" fontId="5" fillId="2" borderId="25" xfId="0" applyNumberFormat="1" applyFont="1" applyFill="1" applyBorder="1" applyAlignment="1">
      <alignment horizontal="justify" vertical="center" wrapText="1"/>
    </xf>
    <xf numFmtId="3" fontId="5" fillId="2" borderId="27" xfId="0" applyNumberFormat="1" applyFont="1" applyFill="1" applyBorder="1" applyAlignment="1">
      <alignment horizontal="justify" vertical="center" wrapText="1"/>
    </xf>
    <xf numFmtId="0" fontId="3" fillId="9" borderId="13" xfId="0" applyFont="1" applyFill="1" applyBorder="1" applyAlignment="1">
      <alignment horizontal="left" vertical="center"/>
    </xf>
    <xf numFmtId="0" fontId="3" fillId="9" borderId="14" xfId="0" applyFont="1" applyFill="1" applyBorder="1" applyAlignment="1">
      <alignment horizontal="left" vertical="center"/>
    </xf>
    <xf numFmtId="0" fontId="3" fillId="9" borderId="10" xfId="0" applyFont="1" applyFill="1" applyBorder="1" applyAlignment="1">
      <alignment horizontal="left" vertical="center"/>
    </xf>
    <xf numFmtId="0" fontId="8" fillId="2" borderId="22" xfId="0" applyNumberFormat="1" applyFont="1" applyFill="1" applyBorder="1" applyAlignment="1" applyProtection="1">
      <alignment horizontal="center" vertical="center" wrapText="1"/>
      <protection locked="0"/>
    </xf>
    <xf numFmtId="0" fontId="8" fillId="2" borderId="25" xfId="0" applyNumberFormat="1" applyFont="1" applyFill="1" applyBorder="1" applyAlignment="1" applyProtection="1">
      <alignment horizontal="center" vertical="center" wrapText="1"/>
      <protection locked="0"/>
    </xf>
    <xf numFmtId="0" fontId="8" fillId="2" borderId="27" xfId="0" applyNumberFormat="1" applyFont="1" applyFill="1" applyBorder="1" applyAlignment="1" applyProtection="1">
      <alignment horizontal="center" vertical="center" wrapText="1"/>
      <protection locked="0"/>
    </xf>
    <xf numFmtId="9" fontId="5" fillId="2" borderId="22" xfId="3" applyFont="1" applyFill="1" applyBorder="1" applyAlignment="1">
      <alignment horizontal="center" vertical="center"/>
    </xf>
    <xf numFmtId="9" fontId="5" fillId="2" borderId="25" xfId="3" applyFont="1" applyFill="1" applyBorder="1" applyAlignment="1">
      <alignment horizontal="center" vertical="center"/>
    </xf>
    <xf numFmtId="9" fontId="5" fillId="2" borderId="27" xfId="3" applyFont="1" applyFill="1" applyBorder="1" applyAlignment="1">
      <alignment horizontal="center" vertical="center"/>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justify" vertical="center" wrapText="1"/>
    </xf>
    <xf numFmtId="0" fontId="8" fillId="0" borderId="22" xfId="0" applyNumberFormat="1" applyFont="1" applyBorder="1" applyAlignment="1">
      <alignment horizontal="justify" vertical="center" wrapText="1"/>
    </xf>
    <xf numFmtId="0" fontId="8" fillId="0" borderId="25" xfId="0" applyNumberFormat="1" applyFont="1" applyBorder="1" applyAlignment="1">
      <alignment horizontal="justify" vertical="center" wrapText="1"/>
    </xf>
    <xf numFmtId="0" fontId="8" fillId="0" borderId="27" xfId="0" applyNumberFormat="1" applyFont="1" applyBorder="1" applyAlignment="1">
      <alignment horizontal="justify" vertical="center" wrapText="1"/>
    </xf>
    <xf numFmtId="165" fontId="5" fillId="0" borderId="22" xfId="0" applyNumberFormat="1" applyFont="1" applyFill="1" applyBorder="1" applyAlignment="1">
      <alignment horizontal="justify" vertical="center" wrapText="1"/>
    </xf>
    <xf numFmtId="165" fontId="5" fillId="0" borderId="25" xfId="0" applyNumberFormat="1" applyFont="1" applyFill="1" applyBorder="1" applyAlignment="1">
      <alignment horizontal="justify" vertical="center" wrapText="1"/>
    </xf>
    <xf numFmtId="165" fontId="5" fillId="0" borderId="27" xfId="0" applyNumberFormat="1" applyFont="1" applyFill="1" applyBorder="1" applyAlignment="1">
      <alignment horizontal="justify" vertical="center" wrapText="1"/>
    </xf>
    <xf numFmtId="0" fontId="8" fillId="2" borderId="25" xfId="0"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9" fontId="5" fillId="2" borderId="2" xfId="3" applyFont="1" applyFill="1" applyBorder="1" applyAlignment="1">
      <alignment horizontal="center" vertical="center"/>
    </xf>
    <xf numFmtId="0" fontId="5" fillId="2" borderId="22" xfId="5" applyFont="1" applyFill="1" applyBorder="1" applyAlignment="1">
      <alignment horizontal="justify" vertical="center" wrapText="1"/>
    </xf>
    <xf numFmtId="0" fontId="5" fillId="2" borderId="27" xfId="5" applyFont="1" applyFill="1" applyBorder="1" applyAlignment="1">
      <alignment horizontal="justify" vertical="center" wrapText="1"/>
    </xf>
    <xf numFmtId="0" fontId="8" fillId="2" borderId="2" xfId="0" applyNumberFormat="1" applyFont="1" applyFill="1" applyBorder="1" applyAlignment="1">
      <alignment horizontal="center" vertical="center" wrapText="1"/>
    </xf>
    <xf numFmtId="3" fontId="5" fillId="2" borderId="2" xfId="0" applyNumberFormat="1" applyFont="1" applyFill="1" applyBorder="1" applyAlignment="1">
      <alignment horizontal="justify" vertical="center" wrapText="1"/>
    </xf>
    <xf numFmtId="0" fontId="5" fillId="0" borderId="22" xfId="5" applyFont="1" applyFill="1" applyBorder="1" applyAlignment="1">
      <alignment horizontal="justify" vertical="center" wrapText="1"/>
    </xf>
    <xf numFmtId="0" fontId="5" fillId="0" borderId="27" xfId="5" applyFont="1" applyFill="1" applyBorder="1" applyAlignment="1">
      <alignment horizontal="justify" vertical="center" wrapText="1"/>
    </xf>
    <xf numFmtId="0" fontId="8" fillId="2" borderId="2" xfId="0" applyNumberFormat="1" applyFont="1" applyFill="1" applyBorder="1" applyAlignment="1">
      <alignment horizontal="justify" vertical="center" wrapText="1"/>
    </xf>
    <xf numFmtId="0" fontId="8" fillId="0" borderId="2" xfId="14" applyFont="1" applyFill="1" applyBorder="1" applyAlignment="1">
      <alignment horizontal="justify" vertical="center" wrapText="1"/>
    </xf>
    <xf numFmtId="0" fontId="8" fillId="0" borderId="2" xfId="14"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justify" vertical="center" wrapText="1"/>
    </xf>
    <xf numFmtId="3" fontId="5" fillId="0" borderId="22"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2" xfId="0" applyNumberFormat="1" applyFont="1" applyBorder="1" applyAlignment="1">
      <alignment horizontal="center" vertical="center"/>
    </xf>
    <xf numFmtId="1" fontId="2" fillId="5" borderId="7" xfId="0" applyNumberFormat="1" applyFont="1" applyFill="1" applyBorder="1" applyAlignment="1">
      <alignment horizontal="center" vertical="center" wrapText="1"/>
    </xf>
    <xf numFmtId="1" fontId="2" fillId="5" borderId="11"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2" fillId="9" borderId="15" xfId="0" applyFont="1" applyFill="1" applyBorder="1" applyAlignment="1">
      <alignment horizontal="left" vertical="center"/>
    </xf>
    <xf numFmtId="0" fontId="2" fillId="9" borderId="0" xfId="0" applyFont="1" applyFill="1" applyBorder="1" applyAlignment="1">
      <alignment horizontal="left" vertical="center"/>
    </xf>
    <xf numFmtId="0" fontId="2" fillId="11" borderId="19" xfId="0" applyFont="1" applyFill="1" applyBorder="1" applyAlignment="1">
      <alignment horizontal="left" vertical="center"/>
    </xf>
    <xf numFmtId="0" fontId="2" fillId="11" borderId="2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Fill="1" applyBorder="1" applyAlignment="1">
      <alignment horizontal="center" vertical="center"/>
    </xf>
    <xf numFmtId="169" fontId="8" fillId="0" borderId="2" xfId="11" applyNumberFormat="1"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2" borderId="22" xfId="5" applyFont="1" applyFill="1" applyBorder="1" applyAlignment="1">
      <alignment horizontal="center" vertical="center" wrapText="1"/>
    </xf>
    <xf numFmtId="0" fontId="5" fillId="2" borderId="25" xfId="5" applyFont="1" applyFill="1" applyBorder="1" applyAlignment="1">
      <alignment horizontal="center" vertical="center" wrapText="1"/>
    </xf>
    <xf numFmtId="9" fontId="5" fillId="2" borderId="37" xfId="5" applyNumberFormat="1" applyFont="1" applyFill="1" applyBorder="1" applyAlignment="1">
      <alignment horizontal="center" vertical="center"/>
    </xf>
    <xf numFmtId="9" fontId="5" fillId="2" borderId="19" xfId="5" applyNumberFormat="1" applyFont="1" applyFill="1" applyBorder="1" applyAlignment="1">
      <alignment horizontal="center" vertical="center"/>
    </xf>
    <xf numFmtId="0" fontId="5" fillId="2" borderId="35" xfId="5" applyFont="1" applyFill="1" applyBorder="1" applyAlignment="1">
      <alignment horizontal="justify" vertical="center" wrapText="1"/>
    </xf>
    <xf numFmtId="0" fontId="5" fillId="2" borderId="33" xfId="5" applyFont="1" applyFill="1" applyBorder="1" applyAlignment="1">
      <alignment horizontal="justify" vertical="center" wrapText="1"/>
    </xf>
    <xf numFmtId="0" fontId="5" fillId="2" borderId="41" xfId="28" applyFont="1" applyFill="1" applyBorder="1" applyAlignment="1">
      <alignment horizontal="justify" vertical="center" wrapText="1"/>
    </xf>
    <xf numFmtId="0" fontId="5" fillId="2" borderId="44" xfId="28" applyFont="1" applyFill="1" applyBorder="1" applyAlignment="1">
      <alignment horizontal="justify" vertical="center" wrapText="1"/>
    </xf>
    <xf numFmtId="1" fontId="5" fillId="0" borderId="34" xfId="5" applyNumberFormat="1" applyFont="1" applyFill="1" applyBorder="1" applyAlignment="1">
      <alignment horizontal="center" vertical="center"/>
    </xf>
    <xf numFmtId="0" fontId="5" fillId="0" borderId="28" xfId="5" applyFont="1" applyFill="1" applyBorder="1" applyAlignment="1">
      <alignment horizontal="center" vertical="center" wrapText="1"/>
    </xf>
    <xf numFmtId="0" fontId="5" fillId="0" borderId="41" xfId="28" applyFont="1" applyBorder="1" applyAlignment="1">
      <alignment horizontal="justify" vertical="center" wrapText="1"/>
    </xf>
    <xf numFmtId="0" fontId="5" fillId="0" borderId="42" xfId="28" applyFont="1" applyBorder="1" applyAlignment="1">
      <alignment horizontal="justify" vertical="center" wrapText="1"/>
    </xf>
    <xf numFmtId="0" fontId="5" fillId="0" borderId="44" xfId="28" applyFont="1" applyBorder="1" applyAlignment="1">
      <alignment horizontal="justify" vertical="center" wrapText="1"/>
    </xf>
    <xf numFmtId="0" fontId="5" fillId="2" borderId="28" xfId="5" applyFont="1" applyFill="1" applyBorder="1" applyAlignment="1">
      <alignment horizontal="center" vertical="center" wrapText="1"/>
    </xf>
    <xf numFmtId="0" fontId="5" fillId="2" borderId="35" xfId="5" applyFont="1" applyFill="1" applyBorder="1" applyAlignment="1">
      <alignment horizontal="center" vertical="center" wrapText="1"/>
    </xf>
    <xf numFmtId="0" fontId="5" fillId="2" borderId="9" xfId="5" applyFont="1" applyFill="1" applyBorder="1" applyAlignment="1">
      <alignment horizontal="justify" vertical="center" wrapText="1"/>
    </xf>
    <xf numFmtId="0" fontId="5" fillId="2" borderId="1" xfId="5" applyFont="1" applyFill="1" applyBorder="1" applyAlignment="1">
      <alignment horizontal="justify" vertical="center" wrapText="1"/>
    </xf>
    <xf numFmtId="0" fontId="5" fillId="2" borderId="25" xfId="5" applyFont="1" applyFill="1" applyBorder="1" applyAlignment="1">
      <alignment horizontal="justify" vertical="center" wrapText="1"/>
    </xf>
    <xf numFmtId="0" fontId="5" fillId="2" borderId="27" xfId="5" applyFont="1" applyFill="1" applyBorder="1" applyAlignment="1">
      <alignment horizontal="center" vertical="center" wrapText="1"/>
    </xf>
    <xf numFmtId="9" fontId="5" fillId="2" borderId="35" xfId="5" applyNumberFormat="1" applyFont="1" applyFill="1" applyBorder="1" applyAlignment="1">
      <alignment horizontal="center" vertical="center"/>
    </xf>
    <xf numFmtId="9" fontId="5" fillId="2" borderId="33" xfId="5" applyNumberFormat="1" applyFont="1" applyFill="1" applyBorder="1" applyAlignment="1">
      <alignment horizontal="center" vertical="center"/>
    </xf>
    <xf numFmtId="9" fontId="5" fillId="2" borderId="26" xfId="5" applyNumberFormat="1" applyFont="1" applyFill="1" applyBorder="1" applyAlignment="1">
      <alignment horizontal="center" vertical="center"/>
    </xf>
    <xf numFmtId="0" fontId="5" fillId="0" borderId="28" xfId="28" applyFont="1" applyBorder="1" applyAlignment="1">
      <alignment horizontal="justify" vertical="center" wrapText="1" readingOrder="2"/>
    </xf>
    <xf numFmtId="0" fontId="5" fillId="0" borderId="0" xfId="28" applyFont="1" applyAlignment="1">
      <alignment horizontal="justify" vertical="center" wrapText="1" readingOrder="2"/>
    </xf>
    <xf numFmtId="0" fontId="5" fillId="0" borderId="5" xfId="28" applyFont="1" applyBorder="1" applyAlignment="1">
      <alignment horizontal="justify" vertical="center" wrapText="1" readingOrder="2"/>
    </xf>
    <xf numFmtId="0" fontId="5" fillId="2" borderId="33" xfId="5" applyFont="1" applyFill="1" applyBorder="1" applyAlignment="1">
      <alignment horizontal="center" vertical="center" wrapText="1"/>
    </xf>
    <xf numFmtId="0" fontId="5" fillId="2" borderId="26" xfId="5" applyFont="1" applyFill="1" applyBorder="1" applyAlignment="1">
      <alignment horizontal="center" vertical="center" wrapText="1"/>
    </xf>
    <xf numFmtId="0" fontId="5" fillId="2" borderId="32" xfId="5" applyFont="1" applyFill="1" applyBorder="1" applyAlignment="1">
      <alignment horizontal="justify" vertical="center" wrapText="1"/>
    </xf>
    <xf numFmtId="0" fontId="5" fillId="2" borderId="38" xfId="5" applyFont="1" applyFill="1" applyBorder="1" applyAlignment="1">
      <alignment horizontal="justify" vertical="center" wrapText="1"/>
    </xf>
    <xf numFmtId="0" fontId="5" fillId="2" borderId="41" xfId="5" applyFont="1" applyFill="1" applyBorder="1" applyAlignment="1">
      <alignment horizontal="justify" vertical="center" wrapText="1"/>
    </xf>
    <xf numFmtId="0" fontId="5" fillId="2" borderId="42" xfId="5" applyFont="1" applyFill="1" applyBorder="1" applyAlignment="1">
      <alignment horizontal="justify" vertical="center" wrapText="1"/>
    </xf>
    <xf numFmtId="0" fontId="5" fillId="2" borderId="44" xfId="5" applyFont="1" applyFill="1" applyBorder="1" applyAlignment="1">
      <alignment horizontal="justify" vertical="center" wrapText="1"/>
    </xf>
    <xf numFmtId="0" fontId="5" fillId="2" borderId="39" xfId="5" applyFont="1" applyFill="1" applyBorder="1" applyAlignment="1">
      <alignment horizontal="center" vertical="center" wrapText="1"/>
    </xf>
    <xf numFmtId="0" fontId="5" fillId="2" borderId="6" xfId="5" applyFont="1" applyFill="1" applyBorder="1" applyAlignment="1">
      <alignment horizontal="justify" vertical="center" wrapText="1"/>
    </xf>
    <xf numFmtId="3" fontId="9" fillId="0" borderId="22"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14" fontId="9" fillId="0" borderId="22" xfId="0" applyNumberFormat="1" applyFont="1" applyFill="1" applyBorder="1" applyAlignment="1">
      <alignment horizontal="center" vertical="center"/>
    </xf>
    <xf numFmtId="14" fontId="9" fillId="0" borderId="25" xfId="0" applyNumberFormat="1" applyFont="1" applyFill="1" applyBorder="1" applyAlignment="1">
      <alignment horizontal="center" vertical="center"/>
    </xf>
    <xf numFmtId="14" fontId="9" fillId="12" borderId="22" xfId="0" applyNumberFormat="1" applyFont="1" applyFill="1" applyBorder="1" applyAlignment="1">
      <alignment horizontal="center" vertical="center"/>
    </xf>
    <xf numFmtId="14" fontId="9" fillId="12" borderId="25" xfId="0" applyNumberFormat="1" applyFont="1" applyFill="1" applyBorder="1" applyAlignment="1">
      <alignment horizontal="center" vertical="center"/>
    </xf>
    <xf numFmtId="3" fontId="9" fillId="12" borderId="22" xfId="0" applyNumberFormat="1" applyFont="1" applyFill="1" applyBorder="1" applyAlignment="1">
      <alignment horizontal="center" vertical="center"/>
    </xf>
    <xf numFmtId="3" fontId="9" fillId="12" borderId="25" xfId="0" applyNumberFormat="1" applyFont="1" applyFill="1" applyBorder="1" applyAlignment="1">
      <alignment horizontal="center" vertical="center"/>
    </xf>
    <xf numFmtId="0" fontId="5" fillId="0" borderId="8" xfId="28" applyFont="1" applyBorder="1" applyAlignment="1">
      <alignment horizontal="justify" vertical="center" wrapText="1"/>
    </xf>
    <xf numFmtId="0" fontId="5" fillId="0" borderId="5" xfId="28" applyFont="1" applyBorder="1" applyAlignment="1">
      <alignment horizontal="justify" vertical="center" wrapText="1"/>
    </xf>
    <xf numFmtId="1" fontId="5" fillId="0" borderId="20" xfId="5" applyNumberFormat="1" applyFont="1" applyFill="1" applyBorder="1" applyAlignment="1">
      <alignment horizontal="center" vertical="center"/>
    </xf>
    <xf numFmtId="0" fontId="9" fillId="0" borderId="41" xfId="28" applyFont="1" applyBorder="1" applyAlignment="1">
      <alignment horizontal="justify" vertical="center" wrapText="1"/>
    </xf>
    <xf numFmtId="0" fontId="9" fillId="0" borderId="44" xfId="28" applyFont="1" applyBorder="1" applyAlignment="1">
      <alignment horizontal="justify" vertical="center" wrapText="1"/>
    </xf>
    <xf numFmtId="43" fontId="5" fillId="2" borderId="34" xfId="16" applyFont="1" applyFill="1" applyBorder="1" applyAlignment="1">
      <alignment horizontal="center" vertical="center" wrapText="1"/>
    </xf>
    <xf numFmtId="43" fontId="5" fillId="2" borderId="28" xfId="16" applyFont="1" applyFill="1" applyBorder="1" applyAlignment="1">
      <alignment horizontal="center" vertical="center" wrapText="1"/>
    </xf>
    <xf numFmtId="43" fontId="5" fillId="2" borderId="35" xfId="16" applyFont="1" applyFill="1" applyBorder="1" applyAlignment="1">
      <alignment horizontal="center" vertical="center" wrapText="1"/>
    </xf>
    <xf numFmtId="0" fontId="5" fillId="2" borderId="18" xfId="5" applyFont="1" applyFill="1" applyBorder="1" applyAlignment="1">
      <alignment horizontal="justify" vertical="center" wrapText="1"/>
    </xf>
    <xf numFmtId="0" fontId="5" fillId="2" borderId="17" xfId="5" applyFont="1" applyFill="1" applyBorder="1" applyAlignment="1">
      <alignment horizontal="justify" vertical="center" wrapText="1"/>
    </xf>
    <xf numFmtId="0" fontId="5" fillId="2" borderId="15" xfId="5" applyFont="1" applyFill="1" applyBorder="1" applyAlignment="1">
      <alignment horizontal="justify" vertical="center" wrapText="1"/>
    </xf>
    <xf numFmtId="0" fontId="5" fillId="0" borderId="24" xfId="28" applyFont="1" applyBorder="1" applyAlignment="1">
      <alignment horizontal="justify" vertical="center" wrapText="1"/>
    </xf>
    <xf numFmtId="0" fontId="5" fillId="0" borderId="69" xfId="28" applyFont="1" applyBorder="1" applyAlignment="1">
      <alignment horizontal="justify" vertical="center" wrapText="1"/>
    </xf>
    <xf numFmtId="3" fontId="9" fillId="0" borderId="9"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0" fontId="5" fillId="0" borderId="0" xfId="28" applyFont="1" applyAlignment="1">
      <alignment horizontal="justify" vertical="center" wrapText="1"/>
    </xf>
    <xf numFmtId="0" fontId="5" fillId="2" borderId="22" xfId="5" applyFont="1" applyFill="1" applyBorder="1" applyAlignment="1">
      <alignment horizontal="center" vertical="center"/>
    </xf>
    <xf numFmtId="0" fontId="5" fillId="2" borderId="25" xfId="5" applyFont="1" applyFill="1" applyBorder="1" applyAlignment="1">
      <alignment horizontal="center" vertical="center"/>
    </xf>
    <xf numFmtId="0" fontId="5" fillId="2" borderId="27" xfId="5" applyFont="1" applyFill="1" applyBorder="1" applyAlignment="1">
      <alignment horizontal="center" vertical="center"/>
    </xf>
    <xf numFmtId="0" fontId="5" fillId="2" borderId="7" xfId="5" applyFont="1" applyFill="1" applyBorder="1" applyAlignment="1">
      <alignment horizontal="justify" vertical="center" wrapText="1"/>
    </xf>
    <xf numFmtId="0" fontId="5" fillId="2" borderId="12" xfId="5" applyFont="1" applyFill="1" applyBorder="1" applyAlignment="1">
      <alignment horizontal="justify" vertical="center" wrapText="1"/>
    </xf>
    <xf numFmtId="9" fontId="5" fillId="2" borderId="28" xfId="5" applyNumberFormat="1" applyFont="1" applyFill="1" applyBorder="1" applyAlignment="1">
      <alignment horizontal="center" vertical="center" wrapText="1"/>
    </xf>
    <xf numFmtId="9" fontId="5" fillId="2" borderId="30" xfId="5" applyNumberFormat="1" applyFont="1" applyFill="1" applyBorder="1" applyAlignment="1">
      <alignment horizontal="center" vertical="center"/>
    </xf>
    <xf numFmtId="0" fontId="5" fillId="2" borderId="28" xfId="5" applyFont="1" applyFill="1" applyBorder="1" applyAlignment="1">
      <alignment horizontal="center" vertical="center"/>
    </xf>
    <xf numFmtId="186" fontId="5" fillId="0" borderId="22" xfId="0" applyNumberFormat="1" applyFont="1" applyBorder="1" applyAlignment="1">
      <alignment horizontal="center" vertical="center"/>
    </xf>
    <xf numFmtId="186" fontId="5" fillId="0" borderId="25" xfId="0" applyNumberFormat="1" applyFont="1" applyBorder="1" applyAlignment="1">
      <alignment horizontal="center" vertical="center"/>
    </xf>
    <xf numFmtId="186" fontId="5" fillId="0" borderId="27" xfId="0" applyNumberFormat="1" applyFont="1" applyBorder="1" applyAlignment="1">
      <alignment horizontal="center" vertical="center"/>
    </xf>
    <xf numFmtId="14" fontId="5" fillId="0" borderId="25" xfId="0" applyNumberFormat="1" applyFont="1" applyBorder="1" applyAlignment="1">
      <alignment horizontal="center" vertical="center"/>
    </xf>
    <xf numFmtId="14" fontId="5" fillId="0" borderId="27" xfId="0" applyNumberFormat="1" applyFont="1" applyBorder="1" applyAlignment="1">
      <alignment horizontal="center" vertical="center"/>
    </xf>
    <xf numFmtId="0" fontId="9" fillId="0" borderId="56" xfId="0" applyFont="1" applyBorder="1" applyAlignment="1">
      <alignment horizontal="justify" vertical="center" wrapText="1"/>
    </xf>
    <xf numFmtId="0" fontId="9" fillId="0" borderId="29"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43" fontId="8" fillId="0" borderId="28" xfId="16" applyFont="1" applyFill="1" applyBorder="1" applyAlignment="1">
      <alignment horizontal="center" vertical="center"/>
    </xf>
    <xf numFmtId="43" fontId="8" fillId="0" borderId="35" xfId="16" applyFont="1" applyFill="1" applyBorder="1" applyAlignment="1">
      <alignment horizontal="center" vertical="center"/>
    </xf>
    <xf numFmtId="0" fontId="8" fillId="0" borderId="9" xfId="0" applyFont="1" applyBorder="1" applyAlignment="1">
      <alignment horizontal="justify" vertical="center" wrapText="1"/>
    </xf>
    <xf numFmtId="0" fontId="8" fillId="0" borderId="1" xfId="0" applyFont="1" applyBorder="1" applyAlignment="1">
      <alignment horizontal="justify" vertical="center" wrapText="1"/>
    </xf>
    <xf numFmtId="186" fontId="5" fillId="0" borderId="9" xfId="0" applyNumberFormat="1" applyFont="1" applyBorder="1" applyAlignment="1">
      <alignment horizontal="center" vertical="center"/>
    </xf>
    <xf numFmtId="186" fontId="5" fillId="0" borderId="1" xfId="0" applyNumberFormat="1" applyFont="1" applyBorder="1" applyAlignment="1">
      <alignment horizontal="center" vertical="center"/>
    </xf>
    <xf numFmtId="186" fontId="5" fillId="0" borderId="6" xfId="0" applyNumberFormat="1"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9" fontId="8" fillId="0" borderId="7" xfId="0" applyNumberFormat="1" applyFont="1" applyBorder="1" applyAlignment="1">
      <alignment horizontal="center" vertical="center"/>
    </xf>
    <xf numFmtId="9" fontId="8" fillId="0" borderId="12" xfId="0" applyNumberFormat="1" applyFont="1" applyBorder="1" applyAlignment="1">
      <alignment horizontal="center" vertical="center"/>
    </xf>
    <xf numFmtId="0" fontId="3" fillId="2" borderId="1" xfId="0" applyFont="1" applyFill="1" applyBorder="1" applyAlignment="1">
      <alignment horizontal="center" vertical="center"/>
    </xf>
    <xf numFmtId="0" fontId="3" fillId="11" borderId="37" xfId="0" applyFont="1" applyFill="1" applyBorder="1" applyAlignment="1">
      <alignment horizontal="left" vertical="center"/>
    </xf>
    <xf numFmtId="0" fontId="3" fillId="11" borderId="20" xfId="0" applyFont="1" applyFill="1" applyBorder="1" applyAlignment="1">
      <alignment horizontal="left" vertical="center"/>
    </xf>
    <xf numFmtId="0" fontId="3" fillId="0" borderId="0" xfId="0" applyFont="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justify" vertical="center" wrapText="1"/>
    </xf>
    <xf numFmtId="9" fontId="5" fillId="2" borderId="28" xfId="5" applyNumberFormat="1" applyFont="1" applyFill="1" applyBorder="1" applyAlignment="1">
      <alignment horizontal="center" vertical="center"/>
    </xf>
    <xf numFmtId="0" fontId="5" fillId="2" borderId="0" xfId="5" applyFont="1" applyFill="1" applyAlignment="1">
      <alignment horizontal="justify" vertical="center" wrapText="1"/>
    </xf>
    <xf numFmtId="0" fontId="3" fillId="7" borderId="12" xfId="0" applyFont="1" applyFill="1" applyBorder="1" applyAlignment="1">
      <alignment horizontal="left" vertical="center"/>
    </xf>
    <xf numFmtId="0" fontId="3" fillId="7" borderId="0" xfId="0" applyFont="1" applyFill="1" applyAlignment="1">
      <alignment horizontal="left" vertical="center"/>
    </xf>
    <xf numFmtId="0" fontId="3" fillId="9" borderId="37" xfId="0" applyFont="1" applyFill="1" applyBorder="1" applyAlignment="1">
      <alignment horizontal="left" vertical="center"/>
    </xf>
    <xf numFmtId="0" fontId="3" fillId="9" borderId="21" xfId="0" applyFont="1" applyFill="1" applyBorder="1" applyAlignment="1">
      <alignment horizontal="left" vertical="center"/>
    </xf>
    <xf numFmtId="0" fontId="8" fillId="12" borderId="24" xfId="0" applyFont="1" applyFill="1" applyBorder="1" applyAlignment="1">
      <alignment horizontal="justify" vertical="center" wrapText="1"/>
    </xf>
    <xf numFmtId="0" fontId="8" fillId="12" borderId="15" xfId="0" applyFont="1" applyFill="1" applyBorder="1" applyAlignment="1">
      <alignment horizontal="justify" vertical="center" wrapText="1"/>
    </xf>
    <xf numFmtId="0" fontId="8" fillId="12" borderId="30" xfId="0" applyFont="1" applyFill="1" applyBorder="1" applyAlignment="1">
      <alignment horizontal="justify" vertical="center" wrapText="1"/>
    </xf>
    <xf numFmtId="0" fontId="5" fillId="2" borderId="67" xfId="5" applyFont="1" applyFill="1" applyBorder="1" applyAlignment="1">
      <alignment horizontal="justify" vertical="center" wrapText="1"/>
    </xf>
    <xf numFmtId="0" fontId="5" fillId="2" borderId="7" xfId="5" applyFont="1" applyFill="1" applyBorder="1" applyAlignment="1">
      <alignment horizontal="center" vertical="center" wrapText="1"/>
    </xf>
    <xf numFmtId="0" fontId="5" fillId="2" borderId="12" xfId="5" applyFont="1" applyFill="1" applyBorder="1" applyAlignment="1">
      <alignment horizontal="center" vertical="center" wrapText="1"/>
    </xf>
    <xf numFmtId="0" fontId="5" fillId="2" borderId="28" xfId="5" applyFont="1" applyFill="1" applyBorder="1" applyAlignment="1">
      <alignment horizontal="justify" vertical="center" wrapText="1"/>
    </xf>
    <xf numFmtId="0" fontId="5" fillId="2" borderId="7" xfId="5" applyFont="1" applyFill="1" applyBorder="1" applyAlignment="1">
      <alignment horizontal="center" vertical="center"/>
    </xf>
    <xf numFmtId="0" fontId="5" fillId="2" borderId="12" xfId="5" applyFont="1" applyFill="1" applyBorder="1" applyAlignment="1">
      <alignment horizontal="center" vertical="center"/>
    </xf>
    <xf numFmtId="1" fontId="8" fillId="2" borderId="22" xfId="1" applyNumberFormat="1" applyFont="1" applyFill="1" applyBorder="1" applyAlignment="1">
      <alignment horizontal="center" vertical="center" wrapText="1"/>
    </xf>
    <xf numFmtId="1" fontId="8" fillId="2" borderId="25" xfId="1" applyNumberFormat="1" applyFont="1" applyFill="1" applyBorder="1" applyAlignment="1">
      <alignment horizontal="center" vertical="center" wrapText="1"/>
    </xf>
    <xf numFmtId="165" fontId="8" fillId="2" borderId="22" xfId="0" applyNumberFormat="1" applyFont="1" applyFill="1" applyBorder="1" applyAlignment="1">
      <alignment horizontal="center" vertical="center"/>
    </xf>
    <xf numFmtId="165" fontId="8" fillId="2" borderId="25" xfId="0" applyNumberFormat="1" applyFont="1" applyFill="1" applyBorder="1" applyAlignment="1">
      <alignment horizontal="center" vertical="center"/>
    </xf>
    <xf numFmtId="0" fontId="8" fillId="2" borderId="41" xfId="30" applyFont="1" applyFill="1" applyBorder="1" applyAlignment="1">
      <alignment horizontal="justify" vertical="center" wrapText="1"/>
    </xf>
    <xf numFmtId="0" fontId="8" fillId="2" borderId="44" xfId="30" applyFont="1" applyFill="1" applyBorder="1" applyAlignment="1">
      <alignment horizontal="justify" vertical="center" wrapText="1"/>
    </xf>
    <xf numFmtId="0" fontId="8" fillId="2" borderId="42" xfId="30" applyFont="1" applyFill="1" applyBorder="1" applyAlignment="1">
      <alignment horizontal="justify" vertical="center" wrapText="1"/>
    </xf>
    <xf numFmtId="0" fontId="8" fillId="2" borderId="15" xfId="30" applyFont="1" applyFill="1" applyBorder="1" applyAlignment="1">
      <alignment horizontal="justify" vertical="center" wrapText="1"/>
    </xf>
    <xf numFmtId="0" fontId="8" fillId="12" borderId="37"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 fillId="2" borderId="22"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43" fontId="8" fillId="0" borderId="28" xfId="16" applyFont="1" applyBorder="1" applyAlignment="1">
      <alignment horizontal="center" vertical="center" wrapText="1"/>
    </xf>
    <xf numFmtId="0" fontId="8" fillId="0" borderId="34" xfId="5" applyFont="1" applyBorder="1" applyAlignment="1">
      <alignment horizontal="justify" vertical="center" wrapText="1"/>
    </xf>
    <xf numFmtId="0" fontId="8" fillId="0" borderId="18" xfId="5" applyFont="1" applyBorder="1" applyAlignment="1">
      <alignment horizontal="justify" vertical="center" wrapText="1"/>
    </xf>
    <xf numFmtId="0" fontId="5" fillId="2" borderId="34" xfId="5" applyFont="1" applyFill="1" applyBorder="1" applyAlignment="1">
      <alignment horizontal="justify" vertical="center" wrapText="1"/>
    </xf>
    <xf numFmtId="3" fontId="5" fillId="2" borderId="1" xfId="0" applyNumberFormat="1" applyFont="1" applyFill="1" applyBorder="1" applyAlignment="1">
      <alignment horizontal="center" vertical="center"/>
    </xf>
    <xf numFmtId="0" fontId="9" fillId="0" borderId="20" xfId="0" applyFont="1" applyBorder="1" applyAlignment="1">
      <alignment horizontal="justify" vertical="center" wrapText="1"/>
    </xf>
    <xf numFmtId="0" fontId="9" fillId="0" borderId="34" xfId="0" applyFont="1" applyBorder="1" applyAlignment="1">
      <alignment horizontal="justify" vertical="center" wrapText="1"/>
    </xf>
    <xf numFmtId="0" fontId="8" fillId="12" borderId="19" xfId="0" applyFont="1" applyFill="1" applyBorder="1" applyAlignment="1">
      <alignment horizontal="justify" vertical="center" wrapText="1"/>
    </xf>
    <xf numFmtId="0" fontId="8" fillId="12" borderId="69" xfId="0" applyFont="1" applyFill="1" applyBorder="1" applyAlignment="1">
      <alignment horizontal="justify" vertical="center" wrapText="1"/>
    </xf>
    <xf numFmtId="0" fontId="8" fillId="0" borderId="12" xfId="14" applyFont="1" applyFill="1" applyBorder="1" applyAlignment="1">
      <alignment horizontal="center" vertical="center" wrapText="1"/>
    </xf>
    <xf numFmtId="0" fontId="8" fillId="0" borderId="11" xfId="14" applyFont="1" applyFill="1" applyBorder="1" applyAlignment="1">
      <alignment horizontal="center" vertical="center" wrapText="1"/>
    </xf>
    <xf numFmtId="0" fontId="8" fillId="0" borderId="28" xfId="5" applyFont="1" applyBorder="1" applyAlignment="1">
      <alignment horizontal="center" vertical="center" wrapText="1"/>
    </xf>
    <xf numFmtId="0" fontId="8" fillId="2" borderId="28" xfId="5" applyFont="1" applyFill="1" applyBorder="1" applyAlignment="1">
      <alignment horizontal="center" vertical="center" wrapText="1"/>
    </xf>
    <xf numFmtId="0" fontId="8" fillId="0" borderId="28" xfId="5" applyFont="1" applyBorder="1" applyAlignment="1">
      <alignment horizontal="justify" vertical="center" wrapText="1"/>
    </xf>
    <xf numFmtId="0" fontId="3" fillId="2" borderId="6" xfId="0" applyFont="1" applyFill="1" applyBorder="1" applyAlignment="1">
      <alignment horizontal="center" vertical="center"/>
    </xf>
    <xf numFmtId="0" fontId="5" fillId="0" borderId="0" xfId="5" applyFont="1" applyAlignment="1">
      <alignment horizontal="center" vertical="center"/>
    </xf>
    <xf numFmtId="0" fontId="5" fillId="0" borderId="16" xfId="5" applyFont="1" applyBorder="1" applyAlignment="1">
      <alignment horizontal="center" vertical="center"/>
    </xf>
    <xf numFmtId="0" fontId="8" fillId="0" borderId="26" xfId="5" applyFont="1" applyBorder="1" applyAlignment="1">
      <alignment horizontal="center" vertical="center"/>
    </xf>
    <xf numFmtId="0" fontId="8" fillId="0" borderId="28" xfId="5" applyFont="1" applyBorder="1" applyAlignment="1">
      <alignment horizontal="center" vertical="center"/>
    </xf>
    <xf numFmtId="0" fontId="8" fillId="0" borderId="1" xfId="5" applyFont="1" applyBorder="1" applyAlignment="1">
      <alignment horizontal="justify" vertical="center" wrapText="1"/>
    </xf>
    <xf numFmtId="0" fontId="8" fillId="0" borderId="6" xfId="5" applyFont="1" applyBorder="1" applyAlignment="1">
      <alignment horizontal="justify" vertical="center" wrapText="1"/>
    </xf>
    <xf numFmtId="0" fontId="8" fillId="0" borderId="26" xfId="5" applyFont="1" applyBorder="1" applyAlignment="1">
      <alignment horizontal="justify" vertical="center" wrapText="1"/>
    </xf>
    <xf numFmtId="3" fontId="5" fillId="2" borderId="2" xfId="0" applyNumberFormat="1" applyFont="1" applyFill="1" applyBorder="1" applyAlignment="1">
      <alignment horizontal="center" vertical="center"/>
    </xf>
    <xf numFmtId="0" fontId="8" fillId="12" borderId="7" xfId="0" applyFont="1" applyFill="1" applyBorder="1" applyAlignment="1">
      <alignment horizontal="justify" vertical="center" wrapText="1"/>
    </xf>
    <xf numFmtId="0" fontId="8" fillId="12" borderId="48" xfId="0" applyFont="1" applyFill="1" applyBorder="1" applyAlignment="1">
      <alignment horizontal="justify" vertical="center" wrapText="1"/>
    </xf>
    <xf numFmtId="0" fontId="3" fillId="9" borderId="30" xfId="0" applyFont="1" applyFill="1" applyBorder="1" applyAlignment="1">
      <alignment horizontal="left" vertical="center"/>
    </xf>
    <xf numFmtId="0" fontId="3" fillId="9" borderId="16" xfId="0" applyFont="1" applyFill="1" applyBorder="1" applyAlignment="1">
      <alignment horizontal="left" vertical="center"/>
    </xf>
    <xf numFmtId="0" fontId="8" fillId="0" borderId="22" xfId="5" applyFont="1" applyBorder="1" applyAlignment="1">
      <alignment horizontal="justify" vertical="center" wrapText="1"/>
    </xf>
    <xf numFmtId="0" fontId="5" fillId="2" borderId="2" xfId="5" applyFont="1" applyFill="1" applyBorder="1" applyAlignment="1">
      <alignment horizontal="justify" vertical="center" wrapText="1"/>
    </xf>
    <xf numFmtId="0" fontId="8" fillId="12" borderId="56" xfId="0" applyFont="1" applyFill="1" applyBorder="1" applyAlignment="1">
      <alignment horizontal="justify" vertical="center" wrapText="1"/>
    </xf>
    <xf numFmtId="0" fontId="8" fillId="12" borderId="29" xfId="0" applyFont="1" applyFill="1" applyBorder="1" applyAlignment="1">
      <alignment horizontal="justify" vertical="center" wrapText="1"/>
    </xf>
    <xf numFmtId="3" fontId="5" fillId="2" borderId="10"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0" fontId="8" fillId="0" borderId="27" xfId="5" applyFont="1" applyBorder="1" applyAlignment="1">
      <alignment horizontal="center" vertical="center" wrapText="1"/>
    </xf>
    <xf numFmtId="0" fontId="8" fillId="0" borderId="25" xfId="5" applyFont="1" applyBorder="1" applyAlignment="1">
      <alignment horizontal="center" vertical="center" wrapText="1"/>
    </xf>
    <xf numFmtId="0" fontId="8" fillId="0" borderId="22" xfId="5" applyFont="1" applyBorder="1" applyAlignment="1">
      <alignment horizontal="center" vertical="center" wrapText="1"/>
    </xf>
    <xf numFmtId="0" fontId="8" fillId="2" borderId="27" xfId="5" applyFont="1" applyFill="1" applyBorder="1" applyAlignment="1">
      <alignment horizontal="center" vertical="center" wrapText="1"/>
    </xf>
    <xf numFmtId="0" fontId="8" fillId="2" borderId="25" xfId="5" applyFont="1" applyFill="1" applyBorder="1" applyAlignment="1">
      <alignment horizontal="center" vertical="center" wrapText="1"/>
    </xf>
    <xf numFmtId="0" fontId="8" fillId="2" borderId="22" xfId="5" applyFont="1" applyFill="1" applyBorder="1" applyAlignment="1">
      <alignment horizontal="center" vertical="center" wrapText="1"/>
    </xf>
    <xf numFmtId="0" fontId="8" fillId="0" borderId="27" xfId="5" applyFont="1" applyBorder="1" applyAlignment="1">
      <alignment horizontal="justify" vertical="center" wrapText="1"/>
    </xf>
    <xf numFmtId="0" fontId="8" fillId="0" borderId="25" xfId="5" applyFont="1" applyBorder="1" applyAlignment="1">
      <alignment horizontal="justify" vertical="center" wrapText="1"/>
    </xf>
    <xf numFmtId="9" fontId="5" fillId="2" borderId="22" xfId="5" applyNumberFormat="1" applyFont="1" applyFill="1" applyBorder="1" applyAlignment="1">
      <alignment horizontal="center" vertical="center"/>
    </xf>
    <xf numFmtId="9" fontId="5" fillId="2" borderId="25" xfId="5" applyNumberFormat="1" applyFont="1" applyFill="1" applyBorder="1" applyAlignment="1">
      <alignment horizontal="center" vertical="center"/>
    </xf>
    <xf numFmtId="43" fontId="8" fillId="0" borderId="2" xfId="16" applyFont="1" applyBorder="1" applyAlignment="1">
      <alignment horizontal="center" vertical="center" wrapText="1"/>
    </xf>
    <xf numFmtId="43" fontId="8" fillId="0" borderId="22" xfId="16" applyFont="1" applyBorder="1" applyAlignment="1">
      <alignment horizontal="center" vertical="center" wrapText="1"/>
    </xf>
    <xf numFmtId="0" fontId="3" fillId="11" borderId="49" xfId="0" applyFont="1" applyFill="1" applyBorder="1" applyAlignment="1">
      <alignment horizontal="left" vertical="center"/>
    </xf>
    <xf numFmtId="0" fontId="8" fillId="0" borderId="63" xfId="5" applyFont="1" applyBorder="1" applyAlignment="1">
      <alignment horizontal="justify" vertical="center" wrapText="1"/>
    </xf>
    <xf numFmtId="0" fontId="8" fillId="0" borderId="9" xfId="5" applyFont="1" applyBorder="1" applyAlignment="1">
      <alignment horizontal="justify" vertical="center" wrapText="1"/>
    </xf>
    <xf numFmtId="0" fontId="8" fillId="0" borderId="27" xfId="14" applyFont="1" applyFill="1" applyBorder="1" applyAlignment="1">
      <alignment horizontal="center" vertical="center" wrapText="1"/>
    </xf>
    <xf numFmtId="0" fontId="8" fillId="0" borderId="25" xfId="14" applyFont="1" applyFill="1" applyBorder="1" applyAlignment="1">
      <alignment horizontal="center" vertical="center" wrapText="1"/>
    </xf>
    <xf numFmtId="0" fontId="8" fillId="0" borderId="22" xfId="14" applyFont="1" applyFill="1" applyBorder="1" applyAlignment="1">
      <alignment horizontal="center" vertical="center" wrapText="1"/>
    </xf>
    <xf numFmtId="1" fontId="8" fillId="2" borderId="26" xfId="0" applyNumberFormat="1" applyFont="1" applyFill="1" applyBorder="1" applyAlignment="1">
      <alignment horizontal="center" vertical="center" wrapText="1"/>
    </xf>
    <xf numFmtId="1" fontId="8" fillId="2" borderId="28"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0" fontId="8" fillId="2" borderId="7"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7" borderId="15" xfId="5" applyFont="1" applyFill="1" applyBorder="1" applyAlignment="1">
      <alignment horizontal="left" vertical="center"/>
    </xf>
    <xf numFmtId="0" fontId="2" fillId="7" borderId="0" xfId="5" applyFont="1" applyFill="1" applyAlignment="1">
      <alignment horizontal="left" vertical="center"/>
    </xf>
    <xf numFmtId="3" fontId="5" fillId="2" borderId="12" xfId="0" applyNumberFormat="1" applyFont="1" applyFill="1" applyBorder="1" applyAlignment="1">
      <alignment horizontal="center" vertical="center"/>
    </xf>
    <xf numFmtId="165" fontId="8" fillId="0" borderId="26" xfId="0" applyNumberFormat="1" applyFont="1" applyBorder="1" applyAlignment="1">
      <alignment horizontal="center" vertical="center"/>
    </xf>
    <xf numFmtId="165" fontId="8" fillId="0" borderId="28" xfId="0" applyNumberFormat="1" applyFont="1" applyBorder="1" applyAlignment="1">
      <alignment horizontal="center" vertical="center"/>
    </xf>
    <xf numFmtId="165" fontId="8" fillId="0" borderId="35" xfId="0" applyNumberFormat="1" applyFont="1" applyBorder="1" applyAlignment="1">
      <alignment horizontal="center" vertical="center"/>
    </xf>
    <xf numFmtId="3" fontId="5" fillId="0" borderId="25" xfId="0" applyNumberFormat="1" applyFont="1" applyFill="1" applyBorder="1" applyAlignment="1">
      <alignment horizontal="center" vertical="center"/>
    </xf>
    <xf numFmtId="9" fontId="8" fillId="0" borderId="25" xfId="0" applyNumberFormat="1" applyFont="1" applyBorder="1" applyAlignment="1">
      <alignment horizontal="center" vertical="center"/>
    </xf>
    <xf numFmtId="43" fontId="8" fillId="0" borderId="25" xfId="16" applyFont="1" applyFill="1" applyBorder="1" applyAlignment="1">
      <alignment horizontal="center" vertical="center"/>
    </xf>
    <xf numFmtId="0" fontId="8" fillId="0" borderId="54" xfId="0" applyFont="1" applyBorder="1" applyAlignment="1">
      <alignment horizontal="justify" vertical="center" wrapText="1"/>
    </xf>
    <xf numFmtId="0" fontId="8" fillId="2" borderId="11" xfId="0" applyFont="1" applyFill="1" applyBorder="1" applyAlignment="1">
      <alignment horizontal="justify" vertical="center" wrapText="1"/>
    </xf>
    <xf numFmtId="0" fontId="3" fillId="0" borderId="16" xfId="0" applyFont="1" applyBorder="1" applyAlignment="1">
      <alignment horizontal="center" vertical="center"/>
    </xf>
    <xf numFmtId="0" fontId="8" fillId="0" borderId="67" xfId="0" applyFont="1" applyBorder="1" applyAlignment="1">
      <alignment horizontal="justify" vertical="center" wrapText="1"/>
    </xf>
    <xf numFmtId="0" fontId="5" fillId="2" borderId="41" xfId="24" applyFont="1" applyFill="1" applyBorder="1" applyAlignment="1">
      <alignment horizontal="justify" vertical="center" wrapText="1"/>
    </xf>
    <xf numFmtId="0" fontId="5" fillId="2" borderId="44" xfId="24" applyFont="1" applyFill="1" applyBorder="1" applyAlignment="1">
      <alignment horizontal="justify" vertical="center" wrapText="1"/>
    </xf>
    <xf numFmtId="0" fontId="5" fillId="2" borderId="9" xfId="24" applyFont="1" applyFill="1" applyBorder="1" applyAlignment="1">
      <alignment horizontal="justify" vertical="center" wrapText="1"/>
    </xf>
    <xf numFmtId="0" fontId="5" fillId="2" borderId="6" xfId="24" applyFont="1" applyFill="1" applyBorder="1" applyAlignment="1">
      <alignment horizontal="justify" vertical="center" wrapText="1"/>
    </xf>
    <xf numFmtId="0" fontId="5" fillId="2" borderId="8" xfId="24" applyFont="1" applyFill="1" applyBorder="1" applyAlignment="1">
      <alignment horizontal="justify" vertical="center" wrapText="1"/>
    </xf>
    <xf numFmtId="0" fontId="5" fillId="2" borderId="5" xfId="24" applyFont="1" applyFill="1" applyBorder="1" applyAlignment="1">
      <alignment horizontal="justify" vertical="center" wrapText="1"/>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wrapText="1"/>
    </xf>
    <xf numFmtId="0" fontId="5" fillId="2" borderId="1" xfId="24" applyFont="1" applyFill="1" applyBorder="1" applyAlignment="1">
      <alignment horizontal="justify" vertical="center" wrapText="1"/>
    </xf>
    <xf numFmtId="0" fontId="5" fillId="0" borderId="41" xfId="24" applyFont="1" applyBorder="1" applyAlignment="1">
      <alignment horizontal="justify" vertical="center" wrapText="1"/>
    </xf>
    <xf numFmtId="0" fontId="5" fillId="0" borderId="44" xfId="24" applyFont="1" applyBorder="1" applyAlignment="1">
      <alignment horizontal="justify" vertical="center" wrapText="1"/>
    </xf>
    <xf numFmtId="1" fontId="8" fillId="2" borderId="28" xfId="1" applyNumberFormat="1"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3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Border="1" applyAlignment="1">
      <alignment horizontal="justify" vertical="center" wrapText="1"/>
    </xf>
    <xf numFmtId="9" fontId="8" fillId="0" borderId="28" xfId="0" applyNumberFormat="1" applyFont="1" applyBorder="1" applyAlignment="1">
      <alignment horizontal="center" vertical="center"/>
    </xf>
    <xf numFmtId="43" fontId="8" fillId="0" borderId="28" xfId="16" applyFont="1" applyBorder="1" applyAlignment="1">
      <alignment horizontal="center" vertical="center"/>
    </xf>
    <xf numFmtId="0" fontId="8" fillId="0" borderId="37" xfId="0" applyFont="1" applyBorder="1" applyAlignment="1">
      <alignment horizontal="center" vertical="center"/>
    </xf>
    <xf numFmtId="0" fontId="3" fillId="9" borderId="0" xfId="0" applyFont="1" applyFill="1" applyAlignment="1">
      <alignment horizontal="left" vertical="center"/>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34" xfId="0" applyFont="1" applyBorder="1" applyAlignment="1">
      <alignment horizontal="justify" vertical="center" wrapText="1"/>
    </xf>
    <xf numFmtId="1" fontId="8" fillId="2" borderId="32" xfId="0" applyNumberFormat="1" applyFont="1" applyFill="1" applyBorder="1" applyAlignment="1">
      <alignment horizontal="center" vertical="center" wrapText="1"/>
    </xf>
    <xf numFmtId="1" fontId="8" fillId="2" borderId="33" xfId="0" applyNumberFormat="1" applyFont="1" applyFill="1" applyBorder="1" applyAlignment="1">
      <alignment horizontal="center" vertical="center" wrapText="1"/>
    </xf>
    <xf numFmtId="165" fontId="8" fillId="0" borderId="32" xfId="0" applyNumberFormat="1" applyFont="1" applyBorder="1" applyAlignment="1">
      <alignment horizontal="center" vertical="center"/>
    </xf>
    <xf numFmtId="165" fontId="8" fillId="0" borderId="33" xfId="0" applyNumberFormat="1" applyFont="1" applyBorder="1" applyAlignment="1">
      <alignment horizontal="center" vertical="center"/>
    </xf>
    <xf numFmtId="1" fontId="8" fillId="2" borderId="42" xfId="0" applyNumberFormat="1" applyFont="1" applyFill="1" applyBorder="1" applyAlignment="1">
      <alignment horizontal="center" vertical="center" wrapText="1"/>
    </xf>
    <xf numFmtId="0" fontId="5" fillId="2" borderId="28" xfId="29" applyFont="1" applyFill="1" applyBorder="1" applyAlignment="1">
      <alignment horizontal="justify" vertical="center" wrapText="1"/>
    </xf>
    <xf numFmtId="0" fontId="5" fillId="2" borderId="19" xfId="29" applyFont="1" applyFill="1" applyBorder="1" applyAlignment="1">
      <alignment horizontal="justify" vertical="center" wrapText="1"/>
    </xf>
    <xf numFmtId="0" fontId="8" fillId="0" borderId="7" xfId="0" applyFont="1" applyBorder="1" applyAlignment="1">
      <alignment horizontal="justify" vertical="center" wrapText="1"/>
    </xf>
    <xf numFmtId="3" fontId="5" fillId="2" borderId="56"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9" fontId="8" fillId="0" borderId="22" xfId="0" applyNumberFormat="1" applyFont="1" applyBorder="1" applyAlignment="1">
      <alignment horizontal="center" vertical="center"/>
    </xf>
    <xf numFmtId="43" fontId="8" fillId="0" borderId="22" xfId="16" applyFont="1" applyFill="1" applyBorder="1" applyAlignment="1">
      <alignment horizontal="center" vertical="center"/>
    </xf>
    <xf numFmtId="0" fontId="3" fillId="11" borderId="48" xfId="0" applyFont="1" applyFill="1" applyBorder="1" applyAlignment="1">
      <alignment horizontal="left" vertical="center"/>
    </xf>
    <xf numFmtId="0" fontId="8" fillId="0" borderId="54" xfId="0" applyFont="1" applyBorder="1" applyAlignment="1">
      <alignment horizontal="center" vertical="center"/>
    </xf>
    <xf numFmtId="0" fontId="8" fillId="0" borderId="22" xfId="0" applyFont="1" applyBorder="1" applyAlignment="1">
      <alignment horizontal="center" vertical="center"/>
    </xf>
    <xf numFmtId="0" fontId="8" fillId="0" borderId="54" xfId="0" applyFont="1" applyBorder="1" applyAlignment="1">
      <alignment horizontal="center" vertical="center" wrapText="1"/>
    </xf>
    <xf numFmtId="9" fontId="8" fillId="0" borderId="35"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26" xfId="0" applyNumberFormat="1" applyFont="1" applyBorder="1" applyAlignment="1">
      <alignment horizontal="center" vertical="center"/>
    </xf>
    <xf numFmtId="0" fontId="8" fillId="0" borderId="19"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26" xfId="0" applyFont="1" applyBorder="1" applyAlignment="1">
      <alignment horizontal="justify" vertical="center" wrapText="1"/>
    </xf>
    <xf numFmtId="0" fontId="8" fillId="2" borderId="28" xfId="0" applyFont="1" applyFill="1" applyBorder="1" applyAlignment="1">
      <alignment horizontal="justify" vertical="center" wrapText="1"/>
    </xf>
    <xf numFmtId="0" fontId="8" fillId="2" borderId="38" xfId="0" applyFont="1" applyFill="1" applyBorder="1" applyAlignment="1">
      <alignment horizontal="justify" vertical="center" wrapText="1"/>
    </xf>
    <xf numFmtId="0" fontId="8" fillId="2" borderId="3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2" borderId="41" xfId="0" applyFont="1" applyFill="1" applyBorder="1" applyAlignment="1">
      <alignment horizontal="justify" vertical="center" wrapText="1"/>
    </xf>
    <xf numFmtId="0" fontId="8" fillId="2" borderId="42" xfId="0" applyFont="1" applyFill="1" applyBorder="1" applyAlignment="1">
      <alignment horizontal="justify" vertical="center" wrapText="1"/>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41"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44" xfId="0" applyFont="1" applyBorder="1" applyAlignment="1">
      <alignment horizontal="justify" vertical="center" wrapText="1"/>
    </xf>
    <xf numFmtId="9" fontId="8" fillId="0" borderId="37" xfId="0" applyNumberFormat="1" applyFont="1" applyBorder="1" applyAlignment="1">
      <alignment horizontal="center" vertical="center"/>
    </xf>
    <xf numFmtId="165" fontId="8" fillId="0" borderId="22" xfId="0" applyNumberFormat="1" applyFont="1" applyBorder="1" applyAlignment="1">
      <alignment horizontal="center" vertical="center"/>
    </xf>
    <xf numFmtId="165" fontId="8" fillId="0" borderId="25" xfId="0" applyNumberFormat="1" applyFont="1" applyBorder="1" applyAlignment="1">
      <alignment horizontal="center" vertical="center"/>
    </xf>
    <xf numFmtId="1" fontId="8" fillId="2" borderId="22" xfId="0" applyNumberFormat="1" applyFont="1" applyFill="1" applyBorder="1" applyAlignment="1">
      <alignment horizontal="center" vertical="center" wrapText="1"/>
    </xf>
    <xf numFmtId="1" fontId="8" fillId="2" borderId="25" xfId="0" applyNumberFormat="1" applyFont="1" applyFill="1" applyBorder="1" applyAlignment="1">
      <alignment horizontal="center" vertical="center" wrapText="1"/>
    </xf>
    <xf numFmtId="0" fontId="8" fillId="0" borderId="48" xfId="0" applyFont="1" applyBorder="1" applyAlignment="1">
      <alignment horizontal="justify" vertical="center" wrapText="1"/>
    </xf>
    <xf numFmtId="1" fontId="8" fillId="2" borderId="57" xfId="0" applyNumberFormat="1" applyFont="1" applyFill="1" applyBorder="1" applyAlignment="1">
      <alignment horizontal="center" vertical="center" wrapText="1"/>
    </xf>
    <xf numFmtId="1" fontId="8" fillId="2" borderId="53" xfId="0" applyNumberFormat="1" applyFont="1" applyFill="1" applyBorder="1" applyAlignment="1">
      <alignment horizontal="center" vertical="center" wrapText="1"/>
    </xf>
    <xf numFmtId="0" fontId="9" fillId="2" borderId="22" xfId="30" applyFont="1" applyFill="1" applyBorder="1" applyAlignment="1">
      <alignment horizontal="justify" vertical="center" wrapText="1"/>
    </xf>
    <xf numFmtId="0" fontId="9" fillId="2" borderId="54" xfId="30" applyFont="1" applyFill="1" applyBorder="1" applyAlignment="1">
      <alignment horizontal="justify" vertical="center" wrapText="1"/>
    </xf>
    <xf numFmtId="0" fontId="9" fillId="2" borderId="72" xfId="30" applyFont="1" applyFill="1" applyBorder="1" applyAlignment="1">
      <alignment horizontal="justify" vertical="center" wrapText="1"/>
    </xf>
    <xf numFmtId="0" fontId="9" fillId="2" borderId="84" xfId="30" applyFont="1" applyFill="1" applyBorder="1" applyAlignment="1">
      <alignment horizontal="justify" vertical="center" wrapText="1"/>
    </xf>
    <xf numFmtId="1" fontId="8" fillId="2" borderId="35" xfId="1" applyNumberFormat="1" applyFont="1" applyFill="1" applyBorder="1" applyAlignment="1">
      <alignment horizontal="center" vertical="center" wrapText="1"/>
    </xf>
    <xf numFmtId="0" fontId="9" fillId="2" borderId="27" xfId="30" applyFont="1" applyFill="1" applyBorder="1" applyAlignment="1">
      <alignment horizontal="justify" vertical="center" wrapText="1"/>
    </xf>
    <xf numFmtId="0" fontId="9" fillId="2" borderId="7" xfId="29" applyFont="1" applyFill="1" applyBorder="1" applyAlignment="1">
      <alignment horizontal="justify" vertical="center" wrapText="1"/>
    </xf>
    <xf numFmtId="0" fontId="9" fillId="2" borderId="12" xfId="29" applyFont="1" applyFill="1" applyBorder="1" applyAlignment="1">
      <alignment horizontal="justify" vertical="center" wrapText="1"/>
    </xf>
    <xf numFmtId="1" fontId="5" fillId="0" borderId="34" xfId="5" applyNumberFormat="1" applyFont="1" applyFill="1" applyBorder="1" applyAlignment="1">
      <alignment horizontal="center" vertical="center" wrapText="1"/>
    </xf>
    <xf numFmtId="0" fontId="8" fillId="0" borderId="31" xfId="5" applyFont="1" applyBorder="1" applyAlignment="1">
      <alignment horizontal="center" vertical="center" wrapText="1"/>
    </xf>
    <xf numFmtId="0" fontId="8" fillId="0" borderId="17" xfId="5" applyFont="1" applyBorder="1" applyAlignment="1">
      <alignment horizontal="center" vertical="center" wrapText="1"/>
    </xf>
    <xf numFmtId="0" fontId="8" fillId="0" borderId="60" xfId="5" applyFont="1" applyBorder="1" applyAlignment="1">
      <alignment horizontal="center" vertical="center" wrapText="1"/>
    </xf>
    <xf numFmtId="3" fontId="5" fillId="2" borderId="27"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1" fontId="8" fillId="2" borderId="37" xfId="1" applyNumberFormat="1" applyFont="1" applyFill="1" applyBorder="1" applyAlignment="1">
      <alignment horizontal="center" vertical="center" wrapText="1"/>
    </xf>
    <xf numFmtId="165" fontId="8" fillId="2" borderId="28" xfId="0" applyNumberFormat="1" applyFont="1" applyFill="1" applyBorder="1" applyAlignment="1">
      <alignment horizontal="center" vertical="center"/>
    </xf>
    <xf numFmtId="3" fontId="5" fillId="2" borderId="41"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3" fontId="5" fillId="2" borderId="44" xfId="0" applyNumberFormat="1" applyFont="1" applyFill="1" applyBorder="1" applyAlignment="1">
      <alignment horizontal="center" vertical="center"/>
    </xf>
    <xf numFmtId="9" fontId="5" fillId="2" borderId="2" xfId="5" applyNumberFormat="1" applyFont="1" applyFill="1" applyBorder="1" applyAlignment="1">
      <alignment horizontal="center" vertical="center" wrapText="1"/>
    </xf>
    <xf numFmtId="43" fontId="8" fillId="2" borderId="2" xfId="16" applyFont="1" applyFill="1" applyBorder="1" applyAlignment="1">
      <alignment horizontal="center" vertical="center"/>
    </xf>
    <xf numFmtId="0" fontId="8" fillId="2" borderId="9" xfId="5" applyFont="1" applyFill="1" applyBorder="1" applyAlignment="1">
      <alignment horizontal="justify" vertical="center" wrapText="1"/>
    </xf>
    <xf numFmtId="0" fontId="8" fillId="2" borderId="1" xfId="5" applyFont="1" applyFill="1" applyBorder="1" applyAlignment="1">
      <alignment horizontal="justify" vertical="center" wrapText="1"/>
    </xf>
    <xf numFmtId="0" fontId="8" fillId="2" borderId="6" xfId="5" applyFont="1" applyFill="1" applyBorder="1" applyAlignment="1">
      <alignment horizontal="justify" vertical="center" wrapText="1"/>
    </xf>
    <xf numFmtId="3" fontId="5" fillId="2" borderId="22" xfId="5" applyNumberFormat="1" applyFont="1" applyFill="1" applyBorder="1" applyAlignment="1">
      <alignment horizontal="justify" vertical="center" wrapText="1"/>
    </xf>
    <xf numFmtId="3" fontId="5" fillId="2" borderId="25" xfId="5" applyNumberFormat="1" applyFont="1" applyFill="1" applyBorder="1" applyAlignment="1">
      <alignment horizontal="justify" vertical="center" wrapText="1"/>
    </xf>
    <xf numFmtId="3" fontId="5" fillId="2" borderId="11" xfId="5" applyNumberFormat="1" applyFont="1" applyFill="1" applyBorder="1" applyAlignment="1">
      <alignment horizontal="justify" vertical="center" wrapText="1"/>
    </xf>
    <xf numFmtId="1" fontId="8" fillId="0" borderId="53" xfId="1" applyNumberFormat="1" applyFont="1" applyFill="1" applyBorder="1" applyAlignment="1">
      <alignment horizontal="center" vertical="center" wrapText="1"/>
    </xf>
    <xf numFmtId="1" fontId="8" fillId="0" borderId="42" xfId="1" applyNumberFormat="1" applyFont="1" applyFill="1" applyBorder="1" applyAlignment="1">
      <alignment horizontal="center" vertical="center" wrapText="1"/>
    </xf>
    <xf numFmtId="1" fontId="8" fillId="0" borderId="55" xfId="1" applyNumberFormat="1" applyFont="1" applyFill="1" applyBorder="1" applyAlignment="1">
      <alignment horizontal="center" vertical="center" wrapText="1"/>
    </xf>
    <xf numFmtId="165" fontId="8" fillId="0" borderId="2" xfId="0" applyNumberFormat="1" applyFont="1" applyBorder="1" applyAlignment="1">
      <alignment horizontal="center" vertical="center"/>
    </xf>
    <xf numFmtId="1" fontId="8" fillId="2" borderId="2" xfId="0" applyNumberFormat="1" applyFont="1" applyFill="1" applyBorder="1" applyAlignment="1">
      <alignment horizontal="center" vertical="center" wrapText="1"/>
    </xf>
    <xf numFmtId="0" fontId="5" fillId="2" borderId="0" xfId="5" applyFont="1" applyFill="1" applyAlignment="1">
      <alignment horizontal="center" vertical="center" wrapText="1"/>
    </xf>
    <xf numFmtId="0" fontId="5" fillId="2" borderId="16" xfId="5" applyFont="1" applyFill="1" applyBorder="1" applyAlignment="1">
      <alignment horizontal="center" vertical="center" wrapText="1"/>
    </xf>
    <xf numFmtId="0" fontId="8" fillId="0" borderId="26" xfId="13" applyNumberFormat="1" applyFont="1" applyFill="1" applyBorder="1" applyAlignment="1">
      <alignment horizontal="center" vertical="center" wrapText="1"/>
    </xf>
    <xf numFmtId="0" fontId="8" fillId="0" borderId="28" xfId="13" applyNumberFormat="1" applyFont="1" applyFill="1" applyBorder="1" applyAlignment="1">
      <alignment horizontal="center" vertical="center" wrapText="1"/>
    </xf>
    <xf numFmtId="0" fontId="8" fillId="0" borderId="67" xfId="5" applyFont="1" applyBorder="1" applyAlignment="1">
      <alignment horizontal="justify" vertical="center" wrapText="1"/>
    </xf>
    <xf numFmtId="1" fontId="8" fillId="0" borderId="35" xfId="1" applyNumberFormat="1" applyFont="1" applyFill="1" applyBorder="1" applyAlignment="1">
      <alignment horizontal="center" vertical="center" wrapText="1"/>
    </xf>
    <xf numFmtId="1" fontId="8" fillId="0" borderId="33" xfId="1" applyNumberFormat="1" applyFont="1" applyFill="1" applyBorder="1" applyAlignment="1">
      <alignment horizontal="center" vertical="center" wrapText="1"/>
    </xf>
    <xf numFmtId="1" fontId="8" fillId="0" borderId="26" xfId="1" applyNumberFormat="1" applyFont="1" applyFill="1" applyBorder="1" applyAlignment="1">
      <alignment horizontal="center" vertical="center" wrapText="1"/>
    </xf>
    <xf numFmtId="3" fontId="5" fillId="2" borderId="27" xfId="5" applyNumberFormat="1" applyFont="1" applyFill="1" applyBorder="1" applyAlignment="1">
      <alignment horizontal="justify" vertical="center" wrapText="1"/>
    </xf>
    <xf numFmtId="0" fontId="5" fillId="2" borderId="56" xfId="5" applyFont="1" applyFill="1" applyBorder="1" applyAlignment="1">
      <alignment horizontal="justify" vertical="center" wrapText="1"/>
    </xf>
    <xf numFmtId="0" fontId="5" fillId="2" borderId="29" xfId="5" applyFont="1" applyFill="1" applyBorder="1" applyAlignment="1">
      <alignment horizontal="justify" vertical="center" wrapText="1"/>
    </xf>
    <xf numFmtId="1" fontId="8" fillId="0" borderId="18" xfId="1"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8" fillId="0" borderId="36" xfId="1" applyNumberFormat="1" applyFont="1" applyFill="1" applyBorder="1" applyAlignment="1">
      <alignment horizontal="center" vertical="center" wrapText="1"/>
    </xf>
    <xf numFmtId="0" fontId="8" fillId="2" borderId="39" xfId="5" applyFont="1" applyFill="1" applyBorder="1" applyAlignment="1">
      <alignment horizontal="center" vertical="center" wrapText="1"/>
    </xf>
    <xf numFmtId="0" fontId="8" fillId="2" borderId="54" xfId="5" applyFont="1" applyFill="1" applyBorder="1" applyAlignment="1">
      <alignment horizontal="center" vertical="center" wrapText="1"/>
    </xf>
    <xf numFmtId="0" fontId="8" fillId="0" borderId="39" xfId="5" applyFont="1" applyBorder="1" applyAlignment="1">
      <alignment horizontal="center" vertical="center" wrapText="1"/>
    </xf>
    <xf numFmtId="0" fontId="8" fillId="0" borderId="54" xfId="5" applyFont="1" applyBorder="1" applyAlignment="1">
      <alignment horizontal="center" vertical="center" wrapText="1"/>
    </xf>
    <xf numFmtId="9" fontId="5" fillId="2" borderId="22" xfId="5" applyNumberFormat="1" applyFont="1" applyFill="1" applyBorder="1" applyAlignment="1">
      <alignment horizontal="center" vertical="center" wrapText="1"/>
    </xf>
    <xf numFmtId="9" fontId="5" fillId="2" borderId="25" xfId="5" applyNumberFormat="1" applyFont="1" applyFill="1" applyBorder="1" applyAlignment="1">
      <alignment horizontal="center" vertical="center" wrapText="1"/>
    </xf>
    <xf numFmtId="9" fontId="5" fillId="2" borderId="27" xfId="5" applyNumberFormat="1" applyFont="1" applyFill="1" applyBorder="1" applyAlignment="1">
      <alignment horizontal="center" vertical="center" wrapText="1"/>
    </xf>
    <xf numFmtId="43" fontId="8" fillId="0" borderId="2" xfId="16" applyFont="1" applyFill="1" applyBorder="1" applyAlignment="1">
      <alignment horizontal="center" vertical="center" wrapText="1"/>
    </xf>
    <xf numFmtId="0" fontId="3" fillId="11" borderId="12" xfId="0" applyFont="1" applyFill="1" applyBorder="1" applyAlignment="1">
      <alignment horizontal="left" vertical="center"/>
    </xf>
    <xf numFmtId="0" fontId="3" fillId="11" borderId="0" xfId="0" applyFont="1" applyFill="1" applyAlignment="1">
      <alignment horizontal="left" vertical="center"/>
    </xf>
    <xf numFmtId="0" fontId="5" fillId="2" borderId="21" xfId="5" applyFont="1" applyFill="1" applyBorder="1" applyAlignment="1">
      <alignment horizontal="center" vertical="center" wrapText="1"/>
    </xf>
    <xf numFmtId="0" fontId="8" fillId="2" borderId="28" xfId="13" applyNumberFormat="1" applyFont="1" applyFill="1" applyBorder="1" applyAlignment="1">
      <alignment horizontal="center" vertical="center" wrapText="1"/>
    </xf>
    <xf numFmtId="0" fontId="8" fillId="2" borderId="62" xfId="5" applyFont="1" applyFill="1" applyBorder="1" applyAlignment="1">
      <alignment horizontal="justify" vertical="center" wrapText="1"/>
    </xf>
    <xf numFmtId="0" fontId="8" fillId="2" borderId="67" xfId="5" applyFont="1" applyFill="1" applyBorder="1" applyAlignment="1">
      <alignment horizontal="justify" vertical="center" wrapText="1"/>
    </xf>
    <xf numFmtId="0" fontId="8" fillId="2" borderId="39" xfId="14" applyFont="1" applyFill="1" applyBorder="1" applyAlignment="1">
      <alignment horizontal="center" vertical="center" wrapText="1"/>
    </xf>
    <xf numFmtId="0" fontId="8" fillId="2" borderId="25" xfId="14" applyFont="1" applyFill="1" applyBorder="1" applyAlignment="1">
      <alignment horizontal="center" vertical="center" wrapText="1"/>
    </xf>
    <xf numFmtId="0" fontId="8" fillId="2" borderId="54" xfId="14" applyFont="1" applyFill="1" applyBorder="1" applyAlignment="1">
      <alignment horizontal="center" vertical="center" wrapText="1"/>
    </xf>
    <xf numFmtId="0" fontId="8" fillId="2" borderId="39" xfId="5" applyFont="1" applyFill="1" applyBorder="1" applyAlignment="1">
      <alignment horizontal="justify" vertical="center" wrapText="1"/>
    </xf>
    <xf numFmtId="0" fontId="8" fillId="2" borderId="25" xfId="5" applyFont="1" applyFill="1" applyBorder="1" applyAlignment="1">
      <alignment horizontal="justify" vertical="center" wrapText="1"/>
    </xf>
    <xf numFmtId="0" fontId="8" fillId="2" borderId="54" xfId="5" applyFont="1" applyFill="1" applyBorder="1" applyAlignment="1">
      <alignment horizontal="justify" vertical="center" wrapText="1"/>
    </xf>
    <xf numFmtId="1" fontId="8" fillId="0" borderId="2" xfId="1" applyNumberFormat="1" applyFont="1" applyFill="1" applyBorder="1" applyAlignment="1">
      <alignment horizontal="center" vertical="center" wrapText="1"/>
    </xf>
    <xf numFmtId="43" fontId="8" fillId="0" borderId="2" xfId="16" applyFont="1" applyBorder="1" applyAlignment="1">
      <alignment horizontal="center" vertical="center"/>
    </xf>
    <xf numFmtId="0" fontId="8" fillId="8" borderId="2" xfId="5" applyFont="1" applyFill="1" applyBorder="1" applyAlignment="1">
      <alignment horizontal="justify" vertical="center" wrapText="1"/>
    </xf>
    <xf numFmtId="1" fontId="8" fillId="0" borderId="10" xfId="1" applyNumberFormat="1" applyFont="1" applyFill="1" applyBorder="1" applyAlignment="1">
      <alignment horizontal="center" vertical="center" wrapText="1"/>
    </xf>
    <xf numFmtId="0" fontId="8" fillId="0" borderId="64" xfId="5" applyFont="1" applyBorder="1" applyAlignment="1">
      <alignment horizontal="center" vertical="center" wrapText="1"/>
    </xf>
    <xf numFmtId="0" fontId="8" fillId="8" borderId="8" xfId="5" applyFont="1" applyFill="1" applyBorder="1" applyAlignment="1">
      <alignment horizontal="justify" vertical="center" wrapText="1"/>
    </xf>
    <xf numFmtId="0" fontId="8" fillId="8" borderId="0" xfId="5" applyFont="1" applyFill="1" applyAlignment="1">
      <alignment horizontal="justify" vertical="center" wrapText="1"/>
    </xf>
    <xf numFmtId="0" fontId="8" fillId="8" borderId="5" xfId="5" applyFont="1" applyFill="1" applyBorder="1" applyAlignment="1">
      <alignment horizontal="justify" vertical="center" wrapText="1"/>
    </xf>
    <xf numFmtId="165" fontId="2" fillId="5" borderId="7" xfId="5" applyNumberFormat="1" applyFont="1" applyFill="1" applyBorder="1" applyAlignment="1">
      <alignment horizontal="center" vertical="center" wrapText="1"/>
    </xf>
    <xf numFmtId="165" fontId="2" fillId="5" borderId="12" xfId="5" applyNumberFormat="1" applyFont="1" applyFill="1" applyBorder="1" applyAlignment="1">
      <alignment horizontal="center" vertical="center" wrapText="1"/>
    </xf>
    <xf numFmtId="3" fontId="2" fillId="5" borderId="22" xfId="5" applyNumberFormat="1" applyFont="1" applyFill="1" applyBorder="1" applyAlignment="1">
      <alignment horizontal="center" vertical="center" wrapText="1"/>
    </xf>
    <xf numFmtId="3" fontId="2" fillId="5" borderId="25" xfId="5" applyNumberFormat="1" applyFont="1" applyFill="1" applyBorder="1" applyAlignment="1">
      <alignment horizontal="center" vertical="center" wrapText="1"/>
    </xf>
    <xf numFmtId="0" fontId="2" fillId="7" borderId="19" xfId="5" applyFont="1" applyFill="1" applyBorder="1" applyAlignment="1">
      <alignment horizontal="left" vertical="center"/>
    </xf>
    <xf numFmtId="0" fontId="2" fillId="7" borderId="21" xfId="5" applyFont="1" applyFill="1" applyBorder="1" applyAlignment="1">
      <alignment horizontal="left" vertical="center"/>
    </xf>
    <xf numFmtId="0" fontId="3" fillId="9" borderId="65" xfId="0" applyFont="1" applyFill="1" applyBorder="1" applyAlignment="1">
      <alignment horizontal="left" vertical="center"/>
    </xf>
    <xf numFmtId="0" fontId="3" fillId="9" borderId="66" xfId="0" applyFont="1" applyFill="1" applyBorder="1" applyAlignment="1">
      <alignment horizontal="left" vertical="center"/>
    </xf>
    <xf numFmtId="0" fontId="3" fillId="11" borderId="83" xfId="0" applyFont="1" applyFill="1" applyBorder="1" applyAlignment="1">
      <alignment horizontal="left" vertical="center"/>
    </xf>
    <xf numFmtId="0" fontId="3" fillId="11" borderId="46" xfId="0" applyFont="1" applyFill="1" applyBorder="1" applyAlignment="1">
      <alignment horizontal="left" vertical="center"/>
    </xf>
    <xf numFmtId="1" fontId="2" fillId="4" borderId="8" xfId="5" applyNumberFormat="1" applyFont="1" applyFill="1" applyBorder="1" applyAlignment="1">
      <alignment horizontal="center" vertical="center" wrapText="1"/>
    </xf>
    <xf numFmtId="1" fontId="2" fillId="4" borderId="9" xfId="5" applyNumberFormat="1" applyFont="1" applyFill="1" applyBorder="1" applyAlignment="1">
      <alignment horizontal="center" vertical="center" wrapText="1"/>
    </xf>
    <xf numFmtId="3" fontId="3" fillId="4" borderId="2" xfId="5" applyNumberFormat="1" applyFont="1" applyFill="1" applyBorder="1" applyAlignment="1">
      <alignment horizontal="center" vertical="center" wrapText="1"/>
    </xf>
    <xf numFmtId="0" fontId="3" fillId="4" borderId="2" xfId="5" applyFont="1" applyFill="1" applyBorder="1" applyAlignment="1">
      <alignment horizontal="center" vertical="center" wrapText="1"/>
    </xf>
    <xf numFmtId="0" fontId="3" fillId="4" borderId="13" xfId="5" applyFont="1" applyFill="1" applyBorder="1" applyAlignment="1">
      <alignment horizontal="center" vertical="center"/>
    </xf>
    <xf numFmtId="0" fontId="3" fillId="4" borderId="14" xfId="5" applyFont="1" applyFill="1" applyBorder="1" applyAlignment="1">
      <alignment horizontal="center" vertical="center"/>
    </xf>
    <xf numFmtId="0" fontId="3" fillId="4" borderId="10" xfId="5" applyFont="1" applyFill="1" applyBorder="1" applyAlignment="1">
      <alignment horizontal="center" vertical="center"/>
    </xf>
    <xf numFmtId="0" fontId="3" fillId="4" borderId="22" xfId="5" applyFont="1" applyFill="1" applyBorder="1" applyAlignment="1">
      <alignment horizontal="center" vertical="center" textRotation="90" wrapText="1"/>
    </xf>
    <xf numFmtId="0" fontId="3" fillId="4" borderId="25" xfId="5" applyFont="1" applyFill="1" applyBorder="1" applyAlignment="1">
      <alignment horizontal="center" vertical="center" textRotation="90" wrapText="1"/>
    </xf>
    <xf numFmtId="0" fontId="2" fillId="0" borderId="0" xfId="5" applyFont="1" applyAlignment="1">
      <alignment horizontal="center" vertical="center" wrapText="1"/>
    </xf>
    <xf numFmtId="0" fontId="2" fillId="0" borderId="1" xfId="5" applyFont="1" applyBorder="1" applyAlignment="1">
      <alignment horizontal="center" vertical="center" wrapText="1"/>
    </xf>
    <xf numFmtId="0" fontId="2" fillId="0" borderId="5" xfId="5" applyFont="1" applyBorder="1" applyAlignment="1">
      <alignment horizontal="center" vertical="center" wrapText="1"/>
    </xf>
    <xf numFmtId="0" fontId="2" fillId="0" borderId="6" xfId="5" applyFont="1" applyBorder="1" applyAlignment="1">
      <alignment horizontal="center" vertical="center" wrapText="1"/>
    </xf>
    <xf numFmtId="0" fontId="2" fillId="0" borderId="8" xfId="5" applyFont="1" applyBorder="1" applyAlignment="1">
      <alignment horizontal="center" vertical="center"/>
    </xf>
    <xf numFmtId="0" fontId="2" fillId="0" borderId="5" xfId="5" applyFont="1" applyBorder="1" applyAlignment="1">
      <alignment horizontal="center" vertical="center"/>
    </xf>
    <xf numFmtId="0" fontId="2" fillId="0" borderId="0" xfId="5" applyFont="1" applyAlignment="1">
      <alignment horizontal="center" vertical="center"/>
    </xf>
    <xf numFmtId="0" fontId="2" fillId="0" borderId="2" xfId="5" applyFont="1" applyBorder="1" applyAlignment="1">
      <alignment horizontal="center" vertical="center"/>
    </xf>
    <xf numFmtId="0" fontId="2" fillId="0" borderId="11" xfId="5" applyFont="1" applyBorder="1" applyAlignment="1">
      <alignment horizontal="center" vertical="center"/>
    </xf>
    <xf numFmtId="0" fontId="2" fillId="0" borderId="6" xfId="5" applyFont="1" applyBorder="1" applyAlignment="1">
      <alignment horizontal="center" vertical="center"/>
    </xf>
    <xf numFmtId="1" fontId="2" fillId="4" borderId="14" xfId="5" applyNumberFormat="1" applyFont="1" applyFill="1" applyBorder="1" applyAlignment="1">
      <alignment horizontal="center" vertical="center" wrapText="1"/>
    </xf>
    <xf numFmtId="1" fontId="2" fillId="4" borderId="10" xfId="5" applyNumberFormat="1" applyFont="1" applyFill="1" applyBorder="1" applyAlignment="1">
      <alignment horizontal="center" vertical="center" wrapText="1"/>
    </xf>
    <xf numFmtId="1" fontId="2" fillId="4" borderId="13" xfId="5" applyNumberFormat="1" applyFont="1" applyFill="1" applyBorder="1" applyAlignment="1">
      <alignment horizontal="center" vertical="center" wrapText="1"/>
    </xf>
    <xf numFmtId="0" fontId="2" fillId="14" borderId="28" xfId="5" applyFont="1" applyFill="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1" fontId="2" fillId="4" borderId="5"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0" fontId="2" fillId="14" borderId="12" xfId="0" applyFont="1" applyFill="1" applyBorder="1" applyAlignment="1">
      <alignment horizontal="center" vertical="center"/>
    </xf>
    <xf numFmtId="0" fontId="2" fillId="14" borderId="0" xfId="0" applyFont="1" applyFill="1" applyAlignment="1">
      <alignment horizontal="center" vertical="center"/>
    </xf>
    <xf numFmtId="1" fontId="2" fillId="4" borderId="12" xfId="0" applyNumberFormat="1" applyFont="1" applyFill="1" applyBorder="1" applyAlignment="1">
      <alignment horizontal="center" vertical="center" wrapText="1"/>
    </xf>
    <xf numFmtId="1" fontId="2" fillId="4" borderId="0" xfId="0" applyNumberFormat="1" applyFont="1" applyFill="1" applyAlignment="1">
      <alignment horizontal="center" vertical="center" wrapText="1"/>
    </xf>
    <xf numFmtId="1" fontId="2" fillId="4" borderId="1" xfId="0" applyNumberFormat="1" applyFont="1" applyFill="1" applyBorder="1" applyAlignment="1">
      <alignment horizontal="center" vertical="center" wrapText="1"/>
    </xf>
    <xf numFmtId="165" fontId="2" fillId="5" borderId="22" xfId="0" applyNumberFormat="1" applyFont="1" applyFill="1" applyBorder="1" applyAlignment="1">
      <alignment horizontal="center" vertical="center" wrapText="1"/>
    </xf>
    <xf numFmtId="165" fontId="2" fillId="5" borderId="25" xfId="0" applyNumberFormat="1" applyFont="1" applyFill="1" applyBorder="1" applyAlignment="1">
      <alignment horizontal="center" vertical="center" wrapText="1"/>
    </xf>
    <xf numFmtId="0" fontId="2" fillId="7" borderId="19" xfId="0" applyFont="1" applyFill="1" applyBorder="1" applyAlignment="1">
      <alignment horizontal="left" vertical="center"/>
    </xf>
    <xf numFmtId="0" fontId="2" fillId="7" borderId="21" xfId="0" applyFont="1" applyFill="1" applyBorder="1" applyAlignment="1">
      <alignment horizontal="left" vertical="center"/>
    </xf>
    <xf numFmtId="0" fontId="2" fillId="11" borderId="37" xfId="0" applyFont="1" applyFill="1" applyBorder="1" applyAlignment="1">
      <alignment horizontal="left" vertical="center"/>
    </xf>
    <xf numFmtId="0" fontId="2" fillId="11" borderId="20" xfId="0" applyFont="1" applyFill="1" applyBorder="1" applyAlignment="1">
      <alignment horizontal="left" vertical="center"/>
    </xf>
    <xf numFmtId="0" fontId="5" fillId="2" borderId="0" xfId="0" applyFont="1" applyFill="1" applyAlignment="1">
      <alignment horizontal="center" vertical="center" wrapText="1"/>
    </xf>
    <xf numFmtId="0" fontId="5" fillId="2" borderId="1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0" borderId="18" xfId="0" applyFont="1" applyBorder="1" applyAlignment="1">
      <alignment horizontal="justify" vertical="center" wrapText="1"/>
    </xf>
    <xf numFmtId="0" fontId="5" fillId="0" borderId="17" xfId="0" applyFont="1" applyBorder="1" applyAlignment="1">
      <alignment horizontal="justify" vertical="center" wrapText="1"/>
    </xf>
    <xf numFmtId="0" fontId="5" fillId="2" borderId="33" xfId="0" applyFont="1" applyFill="1" applyBorder="1" applyAlignment="1">
      <alignment horizontal="center" vertical="center" wrapText="1"/>
    </xf>
    <xf numFmtId="3" fontId="3" fillId="4" borderId="70" xfId="0" applyNumberFormat="1" applyFont="1" applyFill="1" applyBorder="1" applyAlignment="1">
      <alignment horizontal="center" vertical="center" wrapText="1"/>
    </xf>
    <xf numFmtId="3" fontId="3" fillId="4" borderId="71" xfId="0" applyNumberFormat="1"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2" xfId="0" applyFont="1" applyFill="1" applyBorder="1" applyAlignment="1">
      <alignment horizontal="center" vertical="center" textRotation="90" wrapText="1"/>
    </xf>
    <xf numFmtId="0" fontId="3" fillId="4" borderId="27" xfId="0" applyFont="1" applyFill="1" applyBorder="1" applyAlignment="1">
      <alignment horizontal="center" vertical="center" textRotation="90" wrapText="1"/>
    </xf>
    <xf numFmtId="0" fontId="5" fillId="2" borderId="35" xfId="0" applyFont="1" applyFill="1" applyBorder="1" applyAlignment="1">
      <alignment horizontal="justify" vertical="center" wrapText="1"/>
    </xf>
    <xf numFmtId="0" fontId="5" fillId="2" borderId="33" xfId="0" applyFont="1" applyFill="1" applyBorder="1" applyAlignment="1">
      <alignment horizontal="justify"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8" xfId="0" applyFont="1" applyFill="1" applyBorder="1" applyAlignment="1">
      <alignment horizontal="justify" vertical="center" wrapText="1"/>
    </xf>
    <xf numFmtId="0" fontId="5" fillId="2" borderId="20" xfId="0" applyFont="1" applyFill="1" applyBorder="1" applyAlignment="1">
      <alignment horizontal="center" vertical="center" wrapText="1"/>
    </xf>
    <xf numFmtId="1" fontId="2" fillId="2" borderId="22" xfId="0" applyNumberFormat="1" applyFont="1" applyFill="1" applyBorder="1" applyAlignment="1">
      <alignment horizontal="center" vertical="center" textRotation="180" wrapText="1"/>
    </xf>
    <xf numFmtId="1" fontId="2" fillId="2" borderId="25" xfId="0" applyNumberFormat="1" applyFont="1" applyFill="1" applyBorder="1" applyAlignment="1">
      <alignment horizontal="center" vertical="center" textRotation="180" wrapText="1"/>
    </xf>
    <xf numFmtId="1" fontId="5" fillId="2" borderId="22" xfId="0" applyNumberFormat="1" applyFont="1" applyFill="1" applyBorder="1" applyAlignment="1">
      <alignment horizontal="center" vertical="center" textRotation="180" wrapText="1"/>
    </xf>
    <xf numFmtId="1" fontId="5" fillId="2" borderId="25" xfId="0" applyNumberFormat="1" applyFont="1" applyFill="1" applyBorder="1" applyAlignment="1">
      <alignment horizontal="center" vertical="center" textRotation="180" wrapText="1"/>
    </xf>
    <xf numFmtId="10" fontId="5" fillId="2" borderId="8" xfId="3" applyNumberFormat="1" applyFont="1" applyFill="1" applyBorder="1" applyAlignment="1">
      <alignment horizontal="center" vertical="center" wrapText="1"/>
    </xf>
    <xf numFmtId="10" fontId="5" fillId="2" borderId="0" xfId="3" applyNumberFormat="1" applyFont="1" applyFill="1" applyBorder="1" applyAlignment="1">
      <alignment horizontal="center" vertical="center" wrapText="1"/>
    </xf>
    <xf numFmtId="178" fontId="5" fillId="2" borderId="28" xfId="0" applyNumberFormat="1" applyFont="1" applyFill="1" applyBorder="1" applyAlignment="1">
      <alignment horizontal="center" vertical="center" wrapText="1"/>
    </xf>
    <xf numFmtId="0" fontId="5" fillId="2" borderId="31" xfId="0" applyFont="1" applyFill="1" applyBorder="1" applyAlignment="1">
      <alignment horizontal="justify" vertical="center" wrapText="1"/>
    </xf>
    <xf numFmtId="0" fontId="5" fillId="2" borderId="17" xfId="0" applyFont="1" applyFill="1" applyBorder="1" applyAlignment="1">
      <alignment horizontal="justify" vertical="center" wrapText="1"/>
    </xf>
    <xf numFmtId="0" fontId="5" fillId="2" borderId="60" xfId="0" applyFont="1" applyFill="1" applyBorder="1" applyAlignment="1">
      <alignment horizontal="justify" vertical="center" wrapText="1"/>
    </xf>
    <xf numFmtId="3" fontId="5" fillId="2" borderId="35" xfId="0" applyNumberFormat="1" applyFont="1" applyFill="1" applyBorder="1" applyAlignment="1">
      <alignment horizontal="justify" vertical="center" wrapText="1"/>
    </xf>
    <xf numFmtId="3" fontId="5" fillId="2" borderId="33" xfId="0" applyNumberFormat="1" applyFont="1" applyFill="1" applyBorder="1" applyAlignment="1">
      <alignment horizontal="justify" vertical="center" wrapText="1"/>
    </xf>
    <xf numFmtId="3" fontId="5" fillId="2" borderId="30" xfId="0" applyNumberFormat="1"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5" fillId="2" borderId="69" xfId="0" applyFont="1" applyFill="1" applyBorder="1" applyAlignment="1">
      <alignment horizontal="justify" vertical="center" wrapText="1"/>
    </xf>
    <xf numFmtId="1" fontId="2" fillId="2" borderId="1" xfId="0" applyNumberFormat="1" applyFont="1" applyFill="1" applyBorder="1" applyAlignment="1">
      <alignment horizontal="center" vertical="center" textRotation="180" wrapText="1"/>
    </xf>
    <xf numFmtId="10" fontId="5" fillId="2" borderId="20" xfId="3" applyNumberFormat="1" applyFont="1" applyFill="1" applyBorder="1" applyAlignment="1">
      <alignment horizontal="center" vertical="center" wrapText="1"/>
    </xf>
    <xf numFmtId="3" fontId="5" fillId="2" borderId="19" xfId="0" applyNumberFormat="1" applyFont="1" applyFill="1" applyBorder="1" applyAlignment="1">
      <alignment horizontal="justify" vertical="center" wrapText="1"/>
    </xf>
    <xf numFmtId="3" fontId="5" fillId="2" borderId="15" xfId="0" applyNumberFormat="1" applyFont="1" applyFill="1" applyBorder="1" applyAlignment="1">
      <alignment horizontal="justify" vertical="center" wrapText="1"/>
    </xf>
    <xf numFmtId="3" fontId="5" fillId="2" borderId="26" xfId="0" applyNumberFormat="1" applyFont="1" applyFill="1" applyBorder="1" applyAlignment="1">
      <alignment horizontal="justify" vertical="center" wrapText="1"/>
    </xf>
    <xf numFmtId="0" fontId="5" fillId="0" borderId="69" xfId="0" applyFont="1" applyBorder="1" applyAlignment="1">
      <alignment horizontal="justify" vertical="center" wrapText="1"/>
    </xf>
    <xf numFmtId="0" fontId="5" fillId="2" borderId="15" xfId="0" applyFont="1" applyFill="1" applyBorder="1" applyAlignment="1">
      <alignment horizontal="justify" vertical="center" wrapText="1"/>
    </xf>
    <xf numFmtId="165" fontId="5" fillId="2" borderId="22" xfId="0" applyNumberFormat="1" applyFont="1" applyFill="1" applyBorder="1" applyAlignment="1">
      <alignment horizontal="center" vertical="center" wrapText="1"/>
    </xf>
    <xf numFmtId="165" fontId="5" fillId="2" borderId="25" xfId="0" applyNumberFormat="1" applyFont="1" applyFill="1" applyBorder="1" applyAlignment="1">
      <alignment horizontal="center" vertical="center" wrapText="1"/>
    </xf>
    <xf numFmtId="3" fontId="5" fillId="2" borderId="22" xfId="0" applyNumberFormat="1" applyFont="1" applyFill="1" applyBorder="1" applyAlignment="1">
      <alignment horizontal="center" vertical="center" wrapText="1"/>
    </xf>
    <xf numFmtId="3" fontId="5" fillId="2" borderId="25" xfId="0" applyNumberFormat="1"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7" xfId="0" applyFont="1" applyBorder="1" applyAlignment="1">
      <alignment horizontal="justify" vertical="center" wrapText="1"/>
    </xf>
    <xf numFmtId="0" fontId="8" fillId="0" borderId="28" xfId="17" applyNumberFormat="1" applyFont="1" applyFill="1" applyBorder="1" applyAlignment="1">
      <alignment horizontal="center" vertical="center" wrapText="1"/>
    </xf>
    <xf numFmtId="1" fontId="2" fillId="2" borderId="28" xfId="0" applyNumberFormat="1" applyFont="1" applyFill="1" applyBorder="1" applyAlignment="1">
      <alignment horizontal="center" vertical="center" textRotation="180" wrapText="1"/>
    </xf>
    <xf numFmtId="3" fontId="5" fillId="0" borderId="61" xfId="0" applyNumberFormat="1" applyFont="1" applyBorder="1" applyAlignment="1">
      <alignment horizontal="justify" vertical="center" wrapText="1"/>
    </xf>
    <xf numFmtId="3" fontId="5" fillId="0" borderId="12" xfId="0" applyNumberFormat="1" applyFont="1" applyBorder="1" applyAlignment="1">
      <alignment horizontal="justify" vertical="center" wrapText="1"/>
    </xf>
    <xf numFmtId="3" fontId="5" fillId="0" borderId="48" xfId="0" applyNumberFormat="1" applyFont="1" applyBorder="1" applyAlignment="1">
      <alignment horizontal="justify" vertical="center" wrapText="1"/>
    </xf>
    <xf numFmtId="0" fontId="5" fillId="0" borderId="19" xfId="0" applyFont="1" applyBorder="1" applyAlignment="1">
      <alignment horizontal="justify" vertical="center" wrapText="1"/>
    </xf>
    <xf numFmtId="0" fontId="5" fillId="0" borderId="30" xfId="0" applyFont="1" applyBorder="1" applyAlignment="1">
      <alignment horizontal="justify" vertical="center" wrapText="1"/>
    </xf>
    <xf numFmtId="1" fontId="2" fillId="2" borderId="34" xfId="0" applyNumberFormat="1" applyFont="1" applyFill="1" applyBorder="1" applyAlignment="1">
      <alignment horizontal="center" vertical="center" textRotation="180" wrapText="1"/>
    </xf>
    <xf numFmtId="9" fontId="5" fillId="0" borderId="28" xfId="3" applyFont="1" applyFill="1" applyBorder="1" applyAlignment="1">
      <alignment horizontal="center" vertical="center" wrapText="1"/>
    </xf>
    <xf numFmtId="0" fontId="9" fillId="0" borderId="19" xfId="0" applyFont="1" applyBorder="1" applyAlignment="1">
      <alignment horizontal="justify" vertical="center" wrapText="1"/>
    </xf>
    <xf numFmtId="0" fontId="9" fillId="0" borderId="15" xfId="0" applyFont="1" applyBorder="1" applyAlignment="1">
      <alignment horizontal="justify" vertical="center" wrapText="1"/>
    </xf>
    <xf numFmtId="0" fontId="9" fillId="0" borderId="30" xfId="0" applyFont="1" applyBorder="1" applyAlignment="1">
      <alignment horizontal="justify" vertical="center" wrapText="1"/>
    </xf>
    <xf numFmtId="0" fontId="5" fillId="2" borderId="19" xfId="0" applyFont="1" applyFill="1" applyBorder="1" applyAlignment="1">
      <alignment horizontal="justify" vertical="center" wrapText="1"/>
    </xf>
    <xf numFmtId="0" fontId="5" fillId="2" borderId="30" xfId="0" applyFont="1" applyFill="1" applyBorder="1" applyAlignment="1">
      <alignment horizontal="justify" vertical="center" wrapText="1"/>
    </xf>
    <xf numFmtId="165" fontId="5" fillId="2" borderId="28" xfId="0" applyNumberFormat="1" applyFont="1" applyFill="1" applyBorder="1" applyAlignment="1">
      <alignment horizontal="center" vertical="center" wrapText="1"/>
    </xf>
    <xf numFmtId="3" fontId="5" fillId="2" borderId="28" xfId="0" applyNumberFormat="1" applyFont="1" applyFill="1" applyBorder="1" applyAlignment="1">
      <alignment horizontal="center" vertical="center" wrapText="1"/>
    </xf>
    <xf numFmtId="178" fontId="5" fillId="0" borderId="26" xfId="0" applyNumberFormat="1" applyFont="1" applyBorder="1" applyAlignment="1">
      <alignment horizontal="center" vertical="center" wrapText="1"/>
    </xf>
    <xf numFmtId="178" fontId="5" fillId="0" borderId="28" xfId="0" applyNumberFormat="1" applyFont="1" applyBorder="1" applyAlignment="1">
      <alignment horizontal="center" vertical="center" wrapText="1"/>
    </xf>
    <xf numFmtId="0" fontId="5" fillId="0" borderId="8" xfId="0" applyFont="1" applyBorder="1" applyAlignment="1">
      <alignment horizontal="justify" vertical="center" wrapText="1"/>
    </xf>
    <xf numFmtId="0" fontId="5" fillId="0" borderId="0" xfId="0" applyFont="1" applyAlignment="1">
      <alignment horizontal="justify" vertical="center" wrapText="1"/>
    </xf>
    <xf numFmtId="0" fontId="5" fillId="0" borderId="16" xfId="0" applyFont="1" applyBorder="1" applyAlignment="1">
      <alignment horizontal="justify" vertical="center" wrapText="1"/>
    </xf>
    <xf numFmtId="0" fontId="5" fillId="2" borderId="26" xfId="0" applyFont="1" applyFill="1" applyBorder="1" applyAlignment="1">
      <alignment horizontal="center" vertical="center" wrapText="1"/>
    </xf>
    <xf numFmtId="0" fontId="5" fillId="2" borderId="26" xfId="0" applyFont="1" applyFill="1" applyBorder="1" applyAlignment="1">
      <alignment horizontal="justify" vertical="center" wrapText="1"/>
    </xf>
    <xf numFmtId="9" fontId="5" fillId="2" borderId="26" xfId="3" applyFont="1" applyFill="1" applyBorder="1" applyAlignment="1">
      <alignment horizontal="center" vertical="center" wrapText="1"/>
    </xf>
    <xf numFmtId="1" fontId="2" fillId="2" borderId="26" xfId="0" applyNumberFormat="1" applyFont="1" applyFill="1" applyBorder="1" applyAlignment="1">
      <alignment horizontal="center" vertical="center" textRotation="180" wrapText="1"/>
    </xf>
    <xf numFmtId="178" fontId="5" fillId="2" borderId="26" xfId="0" applyNumberFormat="1" applyFont="1" applyFill="1" applyBorder="1" applyAlignment="1">
      <alignment horizontal="center" vertical="center" wrapText="1"/>
    </xf>
    <xf numFmtId="3" fontId="5" fillId="0" borderId="19" xfId="0" applyNumberFormat="1" applyFont="1" applyBorder="1" applyAlignment="1">
      <alignment horizontal="justify" vertical="center" wrapText="1"/>
    </xf>
    <xf numFmtId="3" fontId="5" fillId="0" borderId="15" xfId="0" applyNumberFormat="1" applyFont="1" applyBorder="1" applyAlignment="1">
      <alignment horizontal="justify" vertical="center" wrapText="1"/>
    </xf>
    <xf numFmtId="3" fontId="5" fillId="0" borderId="30" xfId="0" applyNumberFormat="1" applyFont="1" applyBorder="1" applyAlignment="1">
      <alignment horizontal="justify" vertical="center" wrapText="1"/>
    </xf>
    <xf numFmtId="0" fontId="5" fillId="2" borderId="37" xfId="0" applyFont="1" applyFill="1" applyBorder="1" applyAlignment="1">
      <alignment horizontal="justify" vertical="center" wrapText="1"/>
    </xf>
    <xf numFmtId="1" fontId="2" fillId="2" borderId="36" xfId="0" applyNumberFormat="1" applyFont="1" applyFill="1" applyBorder="1" applyAlignment="1">
      <alignment horizontal="center" vertical="center" textRotation="180" wrapText="1"/>
    </xf>
    <xf numFmtId="165" fontId="5" fillId="2" borderId="26"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wrapText="1"/>
    </xf>
    <xf numFmtId="165" fontId="5" fillId="2" borderId="27" xfId="0" applyNumberFormat="1" applyFont="1" applyFill="1" applyBorder="1" applyAlignment="1">
      <alignment horizontal="center" vertical="center" wrapText="1"/>
    </xf>
    <xf numFmtId="3" fontId="5" fillId="2" borderId="27" xfId="0" applyNumberFormat="1" applyFont="1" applyFill="1" applyBorder="1" applyAlignment="1">
      <alignment horizontal="center" vertical="center" wrapText="1"/>
    </xf>
    <xf numFmtId="0" fontId="5" fillId="2"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8" fillId="0" borderId="22" xfId="17" applyNumberFormat="1" applyFont="1" applyFill="1" applyBorder="1" applyAlignment="1">
      <alignment horizontal="center" vertical="center" wrapText="1"/>
    </xf>
    <xf numFmtId="0" fontId="8" fillId="0" borderId="25" xfId="17" applyNumberFormat="1" applyFont="1" applyFill="1" applyBorder="1" applyAlignment="1">
      <alignment horizontal="center" vertical="center" wrapText="1"/>
    </xf>
    <xf numFmtId="0" fontId="8" fillId="0" borderId="27" xfId="17" applyNumberFormat="1" applyFont="1" applyFill="1" applyBorder="1" applyAlignment="1">
      <alignment horizontal="center" vertical="center" wrapText="1"/>
    </xf>
    <xf numFmtId="1" fontId="2" fillId="2" borderId="27" xfId="0" applyNumberFormat="1" applyFont="1" applyFill="1" applyBorder="1" applyAlignment="1">
      <alignment horizontal="center" vertical="center" textRotation="180" wrapText="1"/>
    </xf>
    <xf numFmtId="0" fontId="5" fillId="2" borderId="42" xfId="0" applyFont="1" applyFill="1" applyBorder="1" applyAlignment="1">
      <alignment horizontal="justify" vertical="center" wrapText="1"/>
    </xf>
    <xf numFmtId="0" fontId="5" fillId="2" borderId="44" xfId="0" applyFont="1" applyFill="1" applyBorder="1" applyAlignment="1">
      <alignment horizontal="justify" vertical="center" wrapText="1"/>
    </xf>
    <xf numFmtId="178" fontId="5" fillId="2" borderId="25" xfId="0" applyNumberFormat="1" applyFont="1" applyFill="1" applyBorder="1" applyAlignment="1">
      <alignment horizontal="center" vertical="center" wrapText="1"/>
    </xf>
    <xf numFmtId="178" fontId="5" fillId="2" borderId="27" xfId="0" applyNumberFormat="1" applyFont="1" applyFill="1" applyBorder="1" applyAlignment="1">
      <alignment horizontal="center" vertical="center" wrapText="1"/>
    </xf>
    <xf numFmtId="0" fontId="5" fillId="2" borderId="40"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8" fillId="0" borderId="56" xfId="5" applyFont="1" applyBorder="1" applyAlignment="1">
      <alignment horizontal="justify" vertical="center" wrapText="1"/>
    </xf>
    <xf numFmtId="0" fontId="8" fillId="0" borderId="23" xfId="5" applyFont="1" applyBorder="1" applyAlignment="1">
      <alignment horizontal="justify" vertical="center" wrapText="1"/>
    </xf>
    <xf numFmtId="0" fontId="8" fillId="0" borderId="29" xfId="5" applyFont="1" applyBorder="1" applyAlignment="1">
      <alignment horizontal="justify" vertical="center" wrapText="1"/>
    </xf>
    <xf numFmtId="3" fontId="5" fillId="0" borderId="35" xfId="0" applyNumberFormat="1" applyFont="1" applyBorder="1" applyAlignment="1">
      <alignment horizontal="justify" vertical="center" wrapText="1"/>
    </xf>
    <xf numFmtId="3" fontId="5" fillId="0" borderId="33" xfId="0" applyNumberFormat="1" applyFont="1" applyBorder="1" applyAlignment="1">
      <alignment horizontal="justify" vertical="center" wrapText="1"/>
    </xf>
    <xf numFmtId="3" fontId="5" fillId="0" borderId="26" xfId="0" applyNumberFormat="1" applyFont="1" applyBorder="1" applyAlignment="1">
      <alignment horizontal="justify" vertical="center" wrapText="1"/>
    </xf>
    <xf numFmtId="0" fontId="5" fillId="0" borderId="56" xfId="0" applyFont="1" applyFill="1" applyBorder="1" applyAlignment="1">
      <alignment horizontal="justify" vertical="center" wrapText="1"/>
    </xf>
    <xf numFmtId="0" fontId="5" fillId="0" borderId="23" xfId="0" applyFont="1" applyFill="1" applyBorder="1" applyAlignment="1">
      <alignment horizontal="justify" vertical="center" wrapText="1"/>
    </xf>
    <xf numFmtId="9" fontId="5" fillId="2" borderId="27" xfId="0" applyNumberFormat="1" applyFont="1" applyFill="1" applyBorder="1" applyAlignment="1">
      <alignment horizontal="center" vertical="center"/>
    </xf>
    <xf numFmtId="0" fontId="5" fillId="0" borderId="29" xfId="0" applyFont="1" applyFill="1" applyBorder="1" applyAlignment="1">
      <alignment horizontal="justify" vertical="center" wrapText="1"/>
    </xf>
    <xf numFmtId="0" fontId="8" fillId="0" borderId="12" xfId="5" applyFont="1" applyBorder="1" applyAlignment="1">
      <alignment horizontal="justify" vertical="center" wrapText="1"/>
    </xf>
    <xf numFmtId="0" fontId="8" fillId="2" borderId="26" xfId="5" applyFont="1" applyFill="1" applyBorder="1" applyAlignment="1">
      <alignment horizontal="center" vertical="center" wrapText="1"/>
    </xf>
    <xf numFmtId="0" fontId="8" fillId="0" borderId="2" xfId="14" applyFont="1" applyFill="1" applyBorder="1" applyAlignment="1">
      <alignment horizontal="center" vertical="center" wrapText="1"/>
    </xf>
    <xf numFmtId="165" fontId="5" fillId="2" borderId="39" xfId="0" applyNumberFormat="1" applyFont="1" applyFill="1" applyBorder="1" applyAlignment="1">
      <alignment horizontal="center" vertical="center" wrapText="1"/>
    </xf>
    <xf numFmtId="3" fontId="5" fillId="2" borderId="39" xfId="0" applyNumberFormat="1" applyFont="1" applyFill="1" applyBorder="1" applyAlignment="1">
      <alignment horizontal="center" vertical="center" wrapText="1"/>
    </xf>
    <xf numFmtId="169" fontId="8" fillId="0" borderId="25" xfId="11" applyFont="1" applyBorder="1" applyAlignment="1">
      <alignment horizontal="center" vertical="center" wrapText="1"/>
    </xf>
    <xf numFmtId="0" fontId="8" fillId="0" borderId="2" xfId="0" applyFont="1" applyBorder="1" applyAlignment="1">
      <alignment horizontal="center" vertical="center"/>
    </xf>
    <xf numFmtId="1" fontId="5" fillId="2" borderId="39" xfId="0" applyNumberFormat="1" applyFont="1" applyFill="1" applyBorder="1" applyAlignment="1">
      <alignment horizontal="center" vertical="center" wrapText="1"/>
    </xf>
    <xf numFmtId="1" fontId="5" fillId="2" borderId="54" xfId="0" applyNumberFormat="1" applyFont="1" applyFill="1" applyBorder="1" applyAlignment="1">
      <alignment horizontal="center" vertical="center" wrapText="1"/>
    </xf>
    <xf numFmtId="165" fontId="5" fillId="2" borderId="54" xfId="0" applyNumberFormat="1" applyFont="1" applyFill="1" applyBorder="1" applyAlignment="1">
      <alignment horizontal="center" vertical="center" wrapText="1"/>
    </xf>
    <xf numFmtId="3" fontId="5" fillId="2" borderId="54" xfId="0" applyNumberFormat="1" applyFont="1" applyFill="1" applyBorder="1" applyAlignment="1">
      <alignment horizontal="center" vertical="center" wrapText="1"/>
    </xf>
    <xf numFmtId="169" fontId="8" fillId="2" borderId="33" xfId="11" applyFont="1" applyFill="1" applyBorder="1" applyAlignment="1">
      <alignment horizontal="center" vertical="center"/>
    </xf>
    <xf numFmtId="0" fontId="8" fillId="2" borderId="53" xfId="0" applyFont="1" applyFill="1" applyBorder="1" applyAlignment="1">
      <alignment horizontal="justify" vertical="center" wrapText="1"/>
    </xf>
    <xf numFmtId="3" fontId="5" fillId="2" borderId="12" xfId="0" applyNumberFormat="1" applyFont="1" applyFill="1" applyBorder="1" applyAlignment="1">
      <alignment horizontal="justify" vertical="center" wrapText="1"/>
    </xf>
    <xf numFmtId="1" fontId="5" fillId="2" borderId="1" xfId="0" applyNumberFormat="1" applyFont="1" applyFill="1" applyBorder="1" applyAlignment="1">
      <alignment horizontal="center" vertical="center" wrapText="1"/>
    </xf>
    <xf numFmtId="9" fontId="5" fillId="2" borderId="23" xfId="0" applyNumberFormat="1" applyFont="1" applyFill="1" applyBorder="1" applyAlignment="1">
      <alignment horizontal="center" vertical="center" wrapText="1"/>
    </xf>
    <xf numFmtId="0" fontId="8" fillId="2" borderId="34" xfId="0" applyFont="1" applyFill="1" applyBorder="1" applyAlignment="1">
      <alignment horizontal="justify" vertical="center" wrapText="1"/>
    </xf>
    <xf numFmtId="0" fontId="8" fillId="2" borderId="28" xfId="14" applyFont="1" applyFill="1" applyBorder="1" applyAlignment="1">
      <alignment horizontal="center" vertical="center" wrapText="1"/>
    </xf>
    <xf numFmtId="0" fontId="8" fillId="2" borderId="28" xfId="5" applyFont="1" applyFill="1" applyBorder="1" applyAlignment="1">
      <alignment horizontal="justify" vertical="center" wrapText="1"/>
    </xf>
    <xf numFmtId="1" fontId="5" fillId="2" borderId="28" xfId="0" applyNumberFormat="1" applyFont="1" applyFill="1" applyBorder="1" applyAlignment="1">
      <alignment horizontal="center" vertical="center" wrapText="1"/>
    </xf>
    <xf numFmtId="10" fontId="5" fillId="2" borderId="32" xfId="0" applyNumberFormat="1" applyFont="1" applyFill="1" applyBorder="1" applyAlignment="1">
      <alignment horizontal="center" vertical="center" wrapText="1"/>
    </xf>
    <xf numFmtId="10" fontId="5" fillId="2" borderId="38" xfId="0" applyNumberFormat="1" applyFont="1" applyFill="1" applyBorder="1" applyAlignment="1">
      <alignment horizontal="center" vertical="center" wrapText="1"/>
    </xf>
    <xf numFmtId="169" fontId="8" fillId="0" borderId="28" xfId="11" applyFont="1" applyBorder="1" applyAlignment="1">
      <alignment horizontal="center" vertical="center" wrapText="1"/>
    </xf>
    <xf numFmtId="169" fontId="8" fillId="0" borderId="34" xfId="11" applyFont="1" applyBorder="1" applyAlignment="1">
      <alignment horizontal="center" vertical="center" wrapText="1"/>
    </xf>
    <xf numFmtId="3" fontId="5" fillId="2" borderId="28" xfId="0" applyNumberFormat="1"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38" xfId="0" applyFont="1" applyFill="1" applyBorder="1" applyAlignment="1">
      <alignment horizontal="justify" vertical="center" wrapText="1"/>
    </xf>
    <xf numFmtId="10" fontId="5" fillId="2" borderId="28" xfId="0" applyNumberFormat="1" applyFont="1" applyFill="1" applyBorder="1" applyAlignment="1">
      <alignment horizontal="center" vertical="center" wrapText="1"/>
    </xf>
    <xf numFmtId="0" fontId="8" fillId="0" borderId="40" xfId="5" applyFont="1" applyBorder="1" applyAlignment="1">
      <alignment horizontal="center" vertical="center" wrapText="1"/>
    </xf>
    <xf numFmtId="0" fontId="8" fillId="0" borderId="29" xfId="5" applyFont="1" applyBorder="1" applyAlignment="1">
      <alignment horizontal="center" vertical="center" wrapText="1"/>
    </xf>
    <xf numFmtId="0" fontId="8" fillId="0" borderId="15"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37" xfId="5" applyFont="1" applyBorder="1" applyAlignment="1">
      <alignment horizontal="center" vertical="center" wrapText="1"/>
    </xf>
    <xf numFmtId="0" fontId="5" fillId="2" borderId="56" xfId="0" applyFont="1" applyFill="1" applyBorder="1" applyAlignment="1">
      <alignment horizontal="justify" vertical="center" wrapText="1"/>
    </xf>
    <xf numFmtId="0" fontId="8" fillId="0" borderId="35" xfId="13" applyNumberFormat="1" applyFont="1" applyFill="1" applyBorder="1" applyAlignment="1">
      <alignment horizontal="center" vertical="center" wrapText="1"/>
    </xf>
    <xf numFmtId="0" fontId="8" fillId="0" borderId="40" xfId="13" applyNumberFormat="1" applyFont="1" applyFill="1" applyBorder="1" applyAlignment="1">
      <alignment horizontal="center" vertical="center" wrapText="1"/>
    </xf>
    <xf numFmtId="0" fontId="8" fillId="0" borderId="43" xfId="13" applyNumberFormat="1" applyFont="1" applyFill="1" applyBorder="1" applyAlignment="1">
      <alignment horizontal="center" vertical="center" wrapText="1"/>
    </xf>
    <xf numFmtId="169" fontId="8" fillId="0" borderId="18" xfId="11" applyFont="1" applyBorder="1" applyAlignment="1">
      <alignment horizontal="center" vertical="center" wrapText="1"/>
    </xf>
    <xf numFmtId="169" fontId="8" fillId="0" borderId="17" xfId="11" applyFont="1" applyBorder="1" applyAlignment="1">
      <alignment horizontal="center" vertical="center" wrapText="1"/>
    </xf>
    <xf numFmtId="3" fontId="5" fillId="2" borderId="41" xfId="0" applyNumberFormat="1" applyFont="1" applyFill="1" applyBorder="1" applyAlignment="1">
      <alignment horizontal="justify" vertical="center" wrapText="1"/>
    </xf>
    <xf numFmtId="3" fontId="5" fillId="2" borderId="42" xfId="0" applyNumberFormat="1" applyFont="1" applyFill="1" applyBorder="1" applyAlignment="1">
      <alignment horizontal="justify" vertical="center" wrapText="1"/>
    </xf>
    <xf numFmtId="3" fontId="5" fillId="2" borderId="44" xfId="0" applyNumberFormat="1" applyFont="1" applyFill="1" applyBorder="1" applyAlignment="1">
      <alignment horizontal="justify" vertical="center" wrapText="1"/>
    </xf>
    <xf numFmtId="0" fontId="8" fillId="0" borderId="7" xfId="5" applyFont="1" applyBorder="1" applyAlignment="1">
      <alignment horizontal="justify" vertical="center" wrapText="1"/>
    </xf>
    <xf numFmtId="0" fontId="8" fillId="0" borderId="11" xfId="5" applyFont="1" applyBorder="1" applyAlignment="1">
      <alignment horizontal="justify" vertical="center" wrapText="1"/>
    </xf>
    <xf numFmtId="10" fontId="5" fillId="2" borderId="31" xfId="0" applyNumberFormat="1" applyFont="1" applyFill="1" applyBorder="1" applyAlignment="1">
      <alignment horizontal="center" vertical="center" wrapText="1"/>
    </xf>
    <xf numFmtId="10" fontId="5" fillId="2" borderId="17" xfId="0" applyNumberFormat="1" applyFont="1" applyFill="1" applyBorder="1" applyAlignment="1">
      <alignment horizontal="center" vertical="center" wrapText="1"/>
    </xf>
    <xf numFmtId="10" fontId="5" fillId="2" borderId="60" xfId="0" applyNumberFormat="1" applyFont="1" applyFill="1" applyBorder="1" applyAlignment="1">
      <alignment horizontal="center" vertical="center" wrapText="1"/>
    </xf>
    <xf numFmtId="0" fontId="8" fillId="0" borderId="11" xfId="0" applyFont="1" applyBorder="1" applyAlignment="1">
      <alignment horizontal="justify" vertical="center" wrapText="1"/>
    </xf>
    <xf numFmtId="0" fontId="8" fillId="8" borderId="28" xfId="0" applyFont="1" applyFill="1" applyBorder="1" applyAlignment="1">
      <alignment horizontal="justify" vertical="center" wrapText="1"/>
    </xf>
    <xf numFmtId="169" fontId="8" fillId="0" borderId="23" xfId="11" applyFont="1" applyBorder="1" applyAlignment="1">
      <alignment horizontal="center" vertical="center"/>
    </xf>
    <xf numFmtId="169" fontId="8" fillId="0" borderId="43" xfId="11" applyFont="1" applyBorder="1" applyAlignment="1">
      <alignment horizontal="center" vertical="center"/>
    </xf>
    <xf numFmtId="0" fontId="8" fillId="8" borderId="26" xfId="0" applyFont="1" applyFill="1" applyBorder="1" applyAlignment="1">
      <alignment horizontal="justify" vertical="center" wrapText="1"/>
    </xf>
    <xf numFmtId="10" fontId="5" fillId="2" borderId="9" xfId="0" applyNumberFormat="1" applyFont="1" applyFill="1" applyBorder="1" applyAlignment="1">
      <alignment horizontal="center" vertical="center" wrapText="1"/>
    </xf>
    <xf numFmtId="10" fontId="5" fillId="2" borderId="1" xfId="0" applyNumberFormat="1" applyFont="1" applyFill="1" applyBorder="1" applyAlignment="1">
      <alignment horizontal="center" vertical="center" wrapText="1"/>
    </xf>
    <xf numFmtId="10" fontId="5" fillId="2" borderId="6" xfId="0" applyNumberFormat="1" applyFont="1" applyFill="1" applyBorder="1" applyAlignment="1">
      <alignment horizontal="center" vertical="center" wrapText="1"/>
    </xf>
    <xf numFmtId="1" fontId="2" fillId="4" borderId="8" xfId="0" applyNumberFormat="1" applyFont="1" applyFill="1" applyBorder="1" applyAlignment="1">
      <alignment horizontal="center" vertical="center" wrapText="1"/>
    </xf>
    <xf numFmtId="1" fontId="2" fillId="4" borderId="9" xfId="0" applyNumberFormat="1" applyFont="1" applyFill="1" applyBorder="1" applyAlignment="1">
      <alignment horizontal="center" vertical="center" wrapText="1"/>
    </xf>
    <xf numFmtId="0" fontId="3" fillId="4" borderId="10"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8" xfId="0" applyFont="1" applyFill="1" applyBorder="1" applyAlignment="1">
      <alignment horizontal="center" vertical="center"/>
    </xf>
    <xf numFmtId="0" fontId="2" fillId="0" borderId="1" xfId="0" applyFont="1" applyBorder="1" applyAlignment="1">
      <alignment horizontal="center" vertical="center" wrapText="1"/>
    </xf>
    <xf numFmtId="0" fontId="2" fillId="14" borderId="26" xfId="0" applyFont="1" applyFill="1" applyBorder="1" applyAlignment="1">
      <alignment horizontal="center" vertical="center"/>
    </xf>
    <xf numFmtId="0" fontId="2" fillId="14" borderId="28" xfId="0" applyFont="1" applyFill="1" applyBorder="1" applyAlignment="1">
      <alignment horizontal="center" vertical="center"/>
    </xf>
    <xf numFmtId="1" fontId="2" fillId="5" borderId="22" xfId="0" applyNumberFormat="1" applyFont="1" applyFill="1" applyBorder="1" applyAlignment="1">
      <alignment horizontal="center" vertical="center" wrapText="1"/>
    </xf>
    <xf numFmtId="1" fontId="2" fillId="5" borderId="25" xfId="0" applyNumberFormat="1" applyFont="1" applyFill="1" applyBorder="1" applyAlignment="1">
      <alignment horizontal="center" vertical="center" wrapText="1"/>
    </xf>
    <xf numFmtId="0" fontId="2" fillId="7" borderId="8" xfId="0"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22" xfId="13" applyNumberFormat="1" applyFont="1" applyFill="1" applyBorder="1" applyAlignment="1">
      <alignment horizontal="center" vertical="center"/>
    </xf>
    <xf numFmtId="0" fontId="8" fillId="0" borderId="25" xfId="13" applyNumberFormat="1" applyFont="1" applyFill="1" applyBorder="1" applyAlignment="1">
      <alignment horizontal="center" vertical="center"/>
    </xf>
    <xf numFmtId="0" fontId="8" fillId="0" borderId="27" xfId="13" applyNumberFormat="1" applyFont="1" applyFill="1" applyBorder="1" applyAlignment="1">
      <alignment horizontal="center" vertical="center"/>
    </xf>
    <xf numFmtId="0" fontId="8" fillId="0" borderId="22" xfId="5" applyFont="1" applyFill="1" applyBorder="1" applyAlignment="1">
      <alignment horizontal="justify" vertical="center" wrapText="1"/>
    </xf>
    <xf numFmtId="0" fontId="8" fillId="0" borderId="25" xfId="5" applyFont="1" applyFill="1" applyBorder="1" applyAlignment="1">
      <alignment horizontal="justify" vertical="center" wrapText="1"/>
    </xf>
    <xf numFmtId="0" fontId="8" fillId="0" borderId="27" xfId="5" applyFont="1" applyFill="1" applyBorder="1" applyAlignment="1">
      <alignment horizontal="justify" vertical="center" wrapText="1"/>
    </xf>
    <xf numFmtId="1" fontId="8" fillId="0" borderId="2" xfId="0" applyNumberFormat="1"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8" fillId="0" borderId="22" xfId="0" applyNumberFormat="1" applyFont="1" applyFill="1" applyBorder="1" applyAlignment="1">
      <alignment horizontal="justify" vertical="center" wrapText="1"/>
    </xf>
    <xf numFmtId="0" fontId="8" fillId="0" borderId="27" xfId="0" applyNumberFormat="1" applyFont="1" applyFill="1" applyBorder="1" applyAlignment="1">
      <alignment horizontal="justify" vertical="center" wrapText="1"/>
    </xf>
    <xf numFmtId="1" fontId="8" fillId="0" borderId="22" xfId="14" applyNumberFormat="1" applyFont="1" applyFill="1" applyBorder="1" applyAlignment="1">
      <alignment horizontal="center" vertical="center" wrapText="1"/>
    </xf>
    <xf numFmtId="1" fontId="8" fillId="0" borderId="27" xfId="14" applyNumberFormat="1" applyFont="1" applyFill="1" applyBorder="1" applyAlignment="1">
      <alignment horizontal="center" vertical="center" wrapText="1"/>
    </xf>
    <xf numFmtId="14" fontId="5" fillId="2" borderId="25" xfId="0" applyNumberFormat="1" applyFont="1" applyFill="1" applyBorder="1" applyAlignment="1">
      <alignment horizontal="center" vertical="center"/>
    </xf>
    <xf numFmtId="14" fontId="5" fillId="2" borderId="27" xfId="0" applyNumberFormat="1" applyFont="1" applyFill="1" applyBorder="1" applyAlignment="1">
      <alignment horizontal="center" vertical="center"/>
    </xf>
    <xf numFmtId="0" fontId="8" fillId="0" borderId="2" xfId="5"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169" fontId="8" fillId="0" borderId="22" xfId="9" applyFont="1" applyBorder="1" applyAlignment="1">
      <alignment horizontal="center" vertical="center" wrapText="1"/>
    </xf>
    <xf numFmtId="169" fontId="8" fillId="0" borderId="25" xfId="9" applyFont="1" applyBorder="1" applyAlignment="1">
      <alignment horizontal="center" vertical="center" wrapText="1"/>
    </xf>
    <xf numFmtId="169" fontId="8" fillId="0" borderId="27" xfId="9" applyFont="1" applyBorder="1" applyAlignment="1">
      <alignment horizontal="center" vertical="center" wrapText="1"/>
    </xf>
    <xf numFmtId="0" fontId="8" fillId="0" borderId="22" xfId="5" applyFont="1" applyFill="1" applyBorder="1" applyAlignment="1">
      <alignment horizontal="center" vertical="center" wrapText="1"/>
    </xf>
    <xf numFmtId="0" fontId="8" fillId="0" borderId="27" xfId="5" applyFont="1" applyFill="1" applyBorder="1" applyAlignment="1">
      <alignment horizontal="center" vertical="center" wrapText="1"/>
    </xf>
    <xf numFmtId="9" fontId="5" fillId="2" borderId="22" xfId="0" applyNumberFormat="1" applyFont="1" applyFill="1" applyBorder="1" applyAlignment="1">
      <alignment horizontal="center" vertical="center" wrapText="1"/>
    </xf>
    <xf numFmtId="9" fontId="5" fillId="2" borderId="27" xfId="0" applyNumberFormat="1" applyFont="1" applyFill="1" applyBorder="1" applyAlignment="1">
      <alignment horizontal="center" vertical="center" wrapText="1"/>
    </xf>
    <xf numFmtId="0" fontId="9" fillId="0" borderId="22" xfId="5" applyFont="1" applyFill="1" applyBorder="1" applyAlignment="1">
      <alignment horizontal="center" vertical="center" wrapText="1"/>
    </xf>
    <xf numFmtId="0" fontId="9" fillId="0" borderId="25" xfId="5" applyFont="1" applyFill="1" applyBorder="1" applyAlignment="1">
      <alignment horizontal="center" vertical="center" wrapText="1"/>
    </xf>
    <xf numFmtId="0" fontId="9" fillId="0" borderId="27" xfId="5"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2" borderId="25" xfId="0" applyNumberFormat="1"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14" fontId="5" fillId="2" borderId="25"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169" fontId="8" fillId="0" borderId="2" xfId="9" applyFont="1" applyBorder="1" applyAlignment="1">
      <alignment horizontal="center" vertical="center" wrapText="1"/>
    </xf>
    <xf numFmtId="1" fontId="5" fillId="0" borderId="22" xfId="0" applyNumberFormat="1" applyFont="1" applyBorder="1" applyAlignment="1">
      <alignment horizontal="center" vertical="center" wrapText="1"/>
    </xf>
    <xf numFmtId="1" fontId="5" fillId="0" borderId="25"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2" xfId="14" applyNumberFormat="1" applyFont="1" applyFill="1" applyBorder="1" applyAlignment="1">
      <alignment horizontal="center" vertical="center" wrapText="1"/>
    </xf>
    <xf numFmtId="0" fontId="8" fillId="0" borderId="27" xfId="14" applyNumberFormat="1" applyFont="1" applyFill="1" applyBorder="1" applyAlignment="1">
      <alignment horizontal="center" vertical="center" wrapText="1"/>
    </xf>
    <xf numFmtId="0" fontId="8" fillId="8" borderId="2" xfId="0" applyFont="1" applyFill="1" applyBorder="1" applyAlignment="1">
      <alignment horizontal="center" vertical="center" wrapText="1"/>
    </xf>
    <xf numFmtId="169" fontId="8" fillId="0" borderId="2" xfId="9" applyFont="1" applyBorder="1" applyAlignment="1">
      <alignment horizontal="center" vertical="center"/>
    </xf>
    <xf numFmtId="1" fontId="5" fillId="0" borderId="22" xfId="0" applyNumberFormat="1" applyFont="1" applyFill="1" applyBorder="1" applyAlignment="1">
      <alignment horizontal="center" vertical="center" wrapText="1"/>
    </xf>
    <xf numFmtId="1" fontId="5" fillId="0" borderId="27"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169" fontId="8" fillId="0" borderId="22" xfId="9" applyFont="1" applyFill="1" applyBorder="1" applyAlignment="1">
      <alignment horizontal="center" vertical="center" wrapText="1"/>
    </xf>
    <xf numFmtId="169" fontId="8" fillId="0" borderId="27" xfId="9"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12" xfId="0" applyNumberFormat="1" applyFont="1" applyFill="1" applyBorder="1" applyAlignment="1">
      <alignment horizontal="center" vertical="center" wrapText="1"/>
    </xf>
    <xf numFmtId="165" fontId="5" fillId="0" borderId="11"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xf>
    <xf numFmtId="169" fontId="5" fillId="0" borderId="2" xfId="9" applyFont="1" applyFill="1" applyBorder="1" applyAlignment="1">
      <alignment horizontal="center" vertical="center"/>
    </xf>
    <xf numFmtId="1" fontId="5" fillId="0" borderId="34" xfId="0" applyNumberFormat="1" applyFont="1" applyBorder="1" applyAlignment="1">
      <alignment horizontal="center" vertical="center"/>
    </xf>
    <xf numFmtId="1" fontId="5" fillId="0" borderId="28" xfId="0" applyNumberFormat="1" applyFont="1" applyBorder="1" applyAlignment="1">
      <alignment horizontal="center" vertical="center" wrapText="1"/>
    </xf>
    <xf numFmtId="14" fontId="5" fillId="0" borderId="41" xfId="0" applyNumberFormat="1" applyFont="1" applyFill="1" applyBorder="1" applyAlignment="1">
      <alignment horizontal="center" vertical="center"/>
    </xf>
    <xf numFmtId="14" fontId="5" fillId="0" borderId="44" xfId="0" applyNumberFormat="1" applyFont="1" applyFill="1" applyBorder="1" applyAlignment="1">
      <alignment horizontal="center" vertical="center"/>
    </xf>
    <xf numFmtId="1" fontId="5" fillId="0" borderId="28" xfId="0" applyNumberFormat="1" applyFont="1" applyFill="1" applyBorder="1" applyAlignment="1">
      <alignment horizontal="center" vertical="center" wrapText="1"/>
    </xf>
    <xf numFmtId="1" fontId="5" fillId="0" borderId="7"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12"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6" xfId="0" applyNumberFormat="1" applyFont="1" applyBorder="1" applyAlignment="1">
      <alignment horizontal="center" vertical="center"/>
    </xf>
    <xf numFmtId="0" fontId="8" fillId="0" borderId="2" xfId="5" applyFont="1" applyFill="1" applyBorder="1" applyAlignment="1">
      <alignment horizontal="justify" vertical="center" wrapText="1"/>
    </xf>
    <xf numFmtId="0" fontId="8" fillId="0" borderId="2" xfId="5"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69" fontId="5" fillId="0" borderId="2" xfId="9" applyFont="1" applyBorder="1" applyAlignment="1">
      <alignment horizontal="center" vertical="center"/>
    </xf>
    <xf numFmtId="0" fontId="5" fillId="0" borderId="0" xfId="0" applyFont="1" applyBorder="1" applyAlignment="1">
      <alignment horizontal="justify" vertical="center" wrapText="1"/>
    </xf>
    <xf numFmtId="0" fontId="5" fillId="0" borderId="5" xfId="0" applyFont="1" applyBorder="1" applyAlignment="1">
      <alignment horizontal="justify" vertical="center" wrapText="1"/>
    </xf>
    <xf numFmtId="14" fontId="5" fillId="0" borderId="7" xfId="0" applyNumberFormat="1" applyFont="1" applyFill="1" applyBorder="1" applyAlignment="1">
      <alignment horizontal="center" vertical="center"/>
    </xf>
    <xf numFmtId="14" fontId="5" fillId="0" borderId="12" xfId="0" applyNumberFormat="1" applyFont="1" applyFill="1" applyBorder="1" applyAlignment="1">
      <alignment horizontal="center" vertical="center"/>
    </xf>
    <xf numFmtId="14"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 fontId="5" fillId="2" borderId="20" xfId="0" applyNumberFormat="1" applyFont="1" applyFill="1" applyBorder="1" applyAlignment="1">
      <alignment horizontal="center" vertical="center" wrapText="1"/>
    </xf>
    <xf numFmtId="0" fontId="8" fillId="2" borderId="2" xfId="5" applyFont="1" applyFill="1" applyBorder="1" applyAlignment="1">
      <alignment horizontal="center" vertical="center"/>
    </xf>
    <xf numFmtId="9" fontId="5" fillId="0" borderId="2" xfId="0" applyNumberFormat="1" applyFont="1" applyFill="1" applyBorder="1" applyAlignment="1">
      <alignment horizontal="center" vertical="center" wrapText="1"/>
    </xf>
    <xf numFmtId="169" fontId="8" fillId="0" borderId="2" xfId="9" applyFont="1" applyFill="1" applyBorder="1" applyAlignment="1">
      <alignment horizontal="center" vertical="center"/>
    </xf>
    <xf numFmtId="9" fontId="5" fillId="0" borderId="25"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xf>
    <xf numFmtId="14" fontId="5" fillId="0" borderId="27"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wrapText="1"/>
    </xf>
    <xf numFmtId="3" fontId="5" fillId="2" borderId="18"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25" xfId="0" applyNumberFormat="1" applyFont="1" applyFill="1" applyBorder="1" applyAlignment="1">
      <alignment horizontal="justify" vertical="center" wrapText="1"/>
    </xf>
    <xf numFmtId="1" fontId="5" fillId="0" borderId="25"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xf>
    <xf numFmtId="0" fontId="2" fillId="11" borderId="83" xfId="0" applyFont="1" applyFill="1" applyBorder="1" applyAlignment="1">
      <alignment horizontal="left" vertical="center"/>
    </xf>
    <xf numFmtId="0" fontId="2" fillId="11" borderId="46" xfId="0" applyFont="1" applyFill="1" applyBorder="1" applyAlignment="1">
      <alignment horizontal="left" vertical="center"/>
    </xf>
    <xf numFmtId="0" fontId="8" fillId="8" borderId="28" xfId="0" applyFont="1" applyFill="1" applyBorder="1" applyAlignment="1">
      <alignment horizontal="center" vertical="center" wrapText="1"/>
    </xf>
    <xf numFmtId="0" fontId="8" fillId="0" borderId="55" xfId="0" applyFont="1" applyBorder="1" applyAlignment="1">
      <alignment horizontal="justify" vertical="center" wrapText="1"/>
    </xf>
    <xf numFmtId="169" fontId="8" fillId="0" borderId="56" xfId="9" applyFont="1" applyFill="1" applyBorder="1" applyAlignment="1">
      <alignment horizontal="center" vertical="center"/>
    </xf>
    <xf numFmtId="169" fontId="8" fillId="0" borderId="23" xfId="9" applyFont="1" applyFill="1" applyBorder="1" applyAlignment="1">
      <alignment horizontal="center" vertical="center"/>
    </xf>
    <xf numFmtId="169" fontId="8" fillId="0" borderId="29" xfId="9" applyFont="1" applyFill="1" applyBorder="1" applyAlignment="1">
      <alignment horizontal="center" vertical="center"/>
    </xf>
    <xf numFmtId="0" fontId="5" fillId="0" borderId="41" xfId="0" applyFont="1" applyFill="1" applyBorder="1" applyAlignment="1">
      <alignment horizontal="justify" vertical="center" wrapText="1"/>
    </xf>
    <xf numFmtId="0" fontId="5" fillId="0" borderId="42" xfId="0" applyFont="1" applyFill="1" applyBorder="1" applyAlignment="1">
      <alignment horizontal="justify" vertical="center" wrapText="1"/>
    </xf>
    <xf numFmtId="0" fontId="5" fillId="0" borderId="44" xfId="0" applyFont="1" applyFill="1" applyBorder="1" applyAlignment="1">
      <alignment horizontal="justify" vertical="center" wrapText="1"/>
    </xf>
    <xf numFmtId="169" fontId="8" fillId="0" borderId="22" xfId="9" applyFont="1" applyFill="1" applyBorder="1" applyAlignment="1">
      <alignment horizontal="center" vertical="center"/>
    </xf>
    <xf numFmtId="169" fontId="8" fillId="0" borderId="25" xfId="9" applyFont="1" applyFill="1" applyBorder="1" applyAlignment="1">
      <alignment horizontal="center" vertical="center"/>
    </xf>
    <xf numFmtId="169" fontId="8" fillId="0" borderId="27" xfId="9" applyFont="1" applyFill="1" applyBorder="1" applyAlignment="1">
      <alignment horizontal="center" vertical="center"/>
    </xf>
    <xf numFmtId="1" fontId="5" fillId="2" borderId="16" xfId="0" applyNumberFormat="1" applyFont="1" applyFill="1" applyBorder="1" applyAlignment="1">
      <alignment horizontal="center" vertical="center" wrapText="1"/>
    </xf>
    <xf numFmtId="0" fontId="5" fillId="2" borderId="30" xfId="0" applyFont="1" applyFill="1" applyBorder="1" applyAlignment="1">
      <alignment horizontal="center" vertical="center" wrapText="1"/>
    </xf>
    <xf numFmtId="0" fontId="8" fillId="2" borderId="22" xfId="5" applyFont="1" applyFill="1" applyBorder="1" applyAlignment="1">
      <alignment horizontal="center" vertical="center"/>
    </xf>
    <xf numFmtId="0" fontId="8" fillId="2" borderId="25" xfId="5" applyFont="1" applyFill="1" applyBorder="1" applyAlignment="1">
      <alignment horizontal="center" vertical="center"/>
    </xf>
    <xf numFmtId="0" fontId="8" fillId="2" borderId="27" xfId="5"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1" fontId="2" fillId="4" borderId="13" xfId="0" applyNumberFormat="1" applyFont="1" applyFill="1" applyBorder="1" applyAlignment="1">
      <alignment horizontal="center" vertical="center"/>
    </xf>
    <xf numFmtId="1" fontId="2" fillId="4" borderId="10" xfId="0" applyNumberFormat="1" applyFont="1" applyFill="1" applyBorder="1" applyAlignment="1">
      <alignment horizontal="center" vertical="center"/>
    </xf>
    <xf numFmtId="0" fontId="2" fillId="14" borderId="13" xfId="0" applyFont="1" applyFill="1" applyBorder="1" applyAlignment="1">
      <alignment horizontal="center" vertical="center"/>
    </xf>
    <xf numFmtId="0" fontId="2" fillId="14" borderId="14" xfId="0" applyFont="1" applyFill="1" applyBorder="1" applyAlignment="1">
      <alignment horizontal="center" vertical="center"/>
    </xf>
    <xf numFmtId="3" fontId="2" fillId="5" borderId="27" xfId="0" applyNumberFormat="1" applyFont="1" applyFill="1" applyBorder="1" applyAlignment="1">
      <alignment horizontal="center" vertical="center" wrapText="1"/>
    </xf>
    <xf numFmtId="0" fontId="3" fillId="9" borderId="24" xfId="0" applyFont="1" applyFill="1" applyBorder="1" applyAlignment="1">
      <alignment horizontal="left" vertical="center"/>
    </xf>
    <xf numFmtId="0" fontId="3" fillId="9" borderId="8" xfId="0" applyFont="1" applyFill="1" applyBorder="1" applyAlignment="1">
      <alignment horizontal="left" vertical="center"/>
    </xf>
    <xf numFmtId="0" fontId="3" fillId="11" borderId="45" xfId="0" applyFont="1" applyFill="1" applyBorder="1" applyAlignment="1">
      <alignment horizontal="left" vertical="center"/>
    </xf>
    <xf numFmtId="165" fontId="5" fillId="2" borderId="2" xfId="0" applyNumberFormat="1" applyFont="1" applyFill="1" applyBorder="1" applyAlignment="1">
      <alignment horizontal="center" vertical="center" wrapText="1"/>
    </xf>
    <xf numFmtId="169" fontId="8" fillId="0" borderId="2" xfId="0" applyNumberFormat="1" applyFont="1" applyBorder="1" applyAlignment="1">
      <alignment horizontal="center" vertical="center" wrapText="1"/>
    </xf>
    <xf numFmtId="3" fontId="5" fillId="0" borderId="34" xfId="0" applyNumberFormat="1" applyFont="1" applyBorder="1" applyAlignment="1">
      <alignment horizontal="center" vertical="center"/>
    </xf>
    <xf numFmtId="3" fontId="5" fillId="0" borderId="18" xfId="0" applyNumberFormat="1" applyFont="1" applyBorder="1" applyAlignment="1">
      <alignment horizontal="center" vertical="center"/>
    </xf>
    <xf numFmtId="0" fontId="8" fillId="0" borderId="35" xfId="10" applyNumberFormat="1" applyFont="1" applyBorder="1" applyAlignment="1">
      <alignment horizontal="justify" vertical="center" wrapText="1"/>
    </xf>
    <xf numFmtId="169" fontId="8" fillId="0" borderId="19" xfId="10" applyFont="1" applyBorder="1" applyAlignment="1">
      <alignment horizontal="justify" vertical="center" wrapText="1"/>
    </xf>
    <xf numFmtId="0" fontId="8" fillId="2" borderId="35" xfId="5" applyFont="1" applyFill="1" applyBorder="1" applyAlignment="1">
      <alignment horizontal="center" vertical="center"/>
    </xf>
    <xf numFmtId="0" fontId="8" fillId="0" borderId="35" xfId="5" applyFont="1" applyBorder="1" applyAlignment="1">
      <alignment horizontal="center" vertical="center" wrapText="1"/>
    </xf>
    <xf numFmtId="3" fontId="8" fillId="0" borderId="2" xfId="0" applyNumberFormat="1" applyFont="1" applyBorder="1" applyAlignment="1">
      <alignment horizontal="center" vertical="center" wrapText="1"/>
    </xf>
    <xf numFmtId="0" fontId="8" fillId="0" borderId="2" xfId="11" applyNumberFormat="1" applyFont="1" applyFill="1" applyBorder="1" applyAlignment="1">
      <alignment horizontal="justify" vertical="center" wrapText="1"/>
    </xf>
    <xf numFmtId="169" fontId="8" fillId="0" borderId="2" xfId="0" applyNumberFormat="1" applyFont="1" applyBorder="1" applyAlignment="1">
      <alignment horizontal="justify" vertical="center" wrapText="1"/>
    </xf>
    <xf numFmtId="169" fontId="8" fillId="0" borderId="22" xfId="0" applyNumberFormat="1" applyFont="1" applyBorder="1" applyAlignment="1">
      <alignment horizontal="justify" vertical="center" wrapText="1"/>
    </xf>
    <xf numFmtId="169" fontId="8" fillId="0" borderId="27" xfId="0" applyNumberFormat="1" applyFont="1" applyBorder="1" applyAlignment="1">
      <alignment horizontal="justify" vertical="center" wrapText="1"/>
    </xf>
    <xf numFmtId="9" fontId="8" fillId="0" borderId="35" xfId="0" applyNumberFormat="1" applyFont="1" applyBorder="1" applyAlignment="1">
      <alignment horizontal="center" vertical="center" wrapText="1"/>
    </xf>
    <xf numFmtId="3" fontId="8" fillId="0" borderId="35" xfId="0" applyNumberFormat="1" applyFont="1" applyBorder="1" applyAlignment="1">
      <alignment horizontal="center" vertical="center" wrapText="1"/>
    </xf>
    <xf numFmtId="0" fontId="8" fillId="0" borderId="22" xfId="10" applyNumberFormat="1" applyFont="1" applyBorder="1" applyAlignment="1">
      <alignment horizontal="center" vertical="center"/>
    </xf>
    <xf numFmtId="0" fontId="8" fillId="0" borderId="27" xfId="10" applyNumberFormat="1" applyFont="1" applyBorder="1" applyAlignment="1">
      <alignment horizontal="center" vertical="center"/>
    </xf>
    <xf numFmtId="169" fontId="8" fillId="0" borderId="2" xfId="10" applyFont="1" applyBorder="1" applyAlignment="1">
      <alignment horizontal="center" vertical="center" wrapText="1"/>
    </xf>
    <xf numFmtId="169" fontId="8" fillId="0" borderId="22" xfId="10" applyFont="1" applyBorder="1" applyAlignment="1">
      <alignment horizontal="center" vertical="center" wrapText="1"/>
    </xf>
    <xf numFmtId="0" fontId="8" fillId="2" borderId="33" xfId="5" applyFont="1" applyFill="1" applyBorder="1" applyAlignment="1">
      <alignment horizontal="center" vertical="center"/>
    </xf>
    <xf numFmtId="0" fontId="8" fillId="8" borderId="35" xfId="0" applyFont="1" applyFill="1" applyBorder="1" applyAlignment="1">
      <alignment horizontal="justify" vertical="center" wrapText="1"/>
    </xf>
    <xf numFmtId="0" fontId="8" fillId="8" borderId="33" xfId="0" applyFont="1" applyFill="1" applyBorder="1" applyAlignment="1">
      <alignment horizontal="justify" vertical="center" wrapText="1"/>
    </xf>
    <xf numFmtId="9" fontId="8" fillId="0" borderId="33" xfId="0" applyNumberFormat="1" applyFont="1" applyBorder="1" applyAlignment="1">
      <alignment horizontal="center" vertical="center" wrapText="1"/>
    </xf>
    <xf numFmtId="0" fontId="3" fillId="11" borderId="24" xfId="0" applyFont="1" applyFill="1" applyBorder="1" applyAlignment="1">
      <alignment horizontal="left" vertical="center"/>
    </xf>
    <xf numFmtId="0" fontId="3" fillId="11" borderId="0" xfId="0" applyFont="1" applyFill="1" applyBorder="1" applyAlignment="1">
      <alignment horizontal="left" vertical="center"/>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3" fontId="5" fillId="0" borderId="32"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8" fillId="0" borderId="33" xfId="0" applyNumberFormat="1" applyFont="1" applyBorder="1" applyAlignment="1">
      <alignment horizontal="center" vertical="center" wrapText="1"/>
    </xf>
    <xf numFmtId="165" fontId="5" fillId="2" borderId="0" xfId="0" applyNumberFormat="1" applyFont="1" applyFill="1" applyBorder="1" applyAlignment="1">
      <alignment horizontal="center" vertical="center" wrapText="1"/>
    </xf>
    <xf numFmtId="169" fontId="8" fillId="0" borderId="27"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166" fontId="9" fillId="0" borderId="25" xfId="25"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1" fontId="5" fillId="2" borderId="9" xfId="0" applyNumberFormat="1" applyFont="1" applyFill="1" applyBorder="1" applyAlignment="1">
      <alignment horizontal="center" vertical="center"/>
    </xf>
    <xf numFmtId="3" fontId="8" fillId="0" borderId="27" xfId="5" applyNumberFormat="1" applyFont="1" applyBorder="1" applyAlignment="1">
      <alignment horizontal="center" vertical="center" wrapText="1"/>
    </xf>
    <xf numFmtId="3" fontId="8" fillId="0" borderId="22" xfId="5" applyNumberFormat="1" applyFont="1" applyBorder="1" applyAlignment="1">
      <alignment horizontal="center" vertical="center" wrapText="1"/>
    </xf>
    <xf numFmtId="1" fontId="8" fillId="0" borderId="27" xfId="0" applyNumberFormat="1" applyFont="1" applyBorder="1" applyAlignment="1">
      <alignment horizontal="center" vertical="center" wrapText="1"/>
    </xf>
    <xf numFmtId="1" fontId="8" fillId="0" borderId="22"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5" fillId="2" borderId="28" xfId="0" applyNumberFormat="1" applyFont="1" applyFill="1" applyBorder="1" applyAlignment="1">
      <alignment horizontal="center" vertical="center" wrapText="1"/>
    </xf>
    <xf numFmtId="1" fontId="2" fillId="7" borderId="12" xfId="0" applyNumberFormat="1" applyFont="1" applyFill="1" applyBorder="1" applyAlignment="1">
      <alignment horizontal="left" vertical="center"/>
    </xf>
    <xf numFmtId="1" fontId="2" fillId="7" borderId="0" xfId="0" applyNumberFormat="1" applyFont="1" applyFill="1" applyBorder="1" applyAlignment="1">
      <alignment horizontal="left" vertical="center"/>
    </xf>
    <xf numFmtId="1" fontId="2" fillId="7" borderId="8" xfId="0" applyNumberFormat="1" applyFont="1" applyFill="1" applyBorder="1" applyAlignment="1">
      <alignment horizontal="left" vertical="center"/>
    </xf>
    <xf numFmtId="1" fontId="2" fillId="7" borderId="0" xfId="0" applyNumberFormat="1" applyFont="1" applyFill="1" applyAlignment="1">
      <alignment horizontal="left" vertical="center"/>
    </xf>
    <xf numFmtId="0" fontId="3" fillId="9" borderId="19" xfId="0" applyFont="1" applyFill="1" applyBorder="1" applyAlignment="1">
      <alignment horizontal="left" vertical="center" wrapText="1"/>
    </xf>
    <xf numFmtId="0" fontId="3" fillId="9" borderId="21" xfId="0" applyFont="1" applyFill="1" applyBorder="1" applyAlignment="1">
      <alignment horizontal="left" vertical="center" wrapText="1"/>
    </xf>
    <xf numFmtId="3" fontId="5" fillId="0" borderId="28" xfId="0" applyNumberFormat="1" applyFont="1" applyBorder="1" applyAlignment="1">
      <alignment horizontal="center" vertical="center" wrapText="1"/>
    </xf>
    <xf numFmtId="3" fontId="8" fillId="0" borderId="28" xfId="5" applyNumberFormat="1" applyFont="1" applyBorder="1" applyAlignment="1">
      <alignment horizontal="center" vertical="center" wrapText="1"/>
    </xf>
    <xf numFmtId="9" fontId="5" fillId="2" borderId="28" xfId="0" applyNumberFormat="1" applyFont="1" applyFill="1" applyBorder="1" applyAlignment="1">
      <alignment horizontal="center" vertical="center"/>
    </xf>
    <xf numFmtId="166" fontId="9" fillId="0" borderId="28" xfId="25" applyNumberFormat="1" applyFont="1" applyFill="1" applyBorder="1" applyAlignment="1">
      <alignment horizontal="center" vertical="center"/>
    </xf>
    <xf numFmtId="0" fontId="2" fillId="11" borderId="0" xfId="0" applyFont="1" applyFill="1" applyAlignment="1">
      <alignment horizontal="left" vertical="center"/>
    </xf>
    <xf numFmtId="49" fontId="8" fillId="0" borderId="28"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49" fontId="8" fillId="0" borderId="22" xfId="0" applyNumberFormat="1" applyFont="1" applyBorder="1" applyAlignment="1">
      <alignment horizontal="justify" vertical="center" wrapText="1"/>
    </xf>
    <xf numFmtId="49" fontId="8" fillId="0" borderId="25" xfId="0" applyNumberFormat="1" applyFont="1" applyBorder="1" applyAlignment="1">
      <alignment horizontal="justify" vertical="center" wrapText="1"/>
    </xf>
    <xf numFmtId="49" fontId="8" fillId="0" borderId="54" xfId="0" applyNumberFormat="1" applyFont="1" applyBorder="1" applyAlignment="1">
      <alignment horizontal="justify" vertical="center" wrapText="1"/>
    </xf>
    <xf numFmtId="49" fontId="8" fillId="0" borderId="7" xfId="0" applyNumberFormat="1" applyFont="1" applyBorder="1" applyAlignment="1">
      <alignment horizontal="justify" vertical="center" wrapText="1"/>
    </xf>
    <xf numFmtId="49" fontId="8" fillId="0" borderId="12" xfId="0" applyNumberFormat="1" applyFont="1" applyBorder="1" applyAlignment="1">
      <alignment horizontal="justify" vertical="center" wrapText="1"/>
    </xf>
    <xf numFmtId="49" fontId="8" fillId="0" borderId="48" xfId="0" applyNumberFormat="1" applyFont="1" applyBorder="1" applyAlignment="1">
      <alignment horizontal="justify" vertical="center" wrapText="1"/>
    </xf>
    <xf numFmtId="10" fontId="8" fillId="0" borderId="22" xfId="5" applyNumberFormat="1" applyFont="1" applyBorder="1" applyAlignment="1">
      <alignment horizontal="center" vertical="center" wrapText="1"/>
    </xf>
    <xf numFmtId="10" fontId="8" fillId="0" borderId="25" xfId="5" applyNumberFormat="1" applyFont="1" applyBorder="1" applyAlignment="1">
      <alignment horizontal="center" vertical="center" wrapText="1"/>
    </xf>
    <xf numFmtId="1" fontId="5" fillId="0" borderId="14"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28" xfId="0" applyFont="1" applyFill="1" applyBorder="1" applyAlignment="1">
      <alignment horizontal="justify" vertical="center" wrapText="1"/>
    </xf>
    <xf numFmtId="178" fontId="9" fillId="0" borderId="9" xfId="25" applyNumberFormat="1" applyFont="1" applyFill="1" applyBorder="1" applyAlignment="1">
      <alignment horizontal="center" vertical="center"/>
    </xf>
    <xf numFmtId="178" fontId="9" fillId="0" borderId="1" xfId="25" applyNumberFormat="1" applyFont="1" applyFill="1" applyBorder="1" applyAlignment="1">
      <alignment horizontal="center" vertical="center"/>
    </xf>
    <xf numFmtId="0" fontId="8" fillId="0" borderId="18"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36" xfId="0" applyFont="1" applyBorder="1" applyAlignment="1">
      <alignment horizontal="justify" vertical="center" wrapText="1"/>
    </xf>
    <xf numFmtId="1" fontId="5" fillId="0" borderId="9"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8" fillId="0" borderId="60" xfId="0" applyFont="1" applyBorder="1" applyAlignment="1">
      <alignment horizontal="justify" vertical="center" wrapText="1"/>
    </xf>
    <xf numFmtId="1" fontId="5" fillId="0" borderId="35" xfId="0" applyNumberFormat="1" applyFont="1" applyFill="1" applyBorder="1" applyAlignment="1">
      <alignment horizontal="center" vertical="center"/>
    </xf>
    <xf numFmtId="0" fontId="5" fillId="0" borderId="35" xfId="0" applyFont="1" applyFill="1" applyBorder="1" applyAlignment="1">
      <alignment horizontal="justify" vertical="center" wrapText="1"/>
    </xf>
    <xf numFmtId="49" fontId="5" fillId="2" borderId="54" xfId="0" applyNumberFormat="1" applyFont="1" applyFill="1" applyBorder="1" applyAlignment="1">
      <alignment horizontal="center" vertical="center" wrapText="1"/>
    </xf>
    <xf numFmtId="49" fontId="8" fillId="0" borderId="35"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49" fontId="8" fillId="0" borderId="38" xfId="0" applyNumberFormat="1" applyFont="1" applyBorder="1" applyAlignment="1">
      <alignment horizontal="center" vertical="center" wrapText="1"/>
    </xf>
    <xf numFmtId="0" fontId="8" fillId="0" borderId="69" xfId="0" applyFont="1" applyBorder="1" applyAlignment="1">
      <alignment horizontal="justify" vertical="center" wrapText="1"/>
    </xf>
    <xf numFmtId="3" fontId="5" fillId="0" borderId="25" xfId="0" applyNumberFormat="1" applyFont="1" applyBorder="1" applyAlignment="1">
      <alignment horizontal="center" vertical="center" wrapText="1"/>
    </xf>
    <xf numFmtId="10" fontId="8" fillId="0" borderId="10" xfId="5"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10" fontId="8" fillId="0" borderId="19" xfId="5" applyNumberFormat="1" applyFont="1" applyBorder="1" applyAlignment="1">
      <alignment horizontal="center" vertical="center" wrapText="1"/>
    </xf>
    <xf numFmtId="10" fontId="8" fillId="0" borderId="15" xfId="5" applyNumberFormat="1" applyFont="1" applyBorder="1" applyAlignment="1">
      <alignment horizontal="center" vertical="center" wrapText="1"/>
    </xf>
    <xf numFmtId="10" fontId="8" fillId="0" borderId="30" xfId="5" applyNumberFormat="1" applyFont="1" applyBorder="1" applyAlignment="1">
      <alignment horizontal="center" vertical="center" wrapText="1"/>
    </xf>
    <xf numFmtId="10" fontId="8" fillId="0" borderId="18" xfId="3" applyNumberFormat="1" applyFont="1" applyFill="1" applyBorder="1" applyAlignment="1">
      <alignment horizontal="center" vertical="center" wrapText="1"/>
    </xf>
    <xf numFmtId="10" fontId="8" fillId="0" borderId="17" xfId="3" applyNumberFormat="1" applyFont="1" applyFill="1" applyBorder="1" applyAlignment="1">
      <alignment horizontal="center" vertical="center" wrapText="1"/>
    </xf>
    <xf numFmtId="10" fontId="8" fillId="0" borderId="36" xfId="3" applyNumberFormat="1" applyFont="1" applyFill="1" applyBorder="1" applyAlignment="1">
      <alignment horizontal="center" vertical="center" wrapText="1"/>
    </xf>
    <xf numFmtId="10" fontId="8" fillId="0" borderId="18" xfId="5" applyNumberFormat="1" applyFont="1" applyBorder="1" applyAlignment="1">
      <alignment horizontal="center" vertical="center" wrapText="1"/>
    </xf>
    <xf numFmtId="10" fontId="8" fillId="0" borderId="17" xfId="5" applyNumberFormat="1" applyFont="1" applyBorder="1" applyAlignment="1">
      <alignment horizontal="center" vertical="center" wrapText="1"/>
    </xf>
    <xf numFmtId="10" fontId="8" fillId="0" borderId="60" xfId="5"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35" xfId="16" applyNumberFormat="1" applyFont="1" applyFill="1" applyBorder="1" applyAlignment="1">
      <alignment horizontal="center" vertical="center" wrapText="1"/>
    </xf>
    <xf numFmtId="0" fontId="8" fillId="0" borderId="33" xfId="16" applyNumberFormat="1" applyFont="1" applyFill="1" applyBorder="1" applyAlignment="1">
      <alignment horizontal="center" vertical="center" wrapText="1"/>
    </xf>
    <xf numFmtId="0" fontId="8" fillId="0" borderId="26" xfId="16" applyNumberFormat="1" applyFont="1" applyFill="1" applyBorder="1" applyAlignment="1">
      <alignment horizontal="center" vertical="center" wrapText="1"/>
    </xf>
    <xf numFmtId="178" fontId="9" fillId="0" borderId="2" xfId="25" applyNumberFormat="1" applyFont="1" applyFill="1" applyBorder="1" applyAlignment="1">
      <alignment horizontal="center" vertical="center"/>
    </xf>
    <xf numFmtId="0" fontId="8" fillId="0" borderId="33" xfId="13" applyNumberFormat="1" applyFont="1" applyFill="1" applyBorder="1" applyAlignment="1">
      <alignment horizontal="center" vertical="center" wrapText="1"/>
    </xf>
    <xf numFmtId="3" fontId="8" fillId="0" borderId="53" xfId="5" applyNumberFormat="1" applyFont="1" applyBorder="1" applyAlignment="1">
      <alignment horizontal="center" vertical="center" wrapText="1"/>
    </xf>
    <xf numFmtId="3" fontId="8" fillId="0" borderId="42" xfId="5" applyNumberFormat="1" applyFont="1" applyBorder="1" applyAlignment="1">
      <alignment horizontal="center" vertical="center" wrapText="1"/>
    </xf>
    <xf numFmtId="3" fontId="8" fillId="0" borderId="55" xfId="5" applyNumberFormat="1" applyFont="1" applyBorder="1" applyAlignment="1">
      <alignment horizontal="center" vertical="center" wrapText="1"/>
    </xf>
    <xf numFmtId="3" fontId="8" fillId="0" borderId="19" xfId="5" applyNumberFormat="1" applyFont="1" applyBorder="1" applyAlignment="1">
      <alignment horizontal="center" vertical="center" wrapText="1"/>
    </xf>
    <xf numFmtId="3" fontId="8" fillId="0" borderId="15" xfId="5" applyNumberFormat="1" applyFont="1" applyBorder="1" applyAlignment="1">
      <alignment horizontal="center" vertical="center" wrapText="1"/>
    </xf>
    <xf numFmtId="3" fontId="8" fillId="0" borderId="30" xfId="5" applyNumberFormat="1" applyFont="1" applyBorder="1" applyAlignment="1">
      <alignment horizontal="center" vertical="center" wrapText="1"/>
    </xf>
    <xf numFmtId="0" fontId="8" fillId="0" borderId="56"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9" xfId="0" applyFont="1" applyBorder="1" applyAlignment="1">
      <alignment horizontal="justify" vertical="center" wrapText="1"/>
    </xf>
    <xf numFmtId="3" fontId="8" fillId="0" borderId="35" xfId="5" applyNumberFormat="1" applyFont="1" applyBorder="1" applyAlignment="1">
      <alignment horizontal="center" vertical="center" wrapText="1"/>
    </xf>
    <xf numFmtId="3" fontId="8" fillId="0" borderId="33" xfId="5"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0" fontId="8" fillId="0" borderId="32" xfId="13" applyNumberFormat="1" applyFont="1" applyFill="1" applyBorder="1" applyAlignment="1">
      <alignment horizontal="center" vertical="center" wrapText="1"/>
    </xf>
    <xf numFmtId="3" fontId="8" fillId="0" borderId="41" xfId="5" applyNumberFormat="1" applyFont="1" applyBorder="1" applyAlignment="1">
      <alignment horizontal="center" vertical="center" wrapText="1"/>
    </xf>
    <xf numFmtId="178" fontId="9" fillId="0" borderId="22" xfId="25" applyNumberFormat="1" applyFont="1" applyFill="1" applyBorder="1" applyAlignment="1">
      <alignment horizontal="center" vertical="center"/>
    </xf>
    <xf numFmtId="178" fontId="9" fillId="0" borderId="25" xfId="25" applyNumberFormat="1" applyFont="1" applyFill="1" applyBorder="1" applyAlignment="1">
      <alignment horizontal="center" vertical="center"/>
    </xf>
    <xf numFmtId="178" fontId="9" fillId="0" borderId="27" xfId="25" applyNumberFormat="1" applyFont="1" applyFill="1" applyBorder="1" applyAlignment="1">
      <alignment horizontal="center" vertical="center"/>
    </xf>
    <xf numFmtId="0" fontId="8" fillId="0" borderId="31" xfId="0" applyFont="1" applyBorder="1" applyAlignment="1">
      <alignment horizontal="justify" vertical="center" wrapText="1"/>
    </xf>
    <xf numFmtId="9" fontId="8" fillId="0" borderId="42" xfId="5" applyNumberFormat="1" applyFont="1" applyBorder="1" applyAlignment="1">
      <alignment horizontal="center" vertical="center" wrapText="1"/>
    </xf>
    <xf numFmtId="9" fontId="8" fillId="0" borderId="55" xfId="5" applyNumberFormat="1" applyFont="1" applyBorder="1" applyAlignment="1">
      <alignment horizontal="center" vertical="center" wrapText="1"/>
    </xf>
    <xf numFmtId="9" fontId="8" fillId="0" borderId="41" xfId="5" applyNumberFormat="1" applyFont="1" applyBorder="1" applyAlignment="1">
      <alignment horizontal="center" vertical="center" wrapText="1"/>
    </xf>
    <xf numFmtId="178" fontId="9" fillId="0" borderId="6" xfId="25"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180" fontId="8" fillId="0" borderId="28" xfId="3" applyNumberFormat="1" applyFont="1" applyFill="1" applyBorder="1" applyAlignment="1">
      <alignment horizontal="center" vertical="center" wrapText="1"/>
    </xf>
    <xf numFmtId="180" fontId="8" fillId="0" borderId="28" xfId="5" applyNumberFormat="1" applyFont="1" applyBorder="1" applyAlignment="1">
      <alignment horizontal="center" vertical="center" wrapText="1"/>
    </xf>
    <xf numFmtId="0" fontId="8" fillId="0" borderId="22" xfId="16" applyNumberFormat="1" applyFont="1" applyFill="1" applyBorder="1" applyAlignment="1">
      <alignment horizontal="center" vertical="center" wrapText="1"/>
    </xf>
    <xf numFmtId="0" fontId="8" fillId="0" borderId="25" xfId="16" applyNumberFormat="1" applyFont="1" applyFill="1" applyBorder="1" applyAlignment="1">
      <alignment horizontal="center" vertical="center" wrapText="1"/>
    </xf>
    <xf numFmtId="0" fontId="8" fillId="0" borderId="27" xfId="16" applyNumberFormat="1" applyFont="1" applyFill="1" applyBorder="1" applyAlignment="1">
      <alignment horizontal="center" vertical="center" wrapText="1"/>
    </xf>
    <xf numFmtId="3" fontId="8" fillId="0" borderId="25" xfId="5" applyNumberFormat="1" applyFont="1" applyBorder="1" applyAlignment="1">
      <alignment horizontal="center" vertical="center" wrapText="1"/>
    </xf>
    <xf numFmtId="10" fontId="8" fillId="0" borderId="27" xfId="5" applyNumberFormat="1" applyFont="1" applyBorder="1" applyAlignment="1">
      <alignment horizontal="center" vertical="center" wrapText="1"/>
    </xf>
    <xf numFmtId="1" fontId="5" fillId="0" borderId="9"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0" fontId="8" fillId="0" borderId="41" xfId="5" applyNumberFormat="1" applyFont="1" applyBorder="1" applyAlignment="1">
      <alignment horizontal="center" vertical="center" wrapText="1"/>
    </xf>
    <xf numFmtId="10" fontId="8" fillId="0" borderId="42" xfId="5" applyNumberFormat="1" applyFont="1" applyBorder="1" applyAlignment="1">
      <alignment horizontal="center" vertical="center" wrapText="1"/>
    </xf>
    <xf numFmtId="10" fontId="8" fillId="0" borderId="55" xfId="5" applyNumberFormat="1" applyFont="1" applyBorder="1" applyAlignment="1">
      <alignment horizontal="center" vertical="center" wrapText="1"/>
    </xf>
    <xf numFmtId="0" fontId="8" fillId="0" borderId="2" xfId="16" applyNumberFormat="1" applyFont="1" applyFill="1" applyBorder="1" applyAlignment="1">
      <alignment horizontal="center" vertical="center" wrapText="1"/>
    </xf>
    <xf numFmtId="10" fontId="8" fillId="0" borderId="53" xfId="5" applyNumberFormat="1" applyFont="1" applyBorder="1" applyAlignment="1">
      <alignment horizontal="center" vertical="center" wrapText="1"/>
    </xf>
    <xf numFmtId="178" fontId="5" fillId="2" borderId="2" xfId="0" applyNumberFormat="1" applyFont="1" applyFill="1" applyBorder="1" applyAlignment="1">
      <alignment horizontal="center" vertical="center"/>
    </xf>
    <xf numFmtId="178" fontId="5" fillId="2" borderId="22" xfId="0" applyNumberFormat="1" applyFont="1" applyFill="1" applyBorder="1" applyAlignment="1">
      <alignment horizontal="center" vertical="center"/>
    </xf>
    <xf numFmtId="10" fontId="8" fillId="0" borderId="2" xfId="0" applyNumberFormat="1" applyFont="1" applyBorder="1" applyAlignment="1">
      <alignment horizontal="center" vertical="center" wrapText="1"/>
    </xf>
    <xf numFmtId="10" fontId="8" fillId="0" borderId="41" xfId="3" applyNumberFormat="1" applyFont="1" applyFill="1" applyBorder="1" applyAlignment="1">
      <alignment horizontal="center" vertical="center" wrapText="1"/>
    </xf>
    <xf numFmtId="10" fontId="8" fillId="0" borderId="42" xfId="3" applyNumberFormat="1" applyFont="1" applyFill="1" applyBorder="1" applyAlignment="1">
      <alignment horizontal="center" vertical="center" wrapText="1"/>
    </xf>
    <xf numFmtId="10" fontId="8" fillId="0" borderId="55" xfId="3" applyNumberFormat="1" applyFont="1" applyFill="1" applyBorder="1" applyAlignment="1">
      <alignment horizontal="center" vertical="center" wrapText="1"/>
    </xf>
    <xf numFmtId="0" fontId="5" fillId="2" borderId="13" xfId="0" applyFont="1" applyFill="1" applyBorder="1" applyAlignment="1">
      <alignment horizontal="justify" vertical="center" wrapText="1"/>
    </xf>
    <xf numFmtId="10" fontId="8" fillId="0" borderId="14" xfId="5" applyNumberFormat="1" applyFont="1" applyBorder="1" applyAlignment="1">
      <alignment horizontal="center" vertical="center" wrapText="1"/>
    </xf>
    <xf numFmtId="166" fontId="5" fillId="2" borderId="25" xfId="0" applyNumberFormat="1" applyFont="1" applyFill="1" applyBorder="1" applyAlignment="1">
      <alignment horizontal="center" vertical="center"/>
    </xf>
    <xf numFmtId="166" fontId="5" fillId="2" borderId="27" xfId="0" applyNumberFormat="1" applyFont="1" applyFill="1" applyBorder="1" applyAlignment="1">
      <alignment horizontal="center" vertical="center"/>
    </xf>
    <xf numFmtId="49" fontId="8" fillId="0" borderId="2" xfId="0" applyNumberFormat="1" applyFont="1" applyBorder="1" applyAlignment="1">
      <alignment horizontal="justify" vertical="center" wrapText="1"/>
    </xf>
    <xf numFmtId="3" fontId="8" fillId="0" borderId="7" xfId="5" applyNumberFormat="1" applyFont="1" applyBorder="1" applyAlignment="1">
      <alignment horizontal="center" vertical="center" wrapText="1"/>
    </xf>
    <xf numFmtId="3" fontId="8" fillId="0" borderId="12" xfId="5" applyNumberFormat="1" applyFont="1" applyBorder="1" applyAlignment="1">
      <alignment horizontal="center" vertical="center" wrapText="1"/>
    </xf>
    <xf numFmtId="3" fontId="8" fillId="0" borderId="11" xfId="5" applyNumberFormat="1" applyFont="1" applyBorder="1" applyAlignment="1">
      <alignment horizontal="center" vertical="center" wrapText="1"/>
    </xf>
    <xf numFmtId="10" fontId="8" fillId="0" borderId="8" xfId="5" applyNumberFormat="1" applyFont="1" applyBorder="1" applyAlignment="1">
      <alignment horizontal="center" vertical="center" wrapText="1"/>
    </xf>
    <xf numFmtId="10" fontId="8" fillId="0" borderId="0" xfId="5" applyNumberFormat="1" applyFont="1" applyAlignment="1">
      <alignment horizontal="center" vertical="center" wrapText="1"/>
    </xf>
    <xf numFmtId="10" fontId="8" fillId="0" borderId="5" xfId="5" applyNumberFormat="1" applyFont="1" applyBorder="1" applyAlignment="1">
      <alignment horizontal="center" vertical="center" wrapText="1"/>
    </xf>
    <xf numFmtId="0" fontId="8" fillId="0" borderId="28" xfId="16" applyNumberFormat="1" applyFont="1" applyFill="1" applyBorder="1" applyAlignment="1">
      <alignment horizontal="center" vertical="center" wrapText="1"/>
    </xf>
    <xf numFmtId="3" fontId="8" fillId="0" borderId="37" xfId="5" applyNumberFormat="1" applyFont="1" applyBorder="1" applyAlignment="1">
      <alignment horizontal="center" vertical="center" wrapText="1"/>
    </xf>
    <xf numFmtId="10" fontId="5" fillId="0" borderId="0" xfId="3" applyNumberFormat="1" applyFont="1" applyBorder="1" applyAlignment="1">
      <alignment horizontal="center" vertical="center"/>
    </xf>
    <xf numFmtId="10" fontId="5" fillId="0" borderId="5" xfId="3" applyNumberFormat="1" applyFont="1" applyBorder="1" applyAlignment="1">
      <alignment horizontal="center" vertical="center"/>
    </xf>
    <xf numFmtId="4" fontId="5" fillId="2" borderId="28"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0" fontId="3" fillId="7" borderId="7" xfId="0" applyFont="1" applyFill="1" applyBorder="1" applyAlignment="1">
      <alignment horizontal="left" vertical="center"/>
    </xf>
    <xf numFmtId="0" fontId="3" fillId="7" borderId="8" xfId="0" applyFont="1" applyFill="1" applyBorder="1" applyAlignment="1">
      <alignment horizontal="left" vertical="center"/>
    </xf>
    <xf numFmtId="0" fontId="32" fillId="7" borderId="8" xfId="0" applyFont="1" applyFill="1" applyBorder="1" applyAlignment="1">
      <alignment horizontal="center" vertical="center"/>
    </xf>
    <xf numFmtId="0" fontId="2" fillId="7" borderId="8" xfId="0" applyFont="1" applyFill="1" applyBorder="1" applyAlignment="1">
      <alignment horizontal="center" vertical="center"/>
    </xf>
    <xf numFmtId="1" fontId="2" fillId="2" borderId="0" xfId="0" applyNumberFormat="1" applyFont="1" applyFill="1" applyBorder="1" applyAlignment="1">
      <alignment horizontal="center" vertical="center" wrapText="1"/>
    </xf>
    <xf numFmtId="1" fontId="2" fillId="11" borderId="37" xfId="0" applyNumberFormat="1" applyFont="1" applyFill="1" applyBorder="1" applyAlignment="1">
      <alignment horizontal="left" vertical="center"/>
    </xf>
    <xf numFmtId="1" fontId="2" fillId="11" borderId="20" xfId="0" applyNumberFormat="1" applyFont="1" applyFill="1" applyBorder="1" applyAlignment="1">
      <alignment horizontal="left" vertical="center"/>
    </xf>
    <xf numFmtId="1" fontId="2" fillId="11" borderId="21" xfId="0" applyNumberFormat="1" applyFont="1" applyFill="1" applyBorder="1" applyAlignment="1">
      <alignment horizontal="left" vertical="center"/>
    </xf>
    <xf numFmtId="3" fontId="8" fillId="0" borderId="13" xfId="5" applyNumberFormat="1" applyFont="1" applyBorder="1" applyAlignment="1">
      <alignment horizontal="center" vertical="center" wrapText="1"/>
    </xf>
    <xf numFmtId="0" fontId="2" fillId="0" borderId="27" xfId="0" applyFont="1" applyBorder="1" applyAlignment="1">
      <alignment horizontal="center" vertical="center"/>
    </xf>
    <xf numFmtId="14" fontId="5" fillId="2" borderId="2" xfId="0" applyNumberFormat="1" applyFont="1" applyFill="1" applyBorder="1" applyAlignment="1">
      <alignment horizontal="center" vertical="center" wrapText="1"/>
    </xf>
    <xf numFmtId="0" fontId="9" fillId="13" borderId="10" xfId="0" applyFont="1" applyFill="1" applyBorder="1" applyAlignment="1">
      <alignment horizontal="justify" vertical="center" wrapText="1"/>
    </xf>
    <xf numFmtId="43" fontId="5" fillId="2" borderId="2" xfId="16"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 fontId="5" fillId="0" borderId="7"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43" fontId="5" fillId="0" borderId="25" xfId="16" applyFont="1" applyFill="1" applyBorder="1" applyAlignment="1">
      <alignment horizontal="center" vertical="center" wrapText="1"/>
    </xf>
    <xf numFmtId="0" fontId="5" fillId="0" borderId="39" xfId="0" applyFont="1" applyFill="1" applyBorder="1" applyAlignment="1">
      <alignment horizontal="justify" vertical="center" wrapText="1"/>
    </xf>
    <xf numFmtId="43" fontId="5" fillId="2" borderId="22" xfId="16" applyFont="1" applyFill="1" applyBorder="1" applyAlignment="1">
      <alignment horizontal="center" vertical="center" wrapText="1"/>
    </xf>
    <xf numFmtId="43" fontId="5" fillId="2" borderId="25" xfId="16"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0" fontId="9" fillId="0" borderId="54" xfId="0" applyFont="1" applyFill="1" applyBorder="1" applyAlignment="1">
      <alignment horizontal="center" vertical="center" wrapText="1"/>
    </xf>
    <xf numFmtId="43" fontId="5" fillId="0" borderId="27" xfId="16"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5" fillId="0" borderId="26" xfId="0" applyNumberFormat="1" applyFont="1" applyFill="1" applyBorder="1" applyAlignment="1">
      <alignment horizontal="center" vertical="center" wrapText="1"/>
    </xf>
    <xf numFmtId="14" fontId="5" fillId="0" borderId="26" xfId="0" applyNumberFormat="1"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8" xfId="0" applyFont="1" applyFill="1" applyBorder="1" applyAlignment="1">
      <alignment horizontal="center" vertical="center" wrapText="1"/>
    </xf>
    <xf numFmtId="43" fontId="5" fillId="0" borderId="26" xfId="16" applyFont="1" applyFill="1" applyBorder="1" applyAlignment="1">
      <alignment horizontal="center" vertical="center" wrapText="1"/>
    </xf>
    <xf numFmtId="43" fontId="5" fillId="0" borderId="28" xfId="16" applyFont="1" applyFill="1" applyBorder="1" applyAlignment="1">
      <alignment horizontal="center" vertical="center" wrapText="1"/>
    </xf>
    <xf numFmtId="3" fontId="5" fillId="2" borderId="17" xfId="0" applyNumberFormat="1" applyFont="1" applyFill="1" applyBorder="1" applyAlignment="1">
      <alignment horizontal="justify" vertical="center" wrapText="1"/>
    </xf>
    <xf numFmtId="3" fontId="5" fillId="2" borderId="60" xfId="0" applyNumberFormat="1" applyFont="1" applyFill="1" applyBorder="1" applyAlignment="1">
      <alignment horizontal="justify" vertical="center" wrapText="1"/>
    </xf>
    <xf numFmtId="1" fontId="5" fillId="0" borderId="16"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justify" vertical="center" wrapText="1"/>
    </xf>
    <xf numFmtId="9" fontId="5" fillId="0" borderId="26" xfId="0" applyNumberFormat="1" applyFont="1" applyFill="1" applyBorder="1" applyAlignment="1">
      <alignment horizontal="center" vertical="center" wrapText="1"/>
    </xf>
    <xf numFmtId="9" fontId="5" fillId="0" borderId="28"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4" fontId="5" fillId="2" borderId="28" xfId="0" applyNumberFormat="1" applyFont="1" applyFill="1" applyBorder="1" applyAlignment="1">
      <alignment horizontal="center" vertical="center" wrapText="1"/>
    </xf>
    <xf numFmtId="9" fontId="5" fillId="2" borderId="28" xfId="0" applyNumberFormat="1" applyFont="1" applyFill="1" applyBorder="1" applyAlignment="1">
      <alignment horizontal="center" vertical="center" wrapText="1"/>
    </xf>
    <xf numFmtId="0" fontId="2" fillId="7" borderId="24" xfId="0" applyFont="1" applyFill="1" applyBorder="1" applyAlignment="1">
      <alignment horizontal="left" vertical="center"/>
    </xf>
    <xf numFmtId="0" fontId="3" fillId="9" borderId="4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8" xfId="0" applyFont="1" applyFill="1" applyBorder="1" applyAlignment="1">
      <alignment horizontal="center" vertical="center"/>
    </xf>
    <xf numFmtId="0" fontId="9" fillId="12" borderId="25"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36"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5" fillId="2" borderId="18"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3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30" xfId="0" applyNumberFormat="1" applyFont="1" applyFill="1" applyBorder="1" applyAlignment="1">
      <alignment horizontal="center" vertical="center" wrapText="1"/>
    </xf>
    <xf numFmtId="180" fontId="5" fillId="0" borderId="30" xfId="0" applyNumberFormat="1" applyFont="1" applyFill="1" applyBorder="1" applyAlignment="1">
      <alignment horizontal="center" vertical="center" wrapText="1"/>
    </xf>
    <xf numFmtId="180" fontId="5" fillId="0" borderId="37"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3" xfId="0" applyFont="1" applyFill="1" applyBorder="1" applyAlignment="1">
      <alignment horizontal="center" vertical="center" wrapText="1"/>
    </xf>
    <xf numFmtId="180" fontId="5" fillId="0" borderId="35" xfId="0" applyNumberFormat="1" applyFont="1" applyFill="1" applyBorder="1" applyAlignment="1">
      <alignment horizontal="center" vertical="center" wrapText="1"/>
    </xf>
    <xf numFmtId="180" fontId="5" fillId="0" borderId="33" xfId="0" applyNumberFormat="1" applyFont="1" applyFill="1" applyBorder="1" applyAlignment="1">
      <alignment horizontal="center" vertical="center" wrapText="1"/>
    </xf>
    <xf numFmtId="180" fontId="5" fillId="0" borderId="26" xfId="0" applyNumberFormat="1" applyFont="1" applyFill="1" applyBorder="1" applyAlignment="1">
      <alignment horizontal="center" vertical="center" wrapText="1"/>
    </xf>
    <xf numFmtId="0" fontId="5" fillId="0" borderId="36"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20" xfId="0" applyFont="1" applyFill="1" applyBorder="1" applyAlignment="1">
      <alignment horizontal="justify" vertical="center" wrapText="1"/>
    </xf>
    <xf numFmtId="9" fontId="5" fillId="0" borderId="26" xfId="3" applyFont="1" applyFill="1" applyBorder="1" applyAlignment="1">
      <alignment horizontal="center" vertical="center" wrapText="1"/>
    </xf>
    <xf numFmtId="43" fontId="5" fillId="2" borderId="20" xfId="16" applyFont="1" applyFill="1" applyBorder="1" applyAlignment="1">
      <alignment horizontal="center" vertical="center" wrapText="1"/>
    </xf>
    <xf numFmtId="3" fontId="5" fillId="2" borderId="20" xfId="0" applyNumberFormat="1" applyFont="1" applyFill="1" applyBorder="1" applyAlignment="1">
      <alignment horizontal="justify" vertical="center" wrapText="1"/>
    </xf>
    <xf numFmtId="0" fontId="5" fillId="2" borderId="38" xfId="0" applyFont="1" applyFill="1" applyBorder="1" applyAlignment="1">
      <alignment horizontal="center" vertical="center" wrapText="1"/>
    </xf>
    <xf numFmtId="43" fontId="5" fillId="2" borderId="36" xfId="16" applyFont="1" applyFill="1" applyBorder="1" applyAlignment="1">
      <alignment horizontal="center" vertical="center" wrapText="1"/>
    </xf>
    <xf numFmtId="9" fontId="5" fillId="2" borderId="35" xfId="0" applyNumberFormat="1" applyFont="1" applyFill="1" applyBorder="1" applyAlignment="1">
      <alignment horizontal="center" vertical="center" wrapText="1"/>
    </xf>
    <xf numFmtId="9" fontId="5" fillId="2" borderId="33" xfId="0" applyNumberFormat="1" applyFont="1" applyFill="1" applyBorder="1" applyAlignment="1">
      <alignment horizontal="center" vertical="center" wrapText="1"/>
    </xf>
    <xf numFmtId="9" fontId="5" fillId="2" borderId="38" xfId="0" applyNumberFormat="1"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14" fontId="5" fillId="0" borderId="20" xfId="0" applyNumberFormat="1" applyFont="1" applyFill="1" applyBorder="1" applyAlignment="1">
      <alignment horizontal="center" vertical="center" wrapText="1"/>
    </xf>
    <xf numFmtId="1" fontId="5" fillId="0" borderId="40" xfId="0" applyNumberFormat="1" applyFont="1" applyFill="1" applyBorder="1" applyAlignment="1">
      <alignment horizontal="center" vertical="center" wrapText="1"/>
    </xf>
    <xf numFmtId="1" fontId="5" fillId="0" borderId="23" xfId="0" applyNumberFormat="1" applyFont="1" applyFill="1" applyBorder="1" applyAlignment="1">
      <alignment horizontal="center" vertical="center" wrapText="1"/>
    </xf>
    <xf numFmtId="1" fontId="5" fillId="0" borderId="43" xfId="0" applyNumberFormat="1"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9" fillId="0" borderId="16" xfId="0" applyFont="1" applyFill="1" applyBorder="1" applyAlignment="1">
      <alignment horizontal="center" vertical="center" wrapText="1"/>
    </xf>
    <xf numFmtId="43" fontId="5" fillId="2" borderId="16" xfId="16" applyFont="1" applyFill="1" applyBorder="1" applyAlignment="1">
      <alignment horizontal="center" vertical="center" wrapText="1"/>
    </xf>
    <xf numFmtId="0" fontId="5" fillId="2" borderId="20" xfId="0" applyFont="1" applyFill="1" applyBorder="1" applyAlignment="1">
      <alignment horizontal="justify" vertical="center" wrapText="1"/>
    </xf>
    <xf numFmtId="0" fontId="5" fillId="2" borderId="41"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7"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14" fontId="5" fillId="0" borderId="21"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 fontId="5" fillId="0" borderId="36"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9" fontId="5" fillId="0" borderId="35" xfId="0" applyNumberFormat="1" applyFont="1" applyFill="1" applyBorder="1" applyAlignment="1">
      <alignment horizontal="center" vertical="center" wrapText="1"/>
    </xf>
    <xf numFmtId="9" fontId="5" fillId="0" borderId="33" xfId="0" applyNumberFormat="1" applyFont="1" applyFill="1" applyBorder="1" applyAlignment="1">
      <alignment horizontal="center" vertical="center" wrapText="1"/>
    </xf>
    <xf numFmtId="14" fontId="5" fillId="0" borderId="22" xfId="0" applyNumberFormat="1" applyFont="1" applyFill="1" applyBorder="1" applyAlignment="1">
      <alignment horizontal="center" vertical="center" wrapText="1"/>
    </xf>
    <xf numFmtId="0" fontId="5" fillId="2" borderId="22" xfId="0" applyFont="1" applyFill="1" applyBorder="1" applyAlignment="1">
      <alignment horizontal="left" vertical="center" wrapText="1"/>
    </xf>
    <xf numFmtId="0" fontId="9" fillId="0" borderId="39" xfId="0"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8" fillId="0" borderId="54" xfId="0" applyFont="1" applyFill="1" applyBorder="1" applyAlignment="1">
      <alignment horizontal="center" vertical="center" wrapText="1"/>
    </xf>
    <xf numFmtId="43" fontId="5" fillId="2" borderId="27" xfId="16" applyFont="1" applyFill="1" applyBorder="1" applyAlignment="1">
      <alignment horizontal="center" vertical="center" wrapText="1"/>
    </xf>
    <xf numFmtId="0" fontId="5" fillId="0" borderId="54"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5" fillId="0" borderId="55" xfId="0" applyFont="1" applyFill="1" applyBorder="1" applyAlignment="1">
      <alignment horizontal="justify" vertical="center" wrapText="1"/>
    </xf>
    <xf numFmtId="3" fontId="5" fillId="0" borderId="25"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9" fillId="12" borderId="0"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8" xfId="0" applyFont="1" applyFill="1" applyBorder="1" applyAlignment="1">
      <alignment horizontal="center" vertical="center" wrapText="1"/>
    </xf>
    <xf numFmtId="1" fontId="5" fillId="2" borderId="30" xfId="0" applyNumberFormat="1" applyFont="1" applyFill="1" applyBorder="1" applyAlignment="1">
      <alignment horizontal="center" vertical="center" wrapText="1"/>
    </xf>
    <xf numFmtId="1" fontId="5" fillId="2" borderId="37" xfId="0" applyNumberFormat="1" applyFont="1" applyFill="1" applyBorder="1" applyAlignment="1">
      <alignment horizontal="center" vertical="center" wrapText="1"/>
    </xf>
    <xf numFmtId="14" fontId="5" fillId="0" borderId="35" xfId="0" applyNumberFormat="1" applyFont="1" applyFill="1" applyBorder="1" applyAlignment="1">
      <alignment horizontal="center" vertical="center" wrapText="1"/>
    </xf>
    <xf numFmtId="1" fontId="5" fillId="0" borderId="35"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43" fontId="5" fillId="2" borderId="30" xfId="16" applyFont="1" applyFill="1" applyBorder="1" applyAlignment="1">
      <alignment horizontal="center" vertical="center" wrapText="1"/>
    </xf>
    <xf numFmtId="3" fontId="5" fillId="2" borderId="16" xfId="0" applyNumberFormat="1" applyFont="1" applyFill="1" applyBorder="1" applyAlignment="1">
      <alignment horizontal="justify" vertical="center" wrapText="1"/>
    </xf>
    <xf numFmtId="0" fontId="5" fillId="0" borderId="39" xfId="0" applyFont="1" applyFill="1" applyBorder="1" applyAlignment="1">
      <alignment horizontal="center" vertical="center" wrapText="1"/>
    </xf>
    <xf numFmtId="0" fontId="8" fillId="0" borderId="39" xfId="5" applyFont="1" applyFill="1" applyBorder="1" applyAlignment="1">
      <alignment horizontal="justify" vertical="center" wrapText="1"/>
    </xf>
    <xf numFmtId="9" fontId="5" fillId="0" borderId="39"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9" borderId="52" xfId="0" applyFont="1" applyFill="1" applyBorder="1" applyAlignment="1">
      <alignment horizontal="left" vertical="center"/>
    </xf>
    <xf numFmtId="0" fontId="5" fillId="0" borderId="53" xfId="0" applyFont="1" applyFill="1" applyBorder="1" applyAlignment="1">
      <alignment horizontal="justify" vertical="center" wrapText="1"/>
    </xf>
    <xf numFmtId="0" fontId="8" fillId="0" borderId="44" xfId="0" applyFont="1" applyFill="1" applyBorder="1" applyAlignment="1">
      <alignment horizontal="justify" vertical="center" wrapText="1"/>
    </xf>
    <xf numFmtId="165" fontId="5" fillId="0" borderId="28"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3" fontId="5" fillId="2" borderId="37" xfId="0" applyNumberFormat="1" applyFont="1" applyFill="1" applyBorder="1" applyAlignment="1">
      <alignment horizontal="justify" vertical="center" wrapText="1"/>
    </xf>
    <xf numFmtId="9" fontId="5" fillId="0" borderId="28" xfId="3" applyNumberFormat="1"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2" fillId="7" borderId="7" xfId="0" applyFont="1" applyFill="1" applyBorder="1" applyAlignment="1">
      <alignment horizontal="left" vertical="center"/>
    </xf>
    <xf numFmtId="0" fontId="3" fillId="11" borderId="30" xfId="5" applyFont="1" applyFill="1" applyBorder="1" applyAlignment="1">
      <alignment horizontal="left" vertical="center"/>
    </xf>
    <xf numFmtId="0" fontId="3" fillId="11" borderId="16" xfId="5" applyFont="1" applyFill="1" applyBorder="1" applyAlignment="1">
      <alignment horizontal="left" vertical="center"/>
    </xf>
    <xf numFmtId="0" fontId="3" fillId="11" borderId="46" xfId="5" applyFont="1" applyFill="1" applyBorder="1" applyAlignment="1">
      <alignment horizontal="left" vertical="center"/>
    </xf>
    <xf numFmtId="0" fontId="5" fillId="0" borderId="0"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2"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3" fillId="4" borderId="12" xfId="0" applyFont="1" applyFill="1" applyBorder="1" applyAlignment="1">
      <alignment horizontal="center" vertical="center" textRotation="90" wrapText="1"/>
    </xf>
    <xf numFmtId="179" fontId="15" fillId="5" borderId="2" xfId="0" applyNumberFormat="1" applyFont="1" applyFill="1" applyBorder="1" applyAlignment="1">
      <alignment horizontal="center" vertical="center" wrapText="1"/>
    </xf>
    <xf numFmtId="179" fontId="15" fillId="5" borderId="8" xfId="0" applyNumberFormat="1" applyFont="1" applyFill="1" applyBorder="1" applyAlignment="1">
      <alignment horizontal="center" vertical="center" wrapText="1"/>
    </xf>
    <xf numFmtId="179" fontId="15" fillId="5" borderId="5" xfId="0" applyNumberFormat="1"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51" xfId="0" applyFont="1" applyFill="1" applyBorder="1" applyAlignment="1">
      <alignment horizontal="center" vertical="center" wrapText="1"/>
    </xf>
    <xf numFmtId="1" fontId="2" fillId="4" borderId="66" xfId="0" applyNumberFormat="1" applyFont="1" applyFill="1" applyBorder="1" applyAlignment="1">
      <alignment horizontal="center" vertical="center" wrapText="1"/>
    </xf>
    <xf numFmtId="1" fontId="2" fillId="4" borderId="71" xfId="0" applyNumberFormat="1"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1" fontId="5" fillId="0" borderId="11" xfId="0" applyNumberFormat="1" applyFont="1" applyBorder="1" applyAlignment="1">
      <alignment horizontal="center" vertical="center" wrapText="1"/>
    </xf>
    <xf numFmtId="9" fontId="5" fillId="0" borderId="2" xfId="3"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 fontId="8" fillId="0" borderId="2" xfId="5"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9" fontId="5" fillId="0" borderId="27" xfId="3" applyFont="1" applyFill="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 fontId="8" fillId="0" borderId="28" xfId="0" applyNumberFormat="1" applyFont="1" applyBorder="1" applyAlignment="1">
      <alignment horizontal="center" vertical="center" wrapText="1"/>
    </xf>
    <xf numFmtId="43" fontId="5" fillId="0" borderId="27" xfId="0" applyNumberFormat="1" applyFont="1" applyBorder="1" applyAlignment="1">
      <alignment horizontal="justify" vertical="center" wrapText="1"/>
    </xf>
    <xf numFmtId="43" fontId="5" fillId="0" borderId="2" xfId="0" applyNumberFormat="1" applyFont="1" applyBorder="1" applyAlignment="1">
      <alignment horizontal="justify" vertical="center" wrapText="1"/>
    </xf>
    <xf numFmtId="3" fontId="5" fillId="0" borderId="25" xfId="0" applyNumberFormat="1" applyFont="1" applyBorder="1" applyAlignment="1">
      <alignment horizontal="justify" vertical="center" wrapText="1"/>
    </xf>
    <xf numFmtId="1" fontId="8" fillId="0" borderId="22" xfId="5" applyNumberFormat="1" applyFont="1" applyBorder="1" applyAlignment="1">
      <alignment horizontal="center" vertical="center" wrapText="1"/>
    </xf>
    <xf numFmtId="9" fontId="5" fillId="0" borderId="22" xfId="3" applyFont="1" applyFill="1" applyBorder="1" applyAlignment="1">
      <alignment horizontal="center" vertical="center" wrapText="1"/>
    </xf>
    <xf numFmtId="9" fontId="5" fillId="0" borderId="25" xfId="3" applyFont="1" applyFill="1" applyBorder="1" applyAlignment="1">
      <alignment horizontal="center" vertical="center" wrapText="1"/>
    </xf>
    <xf numFmtId="1" fontId="8" fillId="0" borderId="2" xfId="0" applyNumberFormat="1" applyFont="1" applyBorder="1" applyAlignment="1">
      <alignment horizontal="center" vertical="center" wrapText="1"/>
    </xf>
    <xf numFmtId="1" fontId="8" fillId="0" borderId="35" xfId="5" applyNumberFormat="1" applyFont="1" applyBorder="1" applyAlignment="1">
      <alignment horizontal="center" vertical="center" wrapText="1"/>
    </xf>
    <xf numFmtId="1" fontId="8" fillId="0" borderId="33" xfId="5" applyNumberFormat="1" applyFont="1" applyBorder="1" applyAlignment="1">
      <alignment horizontal="center" vertical="center" wrapText="1"/>
    </xf>
    <xf numFmtId="0" fontId="8" fillId="0" borderId="53" xfId="5" applyFont="1" applyBorder="1" applyAlignment="1">
      <alignment horizontal="justify" vertical="center" wrapText="1"/>
    </xf>
    <xf numFmtId="0" fontId="8" fillId="0" borderId="42" xfId="5" applyFont="1" applyBorder="1" applyAlignment="1">
      <alignment horizontal="justify" vertical="center" wrapText="1"/>
    </xf>
    <xf numFmtId="1" fontId="8" fillId="0" borderId="32" xfId="0" applyNumberFormat="1" applyFont="1" applyBorder="1" applyAlignment="1">
      <alignment horizontal="center" vertical="center" wrapText="1"/>
    </xf>
    <xf numFmtId="1" fontId="8" fillId="0" borderId="33" xfId="0" applyNumberFormat="1" applyFont="1" applyBorder="1" applyAlignment="1">
      <alignment horizontal="center" vertical="center" wrapText="1"/>
    </xf>
    <xf numFmtId="1" fontId="8" fillId="0" borderId="38"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8" fillId="0" borderId="38" xfId="0" applyFont="1" applyBorder="1" applyAlignment="1">
      <alignment horizontal="center" vertical="center" wrapText="1"/>
    </xf>
    <xf numFmtId="1" fontId="8" fillId="0" borderId="35" xfId="0" applyNumberFormat="1" applyFont="1" applyBorder="1" applyAlignment="1">
      <alignment horizontal="center" vertical="center" wrapText="1"/>
    </xf>
    <xf numFmtId="14" fontId="8" fillId="0" borderId="22" xfId="0" applyNumberFormat="1" applyFont="1" applyBorder="1" applyAlignment="1">
      <alignment horizontal="center" vertical="center" wrapText="1"/>
    </xf>
    <xf numFmtId="14" fontId="8" fillId="0" borderId="25" xfId="0" applyNumberFormat="1" applyFont="1" applyBorder="1" applyAlignment="1">
      <alignment horizontal="center" vertical="center" wrapText="1"/>
    </xf>
    <xf numFmtId="43" fontId="5" fillId="0" borderId="22" xfId="0" applyNumberFormat="1" applyFont="1" applyBorder="1" applyAlignment="1">
      <alignment horizontal="justify" vertical="center" wrapText="1"/>
    </xf>
    <xf numFmtId="3" fontId="5" fillId="0" borderId="2" xfId="0" applyNumberFormat="1" applyFont="1" applyBorder="1" applyAlignment="1">
      <alignment horizontal="justify" vertical="center" wrapText="1"/>
    </xf>
    <xf numFmtId="1" fontId="5" fillId="0" borderId="22" xfId="0" applyNumberFormat="1" applyFont="1" applyBorder="1" applyAlignment="1">
      <alignment horizontal="center" vertical="center"/>
    </xf>
    <xf numFmtId="1" fontId="5" fillId="0" borderId="25" xfId="0" applyNumberFormat="1" applyFont="1" applyBorder="1" applyAlignment="1">
      <alignment horizontal="center" vertical="center"/>
    </xf>
    <xf numFmtId="0" fontId="5" fillId="0" borderId="7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1" fontId="8" fillId="0" borderId="25" xfId="0" applyNumberFormat="1" applyFont="1" applyBorder="1" applyAlignment="1">
      <alignment horizontal="center" vertical="center" wrapText="1"/>
    </xf>
    <xf numFmtId="43" fontId="5" fillId="0" borderId="9" xfId="0" applyNumberFormat="1" applyFont="1" applyBorder="1" applyAlignment="1">
      <alignment horizontal="justify" vertical="center" wrapText="1"/>
    </xf>
    <xf numFmtId="43" fontId="5" fillId="0" borderId="1" xfId="0" applyNumberFormat="1" applyFont="1" applyBorder="1" applyAlignment="1">
      <alignment horizontal="justify" vertical="center" wrapText="1"/>
    </xf>
    <xf numFmtId="0" fontId="8" fillId="0" borderId="56" xfId="0" applyFont="1" applyBorder="1" applyAlignment="1">
      <alignment horizontal="center" vertical="center" wrapText="1"/>
    </xf>
    <xf numFmtId="0" fontId="8" fillId="0" borderId="23" xfId="0" applyFont="1" applyBorder="1" applyAlignment="1">
      <alignment horizontal="center" vertical="center" wrapText="1"/>
    </xf>
    <xf numFmtId="14" fontId="8" fillId="0" borderId="56" xfId="0" applyNumberFormat="1" applyFont="1" applyBorder="1" applyAlignment="1">
      <alignment horizontal="center" vertical="center" wrapText="1"/>
    </xf>
    <xf numFmtId="14" fontId="8" fillId="0" borderId="23" xfId="0" applyNumberFormat="1" applyFont="1" applyBorder="1" applyAlignment="1">
      <alignment horizontal="center" vertical="center" wrapText="1"/>
    </xf>
    <xf numFmtId="1" fontId="8" fillId="0" borderId="56"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9" fontId="5" fillId="0" borderId="54" xfId="3" applyFont="1" applyFill="1" applyBorder="1" applyAlignment="1">
      <alignment horizontal="center" vertical="center" wrapText="1"/>
    </xf>
    <xf numFmtId="1" fontId="8" fillId="0" borderId="26" xfId="5" applyNumberFormat="1" applyFont="1" applyBorder="1" applyAlignment="1">
      <alignment horizontal="center" vertical="center" wrapText="1"/>
    </xf>
    <xf numFmtId="0" fontId="8" fillId="0" borderId="55" xfId="5" applyFont="1" applyBorder="1" applyAlignment="1">
      <alignment horizontal="justify" vertical="center" wrapText="1"/>
    </xf>
    <xf numFmtId="43" fontId="5" fillId="0" borderId="64" xfId="0" applyNumberFormat="1" applyFont="1" applyBorder="1" applyAlignment="1">
      <alignment horizontal="justify" vertical="center" wrapText="1"/>
    </xf>
    <xf numFmtId="1" fontId="5" fillId="0" borderId="10"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64" xfId="0" applyFont="1" applyBorder="1" applyAlignment="1">
      <alignment horizontal="justify" vertical="center" wrapText="1"/>
    </xf>
    <xf numFmtId="9" fontId="5" fillId="0" borderId="25" xfId="3" applyFont="1" applyFill="1" applyBorder="1" applyAlignment="1">
      <alignment horizontal="center" vertical="center"/>
    </xf>
    <xf numFmtId="9" fontId="5" fillId="0" borderId="27" xfId="3" applyFont="1" applyFill="1" applyBorder="1" applyAlignment="1">
      <alignment horizontal="center" vertical="center"/>
    </xf>
    <xf numFmtId="43" fontId="5" fillId="0" borderId="27" xfId="0" applyNumberFormat="1" applyFont="1" applyBorder="1" applyAlignment="1">
      <alignment horizontal="justify" vertical="center"/>
    </xf>
    <xf numFmtId="43" fontId="5" fillId="0" borderId="2" xfId="0" applyNumberFormat="1" applyFont="1" applyBorder="1" applyAlignment="1">
      <alignment horizontal="justify" vertical="center"/>
    </xf>
    <xf numFmtId="9" fontId="5" fillId="0" borderId="22" xfId="3" applyFont="1" applyFill="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8" fillId="0" borderId="36" xfId="0" applyFont="1" applyBorder="1" applyAlignment="1">
      <alignment horizontal="center" vertical="center" wrapText="1"/>
    </xf>
    <xf numFmtId="0" fontId="8" fillId="0" borderId="10" xfId="0" applyFont="1" applyBorder="1" applyAlignment="1">
      <alignment horizontal="justify" vertical="center" wrapText="1"/>
    </xf>
    <xf numFmtId="1" fontId="8" fillId="0" borderId="27" xfId="5" applyNumberFormat="1" applyFont="1" applyBorder="1" applyAlignment="1">
      <alignment horizontal="center" vertical="center" wrapText="1"/>
    </xf>
    <xf numFmtId="14" fontId="8" fillId="0" borderId="27"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8" fillId="0" borderId="53" xfId="0" applyFont="1" applyBorder="1" applyAlignment="1">
      <alignment horizontal="justify" vertical="center" wrapText="1"/>
    </xf>
    <xf numFmtId="0" fontId="5" fillId="0" borderId="54" xfId="0" applyFont="1" applyBorder="1" applyAlignment="1">
      <alignment horizontal="center" vertical="center" wrapText="1"/>
    </xf>
    <xf numFmtId="14" fontId="8" fillId="0" borderId="12" xfId="0" applyNumberFormat="1" applyFont="1" applyBorder="1" applyAlignment="1">
      <alignment horizontal="center" vertical="center"/>
    </xf>
    <xf numFmtId="14" fontId="8" fillId="0" borderId="11"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1" fontId="8" fillId="0" borderId="12" xfId="0" applyNumberFormat="1" applyFont="1" applyBorder="1" applyAlignment="1">
      <alignment horizontal="center" vertical="center"/>
    </xf>
    <xf numFmtId="1" fontId="8" fillId="0" borderId="11" xfId="0" applyNumberFormat="1" applyFont="1" applyBorder="1" applyAlignment="1">
      <alignment horizontal="center"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9" fontId="5" fillId="0" borderId="2" xfId="3" applyFont="1" applyFill="1" applyBorder="1" applyAlignment="1">
      <alignment horizontal="center" vertical="center"/>
    </xf>
    <xf numFmtId="0" fontId="8" fillId="0" borderId="19" xfId="0" applyFont="1" applyBorder="1" applyAlignment="1">
      <alignment horizontal="center" vertical="center" wrapText="1"/>
    </xf>
    <xf numFmtId="0" fontId="8" fillId="0" borderId="38" xfId="5" applyFont="1" applyBorder="1" applyAlignment="1">
      <alignment horizontal="justify" vertical="center" wrapText="1"/>
    </xf>
    <xf numFmtId="1" fontId="8" fillId="0" borderId="38" xfId="5" applyNumberFormat="1" applyFont="1" applyBorder="1" applyAlignment="1">
      <alignment horizontal="center" vertical="center" wrapText="1"/>
    </xf>
    <xf numFmtId="0" fontId="8" fillId="0" borderId="53" xfId="5" applyFont="1" applyBorder="1" applyAlignment="1">
      <alignment horizontal="center" vertical="center" wrapText="1"/>
    </xf>
    <xf numFmtId="0" fontId="8" fillId="0" borderId="42" xfId="5" applyFont="1" applyBorder="1" applyAlignment="1">
      <alignment horizontal="center" vertical="center" wrapText="1"/>
    </xf>
    <xf numFmtId="0" fontId="8" fillId="0" borderId="44" xfId="5" applyFont="1" applyBorder="1" applyAlignment="1">
      <alignment horizontal="center" vertical="center" wrapText="1"/>
    </xf>
    <xf numFmtId="14" fontId="8" fillId="0" borderId="7"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8" fillId="0" borderId="34" xfId="5" applyFont="1" applyBorder="1" applyAlignment="1">
      <alignment horizontal="center" vertical="center" wrapText="1"/>
    </xf>
    <xf numFmtId="0" fontId="8" fillId="0" borderId="17" xfId="5" applyFont="1" applyBorder="1" applyAlignment="1">
      <alignment horizontal="justify" vertical="center" wrapText="1"/>
    </xf>
    <xf numFmtId="0" fontId="8" fillId="0" borderId="60" xfId="5" applyFont="1" applyBorder="1" applyAlignment="1">
      <alignment horizontal="justify" vertical="center" wrapText="1"/>
    </xf>
    <xf numFmtId="1" fontId="8" fillId="0" borderId="7"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0" fontId="8" fillId="0" borderId="78" xfId="0" applyFont="1" applyBorder="1" applyAlignment="1">
      <alignment horizontal="justify" vertical="center" wrapText="1"/>
    </xf>
    <xf numFmtId="1" fontId="8" fillId="0" borderId="77" xfId="0" applyNumberFormat="1" applyFont="1" applyBorder="1" applyAlignment="1">
      <alignment horizontal="center" vertical="center" wrapText="1"/>
    </xf>
    <xf numFmtId="0" fontId="8" fillId="0" borderId="77" xfId="0" applyFont="1" applyBorder="1" applyAlignment="1">
      <alignment horizontal="justify" vertical="center" wrapText="1"/>
    </xf>
    <xf numFmtId="0" fontId="8" fillId="0" borderId="77" xfId="0" applyFont="1" applyBorder="1" applyAlignment="1">
      <alignment horizontal="center" vertical="center" wrapText="1"/>
    </xf>
    <xf numFmtId="0" fontId="5" fillId="0" borderId="79" xfId="0" applyFont="1" applyBorder="1" applyAlignment="1">
      <alignment horizontal="justify" vertical="center" wrapText="1"/>
    </xf>
    <xf numFmtId="0" fontId="5" fillId="0" borderId="57" xfId="0" applyFont="1" applyBorder="1" applyAlignment="1">
      <alignment horizontal="justify" vertical="center" wrapText="1"/>
    </xf>
    <xf numFmtId="0" fontId="5" fillId="0" borderId="53" xfId="0" applyFont="1" applyBorder="1" applyAlignment="1">
      <alignment horizontal="justify" vertical="center" wrapText="1"/>
    </xf>
    <xf numFmtId="0" fontId="8" fillId="0" borderId="13" xfId="0" applyFont="1" applyBorder="1" applyAlignment="1">
      <alignment horizontal="center" vertical="center" wrapText="1"/>
    </xf>
    <xf numFmtId="43" fontId="5" fillId="0" borderId="22" xfId="0" applyNumberFormat="1" applyFont="1" applyBorder="1" applyAlignment="1">
      <alignment horizontal="justify" vertical="center"/>
    </xf>
    <xf numFmtId="0" fontId="8" fillId="0" borderId="30" xfId="0" applyFont="1" applyBorder="1" applyAlignment="1">
      <alignment horizontal="center" vertical="center" wrapText="1"/>
    </xf>
    <xf numFmtId="0" fontId="5" fillId="0" borderId="2" xfId="0" applyFont="1" applyBorder="1" applyAlignment="1">
      <alignment horizontal="center" vertical="center"/>
    </xf>
    <xf numFmtId="3" fontId="5" fillId="0" borderId="28" xfId="0" applyNumberFormat="1" applyFont="1" applyBorder="1" applyAlignment="1">
      <alignment horizontal="center" vertical="center"/>
    </xf>
    <xf numFmtId="9" fontId="5" fillId="0" borderId="22" xfId="3" applyFont="1" applyBorder="1" applyAlignment="1">
      <alignment horizontal="center" vertical="center"/>
    </xf>
    <xf numFmtId="9" fontId="5" fillId="0" borderId="25" xfId="3" applyFont="1" applyBorder="1" applyAlignment="1">
      <alignment horizontal="center" vertical="center"/>
    </xf>
    <xf numFmtId="9" fontId="5" fillId="0" borderId="27" xfId="3" applyFont="1" applyBorder="1" applyAlignment="1">
      <alignment horizontal="center" vertical="center"/>
    </xf>
    <xf numFmtId="43" fontId="5" fillId="0" borderId="25" xfId="0" applyNumberFormat="1" applyFont="1" applyBorder="1" applyAlignment="1">
      <alignment horizontal="justify" vertical="center"/>
    </xf>
    <xf numFmtId="14" fontId="5" fillId="0" borderId="28" xfId="0" applyNumberFormat="1" applyFont="1" applyBorder="1" applyAlignment="1">
      <alignment horizontal="center" vertical="center"/>
    </xf>
    <xf numFmtId="0" fontId="5" fillId="0" borderId="34" xfId="0" applyFont="1" applyBorder="1" applyAlignment="1">
      <alignment horizontal="center" vertical="center" wrapText="1"/>
    </xf>
    <xf numFmtId="1" fontId="5" fillId="0" borderId="28" xfId="0" applyNumberFormat="1" applyFont="1" applyBorder="1" applyAlignment="1">
      <alignment horizontal="center" vertical="center"/>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1" fontId="8" fillId="0" borderId="42" xfId="0" applyNumberFormat="1" applyFont="1" applyBorder="1" applyAlignment="1">
      <alignment horizontal="center" vertical="center" wrapText="1"/>
    </xf>
    <xf numFmtId="1" fontId="8" fillId="0" borderId="44" xfId="0" applyNumberFormat="1" applyFont="1" applyBorder="1" applyAlignment="1">
      <alignment horizontal="center" vertical="center" wrapText="1"/>
    </xf>
    <xf numFmtId="0" fontId="5" fillId="0" borderId="2" xfId="0" applyFont="1" applyBorder="1" applyAlignment="1">
      <alignment horizontal="justify" vertical="center"/>
    </xf>
    <xf numFmtId="0" fontId="8" fillId="0" borderId="11" xfId="0" applyFont="1" applyBorder="1" applyAlignment="1">
      <alignment horizontal="center" vertical="center" wrapText="1"/>
    </xf>
    <xf numFmtId="43" fontId="5" fillId="0" borderId="2" xfId="16" applyFont="1" applyFill="1" applyBorder="1" applyAlignment="1">
      <alignment horizontal="center" vertical="center" wrapText="1"/>
    </xf>
    <xf numFmtId="1" fontId="8"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8" fillId="0" borderId="1" xfId="0" applyFont="1" applyBorder="1" applyAlignment="1">
      <alignment horizontal="center" vertical="center" wrapText="1"/>
    </xf>
    <xf numFmtId="1" fontId="8" fillId="0" borderId="18"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1" fontId="8" fillId="0" borderId="36"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40" xfId="0" applyFont="1" applyBorder="1" applyAlignment="1">
      <alignment horizontal="justify" vertical="center" wrapText="1"/>
    </xf>
    <xf numFmtId="0" fontId="8" fillId="0" borderId="41" xfId="0" applyFont="1" applyBorder="1" applyAlignment="1">
      <alignment horizontal="center" vertical="center" wrapText="1"/>
    </xf>
    <xf numFmtId="1" fontId="8" fillId="0" borderId="31" xfId="0" applyNumberFormat="1" applyFont="1" applyBorder="1" applyAlignment="1">
      <alignment horizontal="center" vertical="center" wrapText="1"/>
    </xf>
    <xf numFmtId="0" fontId="8" fillId="0" borderId="24" xfId="0" applyFont="1" applyBorder="1" applyAlignment="1">
      <alignment horizontal="justify" vertical="center" wrapText="1"/>
    </xf>
    <xf numFmtId="14" fontId="2" fillId="5" borderId="22" xfId="0" applyNumberFormat="1" applyFont="1" applyFill="1" applyBorder="1" applyAlignment="1">
      <alignment horizontal="center" vertical="center" wrapText="1"/>
    </xf>
    <xf numFmtId="14" fontId="2" fillId="5" borderId="27"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2" fillId="14" borderId="35" xfId="0" applyFont="1" applyFill="1" applyBorder="1" applyAlignment="1">
      <alignment horizontal="center" vertical="center"/>
    </xf>
    <xf numFmtId="0" fontId="2" fillId="7" borderId="61" xfId="0" applyFont="1" applyFill="1" applyBorder="1" applyAlignment="1">
      <alignment horizontal="left" vertical="center"/>
    </xf>
    <xf numFmtId="0" fontId="2" fillId="11" borderId="30" xfId="0" applyFont="1" applyFill="1" applyBorder="1" applyAlignment="1">
      <alignment horizontal="left" vertical="center"/>
    </xf>
    <xf numFmtId="0" fontId="2" fillId="11" borderId="16" xfId="0" applyFont="1" applyFill="1" applyBorder="1" applyAlignment="1">
      <alignment horizontal="left" vertical="center"/>
    </xf>
    <xf numFmtId="0" fontId="5"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166" fontId="5" fillId="2" borderId="25" xfId="0" applyNumberFormat="1" applyFont="1" applyFill="1" applyBorder="1" applyAlignment="1">
      <alignment horizontal="center" vertical="center" wrapText="1"/>
    </xf>
    <xf numFmtId="166" fontId="5" fillId="2" borderId="22" xfId="0" applyNumberFormat="1" applyFont="1" applyFill="1" applyBorder="1" applyAlignment="1">
      <alignment horizontal="justify" vertical="center" wrapText="1"/>
    </xf>
    <xf numFmtId="166" fontId="5" fillId="2" borderId="25" xfId="0" applyNumberFormat="1" applyFont="1" applyFill="1" applyBorder="1" applyAlignment="1">
      <alignment horizontal="justify" vertical="center" wrapText="1"/>
    </xf>
    <xf numFmtId="0" fontId="5" fillId="2"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166" fontId="5" fillId="0" borderId="22" xfId="0" applyNumberFormat="1" applyFont="1" applyFill="1" applyBorder="1" applyAlignment="1">
      <alignment horizontal="center" vertical="center" wrapText="1"/>
    </xf>
    <xf numFmtId="166" fontId="5" fillId="0" borderId="25" xfId="0" applyNumberFormat="1" applyFont="1" applyFill="1" applyBorder="1" applyAlignment="1">
      <alignment horizontal="center" vertical="center" wrapText="1"/>
    </xf>
    <xf numFmtId="166" fontId="5" fillId="0" borderId="27" xfId="0" applyNumberFormat="1" applyFont="1" applyFill="1" applyBorder="1" applyAlignment="1">
      <alignment horizontal="center" vertical="center" wrapText="1"/>
    </xf>
    <xf numFmtId="0" fontId="2" fillId="11" borderId="24" xfId="0" applyFont="1" applyFill="1" applyBorder="1" applyAlignment="1">
      <alignment horizontal="left" vertical="center"/>
    </xf>
    <xf numFmtId="0" fontId="2" fillId="11" borderId="8" xfId="0" applyFont="1" applyFill="1" applyBorder="1" applyAlignment="1">
      <alignment horizontal="left" vertical="center"/>
    </xf>
    <xf numFmtId="0" fontId="2" fillId="11" borderId="14" xfId="0" applyFont="1" applyFill="1" applyBorder="1" applyAlignment="1">
      <alignment horizontal="left" vertical="center"/>
    </xf>
    <xf numFmtId="1" fontId="5" fillId="0" borderId="34" xfId="0" applyNumberFormat="1" applyFont="1" applyBorder="1" applyAlignment="1">
      <alignment horizontal="center" vertical="center" wrapText="1"/>
    </xf>
    <xf numFmtId="0" fontId="5" fillId="0" borderId="14" xfId="0" applyFont="1" applyBorder="1" applyAlignment="1">
      <alignment horizontal="justify" vertical="center" wrapText="1"/>
    </xf>
    <xf numFmtId="166" fontId="5" fillId="0" borderId="2" xfId="0" applyNumberFormat="1" applyFont="1" applyBorder="1" applyAlignment="1">
      <alignment horizontal="center" vertical="center" wrapText="1"/>
    </xf>
    <xf numFmtId="166" fontId="5" fillId="0" borderId="10" xfId="0" applyNumberFormat="1" applyFont="1" applyBorder="1" applyAlignment="1">
      <alignment horizontal="center" vertical="center" wrapText="1"/>
    </xf>
    <xf numFmtId="166" fontId="5" fillId="0" borderId="22"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14" fontId="5" fillId="0" borderId="28" xfId="0" applyNumberFormat="1" applyFont="1" applyBorder="1" applyAlignment="1">
      <alignment horizontal="center" vertical="center" wrapText="1"/>
    </xf>
    <xf numFmtId="0" fontId="2" fillId="7" borderId="12" xfId="0" applyFont="1" applyFill="1" applyBorder="1" applyAlignment="1">
      <alignment horizontal="left" vertical="center"/>
    </xf>
    <xf numFmtId="0" fontId="2" fillId="7" borderId="0" xfId="0" applyFont="1" applyFill="1" applyAlignment="1">
      <alignment horizontal="left" vertical="center"/>
    </xf>
    <xf numFmtId="0" fontId="2" fillId="11" borderId="65" xfId="0" applyFont="1" applyFill="1" applyBorder="1" applyAlignment="1">
      <alignment horizontal="left" vertical="center"/>
    </xf>
    <xf numFmtId="0" fontId="2" fillId="11" borderId="66" xfId="0" applyFont="1" applyFill="1" applyBorder="1" applyAlignment="1">
      <alignment horizontal="left" vertical="center"/>
    </xf>
    <xf numFmtId="0" fontId="5" fillId="0" borderId="63" xfId="0" applyFont="1" applyBorder="1" applyAlignment="1">
      <alignment horizontal="center" vertical="center" wrapText="1"/>
    </xf>
    <xf numFmtId="165" fontId="5" fillId="0" borderId="22" xfId="0" applyNumberFormat="1" applyFont="1" applyBorder="1" applyAlignment="1">
      <alignment horizontal="center" vertical="center" wrapText="1"/>
    </xf>
    <xf numFmtId="165" fontId="5" fillId="0" borderId="25" xfId="0" applyNumberFormat="1" applyFont="1" applyBorder="1" applyAlignment="1">
      <alignment horizontal="center" vertical="center" wrapText="1"/>
    </xf>
    <xf numFmtId="180" fontId="8" fillId="0" borderId="32" xfId="3" applyNumberFormat="1" applyFont="1" applyBorder="1" applyAlignment="1">
      <alignment horizontal="center" vertical="center" wrapText="1"/>
    </xf>
    <xf numFmtId="180" fontId="8" fillId="0" borderId="26" xfId="3" applyNumberFormat="1" applyFont="1" applyBorder="1" applyAlignment="1">
      <alignment horizontal="center" vertical="center" wrapText="1"/>
    </xf>
    <xf numFmtId="0" fontId="8" fillId="0" borderId="32" xfId="0" applyFont="1" applyFill="1" applyBorder="1" applyAlignment="1">
      <alignment horizontal="justify" vertical="center" wrapText="1"/>
    </xf>
    <xf numFmtId="0" fontId="8" fillId="0" borderId="26" xfId="0" applyFont="1" applyFill="1" applyBorder="1" applyAlignment="1">
      <alignment horizontal="justify" vertical="center" wrapText="1"/>
    </xf>
    <xf numFmtId="166" fontId="5" fillId="2" borderId="22" xfId="0" applyNumberFormat="1" applyFont="1" applyFill="1" applyBorder="1" applyAlignment="1">
      <alignment horizontal="center" vertical="center"/>
    </xf>
    <xf numFmtId="0" fontId="5" fillId="0" borderId="6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9" fontId="5" fillId="2" borderId="35" xfId="3" applyFont="1" applyFill="1" applyBorder="1" applyAlignment="1">
      <alignment horizontal="center" vertical="center" wrapText="1"/>
    </xf>
    <xf numFmtId="166" fontId="5" fillId="0" borderId="20" xfId="0" applyNumberFormat="1" applyFont="1" applyBorder="1" applyAlignment="1">
      <alignment horizontal="center" vertical="center" wrapText="1"/>
    </xf>
    <xf numFmtId="166" fontId="5" fillId="0" borderId="21" xfId="0" applyNumberFormat="1" applyFont="1" applyBorder="1" applyAlignment="1">
      <alignment horizontal="center" vertical="center" wrapText="1"/>
    </xf>
    <xf numFmtId="165" fontId="5" fillId="0" borderId="22" xfId="0" applyNumberFormat="1" applyFont="1" applyBorder="1" applyAlignment="1">
      <alignment horizontal="center" vertical="center"/>
    </xf>
    <xf numFmtId="165" fontId="5" fillId="0" borderId="25" xfId="0" applyNumberFormat="1" applyFont="1" applyBorder="1" applyAlignment="1">
      <alignment horizontal="center" vertical="center"/>
    </xf>
    <xf numFmtId="165" fontId="5" fillId="0" borderId="27" xfId="0" applyNumberFormat="1" applyFont="1" applyBorder="1" applyAlignment="1">
      <alignment horizontal="center" vertical="center"/>
    </xf>
    <xf numFmtId="0" fontId="3" fillId="0" borderId="61"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8" fillId="0" borderId="20" xfId="14" applyFont="1" applyFill="1" applyBorder="1" applyAlignment="1">
      <alignment horizontal="center" vertical="center" wrapText="1"/>
    </xf>
    <xf numFmtId="0" fontId="8" fillId="0" borderId="21" xfId="14"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 fontId="5" fillId="0" borderId="20" xfId="0" applyNumberFormat="1" applyFont="1" applyBorder="1" applyAlignment="1">
      <alignment horizontal="center" vertical="center" wrapText="1"/>
    </xf>
    <xf numFmtId="1" fontId="5" fillId="0" borderId="21"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165" fontId="5" fillId="0" borderId="21" xfId="0" applyNumberFormat="1" applyFont="1" applyBorder="1" applyAlignment="1">
      <alignment horizontal="center" vertical="center" wrapText="1"/>
    </xf>
    <xf numFmtId="165" fontId="5" fillId="0" borderId="28" xfId="0" applyNumberFormat="1" applyFont="1" applyBorder="1" applyAlignment="1">
      <alignment horizontal="center" vertical="center" wrapText="1"/>
    </xf>
    <xf numFmtId="165" fontId="5" fillId="0" borderId="35" xfId="0" applyNumberFormat="1" applyFont="1" applyBorder="1" applyAlignment="1">
      <alignment horizontal="center" vertical="center" wrapText="1"/>
    </xf>
    <xf numFmtId="0" fontId="5" fillId="0" borderId="18" xfId="0" applyFont="1" applyBorder="1" applyAlignment="1">
      <alignment horizontal="center" vertical="center" wrapText="1"/>
    </xf>
    <xf numFmtId="1" fontId="2" fillId="4" borderId="27" xfId="0" applyNumberFormat="1" applyFont="1" applyFill="1" applyBorder="1" applyAlignment="1">
      <alignment horizontal="center" vertical="center" wrapText="1"/>
    </xf>
    <xf numFmtId="0" fontId="2" fillId="14" borderId="27"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12" borderId="33" xfId="0" applyFont="1" applyFill="1" applyBorder="1" applyAlignment="1">
      <alignment horizontal="justify" vertical="center" wrapText="1"/>
    </xf>
    <xf numFmtId="0" fontId="3" fillId="7" borderId="24" xfId="0" applyFont="1" applyFill="1" applyBorder="1" applyAlignment="1">
      <alignment horizontal="left" vertical="center" wrapText="1"/>
    </xf>
    <xf numFmtId="0" fontId="3" fillId="10" borderId="30" xfId="0" applyFont="1" applyFill="1" applyBorder="1" applyAlignment="1">
      <alignment horizontal="left" vertical="center"/>
    </xf>
    <xf numFmtId="0" fontId="3" fillId="10" borderId="16" xfId="0" applyFont="1" applyFill="1" applyBorder="1" applyAlignment="1">
      <alignment horizontal="left" vertical="center"/>
    </xf>
    <xf numFmtId="1" fontId="9" fillId="12" borderId="28" xfId="0" applyNumberFormat="1" applyFont="1" applyFill="1" applyBorder="1" applyAlignment="1">
      <alignment horizontal="center" vertical="center" wrapText="1"/>
    </xf>
    <xf numFmtId="0" fontId="9" fillId="12" borderId="54" xfId="0" applyFont="1" applyFill="1" applyBorder="1" applyAlignment="1">
      <alignment horizontal="center" vertical="center" wrapText="1"/>
    </xf>
    <xf numFmtId="0" fontId="9" fillId="0" borderId="28"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12" borderId="28"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9" fillId="0" borderId="26" xfId="0" applyFont="1" applyFill="1" applyBorder="1" applyAlignment="1">
      <alignment horizontal="justify" vertical="center" wrapText="1"/>
    </xf>
    <xf numFmtId="10" fontId="9" fillId="12" borderId="28" xfId="0" applyNumberFormat="1" applyFont="1" applyFill="1" applyBorder="1" applyAlignment="1">
      <alignment horizontal="center" vertical="center" wrapText="1"/>
    </xf>
    <xf numFmtId="0" fontId="9" fillId="12" borderId="74" xfId="0" applyFont="1" applyFill="1" applyBorder="1" applyAlignment="1">
      <alignment horizontal="justify" vertical="center" wrapText="1"/>
    </xf>
    <xf numFmtId="0" fontId="9" fillId="12" borderId="35" xfId="0" applyFont="1" applyFill="1" applyBorder="1" applyAlignment="1">
      <alignment horizontal="justify" vertical="center" wrapText="1"/>
    </xf>
    <xf numFmtId="0" fontId="9" fillId="12"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169" fontId="9" fillId="12" borderId="28" xfId="19"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35" xfId="0" applyFont="1" applyFill="1" applyBorder="1" applyAlignment="1">
      <alignment horizontal="center" vertical="center" wrapText="1"/>
    </xf>
    <xf numFmtId="1" fontId="9" fillId="12" borderId="35" xfId="0" applyNumberFormat="1" applyFont="1" applyFill="1" applyBorder="1" applyAlignment="1">
      <alignment horizontal="center" vertical="center" wrapText="1"/>
    </xf>
    <xf numFmtId="0" fontId="9" fillId="12" borderId="33" xfId="0" applyFont="1" applyFill="1" applyBorder="1" applyAlignment="1">
      <alignment horizontal="center" vertical="center" wrapText="1"/>
    </xf>
    <xf numFmtId="0" fontId="9" fillId="12" borderId="33" xfId="0" applyFont="1" applyFill="1" applyBorder="1" applyAlignment="1">
      <alignment horizontal="justify" vertical="center" wrapText="1"/>
    </xf>
    <xf numFmtId="0" fontId="8" fillId="0" borderId="35" xfId="4" applyNumberFormat="1" applyFont="1" applyFill="1" applyBorder="1" applyAlignment="1">
      <alignment horizontal="center" vertical="center" wrapText="1"/>
    </xf>
    <xf numFmtId="0" fontId="8" fillId="0" borderId="33" xfId="4" applyNumberFormat="1" applyFont="1" applyFill="1" applyBorder="1" applyAlignment="1">
      <alignment horizontal="center" vertical="center" wrapText="1"/>
    </xf>
    <xf numFmtId="0" fontId="8" fillId="0" borderId="38" xfId="4" applyNumberFormat="1" applyFont="1" applyFill="1" applyBorder="1" applyAlignment="1">
      <alignment horizontal="center" vertical="center" wrapText="1"/>
    </xf>
    <xf numFmtId="0" fontId="8" fillId="2" borderId="35" xfId="0" applyNumberFormat="1" applyFont="1" applyFill="1" applyBorder="1" applyAlignment="1">
      <alignment horizontal="justify" vertical="center" wrapText="1"/>
    </xf>
    <xf numFmtId="0" fontId="8" fillId="2" borderId="33" xfId="0" applyNumberFormat="1" applyFont="1" applyFill="1" applyBorder="1" applyAlignment="1">
      <alignment horizontal="justify" vertical="center" wrapText="1"/>
    </xf>
    <xf numFmtId="0" fontId="8" fillId="2" borderId="38" xfId="0" applyNumberFormat="1" applyFont="1" applyFill="1" applyBorder="1" applyAlignment="1">
      <alignment horizontal="justify" vertical="center" wrapText="1"/>
    </xf>
    <xf numFmtId="0" fontId="8" fillId="2" borderId="35" xfId="4" applyNumberFormat="1" applyFont="1" applyFill="1" applyBorder="1" applyAlignment="1">
      <alignment horizontal="center" vertical="center" wrapText="1"/>
    </xf>
    <xf numFmtId="0" fontId="8" fillId="2" borderId="33" xfId="4" applyNumberFormat="1" applyFont="1" applyFill="1" applyBorder="1" applyAlignment="1">
      <alignment horizontal="center" vertical="center" wrapText="1"/>
    </xf>
    <xf numFmtId="0" fontId="8" fillId="2" borderId="38" xfId="4" applyNumberFormat="1" applyFont="1" applyFill="1" applyBorder="1" applyAlignment="1">
      <alignment horizontal="center" vertical="center" wrapText="1"/>
    </xf>
    <xf numFmtId="0" fontId="8" fillId="0" borderId="35" xfId="5" applyFont="1" applyFill="1" applyBorder="1" applyAlignment="1">
      <alignment horizontal="center" vertical="center" wrapText="1"/>
    </xf>
    <xf numFmtId="0" fontId="8" fillId="0" borderId="33" xfId="5" applyFont="1" applyFill="1" applyBorder="1" applyAlignment="1">
      <alignment horizontal="center" vertical="center" wrapText="1"/>
    </xf>
    <xf numFmtId="0" fontId="8" fillId="0" borderId="38" xfId="5"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12" borderId="35" xfId="0" applyNumberFormat="1" applyFont="1" applyFill="1" applyBorder="1" applyAlignment="1">
      <alignment horizontal="center" vertical="center" wrapText="1"/>
    </xf>
    <xf numFmtId="9" fontId="9" fillId="12" borderId="33" xfId="0" applyNumberFormat="1" applyFont="1" applyFill="1" applyBorder="1" applyAlignment="1">
      <alignment horizontal="center" vertical="center" wrapText="1"/>
    </xf>
    <xf numFmtId="169" fontId="9" fillId="0" borderId="35" xfId="19" applyFont="1" applyFill="1" applyBorder="1" applyAlignment="1">
      <alignment horizontal="center" vertical="center" wrapText="1"/>
    </xf>
    <xf numFmtId="169" fontId="9" fillId="0" borderId="33" xfId="19" applyFont="1" applyFill="1" applyBorder="1" applyAlignment="1">
      <alignment horizontal="center" vertical="center" wrapText="1"/>
    </xf>
    <xf numFmtId="0" fontId="8" fillId="2" borderId="35"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9" fillId="12" borderId="38" xfId="0" applyFont="1" applyFill="1" applyBorder="1" applyAlignment="1">
      <alignment horizontal="center" vertical="center" wrapText="1"/>
    </xf>
    <xf numFmtId="1" fontId="9" fillId="12" borderId="33" xfId="0" applyNumberFormat="1" applyFont="1" applyFill="1" applyBorder="1" applyAlignment="1">
      <alignment horizontal="center" vertical="center" wrapText="1"/>
    </xf>
    <xf numFmtId="1" fontId="9" fillId="12" borderId="38" xfId="0" applyNumberFormat="1" applyFont="1" applyFill="1" applyBorder="1" applyAlignment="1">
      <alignment horizontal="center" vertical="center" wrapText="1"/>
    </xf>
    <xf numFmtId="0" fontId="9" fillId="12" borderId="38" xfId="0" applyFont="1" applyFill="1" applyBorder="1" applyAlignment="1">
      <alignment horizontal="justify" vertical="center" wrapText="1"/>
    </xf>
    <xf numFmtId="0" fontId="8" fillId="12" borderId="25" xfId="0" applyFont="1" applyFill="1" applyBorder="1" applyAlignment="1">
      <alignment horizontal="center" vertical="center" wrapText="1"/>
    </xf>
    <xf numFmtId="0" fontId="9" fillId="0" borderId="33" xfId="0" applyFont="1" applyFill="1" applyBorder="1" applyAlignment="1">
      <alignment horizontal="justify" vertical="center" wrapText="1"/>
    </xf>
    <xf numFmtId="0" fontId="9" fillId="0" borderId="37"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75" xfId="0" applyFont="1" applyFill="1" applyBorder="1" applyAlignment="1">
      <alignment horizontal="justify" vertical="center" wrapText="1"/>
    </xf>
    <xf numFmtId="14" fontId="8" fillId="12" borderId="39" xfId="0" applyNumberFormat="1" applyFont="1" applyFill="1" applyBorder="1" applyAlignment="1">
      <alignment horizontal="center" vertical="center" wrapText="1"/>
    </xf>
    <xf numFmtId="14" fontId="8" fillId="12" borderId="25" xfId="0" applyNumberFormat="1" applyFont="1" applyFill="1" applyBorder="1" applyAlignment="1">
      <alignment horizontal="center" vertical="center" wrapText="1"/>
    </xf>
    <xf numFmtId="0" fontId="8" fillId="12" borderId="27" xfId="0" applyFont="1" applyFill="1" applyBorder="1" applyAlignment="1">
      <alignment horizontal="center" vertical="center" wrapText="1"/>
    </xf>
    <xf numFmtId="0" fontId="9" fillId="12" borderId="75" xfId="0" applyFont="1" applyFill="1" applyBorder="1" applyAlignment="1">
      <alignment horizontal="center" vertical="center" wrapText="1"/>
    </xf>
    <xf numFmtId="9" fontId="9" fillId="12" borderId="38" xfId="0" applyNumberFormat="1" applyFont="1" applyFill="1" applyBorder="1" applyAlignment="1">
      <alignment horizontal="center" vertical="center" wrapText="1"/>
    </xf>
    <xf numFmtId="169" fontId="9" fillId="12" borderId="35" xfId="19" applyFont="1" applyFill="1" applyBorder="1" applyAlignment="1">
      <alignment horizontal="center" vertical="center" wrapText="1"/>
    </xf>
    <xf numFmtId="169" fontId="9" fillId="12" borderId="33" xfId="19" applyFont="1" applyFill="1" applyBorder="1" applyAlignment="1">
      <alignment horizontal="center" vertical="center" wrapText="1"/>
    </xf>
    <xf numFmtId="169" fontId="9" fillId="12" borderId="38" xfId="19" applyFont="1" applyFill="1" applyBorder="1" applyAlignment="1">
      <alignment horizontal="center" vertical="center" wrapText="1"/>
    </xf>
    <xf numFmtId="0" fontId="2" fillId="14" borderId="2" xfId="0" applyFont="1" applyFill="1" applyBorder="1" applyAlignment="1">
      <alignment horizontal="center" vertical="center" wrapText="1"/>
    </xf>
    <xf numFmtId="0" fontId="3" fillId="4" borderId="22" xfId="0" applyNumberFormat="1" applyFont="1" applyFill="1" applyBorder="1" applyAlignment="1">
      <alignment horizontal="center" vertical="center" textRotation="90" wrapText="1"/>
    </xf>
    <xf numFmtId="0" fontId="3" fillId="4" borderId="27" xfId="0" applyNumberFormat="1" applyFont="1" applyFill="1" applyBorder="1" applyAlignment="1">
      <alignment horizontal="center" vertical="center" textRotation="90" wrapText="1"/>
    </xf>
    <xf numFmtId="0" fontId="20" fillId="7" borderId="45" xfId="0" applyFont="1" applyFill="1" applyBorder="1" applyAlignment="1">
      <alignment horizontal="center" vertical="center"/>
    </xf>
    <xf numFmtId="0" fontId="20" fillId="7" borderId="46" xfId="0" applyFont="1" applyFill="1" applyBorder="1" applyAlignment="1">
      <alignment horizontal="center" vertical="center"/>
    </xf>
    <xf numFmtId="0" fontId="20" fillId="12" borderId="12"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0" fillId="12" borderId="48"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9" fillId="12" borderId="27" xfId="0" applyFont="1" applyFill="1" applyBorder="1" applyAlignment="1">
      <alignment horizontal="center" vertical="center" wrapText="1"/>
    </xf>
    <xf numFmtId="4" fontId="8" fillId="0" borderId="40" xfId="0" applyNumberFormat="1" applyFont="1" applyBorder="1" applyAlignment="1">
      <alignment horizontal="center" vertical="center" wrapText="1"/>
    </xf>
    <xf numFmtId="4" fontId="8" fillId="0" borderId="23" xfId="0" applyNumberFormat="1" applyFont="1" applyBorder="1" applyAlignment="1">
      <alignment horizontal="center" vertical="center" wrapText="1"/>
    </xf>
    <xf numFmtId="4" fontId="8" fillId="0" borderId="43" xfId="0" applyNumberFormat="1" applyFont="1" applyBorder="1" applyAlignment="1">
      <alignment horizontal="center" vertical="center" wrapText="1"/>
    </xf>
    <xf numFmtId="0" fontId="9" fillId="12" borderId="42" xfId="0" applyFont="1" applyFill="1" applyBorder="1" applyAlignment="1">
      <alignment horizontal="justify" vertical="center" wrapText="1"/>
    </xf>
    <xf numFmtId="0" fontId="9" fillId="12" borderId="55" xfId="0" applyFont="1" applyFill="1" applyBorder="1" applyAlignment="1">
      <alignment horizontal="justify" vertical="center" wrapText="1"/>
    </xf>
    <xf numFmtId="165" fontId="2" fillId="5" borderId="27" xfId="0" applyNumberFormat="1" applyFont="1" applyFill="1" applyBorder="1" applyAlignment="1">
      <alignment horizontal="center" vertical="center" wrapText="1"/>
    </xf>
    <xf numFmtId="165" fontId="2" fillId="5" borderId="56" xfId="0" applyNumberFormat="1" applyFont="1" applyFill="1" applyBorder="1" applyAlignment="1">
      <alignment horizontal="center" vertical="center" wrapText="1"/>
    </xf>
    <xf numFmtId="165" fontId="2" fillId="5" borderId="29" xfId="0" applyNumberFormat="1" applyFont="1" applyFill="1" applyBorder="1" applyAlignment="1">
      <alignment horizontal="center" vertical="center" wrapText="1"/>
    </xf>
    <xf numFmtId="3" fontId="2" fillId="5" borderId="41" xfId="0" applyNumberFormat="1" applyFont="1" applyFill="1" applyBorder="1" applyAlignment="1">
      <alignment horizontal="center" vertical="center" wrapText="1"/>
    </xf>
    <xf numFmtId="3" fontId="2" fillId="5" borderId="44" xfId="0" applyNumberFormat="1" applyFont="1" applyFill="1" applyBorder="1" applyAlignment="1">
      <alignment horizontal="center" vertical="center" wrapText="1"/>
    </xf>
    <xf numFmtId="1" fontId="2" fillId="4" borderId="24"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3" fontId="3" fillId="4" borderId="22" xfId="0" applyNumberFormat="1" applyFont="1" applyFill="1" applyBorder="1" applyAlignment="1">
      <alignment horizontal="center" vertical="center" textRotation="90" wrapText="1"/>
    </xf>
    <xf numFmtId="3" fontId="3" fillId="4" borderId="27" xfId="0" applyNumberFormat="1" applyFont="1" applyFill="1" applyBorder="1" applyAlignment="1">
      <alignment horizontal="center" vertical="center" textRotation="90" wrapText="1"/>
    </xf>
    <xf numFmtId="0" fontId="10" fillId="7" borderId="7" xfId="0" applyFont="1" applyFill="1" applyBorder="1" applyAlignment="1">
      <alignment horizontal="left" vertical="center"/>
    </xf>
    <xf numFmtId="0" fontId="10" fillId="7" borderId="8" xfId="0" applyFont="1" applyFill="1" applyBorder="1" applyAlignment="1">
      <alignment horizontal="left" vertical="center"/>
    </xf>
    <xf numFmtId="0" fontId="3" fillId="10" borderId="19" xfId="0" applyFont="1" applyFill="1" applyBorder="1" applyAlignment="1">
      <alignment horizontal="left" vertical="center"/>
    </xf>
    <xf numFmtId="0" fontId="3" fillId="10" borderId="20" xfId="0" applyFont="1" applyFill="1" applyBorder="1" applyAlignment="1">
      <alignment horizontal="left" vertical="center"/>
    </xf>
    <xf numFmtId="0" fontId="9" fillId="0" borderId="39"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9" xfId="0" applyFont="1" applyBorder="1" applyAlignment="1">
      <alignment horizontal="justify" vertical="center" wrapText="1"/>
    </xf>
    <xf numFmtId="0" fontId="9" fillId="0" borderId="54" xfId="0" applyFont="1" applyBorder="1" applyAlignment="1">
      <alignment horizontal="justify" vertical="center" wrapText="1"/>
    </xf>
    <xf numFmtId="9" fontId="9" fillId="0" borderId="39" xfId="0" applyNumberFormat="1" applyFont="1" applyBorder="1" applyAlignment="1">
      <alignment horizontal="center" vertical="center" wrapText="1"/>
    </xf>
    <xf numFmtId="9" fontId="9" fillId="0" borderId="54" xfId="0" applyNumberFormat="1" applyFont="1" applyBorder="1" applyAlignment="1">
      <alignment horizontal="center" vertical="center" wrapText="1"/>
    </xf>
    <xf numFmtId="43" fontId="9" fillId="0" borderId="39" xfId="16" applyFont="1" applyBorder="1" applyAlignment="1">
      <alignment horizontal="center" vertical="center" wrapText="1"/>
    </xf>
    <xf numFmtId="43" fontId="9" fillId="0" borderId="54" xfId="16" applyFont="1" applyBorder="1" applyAlignment="1">
      <alignment horizontal="center" vertical="center" wrapText="1"/>
    </xf>
    <xf numFmtId="14" fontId="9" fillId="0" borderId="39" xfId="0" applyNumberFormat="1" applyFont="1" applyBorder="1" applyAlignment="1">
      <alignment horizontal="center" vertical="center" wrapText="1"/>
    </xf>
    <xf numFmtId="14" fontId="9" fillId="0" borderId="54"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3" xfId="0" applyFont="1" applyBorder="1" applyAlignment="1">
      <alignment horizontal="justify" vertical="center" wrapText="1"/>
    </xf>
    <xf numFmtId="0" fontId="9" fillId="0" borderId="55" xfId="0" applyFont="1" applyBorder="1" applyAlignment="1">
      <alignment horizontal="justify" vertical="center" wrapText="1"/>
    </xf>
    <xf numFmtId="9" fontId="9" fillId="0" borderId="25" xfId="0" applyNumberFormat="1" applyFont="1" applyBorder="1" applyAlignment="1">
      <alignment horizontal="center" vertical="center" wrapText="1"/>
    </xf>
    <xf numFmtId="43" fontId="9" fillId="0" borderId="25" xfId="16" applyFont="1" applyBorder="1" applyAlignment="1">
      <alignment horizontal="center" vertical="center" wrapText="1"/>
    </xf>
    <xf numFmtId="0" fontId="13" fillId="0" borderId="39"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48"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5" xfId="0" applyFont="1" applyBorder="1" applyAlignment="1">
      <alignment horizontal="center" vertical="center" wrapText="1"/>
    </xf>
    <xf numFmtId="0" fontId="3" fillId="7" borderId="20" xfId="0" applyFont="1" applyFill="1" applyBorder="1" applyAlignment="1">
      <alignment horizontal="left" vertical="center"/>
    </xf>
    <xf numFmtId="0" fontId="9" fillId="0" borderId="17" xfId="0" applyFont="1" applyBorder="1" applyAlignment="1">
      <alignment horizontal="center" vertical="center" wrapText="1"/>
    </xf>
    <xf numFmtId="0" fontId="9" fillId="0" borderId="42" xfId="0" applyFont="1" applyBorder="1" applyAlignment="1">
      <alignment horizontal="justify" vertical="center" wrapText="1"/>
    </xf>
    <xf numFmtId="14" fontId="9" fillId="0" borderId="25" xfId="0" applyNumberFormat="1" applyFont="1" applyBorder="1" applyAlignment="1">
      <alignment horizontal="center" vertical="center" wrapText="1"/>
    </xf>
    <xf numFmtId="0" fontId="13" fillId="0" borderId="28" xfId="0" applyFont="1" applyBorder="1" applyAlignment="1">
      <alignment horizontal="justify" vertical="center" wrapText="1"/>
    </xf>
    <xf numFmtId="0" fontId="3" fillId="9" borderId="37" xfId="0" applyFont="1" applyFill="1" applyBorder="1" applyAlignment="1">
      <alignment horizontal="left"/>
    </xf>
    <xf numFmtId="0" fontId="3" fillId="9" borderId="16" xfId="0" applyFont="1" applyFill="1" applyBorder="1" applyAlignment="1">
      <alignment horizontal="left"/>
    </xf>
    <xf numFmtId="43" fontId="9" fillId="0" borderId="28" xfId="16" applyFont="1" applyBorder="1" applyAlignment="1">
      <alignment horizontal="center" vertical="center" wrapText="1"/>
    </xf>
    <xf numFmtId="43" fontId="9" fillId="0" borderId="34" xfId="16" applyFont="1" applyBorder="1" applyAlignment="1">
      <alignment horizontal="center" vertical="center" wrapText="1"/>
    </xf>
    <xf numFmtId="10" fontId="9" fillId="0" borderId="12" xfId="0" applyNumberFormat="1" applyFont="1" applyBorder="1" applyAlignment="1">
      <alignment horizontal="center" vertical="center" wrapText="1"/>
    </xf>
    <xf numFmtId="10" fontId="9" fillId="0" borderId="48" xfId="0" applyNumberFormat="1" applyFont="1" applyBorder="1" applyAlignment="1">
      <alignment horizontal="center" vertical="center" wrapText="1"/>
    </xf>
    <xf numFmtId="10" fontId="9" fillId="0" borderId="61" xfId="0" applyNumberFormat="1" applyFont="1" applyBorder="1" applyAlignment="1">
      <alignment horizontal="center" vertical="center" wrapText="1"/>
    </xf>
    <xf numFmtId="10" fontId="9" fillId="0" borderId="11"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3" fontId="9" fillId="0" borderId="54" xfId="0" applyNumberFormat="1" applyFont="1" applyBorder="1" applyAlignment="1">
      <alignment horizontal="center" vertical="center" wrapText="1"/>
    </xf>
    <xf numFmtId="0" fontId="9" fillId="0" borderId="28" xfId="0" applyFont="1" applyBorder="1" applyAlignment="1">
      <alignment horizontal="justify" vertical="center" wrapText="1"/>
    </xf>
    <xf numFmtId="0" fontId="9" fillId="0" borderId="37" xfId="0" applyFont="1" applyBorder="1" applyAlignment="1">
      <alignment horizontal="justify" vertical="center" wrapText="1"/>
    </xf>
    <xf numFmtId="10" fontId="9" fillId="0" borderId="28" xfId="0" applyNumberFormat="1" applyFont="1" applyBorder="1" applyAlignment="1">
      <alignment horizontal="center" vertical="center" wrapText="1"/>
    </xf>
    <xf numFmtId="0" fontId="9" fillId="0" borderId="1" xfId="0" applyFont="1" applyBorder="1" applyAlignment="1">
      <alignment horizontal="justify" vertical="center" wrapText="1"/>
    </xf>
  </cellXfs>
  <cellStyles count="32">
    <cellStyle name="Excel Built-in Normal" xfId="8"/>
    <cellStyle name="Incorrecto" xfId="25" builtinId="27"/>
    <cellStyle name="KPT04" xfId="13"/>
    <cellStyle name="KPT04 2" xfId="14"/>
    <cellStyle name="Millares" xfId="16" builtinId="3"/>
    <cellStyle name="Millares [0]" xfId="1" builtinId="6"/>
    <cellStyle name="Millares [0] 2" xfId="15"/>
    <cellStyle name="Millares 2" xfId="9"/>
    <cellStyle name="Millares 2 2" xfId="10"/>
    <cellStyle name="Millares 2 2 2" xfId="11"/>
    <cellStyle name="Millares 2 2 2 2" xfId="4"/>
    <cellStyle name="Millares 3" xfId="19"/>
    <cellStyle name="Millares 86" xfId="17"/>
    <cellStyle name="Moneda" xfId="2" builtinId="4"/>
    <cellStyle name="Moneda [0] 2" xfId="12"/>
    <cellStyle name="Moneda [0] 3" xfId="26"/>
    <cellStyle name="Moneda 2" xfId="7"/>
    <cellStyle name="Moneda 2 2" xfId="27"/>
    <cellStyle name="Moneda 3 2" xfId="31"/>
    <cellStyle name="Moneda 4" xfId="23"/>
    <cellStyle name="Normal" xfId="0" builtinId="0"/>
    <cellStyle name="Normal 17" xfId="18"/>
    <cellStyle name="Normal 2" xfId="5"/>
    <cellStyle name="Normal 2 2" xfId="28"/>
    <cellStyle name="Normal 2 2 2" xfId="30"/>
    <cellStyle name="Normal 2 3" xfId="6"/>
    <cellStyle name="Normal 3" xfId="21"/>
    <cellStyle name="Normal 3 2" xfId="29"/>
    <cellStyle name="Normal 7" xfId="24"/>
    <cellStyle name="Porcentaje" xfId="3" builtinId="5"/>
    <cellStyle name="Porcentaje 2 2" xfId="20"/>
    <cellStyle name="Porcentaje 2 2 2" xfId="22"/>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74839</xdr:colOff>
      <xdr:row>0</xdr:row>
      <xdr:rowOff>1</xdr:rowOff>
    </xdr:from>
    <xdr:to>
      <xdr:col>1</xdr:col>
      <xdr:colOff>299130</xdr:colOff>
      <xdr:row>5</xdr:row>
      <xdr:rowOff>4197</xdr:rowOff>
    </xdr:to>
    <xdr:pic>
      <xdr:nvPicPr>
        <xdr:cNvPr id="2" name="Imagen 1" descr="C:\Users\AUXPLANEACION03\Desktop\Gobernacion_del_quindi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39" y="1"/>
          <a:ext cx="929141" cy="100432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397330</xdr:colOff>
      <xdr:row>0</xdr:row>
      <xdr:rowOff>187777</xdr:rowOff>
    </xdr:from>
    <xdr:to>
      <xdr:col>1</xdr:col>
      <xdr:colOff>503465</xdr:colOff>
      <xdr:row>3</xdr:row>
      <xdr:rowOff>54429</xdr:rowOff>
    </xdr:to>
    <xdr:pic>
      <xdr:nvPicPr>
        <xdr:cNvPr id="2" name="Imagen 1" descr="C:\Users\AUXPLANEACION03\Desktop\Gobernacion_del_quindio.jpg">
          <a:extLst>
            <a:ext uri="{FF2B5EF4-FFF2-40B4-BE49-F238E27FC236}">
              <a16:creationId xmlns:a16="http://schemas.microsoft.com/office/drawing/2014/main" id="{DDFEDD44-059B-447D-A24C-398D69E2EC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187777"/>
          <a:ext cx="858610" cy="78105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286884</xdr:colOff>
      <xdr:row>0</xdr:row>
      <xdr:rowOff>98085</xdr:rowOff>
    </xdr:from>
    <xdr:to>
      <xdr:col>1</xdr:col>
      <xdr:colOff>412750</xdr:colOff>
      <xdr:row>3</xdr:row>
      <xdr:rowOff>195035</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884" y="98085"/>
          <a:ext cx="1030741" cy="10113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180975</xdr:rowOff>
    </xdr:from>
    <xdr:to>
      <xdr:col>1</xdr:col>
      <xdr:colOff>386443</xdr:colOff>
      <xdr:row>3</xdr:row>
      <xdr:rowOff>95250</xdr:rowOff>
    </xdr:to>
    <xdr:pic>
      <xdr:nvPicPr>
        <xdr:cNvPr id="2" name="Imagen 1">
          <a:extLst>
            <a:ext uri="{FF2B5EF4-FFF2-40B4-BE49-F238E27FC236}">
              <a16:creationId xmlns:a16="http://schemas.microsoft.com/office/drawing/2014/main" id="{B40C0C3B-4F8C-4DAF-9271-630A831FC3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80975"/>
          <a:ext cx="1215118" cy="111442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193675</xdr:colOff>
      <xdr:row>0</xdr:row>
      <xdr:rowOff>142875</xdr:rowOff>
    </xdr:from>
    <xdr:to>
      <xdr:col>1</xdr:col>
      <xdr:colOff>396875</xdr:colOff>
      <xdr:row>3</xdr:row>
      <xdr:rowOff>200025</xdr:rowOff>
    </xdr:to>
    <xdr:pic>
      <xdr:nvPicPr>
        <xdr:cNvPr id="2" name="Imagen 1">
          <a:extLst>
            <a:ext uri="{FF2B5EF4-FFF2-40B4-BE49-F238E27FC236}">
              <a16:creationId xmlns:a16="http://schemas.microsoft.com/office/drawing/2014/main" id="{8A8A7D1D-A94F-4673-A5F7-E95143078C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675" y="142875"/>
          <a:ext cx="1079500" cy="11144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3</xdr:row>
      <xdr:rowOff>152400</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9125" cy="7524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228600</xdr:colOff>
      <xdr:row>3</xdr:row>
      <xdr:rowOff>257175</xdr:rowOff>
    </xdr:to>
    <xdr:pic>
      <xdr:nvPicPr>
        <xdr:cNvPr id="2" name="Imagen 1">
          <a:extLst>
            <a:ext uri="{FF2B5EF4-FFF2-40B4-BE49-F238E27FC236}">
              <a16:creationId xmlns:a16="http://schemas.microsoft.com/office/drawing/2014/main" id="{7CE75DC7-92F1-48FB-A6BD-92E45BBB97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1333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340179</xdr:colOff>
      <xdr:row>3</xdr:row>
      <xdr:rowOff>217715</xdr:rowOff>
    </xdr:to>
    <xdr:pic>
      <xdr:nvPicPr>
        <xdr:cNvPr id="2" name="Imagen 1" descr="C:\Users\AUXPLANEACION03\Desktop\Gobernacion_del_quindio.jpg">
          <a:extLst>
            <a:ext uri="{FF2B5EF4-FFF2-40B4-BE49-F238E27FC236}">
              <a16:creationId xmlns:a16="http://schemas.microsoft.com/office/drawing/2014/main" id="{93F3D384-FDF4-4BDE-84D5-6450DCEB98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741590" cy="9035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89921</xdr:colOff>
      <xdr:row>5</xdr:row>
      <xdr:rowOff>20865</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8121" cy="1020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15308</xdr:colOff>
      <xdr:row>0</xdr:row>
      <xdr:rowOff>95250</xdr:rowOff>
    </xdr:from>
    <xdr:to>
      <xdr:col>1</xdr:col>
      <xdr:colOff>122464</xdr:colOff>
      <xdr:row>6</xdr:row>
      <xdr:rowOff>126887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8" y="95250"/>
          <a:ext cx="1154906" cy="14984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1</xdr:col>
      <xdr:colOff>394607</xdr:colOff>
      <xdr:row>3</xdr:row>
      <xdr:rowOff>114300</xdr:rowOff>
    </xdr:to>
    <xdr:pic>
      <xdr:nvPicPr>
        <xdr:cNvPr id="2" name="Imagen 1" descr="C:\Users\AUXPLANEACION03\Desktop\Gobernacion_del_quindio.jpg">
          <a:extLst>
            <a:ext uri="{FF2B5EF4-FFF2-40B4-BE49-F238E27FC236}">
              <a16:creationId xmlns:a16="http://schemas.microsoft.com/office/drawing/2014/main" id="{12FDD8D0-3F42-4F0A-80C7-B7DE64EF79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918482" cy="933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2</xdr:row>
      <xdr:rowOff>220890</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9352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387059</xdr:colOff>
      <xdr:row>0</xdr:row>
      <xdr:rowOff>322621</xdr:rowOff>
    </xdr:from>
    <xdr:to>
      <xdr:col>1</xdr:col>
      <xdr:colOff>585108</xdr:colOff>
      <xdr:row>3</xdr:row>
      <xdr:rowOff>3073</xdr:rowOff>
    </xdr:to>
    <xdr:pic>
      <xdr:nvPicPr>
        <xdr:cNvPr id="2" name="Imagen 1">
          <a:extLst>
            <a:ext uri="{FF2B5EF4-FFF2-40B4-BE49-F238E27FC236}">
              <a16:creationId xmlns:a16="http://schemas.microsoft.com/office/drawing/2014/main" id="{5C741C2F-EA17-474B-ABB4-AA4F529974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059" y="322621"/>
          <a:ext cx="845749" cy="93775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206375</xdr:colOff>
      <xdr:row>0</xdr:row>
      <xdr:rowOff>43090</xdr:rowOff>
    </xdr:from>
    <xdr:to>
      <xdr:col>1</xdr:col>
      <xdr:colOff>180976</xdr:colOff>
      <xdr:row>1</xdr:row>
      <xdr:rowOff>257175</xdr:rowOff>
    </xdr:to>
    <xdr:pic>
      <xdr:nvPicPr>
        <xdr:cNvPr id="2" name="Imagen 1" descr="C:\Users\AUXPLANEACION03\Desktop\Gobernacion_del_quindio.jpg">
          <a:extLst>
            <a:ext uri="{FF2B5EF4-FFF2-40B4-BE49-F238E27FC236}">
              <a16:creationId xmlns:a16="http://schemas.microsoft.com/office/drawing/2014/main" id="{0D2E2FAE-1319-49E8-862B-76837EC482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43090"/>
          <a:ext cx="822326" cy="86178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5</xdr:row>
      <xdr:rowOff>139927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114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UXINFRA54.DQUINDIO/Documents/HOOVER/PROYECTOS%20PDD/PROYECTOS%20NUEVOS%20INFRA/PROYECTO%20SEGURIDAD%20DEL%20ESTADO/F-PLA-38PoblacionBeneficiadaInversion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ow r="9">
          <cell r="C9">
            <v>295972</v>
          </cell>
          <cell r="D9">
            <v>285580</v>
          </cell>
          <cell r="E9">
            <v>135545</v>
          </cell>
          <cell r="F9">
            <v>44254</v>
          </cell>
          <cell r="G9">
            <v>309146</v>
          </cell>
          <cell r="H9">
            <v>92607</v>
          </cell>
          <cell r="I9">
            <v>2145</v>
          </cell>
          <cell r="J9">
            <v>12718</v>
          </cell>
          <cell r="K9">
            <v>26</v>
          </cell>
          <cell r="L9">
            <v>37</v>
          </cell>
          <cell r="M9">
            <v>0</v>
          </cell>
          <cell r="N9">
            <v>0</v>
          </cell>
          <cell r="O9">
            <v>44350</v>
          </cell>
          <cell r="P9">
            <v>21944</v>
          </cell>
          <cell r="Q9">
            <v>75687</v>
          </cell>
          <cell r="R9">
            <v>581552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6.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sheetPr>
  <dimension ref="A1:BM45"/>
  <sheetViews>
    <sheetView showGridLines="0" zoomScale="70" zoomScaleNormal="70" workbookViewId="0">
      <selection activeCell="L12" sqref="L12:L18"/>
    </sheetView>
  </sheetViews>
  <sheetFormatPr baseColWidth="10" defaultColWidth="11.42578125" defaultRowHeight="15" x14ac:dyDescent="0.25"/>
  <cols>
    <col min="1" max="1" width="10.5703125" style="132" customWidth="1"/>
    <col min="2" max="4" width="11.140625" style="4" customWidth="1"/>
    <col min="5" max="5" width="10.5703125" style="4" customWidth="1"/>
    <col min="6" max="6" width="11.7109375" style="4" customWidth="1"/>
    <col min="7" max="7" width="11.28515625" style="4" customWidth="1"/>
    <col min="8" max="8" width="22.28515625" style="118" customWidth="1"/>
    <col min="9" max="9" width="22.7109375" style="4" customWidth="1"/>
    <col min="10" max="10" width="27.28515625" style="118" customWidth="1"/>
    <col min="11" max="11" width="14.140625" style="4" customWidth="1"/>
    <col min="12" max="12" width="26.85546875" style="119" customWidth="1"/>
    <col min="13" max="13" width="18.140625" style="4" customWidth="1"/>
    <col min="14" max="14" width="24.28515625" style="119" customWidth="1"/>
    <col min="15" max="15" width="18.28515625" style="3" customWidth="1"/>
    <col min="16" max="16" width="21.28515625" style="3" customWidth="1"/>
    <col min="17" max="17" width="27.140625" style="119" customWidth="1"/>
    <col min="18" max="18" width="19.5703125" style="120" customWidth="1"/>
    <col min="19" max="19" width="27.42578125" style="121" customWidth="1"/>
    <col min="20" max="20" width="36.140625" style="122" customWidth="1"/>
    <col min="21" max="21" width="39" style="119" customWidth="1"/>
    <col min="22" max="22" width="46.42578125" style="119" customWidth="1"/>
    <col min="23" max="23" width="26.85546875" style="3" customWidth="1"/>
    <col min="24" max="24" width="49.7109375" style="3" customWidth="1"/>
    <col min="25" max="25" width="9.7109375" style="128" bestFit="1" customWidth="1"/>
    <col min="26" max="26" width="18.85546875" style="124" customWidth="1"/>
    <col min="27" max="27" width="9.7109375" style="3" bestFit="1" customWidth="1"/>
    <col min="28" max="28" width="9.85546875" style="4" customWidth="1"/>
    <col min="29" max="29" width="10.28515625" style="4" customWidth="1"/>
    <col min="30" max="30" width="8.42578125" style="4" bestFit="1" customWidth="1"/>
    <col min="31" max="31" width="10.28515625" style="4" customWidth="1"/>
    <col min="32" max="32" width="9.42578125" style="4" customWidth="1"/>
    <col min="33" max="33" width="9.140625" style="4" customWidth="1"/>
    <col min="34" max="34" width="8.85546875" style="4" customWidth="1"/>
    <col min="35" max="35" width="8.42578125" style="4" bestFit="1" customWidth="1"/>
    <col min="36" max="36" width="8.42578125" style="4" customWidth="1"/>
    <col min="37" max="38" width="8.42578125" style="4" bestFit="1" customWidth="1"/>
    <col min="39" max="39" width="9.140625" style="4" bestFit="1" customWidth="1"/>
    <col min="40" max="40" width="10.42578125" style="4" customWidth="1"/>
    <col min="41" max="41" width="11.85546875" style="4" customWidth="1"/>
    <col min="42" max="42" width="10.5703125" style="4" customWidth="1"/>
    <col min="43" max="43" width="12.5703125" style="4" customWidth="1"/>
    <col min="44" max="44" width="17.140625" style="4" customWidth="1"/>
    <col min="45" max="45" width="19.7109375" style="133" customWidth="1"/>
    <col min="46" max="46" width="25.140625" style="134" customWidth="1"/>
    <col min="47" max="16384" width="11.42578125" style="4"/>
  </cols>
  <sheetData>
    <row r="1" spans="1:65" ht="15.75" customHeight="1" x14ac:dyDescent="0.2">
      <c r="A1" s="2235" t="s">
        <v>0</v>
      </c>
      <c r="B1" s="2236"/>
      <c r="C1" s="2236"/>
      <c r="D1" s="2236"/>
      <c r="E1" s="2236"/>
      <c r="F1" s="2236"/>
      <c r="G1" s="2236"/>
      <c r="H1" s="2236"/>
      <c r="I1" s="2236"/>
      <c r="J1" s="2236"/>
      <c r="K1" s="2236"/>
      <c r="L1" s="2236"/>
      <c r="M1" s="2236"/>
      <c r="N1" s="2236"/>
      <c r="O1" s="2236"/>
      <c r="P1" s="2236"/>
      <c r="Q1" s="2236"/>
      <c r="R1" s="2236"/>
      <c r="S1" s="2236"/>
      <c r="T1" s="2236"/>
      <c r="U1" s="2236"/>
      <c r="V1" s="2236"/>
      <c r="W1" s="2236"/>
      <c r="X1" s="2236"/>
      <c r="Y1" s="2236"/>
      <c r="Z1" s="2236"/>
      <c r="AA1" s="2236"/>
      <c r="AB1" s="2236"/>
      <c r="AC1" s="2236"/>
      <c r="AD1" s="2236"/>
      <c r="AE1" s="2236"/>
      <c r="AF1" s="2236"/>
      <c r="AG1" s="2236"/>
      <c r="AH1" s="2236"/>
      <c r="AI1" s="2236"/>
      <c r="AJ1" s="2236"/>
      <c r="AK1" s="2236"/>
      <c r="AL1" s="2236"/>
      <c r="AM1" s="2236"/>
      <c r="AN1" s="2236"/>
      <c r="AO1" s="2236"/>
      <c r="AP1" s="2236"/>
      <c r="AQ1" s="2236"/>
      <c r="AR1" s="2237"/>
      <c r="AS1" s="1" t="s">
        <v>1</v>
      </c>
      <c r="AT1" s="2" t="s">
        <v>2</v>
      </c>
      <c r="AU1" s="3"/>
      <c r="AV1" s="3"/>
      <c r="AW1" s="3"/>
      <c r="AX1" s="3"/>
      <c r="AY1" s="3"/>
      <c r="AZ1" s="3"/>
      <c r="BA1" s="3"/>
      <c r="BB1" s="3"/>
      <c r="BC1" s="3"/>
      <c r="BD1" s="3"/>
      <c r="BE1" s="3"/>
      <c r="BF1" s="3"/>
      <c r="BG1" s="3"/>
      <c r="BH1" s="3"/>
      <c r="BI1" s="3"/>
      <c r="BJ1" s="3"/>
      <c r="BK1" s="3"/>
      <c r="BL1" s="3"/>
      <c r="BM1" s="3"/>
    </row>
    <row r="2" spans="1:65" ht="15.75" x14ac:dyDescent="0.2">
      <c r="A2" s="2236"/>
      <c r="B2" s="2236"/>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C2" s="2236"/>
      <c r="AD2" s="2236"/>
      <c r="AE2" s="2236"/>
      <c r="AF2" s="2236"/>
      <c r="AG2" s="2236"/>
      <c r="AH2" s="2236"/>
      <c r="AI2" s="2236"/>
      <c r="AJ2" s="2236"/>
      <c r="AK2" s="2236"/>
      <c r="AL2" s="2236"/>
      <c r="AM2" s="2236"/>
      <c r="AN2" s="2236"/>
      <c r="AO2" s="2236"/>
      <c r="AP2" s="2236"/>
      <c r="AQ2" s="2236"/>
      <c r="AR2" s="2237"/>
      <c r="AS2" s="1" t="s">
        <v>3</v>
      </c>
      <c r="AT2" s="5">
        <v>9</v>
      </c>
      <c r="AU2" s="3"/>
      <c r="AV2" s="3"/>
      <c r="AW2" s="3"/>
      <c r="AX2" s="3"/>
      <c r="AY2" s="3"/>
      <c r="AZ2" s="3"/>
      <c r="BA2" s="3"/>
      <c r="BB2" s="3"/>
      <c r="BC2" s="3"/>
      <c r="BD2" s="3"/>
      <c r="BE2" s="3"/>
      <c r="BF2" s="3"/>
      <c r="BG2" s="3"/>
      <c r="BH2" s="3"/>
      <c r="BI2" s="3"/>
      <c r="BJ2" s="3"/>
      <c r="BK2" s="3"/>
      <c r="BL2" s="3"/>
      <c r="BM2" s="3"/>
    </row>
    <row r="3" spans="1:65" ht="15.75" x14ac:dyDescent="0.2">
      <c r="A3" s="2236"/>
      <c r="B3" s="2236"/>
      <c r="C3" s="2236"/>
      <c r="D3" s="2236"/>
      <c r="E3" s="2236"/>
      <c r="F3" s="2236"/>
      <c r="G3" s="2236"/>
      <c r="H3" s="2236"/>
      <c r="I3" s="2236"/>
      <c r="J3" s="2236"/>
      <c r="K3" s="2236"/>
      <c r="L3" s="2236"/>
      <c r="M3" s="2236"/>
      <c r="N3" s="2236"/>
      <c r="O3" s="2236"/>
      <c r="P3" s="2236"/>
      <c r="Q3" s="2236"/>
      <c r="R3" s="2236"/>
      <c r="S3" s="2236"/>
      <c r="T3" s="2236"/>
      <c r="U3" s="2236"/>
      <c r="V3" s="2236"/>
      <c r="W3" s="2236"/>
      <c r="X3" s="2236"/>
      <c r="Y3" s="2236"/>
      <c r="Z3" s="2236"/>
      <c r="AA3" s="2236"/>
      <c r="AB3" s="2236"/>
      <c r="AC3" s="2236"/>
      <c r="AD3" s="2236"/>
      <c r="AE3" s="2236"/>
      <c r="AF3" s="2236"/>
      <c r="AG3" s="2236"/>
      <c r="AH3" s="2236"/>
      <c r="AI3" s="2236"/>
      <c r="AJ3" s="2236"/>
      <c r="AK3" s="2236"/>
      <c r="AL3" s="2236"/>
      <c r="AM3" s="2236"/>
      <c r="AN3" s="2236"/>
      <c r="AO3" s="2236"/>
      <c r="AP3" s="2236"/>
      <c r="AQ3" s="2236"/>
      <c r="AR3" s="2237"/>
      <c r="AS3" s="1" t="s">
        <v>4</v>
      </c>
      <c r="AT3" s="6">
        <v>44266</v>
      </c>
      <c r="AU3" s="3"/>
      <c r="AV3" s="3"/>
      <c r="AW3" s="3"/>
      <c r="AX3" s="3"/>
      <c r="AY3" s="3"/>
      <c r="AZ3" s="3"/>
      <c r="BA3" s="3"/>
      <c r="BB3" s="3"/>
      <c r="BC3" s="3"/>
      <c r="BD3" s="3"/>
      <c r="BE3" s="3"/>
      <c r="BF3" s="3"/>
      <c r="BG3" s="3"/>
      <c r="BH3" s="3"/>
      <c r="BI3" s="3"/>
      <c r="BJ3" s="3"/>
      <c r="BK3" s="3"/>
      <c r="BL3" s="3"/>
      <c r="BM3" s="3"/>
    </row>
    <row r="4" spans="1:65" ht="15.75" x14ac:dyDescent="0.25">
      <c r="A4" s="2238"/>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8"/>
      <c r="AR4" s="2239"/>
      <c r="AS4" s="1" t="s">
        <v>5</v>
      </c>
      <c r="AT4" s="7" t="s">
        <v>6</v>
      </c>
      <c r="AU4" s="3"/>
      <c r="AV4" s="3"/>
      <c r="AW4" s="3"/>
      <c r="AX4" s="3"/>
      <c r="AY4" s="3"/>
      <c r="AZ4" s="3"/>
      <c r="BA4" s="3"/>
      <c r="BB4" s="3"/>
      <c r="BC4" s="3"/>
      <c r="BD4" s="3"/>
      <c r="BE4" s="3"/>
      <c r="BF4" s="3"/>
      <c r="BG4" s="3"/>
      <c r="BH4" s="3"/>
      <c r="BI4" s="3"/>
      <c r="BJ4" s="3"/>
      <c r="BK4" s="3"/>
      <c r="BL4" s="3"/>
      <c r="BM4" s="3"/>
    </row>
    <row r="5" spans="1:65" ht="15.75" x14ac:dyDescent="0.25">
      <c r="A5" s="2240" t="s">
        <v>7</v>
      </c>
      <c r="B5" s="2241"/>
      <c r="C5" s="2241"/>
      <c r="D5" s="2241"/>
      <c r="E5" s="2241"/>
      <c r="F5" s="2241"/>
      <c r="G5" s="2241"/>
      <c r="H5" s="2241"/>
      <c r="I5" s="2241"/>
      <c r="J5" s="2241"/>
      <c r="K5" s="2241"/>
      <c r="L5" s="2241"/>
      <c r="M5" s="2241"/>
      <c r="N5" s="2241"/>
      <c r="O5" s="2242"/>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2245"/>
      <c r="AU5" s="3"/>
      <c r="AV5" s="3"/>
      <c r="AW5" s="3"/>
      <c r="AX5" s="3"/>
      <c r="AY5" s="3"/>
      <c r="AZ5" s="3"/>
      <c r="BA5" s="3"/>
      <c r="BB5" s="3"/>
      <c r="BC5" s="3"/>
      <c r="BD5" s="3"/>
      <c r="BE5" s="3"/>
      <c r="BF5" s="3"/>
      <c r="BG5" s="3"/>
      <c r="BH5" s="3"/>
      <c r="BI5" s="3"/>
      <c r="BJ5" s="3"/>
      <c r="BK5" s="3"/>
      <c r="BL5" s="3"/>
      <c r="BM5" s="3"/>
    </row>
    <row r="6" spans="1:65" ht="15.75" x14ac:dyDescent="0.25">
      <c r="A6" s="2243"/>
      <c r="B6" s="2238"/>
      <c r="C6" s="2238"/>
      <c r="D6" s="2238"/>
      <c r="E6" s="2238"/>
      <c r="F6" s="2238"/>
      <c r="G6" s="2238"/>
      <c r="H6" s="2238"/>
      <c r="I6" s="2238"/>
      <c r="J6" s="2238"/>
      <c r="K6" s="2238"/>
      <c r="L6" s="2238"/>
      <c r="M6" s="2238"/>
      <c r="N6" s="2238"/>
      <c r="O6" s="2239"/>
      <c r="P6" s="12"/>
      <c r="Q6" s="13"/>
      <c r="R6" s="12"/>
      <c r="S6" s="12"/>
      <c r="T6" s="13"/>
      <c r="U6" s="13"/>
      <c r="V6" s="13"/>
      <c r="W6" s="12"/>
      <c r="X6" s="12"/>
      <c r="Y6" s="12"/>
      <c r="Z6" s="12"/>
      <c r="AA6" s="2246" t="s">
        <v>8</v>
      </c>
      <c r="AB6" s="2236"/>
      <c r="AC6" s="2236"/>
      <c r="AD6" s="2236"/>
      <c r="AE6" s="2236"/>
      <c r="AF6" s="2236"/>
      <c r="AG6" s="2236"/>
      <c r="AH6" s="2236"/>
      <c r="AI6" s="2236"/>
      <c r="AJ6" s="2236"/>
      <c r="AK6" s="2236"/>
      <c r="AL6" s="2236"/>
      <c r="AM6" s="2236"/>
      <c r="AN6" s="2236"/>
      <c r="AO6" s="2236"/>
      <c r="AP6" s="2237"/>
      <c r="AQ6" s="12"/>
      <c r="AR6" s="12"/>
      <c r="AS6" s="12"/>
      <c r="AT6" s="14"/>
      <c r="AU6" s="3"/>
      <c r="AV6" s="3"/>
      <c r="AW6" s="3"/>
      <c r="AX6" s="3"/>
      <c r="AY6" s="3"/>
      <c r="AZ6" s="3"/>
      <c r="BA6" s="3"/>
      <c r="BB6" s="3"/>
      <c r="BC6" s="3"/>
      <c r="BD6" s="3"/>
      <c r="BE6" s="3"/>
      <c r="BF6" s="3"/>
      <c r="BG6" s="3"/>
      <c r="BH6" s="3"/>
      <c r="BI6" s="3"/>
      <c r="BJ6" s="3"/>
      <c r="BK6" s="3"/>
      <c r="BL6" s="3"/>
      <c r="BM6" s="3"/>
    </row>
    <row r="7" spans="1:65" ht="27" customHeight="1" x14ac:dyDescent="0.25">
      <c r="A7" s="2212" t="s">
        <v>9</v>
      </c>
      <c r="B7" s="2212"/>
      <c r="C7" s="2212" t="s">
        <v>10</v>
      </c>
      <c r="D7" s="2212"/>
      <c r="E7" s="2212" t="s">
        <v>11</v>
      </c>
      <c r="F7" s="2212"/>
      <c r="G7" s="2212" t="s">
        <v>12</v>
      </c>
      <c r="H7" s="2212"/>
      <c r="I7" s="2212"/>
      <c r="J7" s="2212"/>
      <c r="K7" s="2212" t="s">
        <v>13</v>
      </c>
      <c r="L7" s="2212"/>
      <c r="M7" s="2212"/>
      <c r="N7" s="2212"/>
      <c r="O7" s="2247" t="s">
        <v>14</v>
      </c>
      <c r="P7" s="2248"/>
      <c r="Q7" s="2248"/>
      <c r="R7" s="2248"/>
      <c r="S7" s="2248"/>
      <c r="T7" s="2248"/>
      <c r="U7" s="2248"/>
      <c r="V7" s="2248"/>
      <c r="W7" s="2248"/>
      <c r="X7" s="2212" t="s">
        <v>15</v>
      </c>
      <c r="Y7" s="2212"/>
      <c r="Z7" s="2212"/>
      <c r="AA7" s="2213" t="s">
        <v>16</v>
      </c>
      <c r="AB7" s="2214"/>
      <c r="AC7" s="2215" t="s">
        <v>17</v>
      </c>
      <c r="AD7" s="2216"/>
      <c r="AE7" s="2216"/>
      <c r="AF7" s="2216"/>
      <c r="AG7" s="2217" t="s">
        <v>18</v>
      </c>
      <c r="AH7" s="2217"/>
      <c r="AI7" s="2217"/>
      <c r="AJ7" s="2217"/>
      <c r="AK7" s="2217"/>
      <c r="AL7" s="2217"/>
      <c r="AM7" s="2217"/>
      <c r="AN7" s="2218" t="s">
        <v>19</v>
      </c>
      <c r="AO7" s="2218"/>
      <c r="AP7" s="2218"/>
      <c r="AQ7" s="2219" t="s">
        <v>20</v>
      </c>
      <c r="AR7" s="2249" t="s">
        <v>21</v>
      </c>
      <c r="AS7" s="2249" t="s">
        <v>22</v>
      </c>
      <c r="AT7" s="2251" t="s">
        <v>23</v>
      </c>
      <c r="AU7" s="3"/>
      <c r="AV7" s="3"/>
      <c r="AW7" s="3"/>
      <c r="AX7" s="3"/>
      <c r="AY7" s="3"/>
      <c r="AZ7" s="3"/>
      <c r="BA7" s="3"/>
      <c r="BB7" s="3"/>
      <c r="BC7" s="3"/>
      <c r="BD7" s="3"/>
      <c r="BE7" s="3"/>
      <c r="BF7" s="3"/>
      <c r="BG7" s="3"/>
      <c r="BH7" s="3"/>
      <c r="BI7" s="3"/>
      <c r="BJ7" s="3"/>
      <c r="BK7" s="3"/>
      <c r="BL7" s="3"/>
      <c r="BM7" s="3"/>
    </row>
    <row r="8" spans="1:65" ht="108" customHeight="1" x14ac:dyDescent="0.25">
      <c r="A8" s="15" t="s">
        <v>24</v>
      </c>
      <c r="B8" s="15" t="s">
        <v>25</v>
      </c>
      <c r="C8" s="15" t="s">
        <v>24</v>
      </c>
      <c r="D8" s="15" t="s">
        <v>25</v>
      </c>
      <c r="E8" s="15" t="s">
        <v>24</v>
      </c>
      <c r="F8" s="15" t="s">
        <v>25</v>
      </c>
      <c r="G8" s="15" t="s">
        <v>26</v>
      </c>
      <c r="H8" s="15" t="s">
        <v>27</v>
      </c>
      <c r="I8" s="15" t="s">
        <v>28</v>
      </c>
      <c r="J8" s="15" t="s">
        <v>29</v>
      </c>
      <c r="K8" s="15" t="s">
        <v>26</v>
      </c>
      <c r="L8" s="15" t="s">
        <v>30</v>
      </c>
      <c r="M8" s="15" t="s">
        <v>31</v>
      </c>
      <c r="N8" s="15" t="s">
        <v>32</v>
      </c>
      <c r="O8" s="16" t="s">
        <v>33</v>
      </c>
      <c r="P8" s="15" t="s">
        <v>34</v>
      </c>
      <c r="Q8" s="15" t="s">
        <v>35</v>
      </c>
      <c r="R8" s="15" t="s">
        <v>36</v>
      </c>
      <c r="S8" s="15" t="s">
        <v>37</v>
      </c>
      <c r="T8" s="15" t="s">
        <v>38</v>
      </c>
      <c r="U8" s="15" t="s">
        <v>39</v>
      </c>
      <c r="V8" s="15" t="s">
        <v>40</v>
      </c>
      <c r="W8" s="17" t="s">
        <v>41</v>
      </c>
      <c r="X8" s="15" t="s">
        <v>42</v>
      </c>
      <c r="Y8" s="15" t="s">
        <v>43</v>
      </c>
      <c r="Z8" s="18" t="s">
        <v>25</v>
      </c>
      <c r="AA8" s="19" t="s">
        <v>44</v>
      </c>
      <c r="AB8" s="20" t="s">
        <v>45</v>
      </c>
      <c r="AC8" s="20" t="s">
        <v>46</v>
      </c>
      <c r="AD8" s="20" t="s">
        <v>47</v>
      </c>
      <c r="AE8" s="20" t="s">
        <v>48</v>
      </c>
      <c r="AF8" s="20" t="s">
        <v>49</v>
      </c>
      <c r="AG8" s="21" t="s">
        <v>50</v>
      </c>
      <c r="AH8" s="21" t="s">
        <v>51</v>
      </c>
      <c r="AI8" s="2252" t="s">
        <v>52</v>
      </c>
      <c r="AJ8" s="2252"/>
      <c r="AK8" s="21" t="s">
        <v>53</v>
      </c>
      <c r="AL8" s="21" t="s">
        <v>54</v>
      </c>
      <c r="AM8" s="21" t="s">
        <v>55</v>
      </c>
      <c r="AN8" s="21" t="s">
        <v>56</v>
      </c>
      <c r="AO8" s="21" t="s">
        <v>57</v>
      </c>
      <c r="AP8" s="21" t="s">
        <v>58</v>
      </c>
      <c r="AQ8" s="2219"/>
      <c r="AR8" s="2250"/>
      <c r="AS8" s="2250"/>
      <c r="AT8" s="2251"/>
      <c r="AU8" s="3"/>
      <c r="AV8" s="3"/>
      <c r="AW8" s="3"/>
      <c r="AX8" s="3"/>
      <c r="AY8" s="3"/>
      <c r="AZ8" s="3"/>
      <c r="BA8" s="3"/>
      <c r="BB8" s="3"/>
      <c r="BC8" s="3"/>
      <c r="BD8" s="3"/>
      <c r="BE8" s="3"/>
      <c r="BF8" s="3"/>
      <c r="BG8" s="3"/>
      <c r="BH8" s="3"/>
      <c r="BI8" s="3"/>
      <c r="BJ8" s="3"/>
      <c r="BK8" s="3"/>
      <c r="BL8" s="3"/>
      <c r="BM8" s="3"/>
    </row>
    <row r="9" spans="1:65" s="33" customFormat="1" ht="15" customHeight="1" x14ac:dyDescent="0.25">
      <c r="A9" s="23">
        <v>4</v>
      </c>
      <c r="B9" s="2208" t="s">
        <v>59</v>
      </c>
      <c r="C9" s="2209"/>
      <c r="D9" s="2209"/>
      <c r="E9" s="2209"/>
      <c r="F9" s="2209"/>
      <c r="G9" s="2209"/>
      <c r="H9" s="2209"/>
      <c r="I9" s="24"/>
      <c r="J9" s="25"/>
      <c r="K9" s="24"/>
      <c r="L9" s="25"/>
      <c r="M9" s="24"/>
      <c r="N9" s="25"/>
      <c r="O9" s="25"/>
      <c r="P9" s="24"/>
      <c r="Q9" s="25"/>
      <c r="R9" s="26"/>
      <c r="S9" s="27"/>
      <c r="T9" s="28"/>
      <c r="U9" s="25"/>
      <c r="V9" s="25"/>
      <c r="W9" s="25"/>
      <c r="X9" s="24"/>
      <c r="Y9" s="29"/>
      <c r="Z9" s="30"/>
      <c r="AA9" s="24"/>
      <c r="AB9" s="24"/>
      <c r="AC9" s="24"/>
      <c r="AD9" s="24"/>
      <c r="AE9" s="24"/>
      <c r="AF9" s="24"/>
      <c r="AG9" s="24"/>
      <c r="AH9" s="24"/>
      <c r="AI9" s="24"/>
      <c r="AJ9" s="24"/>
      <c r="AK9" s="24"/>
      <c r="AL9" s="24"/>
      <c r="AM9" s="24"/>
      <c r="AN9" s="24"/>
      <c r="AO9" s="24"/>
      <c r="AP9" s="24"/>
      <c r="AQ9" s="24"/>
      <c r="AR9" s="24"/>
      <c r="AS9" s="31"/>
      <c r="AT9" s="32"/>
      <c r="AU9" s="3"/>
      <c r="AV9" s="3"/>
      <c r="AW9" s="3"/>
      <c r="AX9" s="3"/>
      <c r="AY9" s="3"/>
      <c r="AZ9" s="3"/>
      <c r="BA9" s="3"/>
      <c r="BB9" s="3"/>
      <c r="BC9" s="3"/>
      <c r="BD9" s="3"/>
      <c r="BE9" s="3"/>
      <c r="BF9" s="3"/>
      <c r="BG9" s="3"/>
      <c r="BH9" s="3"/>
      <c r="BI9" s="3"/>
      <c r="BJ9" s="3"/>
      <c r="BK9" s="3"/>
    </row>
    <row r="10" spans="1:65" s="47" customFormat="1" ht="15.75" x14ac:dyDescent="0.25">
      <c r="A10" s="34"/>
      <c r="B10" s="35"/>
      <c r="C10" s="36">
        <v>45</v>
      </c>
      <c r="D10" s="2210" t="s">
        <v>60</v>
      </c>
      <c r="E10" s="2211"/>
      <c r="F10" s="2211"/>
      <c r="G10" s="2211"/>
      <c r="H10" s="2211"/>
      <c r="I10" s="2211"/>
      <c r="J10" s="37"/>
      <c r="K10" s="38"/>
      <c r="L10" s="37"/>
      <c r="M10" s="38"/>
      <c r="N10" s="37"/>
      <c r="O10" s="38"/>
      <c r="P10" s="38"/>
      <c r="Q10" s="37"/>
      <c r="R10" s="39"/>
      <c r="S10" s="40"/>
      <c r="T10" s="41"/>
      <c r="U10" s="37"/>
      <c r="V10" s="37"/>
      <c r="W10" s="38"/>
      <c r="X10" s="38"/>
      <c r="Y10" s="42"/>
      <c r="Z10" s="43"/>
      <c r="AA10" s="38"/>
      <c r="AB10" s="38"/>
      <c r="AC10" s="38"/>
      <c r="AD10" s="38"/>
      <c r="AE10" s="38"/>
      <c r="AF10" s="38"/>
      <c r="AG10" s="38"/>
      <c r="AH10" s="38"/>
      <c r="AI10" s="38"/>
      <c r="AJ10" s="38"/>
      <c r="AK10" s="38"/>
      <c r="AL10" s="38"/>
      <c r="AM10" s="38"/>
      <c r="AN10" s="38"/>
      <c r="AO10" s="38"/>
      <c r="AP10" s="38"/>
      <c r="AQ10" s="38"/>
      <c r="AR10" s="38"/>
      <c r="AS10" s="44"/>
      <c r="AT10" s="45"/>
      <c r="AU10" s="46"/>
      <c r="AV10" s="46"/>
      <c r="AW10" s="46"/>
      <c r="AX10" s="46"/>
      <c r="AY10" s="46"/>
      <c r="AZ10" s="46"/>
      <c r="BA10" s="46"/>
      <c r="BB10" s="46"/>
      <c r="BC10" s="46"/>
      <c r="BD10" s="46"/>
      <c r="BE10" s="46"/>
      <c r="BF10" s="46"/>
      <c r="BG10" s="46"/>
      <c r="BH10" s="46"/>
      <c r="BI10" s="46"/>
      <c r="BJ10" s="46"/>
      <c r="BK10" s="46"/>
    </row>
    <row r="11" spans="1:65" ht="15.75" x14ac:dyDescent="0.25">
      <c r="A11" s="48"/>
      <c r="B11" s="49"/>
      <c r="C11" s="50"/>
      <c r="D11" s="51"/>
      <c r="E11" s="52">
        <v>4599</v>
      </c>
      <c r="F11" s="53" t="s">
        <v>61</v>
      </c>
      <c r="G11" s="54"/>
      <c r="H11" s="55"/>
      <c r="I11" s="54"/>
      <c r="J11" s="55"/>
      <c r="K11" s="54"/>
      <c r="L11" s="55"/>
      <c r="M11" s="56"/>
      <c r="N11" s="57"/>
      <c r="O11" s="58"/>
      <c r="P11" s="58"/>
      <c r="Q11" s="59"/>
      <c r="R11" s="60"/>
      <c r="S11" s="61"/>
      <c r="T11" s="57"/>
      <c r="U11" s="57"/>
      <c r="V11" s="57"/>
      <c r="W11" s="61"/>
      <c r="X11" s="62"/>
      <c r="Y11" s="63"/>
      <c r="Z11" s="62"/>
      <c r="AA11" s="62"/>
      <c r="AB11" s="62"/>
      <c r="AC11" s="62"/>
      <c r="AD11" s="62"/>
      <c r="AE11" s="62"/>
      <c r="AF11" s="62"/>
      <c r="AG11" s="62"/>
      <c r="AH11" s="62"/>
      <c r="AI11" s="62"/>
      <c r="AJ11" s="62"/>
      <c r="AK11" s="62"/>
      <c r="AL11" s="62"/>
      <c r="AM11" s="62"/>
      <c r="AN11" s="62"/>
      <c r="AO11" s="62"/>
      <c r="AP11" s="62"/>
      <c r="AQ11" s="62"/>
      <c r="AR11" s="64"/>
      <c r="AS11" s="64"/>
      <c r="AT11" s="65"/>
      <c r="AU11" s="33"/>
      <c r="AV11" s="66"/>
      <c r="AW11" s="3"/>
      <c r="AX11" s="3"/>
      <c r="AY11" s="3"/>
      <c r="AZ11" s="3"/>
      <c r="BA11" s="3"/>
      <c r="BB11" s="3"/>
      <c r="BC11" s="3"/>
      <c r="BD11" s="3"/>
      <c r="BE11" s="3"/>
      <c r="BF11" s="3"/>
      <c r="BG11" s="3"/>
      <c r="BH11" s="3"/>
      <c r="BI11" s="3"/>
      <c r="BJ11" s="3"/>
      <c r="BK11" s="3"/>
    </row>
    <row r="12" spans="1:65" s="74" customFormat="1" ht="30" x14ac:dyDescent="0.25">
      <c r="A12" s="48"/>
      <c r="B12" s="49"/>
      <c r="C12" s="48"/>
      <c r="D12" s="49"/>
      <c r="E12" s="67"/>
      <c r="F12" s="68"/>
      <c r="G12" s="2229" t="s">
        <v>62</v>
      </c>
      <c r="H12" s="2207" t="s">
        <v>63</v>
      </c>
      <c r="I12" s="2201">
        <v>4599023</v>
      </c>
      <c r="J12" s="2199" t="s">
        <v>64</v>
      </c>
      <c r="K12" s="2220" t="s">
        <v>62</v>
      </c>
      <c r="L12" s="2155" t="s">
        <v>65</v>
      </c>
      <c r="M12" s="2220">
        <v>459902300</v>
      </c>
      <c r="N12" s="2199" t="s">
        <v>66</v>
      </c>
      <c r="O12" s="2221">
        <v>5</v>
      </c>
      <c r="P12" s="2224" t="s">
        <v>67</v>
      </c>
      <c r="Q12" s="2226" t="s">
        <v>68</v>
      </c>
      <c r="R12" s="2194">
        <f>SUM(W12:W18)/S12</f>
        <v>1</v>
      </c>
      <c r="S12" s="2204">
        <f>SUM(W12:W18)</f>
        <v>179885000</v>
      </c>
      <c r="T12" s="2155" t="s">
        <v>69</v>
      </c>
      <c r="U12" s="2155" t="s">
        <v>70</v>
      </c>
      <c r="V12" s="2155" t="s">
        <v>71</v>
      </c>
      <c r="W12" s="69">
        <v>24945000</v>
      </c>
      <c r="X12" s="70" t="s">
        <v>72</v>
      </c>
      <c r="Y12" s="71">
        <v>20</v>
      </c>
      <c r="Z12" s="72" t="s">
        <v>73</v>
      </c>
      <c r="AA12" s="2203">
        <v>295972</v>
      </c>
      <c r="AB12" s="2203">
        <v>285580</v>
      </c>
      <c r="AC12" s="2203">
        <v>135545</v>
      </c>
      <c r="AD12" s="2203">
        <v>44254</v>
      </c>
      <c r="AE12" s="2203">
        <v>309146</v>
      </c>
      <c r="AF12" s="2232">
        <v>92607</v>
      </c>
      <c r="AG12" s="2203">
        <v>2145</v>
      </c>
      <c r="AH12" s="2203">
        <v>12718</v>
      </c>
      <c r="AI12" s="2203">
        <v>26</v>
      </c>
      <c r="AJ12" s="2203">
        <v>26</v>
      </c>
      <c r="AK12" s="2203">
        <v>37</v>
      </c>
      <c r="AL12" s="2203">
        <v>0</v>
      </c>
      <c r="AM12" s="2203">
        <v>0</v>
      </c>
      <c r="AN12" s="2203">
        <v>0</v>
      </c>
      <c r="AO12" s="2203">
        <v>21944</v>
      </c>
      <c r="AP12" s="2203">
        <v>75687</v>
      </c>
      <c r="AQ12" s="2203">
        <v>581552</v>
      </c>
      <c r="AR12" s="2151">
        <v>44211</v>
      </c>
      <c r="AS12" s="2152" t="s">
        <v>74</v>
      </c>
      <c r="AT12" s="2153" t="s">
        <v>75</v>
      </c>
      <c r="AU12" s="73"/>
      <c r="AV12" s="73"/>
    </row>
    <row r="13" spans="1:65" s="74" customFormat="1" ht="45" x14ac:dyDescent="0.25">
      <c r="A13" s="48"/>
      <c r="B13" s="49"/>
      <c r="C13" s="48"/>
      <c r="D13" s="49"/>
      <c r="E13" s="67"/>
      <c r="F13" s="75"/>
      <c r="G13" s="2230"/>
      <c r="H13" s="2205"/>
      <c r="I13" s="2201"/>
      <c r="J13" s="2199"/>
      <c r="K13" s="2220"/>
      <c r="L13" s="2155"/>
      <c r="M13" s="2220"/>
      <c r="N13" s="2199"/>
      <c r="O13" s="2222"/>
      <c r="P13" s="2224"/>
      <c r="Q13" s="2227"/>
      <c r="R13" s="2194"/>
      <c r="S13" s="2204"/>
      <c r="T13" s="2155"/>
      <c r="U13" s="2155"/>
      <c r="V13" s="2155"/>
      <c r="W13" s="69">
        <v>44135000</v>
      </c>
      <c r="X13" s="70" t="s">
        <v>76</v>
      </c>
      <c r="Y13" s="71">
        <v>88</v>
      </c>
      <c r="Z13" s="72" t="s">
        <v>77</v>
      </c>
      <c r="AA13" s="2203"/>
      <c r="AB13" s="2203"/>
      <c r="AC13" s="2203"/>
      <c r="AD13" s="2203"/>
      <c r="AE13" s="2203"/>
      <c r="AF13" s="2233"/>
      <c r="AG13" s="2203"/>
      <c r="AH13" s="2203"/>
      <c r="AI13" s="2203"/>
      <c r="AJ13" s="2203"/>
      <c r="AK13" s="2203"/>
      <c r="AL13" s="2203"/>
      <c r="AM13" s="2203"/>
      <c r="AN13" s="2203"/>
      <c r="AO13" s="2203"/>
      <c r="AP13" s="2203"/>
      <c r="AQ13" s="2203"/>
      <c r="AR13" s="2151"/>
      <c r="AS13" s="2152"/>
      <c r="AT13" s="2153"/>
      <c r="AU13" s="73"/>
      <c r="AV13" s="73"/>
    </row>
    <row r="14" spans="1:65" s="74" customFormat="1" ht="45" customHeight="1" x14ac:dyDescent="0.25">
      <c r="A14" s="48"/>
      <c r="B14" s="49"/>
      <c r="C14" s="48"/>
      <c r="D14" s="49"/>
      <c r="E14" s="67"/>
      <c r="F14" s="75"/>
      <c r="G14" s="2230"/>
      <c r="H14" s="2205"/>
      <c r="I14" s="2201"/>
      <c r="J14" s="2199"/>
      <c r="K14" s="2220"/>
      <c r="L14" s="2155"/>
      <c r="M14" s="2220"/>
      <c r="N14" s="2199"/>
      <c r="O14" s="2222"/>
      <c r="P14" s="2224"/>
      <c r="Q14" s="2227"/>
      <c r="R14" s="2194"/>
      <c r="S14" s="2204"/>
      <c r="T14" s="2155"/>
      <c r="U14" s="2155"/>
      <c r="V14" s="2205" t="s">
        <v>78</v>
      </c>
      <c r="W14" s="69">
        <v>58050000</v>
      </c>
      <c r="X14" s="76" t="s">
        <v>76</v>
      </c>
      <c r="Y14" s="71">
        <v>88</v>
      </c>
      <c r="Z14" s="72" t="s">
        <v>77</v>
      </c>
      <c r="AA14" s="2203"/>
      <c r="AB14" s="2203"/>
      <c r="AC14" s="2203"/>
      <c r="AD14" s="2203"/>
      <c r="AE14" s="2203"/>
      <c r="AF14" s="2233"/>
      <c r="AG14" s="2203"/>
      <c r="AH14" s="2203"/>
      <c r="AI14" s="2203"/>
      <c r="AJ14" s="2203"/>
      <c r="AK14" s="2203"/>
      <c r="AL14" s="2203"/>
      <c r="AM14" s="2203"/>
      <c r="AN14" s="2203"/>
      <c r="AO14" s="2203"/>
      <c r="AP14" s="2203"/>
      <c r="AQ14" s="2203"/>
      <c r="AR14" s="2151"/>
      <c r="AS14" s="2152"/>
      <c r="AT14" s="2153"/>
      <c r="AU14" s="73"/>
      <c r="AV14" s="73"/>
    </row>
    <row r="15" spans="1:65" s="74" customFormat="1" ht="30" x14ac:dyDescent="0.25">
      <c r="A15" s="48"/>
      <c r="B15" s="49"/>
      <c r="C15" s="48"/>
      <c r="D15" s="49"/>
      <c r="E15" s="67"/>
      <c r="F15" s="67"/>
      <c r="G15" s="2230"/>
      <c r="H15" s="2205"/>
      <c r="I15" s="2201"/>
      <c r="J15" s="2199"/>
      <c r="K15" s="2220"/>
      <c r="L15" s="2155"/>
      <c r="M15" s="2220"/>
      <c r="N15" s="2199"/>
      <c r="O15" s="2222"/>
      <c r="P15" s="2224"/>
      <c r="Q15" s="2227"/>
      <c r="R15" s="2194"/>
      <c r="S15" s="2204"/>
      <c r="T15" s="2155"/>
      <c r="U15" s="2155"/>
      <c r="V15" s="2206"/>
      <c r="W15" s="69">
        <v>5400000</v>
      </c>
      <c r="X15" s="77" t="s">
        <v>72</v>
      </c>
      <c r="Y15" s="71">
        <v>20</v>
      </c>
      <c r="Z15" s="72" t="s">
        <v>73</v>
      </c>
      <c r="AA15" s="2152"/>
      <c r="AB15" s="2152"/>
      <c r="AC15" s="2152"/>
      <c r="AD15" s="2152"/>
      <c r="AE15" s="2152"/>
      <c r="AF15" s="2233"/>
      <c r="AG15" s="2152"/>
      <c r="AH15" s="2152"/>
      <c r="AI15" s="2152"/>
      <c r="AJ15" s="2152"/>
      <c r="AK15" s="2152"/>
      <c r="AL15" s="2152"/>
      <c r="AM15" s="2152"/>
      <c r="AN15" s="2152"/>
      <c r="AO15" s="2152"/>
      <c r="AP15" s="2152"/>
      <c r="AQ15" s="2152"/>
      <c r="AR15" s="2152"/>
      <c r="AS15" s="2152"/>
      <c r="AT15" s="2153"/>
      <c r="AU15" s="73"/>
      <c r="AV15" s="73"/>
    </row>
    <row r="16" spans="1:65" s="74" customFormat="1" ht="42.75" customHeight="1" x14ac:dyDescent="0.25">
      <c r="A16" s="48"/>
      <c r="B16" s="49"/>
      <c r="C16" s="48"/>
      <c r="D16" s="49"/>
      <c r="E16" s="67"/>
      <c r="F16" s="67"/>
      <c r="G16" s="2230"/>
      <c r="H16" s="2205"/>
      <c r="I16" s="2201"/>
      <c r="J16" s="2199"/>
      <c r="K16" s="2220"/>
      <c r="L16" s="2155"/>
      <c r="M16" s="2220"/>
      <c r="N16" s="2199"/>
      <c r="O16" s="2222"/>
      <c r="P16" s="2224"/>
      <c r="Q16" s="2227"/>
      <c r="R16" s="2194"/>
      <c r="S16" s="2204"/>
      <c r="T16" s="2155"/>
      <c r="U16" s="2155"/>
      <c r="V16" s="2207" t="s">
        <v>79</v>
      </c>
      <c r="W16" s="69">
        <v>36700000</v>
      </c>
      <c r="X16" s="77" t="s">
        <v>76</v>
      </c>
      <c r="Y16" s="71">
        <v>88</v>
      </c>
      <c r="Z16" s="72" t="s">
        <v>77</v>
      </c>
      <c r="AA16" s="2152"/>
      <c r="AB16" s="2152"/>
      <c r="AC16" s="2152"/>
      <c r="AD16" s="2152"/>
      <c r="AE16" s="2152"/>
      <c r="AF16" s="2233"/>
      <c r="AG16" s="2152"/>
      <c r="AH16" s="2152"/>
      <c r="AI16" s="2152"/>
      <c r="AJ16" s="2152"/>
      <c r="AK16" s="2152"/>
      <c r="AL16" s="2152"/>
      <c r="AM16" s="2152"/>
      <c r="AN16" s="2152"/>
      <c r="AO16" s="2152"/>
      <c r="AP16" s="2152"/>
      <c r="AQ16" s="2152"/>
      <c r="AR16" s="2152"/>
      <c r="AS16" s="2152"/>
      <c r="AT16" s="2153"/>
      <c r="AU16" s="73"/>
      <c r="AV16" s="73"/>
    </row>
    <row r="17" spans="1:48" s="74" customFormat="1" ht="45" x14ac:dyDescent="0.25">
      <c r="A17" s="48"/>
      <c r="B17" s="49"/>
      <c r="C17" s="48"/>
      <c r="D17" s="49"/>
      <c r="E17" s="67"/>
      <c r="F17" s="67"/>
      <c r="G17" s="2230"/>
      <c r="H17" s="2205"/>
      <c r="I17" s="2201"/>
      <c r="J17" s="2199"/>
      <c r="K17" s="2220"/>
      <c r="L17" s="2155"/>
      <c r="M17" s="2220"/>
      <c r="N17" s="2199"/>
      <c r="O17" s="2222"/>
      <c r="P17" s="2224"/>
      <c r="Q17" s="2227"/>
      <c r="R17" s="2194"/>
      <c r="S17" s="2204"/>
      <c r="T17" s="2155"/>
      <c r="U17" s="2155"/>
      <c r="V17" s="2205"/>
      <c r="W17" s="69">
        <v>5000000</v>
      </c>
      <c r="X17" s="77" t="s">
        <v>80</v>
      </c>
      <c r="Y17" s="71">
        <v>88</v>
      </c>
      <c r="Z17" s="72" t="s">
        <v>77</v>
      </c>
      <c r="AA17" s="2152"/>
      <c r="AB17" s="2152"/>
      <c r="AC17" s="2152"/>
      <c r="AD17" s="2152"/>
      <c r="AE17" s="2152"/>
      <c r="AF17" s="2233"/>
      <c r="AG17" s="2152"/>
      <c r="AH17" s="2152"/>
      <c r="AI17" s="2152"/>
      <c r="AJ17" s="2152"/>
      <c r="AK17" s="2152"/>
      <c r="AL17" s="2152"/>
      <c r="AM17" s="2152"/>
      <c r="AN17" s="2152"/>
      <c r="AO17" s="2152"/>
      <c r="AP17" s="2152"/>
      <c r="AQ17" s="2152"/>
      <c r="AR17" s="2152"/>
      <c r="AS17" s="2152"/>
      <c r="AT17" s="2153"/>
      <c r="AU17" s="73"/>
      <c r="AV17" s="73"/>
    </row>
    <row r="18" spans="1:48" s="74" customFormat="1" ht="30" x14ac:dyDescent="0.25">
      <c r="A18" s="48"/>
      <c r="B18" s="49"/>
      <c r="C18" s="48"/>
      <c r="D18" s="49"/>
      <c r="E18" s="67"/>
      <c r="F18" s="67"/>
      <c r="G18" s="2231"/>
      <c r="H18" s="2206"/>
      <c r="I18" s="2201"/>
      <c r="J18" s="2199"/>
      <c r="K18" s="2220"/>
      <c r="L18" s="2155"/>
      <c r="M18" s="2220"/>
      <c r="N18" s="2199"/>
      <c r="O18" s="2223"/>
      <c r="P18" s="2225"/>
      <c r="Q18" s="2228"/>
      <c r="R18" s="2194"/>
      <c r="S18" s="2204"/>
      <c r="T18" s="2155"/>
      <c r="U18" s="2155"/>
      <c r="V18" s="2206"/>
      <c r="W18" s="69">
        <v>5655000</v>
      </c>
      <c r="X18" s="77" t="s">
        <v>72</v>
      </c>
      <c r="Y18" s="71">
        <v>20</v>
      </c>
      <c r="Z18" s="72" t="s">
        <v>73</v>
      </c>
      <c r="AA18" s="2152"/>
      <c r="AB18" s="2152"/>
      <c r="AC18" s="2152"/>
      <c r="AD18" s="2152"/>
      <c r="AE18" s="2152"/>
      <c r="AF18" s="2234"/>
      <c r="AG18" s="2152"/>
      <c r="AH18" s="2152"/>
      <c r="AI18" s="2152"/>
      <c r="AJ18" s="2152"/>
      <c r="AK18" s="2152"/>
      <c r="AL18" s="2152"/>
      <c r="AM18" s="2152"/>
      <c r="AN18" s="2152"/>
      <c r="AO18" s="2152"/>
      <c r="AP18" s="2152"/>
      <c r="AQ18" s="2152"/>
      <c r="AR18" s="2152"/>
      <c r="AS18" s="2152"/>
      <c r="AT18" s="2153"/>
      <c r="AU18" s="73"/>
      <c r="AV18" s="73"/>
    </row>
    <row r="19" spans="1:48" s="74" customFormat="1" ht="60" customHeight="1" x14ac:dyDescent="0.25">
      <c r="A19" s="48"/>
      <c r="B19" s="49"/>
      <c r="C19" s="48"/>
      <c r="D19" s="49"/>
      <c r="E19" s="67"/>
      <c r="F19" s="67"/>
      <c r="G19" s="2195" t="s">
        <v>62</v>
      </c>
      <c r="H19" s="2182" t="s">
        <v>81</v>
      </c>
      <c r="I19" s="2197">
        <v>4599002</v>
      </c>
      <c r="J19" s="2199" t="s">
        <v>82</v>
      </c>
      <c r="K19" s="2201" t="s">
        <v>62</v>
      </c>
      <c r="L19" s="2182" t="s">
        <v>83</v>
      </c>
      <c r="M19" s="2186">
        <v>459900200</v>
      </c>
      <c r="N19" s="2188" t="s">
        <v>84</v>
      </c>
      <c r="O19" s="2189">
        <v>4</v>
      </c>
      <c r="P19" s="2190" t="s">
        <v>85</v>
      </c>
      <c r="Q19" s="2192" t="s">
        <v>86</v>
      </c>
      <c r="R19" s="2194">
        <f>SUM(W19:W25)/S19</f>
        <v>1</v>
      </c>
      <c r="S19" s="2161">
        <f>SUM(W19:W25)</f>
        <v>163650000</v>
      </c>
      <c r="T19" s="2182" t="s">
        <v>69</v>
      </c>
      <c r="U19" s="2182" t="s">
        <v>87</v>
      </c>
      <c r="V19" s="2183" t="s">
        <v>88</v>
      </c>
      <c r="W19" s="69">
        <v>6000000</v>
      </c>
      <c r="X19" s="77" t="s">
        <v>89</v>
      </c>
      <c r="Y19" s="71">
        <v>20</v>
      </c>
      <c r="Z19" s="72" t="s">
        <v>73</v>
      </c>
      <c r="AA19" s="2150">
        <v>2476</v>
      </c>
      <c r="AB19" s="2150">
        <v>3918</v>
      </c>
      <c r="AC19" s="2150">
        <v>0</v>
      </c>
      <c r="AD19" s="2150">
        <v>0</v>
      </c>
      <c r="AE19" s="2150">
        <v>0</v>
      </c>
      <c r="AF19" s="2150">
        <v>0</v>
      </c>
      <c r="AG19" s="2150">
        <v>0</v>
      </c>
      <c r="AH19" s="2150">
        <v>0</v>
      </c>
      <c r="AI19" s="2150">
        <v>0</v>
      </c>
      <c r="AJ19" s="2150">
        <v>0</v>
      </c>
      <c r="AK19" s="2150">
        <v>0</v>
      </c>
      <c r="AL19" s="2150">
        <v>0</v>
      </c>
      <c r="AM19" s="2150">
        <v>0</v>
      </c>
      <c r="AN19" s="2150">
        <v>0</v>
      </c>
      <c r="AO19" s="2150">
        <v>0</v>
      </c>
      <c r="AP19" s="2150">
        <v>0</v>
      </c>
      <c r="AQ19" s="2150">
        <v>6394</v>
      </c>
      <c r="AR19" s="2179">
        <v>44211</v>
      </c>
      <c r="AS19" s="2152" t="s">
        <v>74</v>
      </c>
      <c r="AT19" s="2153" t="s">
        <v>90</v>
      </c>
      <c r="AU19" s="73"/>
      <c r="AV19" s="73"/>
    </row>
    <row r="20" spans="1:48" s="74" customFormat="1" ht="45" x14ac:dyDescent="0.25">
      <c r="A20" s="48"/>
      <c r="B20" s="49"/>
      <c r="C20" s="48"/>
      <c r="D20" s="49"/>
      <c r="E20" s="67"/>
      <c r="F20" s="67"/>
      <c r="G20" s="2195"/>
      <c r="H20" s="2182"/>
      <c r="I20" s="2197"/>
      <c r="J20" s="2199"/>
      <c r="K20" s="2201"/>
      <c r="L20" s="2182"/>
      <c r="M20" s="2187"/>
      <c r="N20" s="2176"/>
      <c r="O20" s="2171"/>
      <c r="P20" s="2191"/>
      <c r="Q20" s="2193"/>
      <c r="R20" s="2194"/>
      <c r="S20" s="2161"/>
      <c r="T20" s="2182"/>
      <c r="U20" s="2182"/>
      <c r="V20" s="2184"/>
      <c r="W20" s="69">
        <v>23850000</v>
      </c>
      <c r="X20" s="77" t="s">
        <v>91</v>
      </c>
      <c r="Y20" s="71">
        <v>88</v>
      </c>
      <c r="Z20" s="72" t="s">
        <v>77</v>
      </c>
      <c r="AA20" s="2150"/>
      <c r="AB20" s="2150"/>
      <c r="AC20" s="2150"/>
      <c r="AD20" s="2150"/>
      <c r="AE20" s="2150"/>
      <c r="AF20" s="2150"/>
      <c r="AG20" s="2150"/>
      <c r="AH20" s="2150"/>
      <c r="AI20" s="2150"/>
      <c r="AJ20" s="2150"/>
      <c r="AK20" s="2150"/>
      <c r="AL20" s="2150"/>
      <c r="AM20" s="2150"/>
      <c r="AN20" s="2150"/>
      <c r="AO20" s="2150"/>
      <c r="AP20" s="2150"/>
      <c r="AQ20" s="2150"/>
      <c r="AR20" s="2180"/>
      <c r="AS20" s="2152"/>
      <c r="AT20" s="2153"/>
      <c r="AU20" s="73"/>
      <c r="AV20" s="73"/>
    </row>
    <row r="21" spans="1:48" s="74" customFormat="1" ht="45" customHeight="1" x14ac:dyDescent="0.25">
      <c r="A21" s="48"/>
      <c r="B21" s="49"/>
      <c r="C21" s="48"/>
      <c r="D21" s="49"/>
      <c r="E21" s="67"/>
      <c r="F21" s="67"/>
      <c r="G21" s="2195"/>
      <c r="H21" s="2182"/>
      <c r="I21" s="2197"/>
      <c r="J21" s="2199"/>
      <c r="K21" s="2201"/>
      <c r="L21" s="2182"/>
      <c r="M21" s="2187"/>
      <c r="N21" s="2176"/>
      <c r="O21" s="2171"/>
      <c r="P21" s="2191"/>
      <c r="Q21" s="2193"/>
      <c r="R21" s="2194"/>
      <c r="S21" s="2161"/>
      <c r="T21" s="2182"/>
      <c r="U21" s="2182"/>
      <c r="V21" s="2183" t="s">
        <v>92</v>
      </c>
      <c r="W21" s="69">
        <v>32000000</v>
      </c>
      <c r="X21" s="77" t="s">
        <v>89</v>
      </c>
      <c r="Y21" s="71">
        <v>20</v>
      </c>
      <c r="Z21" s="72" t="s">
        <v>73</v>
      </c>
      <c r="AA21" s="2150"/>
      <c r="AB21" s="2150"/>
      <c r="AC21" s="2150"/>
      <c r="AD21" s="2150"/>
      <c r="AE21" s="2150"/>
      <c r="AF21" s="2150"/>
      <c r="AG21" s="2150"/>
      <c r="AH21" s="2150"/>
      <c r="AI21" s="2150"/>
      <c r="AJ21" s="2150"/>
      <c r="AK21" s="2150"/>
      <c r="AL21" s="2150"/>
      <c r="AM21" s="2150"/>
      <c r="AN21" s="2150"/>
      <c r="AO21" s="2150"/>
      <c r="AP21" s="2150"/>
      <c r="AQ21" s="2150"/>
      <c r="AR21" s="2180"/>
      <c r="AS21" s="2152"/>
      <c r="AT21" s="2153"/>
      <c r="AU21" s="73"/>
      <c r="AV21" s="73"/>
    </row>
    <row r="22" spans="1:48" s="74" customFormat="1" ht="45" x14ac:dyDescent="0.25">
      <c r="A22" s="48"/>
      <c r="B22" s="49"/>
      <c r="C22" s="48"/>
      <c r="D22" s="49"/>
      <c r="E22" s="67"/>
      <c r="F22" s="67"/>
      <c r="G22" s="2195"/>
      <c r="H22" s="2196"/>
      <c r="I22" s="2198"/>
      <c r="J22" s="2200"/>
      <c r="K22" s="2202"/>
      <c r="L22" s="2196"/>
      <c r="M22" s="2187"/>
      <c r="N22" s="2176"/>
      <c r="O22" s="2171"/>
      <c r="P22" s="2191"/>
      <c r="Q22" s="2193"/>
      <c r="R22" s="2194"/>
      <c r="S22" s="2161"/>
      <c r="T22" s="2182"/>
      <c r="U22" s="2182"/>
      <c r="V22" s="2185"/>
      <c r="W22" s="69">
        <v>38750000</v>
      </c>
      <c r="X22" s="77" t="s">
        <v>91</v>
      </c>
      <c r="Y22" s="71">
        <v>88</v>
      </c>
      <c r="Z22" s="72" t="s">
        <v>77</v>
      </c>
      <c r="AA22" s="2150"/>
      <c r="AB22" s="2150"/>
      <c r="AC22" s="2150"/>
      <c r="AD22" s="2150"/>
      <c r="AE22" s="2150"/>
      <c r="AF22" s="2150"/>
      <c r="AG22" s="2150"/>
      <c r="AH22" s="2150"/>
      <c r="AI22" s="2150"/>
      <c r="AJ22" s="2150"/>
      <c r="AK22" s="2150"/>
      <c r="AL22" s="2150"/>
      <c r="AM22" s="2150"/>
      <c r="AN22" s="2150"/>
      <c r="AO22" s="2150"/>
      <c r="AP22" s="2150"/>
      <c r="AQ22" s="2150"/>
      <c r="AR22" s="2180"/>
      <c r="AS22" s="2152"/>
      <c r="AT22" s="2153"/>
      <c r="AU22" s="73"/>
      <c r="AV22" s="73"/>
    </row>
    <row r="23" spans="1:48" s="74" customFormat="1" ht="45" x14ac:dyDescent="0.25">
      <c r="A23" s="48"/>
      <c r="B23" s="49"/>
      <c r="C23" s="48"/>
      <c r="D23" s="49"/>
      <c r="E23" s="67"/>
      <c r="F23" s="67"/>
      <c r="G23" s="2195"/>
      <c r="H23" s="2196"/>
      <c r="I23" s="2198"/>
      <c r="J23" s="2200"/>
      <c r="K23" s="2202"/>
      <c r="L23" s="2196"/>
      <c r="M23" s="2187"/>
      <c r="N23" s="2176"/>
      <c r="O23" s="2171"/>
      <c r="P23" s="2191"/>
      <c r="Q23" s="2193"/>
      <c r="R23" s="2194"/>
      <c r="S23" s="2161"/>
      <c r="T23" s="2182"/>
      <c r="U23" s="2182"/>
      <c r="V23" s="2184"/>
      <c r="W23" s="69">
        <v>9000000</v>
      </c>
      <c r="X23" s="77" t="s">
        <v>93</v>
      </c>
      <c r="Y23" s="71">
        <v>88</v>
      </c>
      <c r="Z23" s="72" t="s">
        <v>77</v>
      </c>
      <c r="AA23" s="2150"/>
      <c r="AB23" s="2150"/>
      <c r="AC23" s="2150"/>
      <c r="AD23" s="2150"/>
      <c r="AE23" s="2150"/>
      <c r="AF23" s="2150"/>
      <c r="AG23" s="2150"/>
      <c r="AH23" s="2150"/>
      <c r="AI23" s="2150"/>
      <c r="AJ23" s="2150"/>
      <c r="AK23" s="2150"/>
      <c r="AL23" s="2150"/>
      <c r="AM23" s="2150"/>
      <c r="AN23" s="2150"/>
      <c r="AO23" s="2150"/>
      <c r="AP23" s="2150"/>
      <c r="AQ23" s="2150"/>
      <c r="AR23" s="2180"/>
      <c r="AS23" s="2152"/>
      <c r="AT23" s="2153"/>
      <c r="AU23" s="73"/>
      <c r="AV23" s="73"/>
    </row>
    <row r="24" spans="1:48" s="74" customFormat="1" ht="45" customHeight="1" x14ac:dyDescent="0.25">
      <c r="A24" s="48"/>
      <c r="B24" s="49"/>
      <c r="C24" s="48"/>
      <c r="D24" s="49"/>
      <c r="E24" s="67"/>
      <c r="F24" s="67"/>
      <c r="G24" s="2195"/>
      <c r="H24" s="2196"/>
      <c r="I24" s="2198"/>
      <c r="J24" s="2200"/>
      <c r="K24" s="2202"/>
      <c r="L24" s="2196"/>
      <c r="M24" s="2187"/>
      <c r="N24" s="2176"/>
      <c r="O24" s="2171"/>
      <c r="P24" s="2191"/>
      <c r="Q24" s="2193"/>
      <c r="R24" s="2194"/>
      <c r="S24" s="2161"/>
      <c r="T24" s="2182"/>
      <c r="U24" s="2182"/>
      <c r="V24" s="2183" t="s">
        <v>94</v>
      </c>
      <c r="W24" s="69">
        <v>42050000</v>
      </c>
      <c r="X24" s="77" t="s">
        <v>91</v>
      </c>
      <c r="Y24" s="71">
        <v>88</v>
      </c>
      <c r="Z24" s="72" t="s">
        <v>77</v>
      </c>
      <c r="AA24" s="2150"/>
      <c r="AB24" s="2150"/>
      <c r="AC24" s="2150"/>
      <c r="AD24" s="2150"/>
      <c r="AE24" s="2150"/>
      <c r="AF24" s="2150"/>
      <c r="AG24" s="2150"/>
      <c r="AH24" s="2150"/>
      <c r="AI24" s="2150"/>
      <c r="AJ24" s="2150"/>
      <c r="AK24" s="2150"/>
      <c r="AL24" s="2150"/>
      <c r="AM24" s="2150"/>
      <c r="AN24" s="2150"/>
      <c r="AO24" s="2150"/>
      <c r="AP24" s="2150"/>
      <c r="AQ24" s="2150"/>
      <c r="AR24" s="2180"/>
      <c r="AS24" s="2152"/>
      <c r="AT24" s="2153"/>
      <c r="AU24" s="73"/>
      <c r="AV24" s="73"/>
    </row>
    <row r="25" spans="1:48" s="74" customFormat="1" ht="30" x14ac:dyDescent="0.25">
      <c r="A25" s="48"/>
      <c r="B25" s="49"/>
      <c r="C25" s="48"/>
      <c r="D25" s="49"/>
      <c r="E25" s="67"/>
      <c r="F25" s="67"/>
      <c r="G25" s="2195"/>
      <c r="H25" s="2196"/>
      <c r="I25" s="2198"/>
      <c r="J25" s="2200"/>
      <c r="K25" s="2202"/>
      <c r="L25" s="2196"/>
      <c r="M25" s="2187"/>
      <c r="N25" s="2176"/>
      <c r="O25" s="2171"/>
      <c r="P25" s="2191"/>
      <c r="Q25" s="2193"/>
      <c r="R25" s="2194"/>
      <c r="S25" s="2161"/>
      <c r="T25" s="2182"/>
      <c r="U25" s="2182"/>
      <c r="V25" s="2184"/>
      <c r="W25" s="69">
        <v>12000000</v>
      </c>
      <c r="X25" s="78" t="s">
        <v>89</v>
      </c>
      <c r="Y25" s="71">
        <v>20</v>
      </c>
      <c r="Z25" s="72" t="s">
        <v>73</v>
      </c>
      <c r="AA25" s="2150"/>
      <c r="AB25" s="2150"/>
      <c r="AC25" s="2150"/>
      <c r="AD25" s="2150"/>
      <c r="AE25" s="2150"/>
      <c r="AF25" s="2150"/>
      <c r="AG25" s="2150"/>
      <c r="AH25" s="2150"/>
      <c r="AI25" s="2150"/>
      <c r="AJ25" s="2150"/>
      <c r="AK25" s="2150"/>
      <c r="AL25" s="2150"/>
      <c r="AM25" s="2150"/>
      <c r="AN25" s="2150"/>
      <c r="AO25" s="2150"/>
      <c r="AP25" s="2150"/>
      <c r="AQ25" s="2150"/>
      <c r="AR25" s="2181"/>
      <c r="AS25" s="2152"/>
      <c r="AT25" s="2153"/>
      <c r="AU25" s="73"/>
      <c r="AV25" s="73"/>
    </row>
    <row r="26" spans="1:48" s="74" customFormat="1" ht="225" x14ac:dyDescent="0.25">
      <c r="A26" s="48"/>
      <c r="B26" s="49"/>
      <c r="C26" s="48"/>
      <c r="D26" s="49"/>
      <c r="E26" s="67"/>
      <c r="F26" s="67"/>
      <c r="G26" s="79" t="s">
        <v>62</v>
      </c>
      <c r="H26" s="80" t="s">
        <v>95</v>
      </c>
      <c r="I26" s="81">
        <v>4599023</v>
      </c>
      <c r="J26" s="80" t="s">
        <v>64</v>
      </c>
      <c r="K26" s="82" t="s">
        <v>62</v>
      </c>
      <c r="L26" s="80" t="s">
        <v>96</v>
      </c>
      <c r="M26" s="82">
        <v>459902301</v>
      </c>
      <c r="N26" s="80" t="s">
        <v>97</v>
      </c>
      <c r="O26" s="83">
        <v>1</v>
      </c>
      <c r="P26" s="84" t="s">
        <v>98</v>
      </c>
      <c r="Q26" s="85" t="s">
        <v>99</v>
      </c>
      <c r="R26" s="86">
        <f>W26/S26</f>
        <v>1</v>
      </c>
      <c r="S26" s="87">
        <f>SUM(W26)</f>
        <v>50000000</v>
      </c>
      <c r="T26" s="80" t="s">
        <v>100</v>
      </c>
      <c r="U26" s="88" t="s">
        <v>101</v>
      </c>
      <c r="V26" s="80" t="s">
        <v>102</v>
      </c>
      <c r="W26" s="69">
        <v>50000000</v>
      </c>
      <c r="X26" s="78" t="s">
        <v>103</v>
      </c>
      <c r="Y26" s="71">
        <v>20</v>
      </c>
      <c r="Z26" s="72" t="s">
        <v>73</v>
      </c>
      <c r="AA26" s="81">
        <v>295972</v>
      </c>
      <c r="AB26" s="81">
        <v>285580</v>
      </c>
      <c r="AC26" s="81">
        <v>135545</v>
      </c>
      <c r="AD26" s="81">
        <v>44254</v>
      </c>
      <c r="AE26" s="81">
        <v>309146</v>
      </c>
      <c r="AF26" s="81">
        <v>92607</v>
      </c>
      <c r="AG26" s="81">
        <v>2145</v>
      </c>
      <c r="AH26" s="81">
        <v>12718</v>
      </c>
      <c r="AI26" s="81">
        <v>26</v>
      </c>
      <c r="AJ26" s="81"/>
      <c r="AK26" s="81">
        <v>37</v>
      </c>
      <c r="AL26" s="81">
        <v>0</v>
      </c>
      <c r="AM26" s="81">
        <v>0</v>
      </c>
      <c r="AN26" s="81">
        <v>0</v>
      </c>
      <c r="AO26" s="81">
        <v>21944</v>
      </c>
      <c r="AP26" s="81">
        <v>75687</v>
      </c>
      <c r="AQ26" s="81">
        <v>581552</v>
      </c>
      <c r="AR26" s="89">
        <v>44211</v>
      </c>
      <c r="AS26" s="81" t="s">
        <v>74</v>
      </c>
      <c r="AT26" s="80" t="s">
        <v>75</v>
      </c>
      <c r="AU26" s="73"/>
      <c r="AV26" s="73"/>
    </row>
    <row r="27" spans="1:48" s="74" customFormat="1" ht="15.75" x14ac:dyDescent="0.25">
      <c r="A27" s="48"/>
      <c r="B27" s="49"/>
      <c r="C27" s="48"/>
      <c r="D27" s="49"/>
      <c r="E27" s="90">
        <v>4502</v>
      </c>
      <c r="F27" s="2162" t="s">
        <v>104</v>
      </c>
      <c r="G27" s="2163"/>
      <c r="H27" s="2163"/>
      <c r="I27" s="2163"/>
      <c r="J27" s="2163"/>
      <c r="K27" s="2163"/>
      <c r="L27" s="2163"/>
      <c r="M27" s="2163"/>
      <c r="N27" s="2163"/>
      <c r="O27" s="91"/>
      <c r="P27" s="92"/>
      <c r="Q27" s="93"/>
      <c r="R27" s="94"/>
      <c r="S27" s="95"/>
      <c r="T27" s="96"/>
      <c r="U27" s="96"/>
      <c r="V27" s="96"/>
      <c r="W27" s="97"/>
      <c r="X27" s="98"/>
      <c r="Y27" s="99"/>
      <c r="Z27" s="100"/>
      <c r="AA27" s="101"/>
      <c r="AB27" s="101"/>
      <c r="AC27" s="101"/>
      <c r="AD27" s="101"/>
      <c r="AE27" s="101"/>
      <c r="AF27" s="101"/>
      <c r="AG27" s="101"/>
      <c r="AH27" s="101"/>
      <c r="AI27" s="101"/>
      <c r="AJ27" s="101"/>
      <c r="AK27" s="101"/>
      <c r="AL27" s="101"/>
      <c r="AM27" s="101"/>
      <c r="AN27" s="101"/>
      <c r="AO27" s="101"/>
      <c r="AP27" s="101"/>
      <c r="AQ27" s="101"/>
      <c r="AR27" s="101"/>
      <c r="AS27" s="101"/>
      <c r="AT27" s="102"/>
      <c r="AU27" s="73"/>
      <c r="AV27" s="73"/>
    </row>
    <row r="28" spans="1:48" s="74" customFormat="1" ht="96" customHeight="1" x14ac:dyDescent="0.25">
      <c r="A28" s="48"/>
      <c r="B28" s="49"/>
      <c r="C28" s="48"/>
      <c r="D28" s="49"/>
      <c r="E28" s="67"/>
      <c r="F28" s="67"/>
      <c r="G28" s="2164" t="s">
        <v>62</v>
      </c>
      <c r="H28" s="2167" t="s">
        <v>105</v>
      </c>
      <c r="I28" s="2170">
        <v>4502033</v>
      </c>
      <c r="J28" s="2172" t="s">
        <v>106</v>
      </c>
      <c r="K28" s="2174" t="s">
        <v>62</v>
      </c>
      <c r="L28" s="2169" t="s">
        <v>107</v>
      </c>
      <c r="M28" s="2174">
        <v>450203300</v>
      </c>
      <c r="N28" s="2177" t="s">
        <v>108</v>
      </c>
      <c r="O28" s="2156">
        <v>1</v>
      </c>
      <c r="P28" s="2157" t="s">
        <v>109</v>
      </c>
      <c r="Q28" s="2158" t="s">
        <v>110</v>
      </c>
      <c r="R28" s="2160">
        <f>SUM(W28:W31)/S28</f>
        <v>1</v>
      </c>
      <c r="S28" s="2161">
        <f>SUM(W28:W31)</f>
        <v>82465000</v>
      </c>
      <c r="T28" s="2155" t="s">
        <v>111</v>
      </c>
      <c r="U28" s="2155" t="s">
        <v>112</v>
      </c>
      <c r="V28" s="2155" t="s">
        <v>113</v>
      </c>
      <c r="W28" s="103">
        <v>25000000</v>
      </c>
      <c r="X28" s="78" t="s">
        <v>114</v>
      </c>
      <c r="Y28" s="71">
        <v>20</v>
      </c>
      <c r="Z28" s="72" t="s">
        <v>73</v>
      </c>
      <c r="AA28" s="2150">
        <v>295972</v>
      </c>
      <c r="AB28" s="2150">
        <v>285580</v>
      </c>
      <c r="AC28" s="2150">
        <v>135545</v>
      </c>
      <c r="AD28" s="2150">
        <v>44254</v>
      </c>
      <c r="AE28" s="2150">
        <v>309146</v>
      </c>
      <c r="AF28" s="2150">
        <v>92607</v>
      </c>
      <c r="AG28" s="2150">
        <v>2145</v>
      </c>
      <c r="AH28" s="2150">
        <v>12718</v>
      </c>
      <c r="AI28" s="2150">
        <v>26</v>
      </c>
      <c r="AJ28" s="2150"/>
      <c r="AK28" s="2150">
        <v>37</v>
      </c>
      <c r="AL28" s="2150">
        <v>0</v>
      </c>
      <c r="AM28" s="2150">
        <v>0</v>
      </c>
      <c r="AN28" s="2150">
        <v>44350</v>
      </c>
      <c r="AO28" s="2150">
        <v>21944</v>
      </c>
      <c r="AP28" s="2150">
        <v>75687</v>
      </c>
      <c r="AQ28" s="2150">
        <v>581552</v>
      </c>
      <c r="AR28" s="2151">
        <v>44211</v>
      </c>
      <c r="AS28" s="2152" t="s">
        <v>74</v>
      </c>
      <c r="AT28" s="2153" t="s">
        <v>75</v>
      </c>
      <c r="AU28" s="73"/>
      <c r="AV28" s="73"/>
    </row>
    <row r="29" spans="1:48" s="74" customFormat="1" ht="96" customHeight="1" x14ac:dyDescent="0.25">
      <c r="A29" s="48"/>
      <c r="B29" s="49"/>
      <c r="C29" s="48"/>
      <c r="D29" s="49"/>
      <c r="E29" s="67"/>
      <c r="F29" s="67"/>
      <c r="G29" s="2164"/>
      <c r="H29" s="2167"/>
      <c r="I29" s="2171"/>
      <c r="J29" s="2173"/>
      <c r="K29" s="2175"/>
      <c r="L29" s="2176"/>
      <c r="M29" s="2175"/>
      <c r="N29" s="2178"/>
      <c r="O29" s="2156"/>
      <c r="P29" s="2157"/>
      <c r="Q29" s="2159"/>
      <c r="R29" s="2160"/>
      <c r="S29" s="2161"/>
      <c r="T29" s="2155"/>
      <c r="U29" s="2155"/>
      <c r="V29" s="2155"/>
      <c r="W29" s="103">
        <v>42465000</v>
      </c>
      <c r="X29" s="77" t="s">
        <v>115</v>
      </c>
      <c r="Y29" s="71">
        <v>88</v>
      </c>
      <c r="Z29" s="72" t="s">
        <v>77</v>
      </c>
      <c r="AA29" s="2150"/>
      <c r="AB29" s="2150"/>
      <c r="AC29" s="2150"/>
      <c r="AD29" s="2150"/>
      <c r="AE29" s="2150"/>
      <c r="AF29" s="2150"/>
      <c r="AG29" s="2150"/>
      <c r="AH29" s="2150"/>
      <c r="AI29" s="2150"/>
      <c r="AJ29" s="2150"/>
      <c r="AK29" s="2150"/>
      <c r="AL29" s="2150"/>
      <c r="AM29" s="2150"/>
      <c r="AN29" s="2150"/>
      <c r="AO29" s="2150"/>
      <c r="AP29" s="2150"/>
      <c r="AQ29" s="2150"/>
      <c r="AR29" s="2151"/>
      <c r="AS29" s="2152"/>
      <c r="AT29" s="2153"/>
      <c r="AU29" s="73"/>
      <c r="AV29" s="73"/>
    </row>
    <row r="30" spans="1:48" s="74" customFormat="1" ht="75.75" customHeight="1" x14ac:dyDescent="0.25">
      <c r="A30" s="48"/>
      <c r="B30" s="49"/>
      <c r="C30" s="48"/>
      <c r="D30" s="49"/>
      <c r="E30" s="67"/>
      <c r="F30" s="67"/>
      <c r="G30" s="2165"/>
      <c r="H30" s="2168"/>
      <c r="I30" s="2171"/>
      <c r="J30" s="2173"/>
      <c r="K30" s="2175"/>
      <c r="L30" s="2176"/>
      <c r="M30" s="2175"/>
      <c r="N30" s="2178"/>
      <c r="O30" s="2156"/>
      <c r="P30" s="2157"/>
      <c r="Q30" s="2159"/>
      <c r="R30" s="2160"/>
      <c r="S30" s="2161"/>
      <c r="T30" s="2155"/>
      <c r="U30" s="2155"/>
      <c r="V30" s="2155"/>
      <c r="W30" s="103">
        <v>10000000</v>
      </c>
      <c r="X30" s="78" t="s">
        <v>116</v>
      </c>
      <c r="Y30" s="71">
        <v>20</v>
      </c>
      <c r="Z30" s="72" t="s">
        <v>73</v>
      </c>
      <c r="AA30" s="2150"/>
      <c r="AB30" s="2150"/>
      <c r="AC30" s="2150"/>
      <c r="AD30" s="2150"/>
      <c r="AE30" s="2150"/>
      <c r="AF30" s="2150"/>
      <c r="AG30" s="2150"/>
      <c r="AH30" s="2150"/>
      <c r="AI30" s="2150"/>
      <c r="AJ30" s="2150"/>
      <c r="AK30" s="2150"/>
      <c r="AL30" s="2150"/>
      <c r="AM30" s="2150"/>
      <c r="AN30" s="2150"/>
      <c r="AO30" s="2150"/>
      <c r="AP30" s="2150"/>
      <c r="AQ30" s="2150"/>
      <c r="AR30" s="2152"/>
      <c r="AS30" s="2152"/>
      <c r="AT30" s="2153"/>
      <c r="AU30" s="73"/>
      <c r="AV30" s="73"/>
    </row>
    <row r="31" spans="1:48" s="74" customFormat="1" ht="72" customHeight="1" x14ac:dyDescent="0.25">
      <c r="A31" s="104"/>
      <c r="B31" s="105"/>
      <c r="C31" s="104"/>
      <c r="D31" s="105"/>
      <c r="E31" s="67"/>
      <c r="F31" s="67"/>
      <c r="G31" s="2166"/>
      <c r="H31" s="2169"/>
      <c r="I31" s="2171"/>
      <c r="J31" s="2173"/>
      <c r="K31" s="2175"/>
      <c r="L31" s="2176"/>
      <c r="M31" s="2175"/>
      <c r="N31" s="2178"/>
      <c r="O31" s="2156"/>
      <c r="P31" s="2157"/>
      <c r="Q31" s="2159"/>
      <c r="R31" s="2160"/>
      <c r="S31" s="2161"/>
      <c r="T31" s="2155"/>
      <c r="U31" s="2155"/>
      <c r="V31" s="2155"/>
      <c r="W31" s="103">
        <v>5000000</v>
      </c>
      <c r="X31" s="78" t="s">
        <v>117</v>
      </c>
      <c r="Y31" s="71">
        <v>20</v>
      </c>
      <c r="Z31" s="72" t="s">
        <v>73</v>
      </c>
      <c r="AA31" s="2150"/>
      <c r="AB31" s="2150"/>
      <c r="AC31" s="2150"/>
      <c r="AD31" s="2150"/>
      <c r="AE31" s="2150"/>
      <c r="AF31" s="2150"/>
      <c r="AG31" s="2150"/>
      <c r="AH31" s="2150"/>
      <c r="AI31" s="2150"/>
      <c r="AJ31" s="2150"/>
      <c r="AK31" s="2150"/>
      <c r="AL31" s="2150"/>
      <c r="AM31" s="2150"/>
      <c r="AN31" s="2150"/>
      <c r="AO31" s="2150"/>
      <c r="AP31" s="2150"/>
      <c r="AQ31" s="2150"/>
      <c r="AR31" s="2152"/>
      <c r="AS31" s="2152"/>
      <c r="AT31" s="2153"/>
      <c r="AU31" s="73"/>
      <c r="AV31" s="73"/>
    </row>
    <row r="32" spans="1:48" s="74" customFormat="1" ht="30" customHeight="1" x14ac:dyDescent="0.25">
      <c r="A32" s="106"/>
      <c r="B32" s="106"/>
      <c r="C32" s="106"/>
      <c r="D32" s="106"/>
      <c r="E32" s="107"/>
      <c r="F32" s="107"/>
      <c r="G32" s="108"/>
      <c r="H32" s="109"/>
      <c r="I32" s="108"/>
      <c r="J32" s="109"/>
      <c r="K32" s="108"/>
      <c r="L32" s="109"/>
      <c r="M32" s="108"/>
      <c r="N32" s="109"/>
      <c r="O32" s="110"/>
      <c r="P32" s="110"/>
      <c r="Q32" s="111"/>
      <c r="R32" s="112"/>
      <c r="S32" s="113">
        <f>SUM(S12:S31)</f>
        <v>476000000</v>
      </c>
      <c r="T32" s="114"/>
      <c r="U32" s="114"/>
      <c r="V32" s="109" t="s">
        <v>118</v>
      </c>
      <c r="W32" s="115">
        <f>SUM(W9:W31)</f>
        <v>476000000</v>
      </c>
      <c r="X32" s="110"/>
      <c r="Y32" s="116"/>
      <c r="Z32" s="110"/>
      <c r="AA32" s="110"/>
      <c r="AB32" s="110"/>
      <c r="AC32" s="110"/>
      <c r="AD32" s="110"/>
      <c r="AE32" s="110"/>
      <c r="AF32" s="110"/>
      <c r="AG32" s="110"/>
      <c r="AH32" s="110"/>
      <c r="AI32" s="110"/>
      <c r="AJ32" s="110"/>
      <c r="AK32" s="110"/>
      <c r="AL32" s="110"/>
      <c r="AM32" s="110"/>
      <c r="AN32" s="110"/>
      <c r="AO32" s="110"/>
      <c r="AP32" s="110"/>
      <c r="AQ32" s="110"/>
      <c r="AR32" s="117"/>
      <c r="AS32" s="117"/>
      <c r="AT32" s="110"/>
      <c r="AU32" s="73"/>
      <c r="AV32" s="73"/>
    </row>
    <row r="33" spans="5:25" x14ac:dyDescent="0.25">
      <c r="W33" s="123"/>
      <c r="X33" s="4"/>
      <c r="Y33" s="4"/>
    </row>
    <row r="34" spans="5:25" x14ac:dyDescent="0.25">
      <c r="W34" s="123"/>
      <c r="X34" s="4"/>
      <c r="Y34" s="4"/>
    </row>
    <row r="35" spans="5:25" x14ac:dyDescent="0.25">
      <c r="E35" s="33"/>
      <c r="F35" s="33"/>
      <c r="G35" s="33"/>
      <c r="H35" s="125"/>
      <c r="I35" s="33"/>
      <c r="J35" s="125"/>
      <c r="K35" s="33"/>
      <c r="L35" s="126"/>
      <c r="M35" s="33"/>
      <c r="N35" s="126"/>
      <c r="W35" s="127"/>
    </row>
    <row r="36" spans="5:25" ht="15.75" x14ac:dyDescent="0.25">
      <c r="E36" s="33"/>
      <c r="F36" s="33"/>
      <c r="G36" s="33"/>
      <c r="H36" s="125"/>
      <c r="I36" s="33"/>
      <c r="J36" s="125"/>
      <c r="K36" s="33"/>
      <c r="L36" s="125"/>
      <c r="M36" s="33"/>
      <c r="N36" s="126"/>
      <c r="P36" s="2154"/>
      <c r="Q36" s="2154"/>
      <c r="R36" s="2154"/>
      <c r="S36" s="2154"/>
      <c r="T36" s="2154"/>
      <c r="W36" s="127"/>
    </row>
    <row r="37" spans="5:25" ht="15.75" x14ac:dyDescent="0.25">
      <c r="E37" s="2148"/>
      <c r="F37" s="2148"/>
      <c r="G37" s="2148"/>
      <c r="H37" s="2148"/>
      <c r="I37" s="2148"/>
      <c r="J37" s="2148"/>
      <c r="K37" s="2148"/>
      <c r="L37" s="2149"/>
      <c r="M37" s="2148"/>
      <c r="N37" s="2149"/>
      <c r="P37" s="2154"/>
      <c r="Q37" s="2154"/>
      <c r="R37" s="2154"/>
      <c r="S37" s="2154"/>
      <c r="T37" s="2154"/>
      <c r="W37" s="127"/>
    </row>
    <row r="38" spans="5:25" ht="15.75" x14ac:dyDescent="0.25">
      <c r="E38" s="2148"/>
      <c r="F38" s="2148"/>
      <c r="G38" s="2148"/>
      <c r="H38" s="2148"/>
      <c r="I38" s="2148"/>
      <c r="J38" s="2148"/>
      <c r="K38" s="2148"/>
      <c r="L38" s="2149"/>
      <c r="M38" s="2148"/>
      <c r="N38" s="2149"/>
      <c r="W38" s="127"/>
    </row>
    <row r="39" spans="5:25" x14ac:dyDescent="0.25">
      <c r="E39" s="66"/>
      <c r="F39" s="66"/>
      <c r="G39" s="66"/>
      <c r="H39" s="129"/>
      <c r="I39" s="130"/>
      <c r="J39" s="129"/>
      <c r="K39" s="131"/>
      <c r="L39" s="126"/>
      <c r="M39" s="131"/>
      <c r="N39" s="126"/>
      <c r="W39" s="127"/>
    </row>
    <row r="40" spans="5:25" x14ac:dyDescent="0.25">
      <c r="E40" s="33"/>
      <c r="F40" s="33"/>
      <c r="G40" s="33"/>
      <c r="H40" s="125"/>
      <c r="I40" s="33"/>
      <c r="J40" s="125"/>
      <c r="K40" s="33"/>
      <c r="L40" s="126"/>
      <c r="M40" s="33"/>
      <c r="N40" s="126"/>
      <c r="W40" s="127"/>
    </row>
    <row r="41" spans="5:25" x14ac:dyDescent="0.25">
      <c r="E41" s="33"/>
      <c r="F41" s="33"/>
      <c r="G41" s="33"/>
      <c r="H41" s="125"/>
      <c r="I41" s="33"/>
      <c r="J41" s="125"/>
      <c r="K41" s="33"/>
      <c r="L41" s="126"/>
      <c r="M41" s="33"/>
      <c r="N41" s="126"/>
      <c r="W41" s="127"/>
    </row>
    <row r="42" spans="5:25" x14ac:dyDescent="0.25">
      <c r="E42" s="33"/>
      <c r="F42" s="33"/>
      <c r="G42" s="33"/>
      <c r="H42" s="125"/>
      <c r="I42" s="33"/>
      <c r="J42" s="125"/>
      <c r="K42" s="33"/>
      <c r="L42" s="126"/>
      <c r="M42" s="33"/>
      <c r="N42" s="126"/>
    </row>
    <row r="43" spans="5:25" x14ac:dyDescent="0.25">
      <c r="E43" s="33"/>
      <c r="F43" s="33"/>
      <c r="G43" s="33"/>
      <c r="H43" s="125"/>
      <c r="I43" s="33"/>
      <c r="J43" s="125"/>
      <c r="K43" s="33"/>
      <c r="L43" s="126"/>
      <c r="M43" s="33"/>
      <c r="N43" s="126"/>
    </row>
    <row r="44" spans="5:25" x14ac:dyDescent="0.25">
      <c r="E44" s="33"/>
      <c r="F44" s="33"/>
      <c r="G44" s="33"/>
      <c r="H44" s="125"/>
      <c r="I44" s="33"/>
      <c r="J44" s="125"/>
      <c r="K44" s="33"/>
      <c r="L44" s="126"/>
      <c r="M44" s="33"/>
      <c r="N44" s="126"/>
    </row>
    <row r="45" spans="5:25" x14ac:dyDescent="0.25">
      <c r="E45" s="33"/>
      <c r="F45" s="33"/>
      <c r="G45" s="33"/>
      <c r="H45" s="125"/>
      <c r="I45" s="33"/>
      <c r="J45" s="125"/>
      <c r="K45" s="33"/>
      <c r="L45" s="126"/>
      <c r="M45" s="33"/>
      <c r="N45" s="126"/>
    </row>
  </sheetData>
  <sheetProtection algorithmName="SHA-512" hashValue="phaE6WnchsbdfX2wRYeX5WoqidRPieGBpmUCRApXuqXKMZBJThRI5Txw2pEOF7V3CxHL+ppiECEyLvPhebQhyw==" saltValue="l3R4rLjsB/uJLsfMX24n5A==" spinCount="100000" sheet="1" objects="1" scenarios="1"/>
  <mergeCells count="139">
    <mergeCell ref="A1:AR4"/>
    <mergeCell ref="A5:O6"/>
    <mergeCell ref="P5:AT5"/>
    <mergeCell ref="AA6:AP6"/>
    <mergeCell ref="A7:B7"/>
    <mergeCell ref="C7:D7"/>
    <mergeCell ref="E7:F7"/>
    <mergeCell ref="G7:J7"/>
    <mergeCell ref="K7:N7"/>
    <mergeCell ref="O7:W7"/>
    <mergeCell ref="AR7:AR8"/>
    <mergeCell ref="AS7:AS8"/>
    <mergeCell ref="AT7:AT8"/>
    <mergeCell ref="AI8:AJ8"/>
    <mergeCell ref="B9:H9"/>
    <mergeCell ref="D10:I10"/>
    <mergeCell ref="X7:Z7"/>
    <mergeCell ref="AA7:AB7"/>
    <mergeCell ref="AC7:AF7"/>
    <mergeCell ref="AG7:AM7"/>
    <mergeCell ref="AN7:AP7"/>
    <mergeCell ref="AQ7:AQ8"/>
    <mergeCell ref="M12:M18"/>
    <mergeCell ref="N12:N18"/>
    <mergeCell ref="O12:O18"/>
    <mergeCell ref="P12:P18"/>
    <mergeCell ref="Q12:Q18"/>
    <mergeCell ref="R12:R18"/>
    <mergeCell ref="G12:G18"/>
    <mergeCell ref="H12:H18"/>
    <mergeCell ref="I12:I18"/>
    <mergeCell ref="J12:J18"/>
    <mergeCell ref="K12:K18"/>
    <mergeCell ref="L12:L18"/>
    <mergeCell ref="AC12:AC18"/>
    <mergeCell ref="AD12:AD18"/>
    <mergeCell ref="AE12:AE18"/>
    <mergeCell ref="AF12:AF18"/>
    <mergeCell ref="AG12:AG18"/>
    <mergeCell ref="AH12:AH18"/>
    <mergeCell ref="S12:S18"/>
    <mergeCell ref="T12:T18"/>
    <mergeCell ref="U12:U18"/>
    <mergeCell ref="V12:V13"/>
    <mergeCell ref="AA12:AA18"/>
    <mergeCell ref="AB12:AB18"/>
    <mergeCell ref="V14:V15"/>
    <mergeCell ref="V16:V18"/>
    <mergeCell ref="AO12:AO18"/>
    <mergeCell ref="AP12:AP18"/>
    <mergeCell ref="AQ12:AQ18"/>
    <mergeCell ref="AR12:AR18"/>
    <mergeCell ref="AS12:AS18"/>
    <mergeCell ref="AT12:AT18"/>
    <mergeCell ref="AI12:AI18"/>
    <mergeCell ref="AJ12:AJ18"/>
    <mergeCell ref="AK12:AK18"/>
    <mergeCell ref="AL12:AL18"/>
    <mergeCell ref="AM12:AM18"/>
    <mergeCell ref="AN12:AN18"/>
    <mergeCell ref="M19:M25"/>
    <mergeCell ref="N19:N25"/>
    <mergeCell ref="O19:O25"/>
    <mergeCell ref="P19:P25"/>
    <mergeCell ref="Q19:Q25"/>
    <mergeCell ref="R19:R25"/>
    <mergeCell ref="G19:G25"/>
    <mergeCell ref="H19:H25"/>
    <mergeCell ref="I19:I25"/>
    <mergeCell ref="J19:J25"/>
    <mergeCell ref="K19:K25"/>
    <mergeCell ref="L19:L25"/>
    <mergeCell ref="AC19:AC25"/>
    <mergeCell ref="AD19:AD25"/>
    <mergeCell ref="AE19:AE25"/>
    <mergeCell ref="AF19:AF25"/>
    <mergeCell ref="AG19:AG25"/>
    <mergeCell ref="AH19:AH25"/>
    <mergeCell ref="S19:S25"/>
    <mergeCell ref="T19:T25"/>
    <mergeCell ref="U19:U25"/>
    <mergeCell ref="V19:V20"/>
    <mergeCell ref="AA19:AA25"/>
    <mergeCell ref="AB19:AB25"/>
    <mergeCell ref="V21:V23"/>
    <mergeCell ref="V24:V25"/>
    <mergeCell ref="AO19:AO25"/>
    <mergeCell ref="AP19:AP25"/>
    <mergeCell ref="AQ19:AQ25"/>
    <mergeCell ref="AR19:AR25"/>
    <mergeCell ref="AS19:AS25"/>
    <mergeCell ref="AT19:AT25"/>
    <mergeCell ref="AI19:AI25"/>
    <mergeCell ref="AJ19:AJ25"/>
    <mergeCell ref="AK19:AK25"/>
    <mergeCell ref="AL19:AL25"/>
    <mergeCell ref="AM19:AM25"/>
    <mergeCell ref="AN19:AN25"/>
    <mergeCell ref="AC28:AC31"/>
    <mergeCell ref="AD28:AD31"/>
    <mergeCell ref="O28:O31"/>
    <mergeCell ref="P28:P31"/>
    <mergeCell ref="Q28:Q31"/>
    <mergeCell ref="R28:R31"/>
    <mergeCell ref="S28:S31"/>
    <mergeCell ref="T28:T31"/>
    <mergeCell ref="F27:N27"/>
    <mergeCell ref="G28:G31"/>
    <mergeCell ref="H28:H31"/>
    <mergeCell ref="I28:I31"/>
    <mergeCell ref="J28:J31"/>
    <mergeCell ref="K28:K31"/>
    <mergeCell ref="L28:L31"/>
    <mergeCell ref="M28:M31"/>
    <mergeCell ref="N28:N31"/>
    <mergeCell ref="E38:N38"/>
    <mergeCell ref="AQ28:AQ31"/>
    <mergeCell ref="AR28:AR31"/>
    <mergeCell ref="AS28:AS31"/>
    <mergeCell ref="AT28:AT31"/>
    <mergeCell ref="P36:T36"/>
    <mergeCell ref="E37:N37"/>
    <mergeCell ref="P37:T37"/>
    <mergeCell ref="AK28:AK31"/>
    <mergeCell ref="AL28:AL31"/>
    <mergeCell ref="AM28:AM31"/>
    <mergeCell ref="AN28:AN31"/>
    <mergeCell ref="AO28:AO31"/>
    <mergeCell ref="AP28:AP31"/>
    <mergeCell ref="AE28:AE31"/>
    <mergeCell ref="AF28:AF31"/>
    <mergeCell ref="AG28:AG31"/>
    <mergeCell ref="AH28:AH31"/>
    <mergeCell ref="AI28:AI31"/>
    <mergeCell ref="AJ28:AJ31"/>
    <mergeCell ref="U28:U31"/>
    <mergeCell ref="V28:V31"/>
    <mergeCell ref="AA28:AA31"/>
    <mergeCell ref="AB28:AB31"/>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250"/>
  <sheetViews>
    <sheetView showGridLines="0" zoomScale="70" zoomScaleNormal="70" workbookViewId="0">
      <selection activeCell="A5" sqref="A5:O6"/>
    </sheetView>
  </sheetViews>
  <sheetFormatPr baseColWidth="10" defaultColWidth="138.85546875" defaultRowHeight="15" x14ac:dyDescent="0.25"/>
  <cols>
    <col min="1" max="1" width="11.28515625" style="132" customWidth="1"/>
    <col min="2" max="2" width="12.28515625" style="1582" customWidth="1"/>
    <col min="3" max="3" width="10.42578125" style="1582" customWidth="1"/>
    <col min="4" max="4" width="12.28515625" style="1582" customWidth="1"/>
    <col min="5" max="5" width="9.85546875" style="1582" bestFit="1" customWidth="1"/>
    <col min="6" max="6" width="10.28515625" style="1582" customWidth="1"/>
    <col min="7" max="7" width="14.42578125" style="1582" customWidth="1"/>
    <col min="8" max="8" width="31.140625" style="119" customWidth="1"/>
    <col min="9" max="9" width="25.42578125" style="1582" customWidth="1"/>
    <col min="10" max="10" width="30" style="349" customWidth="1"/>
    <col min="11" max="11" width="14.42578125" style="3" bestFit="1" customWidth="1"/>
    <col min="12" max="12" width="30.28515625" style="349" customWidth="1"/>
    <col min="13" max="13" width="23.42578125" style="3" customWidth="1"/>
    <col min="14" max="14" width="35" style="349" customWidth="1"/>
    <col min="15" max="15" width="14.28515625" style="3" bestFit="1" customWidth="1"/>
    <col min="16" max="16" width="21.28515625" style="3" customWidth="1"/>
    <col min="17" max="17" width="50.7109375" style="3" customWidth="1"/>
    <col min="18" max="18" width="16" style="121" customWidth="1"/>
    <col min="19" max="19" width="33.5703125" style="128" customWidth="1"/>
    <col min="20" max="20" width="41.28515625" style="3" customWidth="1"/>
    <col min="21" max="21" width="43.7109375" style="3" customWidth="1"/>
    <col min="22" max="22" width="66.5703125" style="3" customWidth="1"/>
    <col min="23" max="23" width="36.140625" style="128" customWidth="1"/>
    <col min="24" max="24" width="48.28515625" style="1785" customWidth="1"/>
    <col min="25" max="25" width="29.28515625" style="124" customWidth="1"/>
    <col min="26" max="26" width="30.5703125" style="349" customWidth="1"/>
    <col min="27" max="27" width="11.140625" style="1582" bestFit="1" customWidth="1"/>
    <col min="28" max="28" width="13.7109375" style="1582" bestFit="1" customWidth="1"/>
    <col min="29" max="30" width="22.7109375" style="1582" customWidth="1"/>
    <col min="31" max="31" width="17.7109375" style="1582" customWidth="1"/>
    <col min="32" max="32" width="19.42578125" style="1582" customWidth="1"/>
    <col min="33" max="33" width="12" style="1582" bestFit="1" customWidth="1"/>
    <col min="34" max="34" width="22" style="1582" bestFit="1" customWidth="1"/>
    <col min="35" max="35" width="9.42578125" style="1582" bestFit="1" customWidth="1"/>
    <col min="36" max="36" width="7.7109375" style="1582" bestFit="1" customWidth="1"/>
    <col min="37" max="37" width="11.5703125" style="1582" bestFit="1" customWidth="1"/>
    <col min="38" max="38" width="16.5703125" style="1582" bestFit="1" customWidth="1"/>
    <col min="39" max="39" width="17.5703125" style="1582" bestFit="1" customWidth="1"/>
    <col min="40" max="40" width="21.140625" style="1582" bestFit="1" customWidth="1"/>
    <col min="41" max="41" width="12.5703125" style="1582" bestFit="1" customWidth="1"/>
    <col min="42" max="42" width="14.85546875" style="1582" customWidth="1"/>
    <col min="43" max="43" width="21.42578125" style="134" customWidth="1"/>
    <col min="44" max="44" width="27.85546875" style="134" bestFit="1" customWidth="1"/>
    <col min="45" max="45" width="27" style="1582" customWidth="1"/>
    <col min="46" max="16384" width="138.85546875" style="1582"/>
  </cols>
  <sheetData>
    <row r="1" spans="1:65" ht="30.75" customHeight="1" x14ac:dyDescent="0.25">
      <c r="A1" s="2954" t="s">
        <v>3351</v>
      </c>
      <c r="B1" s="2241"/>
      <c r="C1" s="2241"/>
      <c r="D1" s="2241"/>
      <c r="E1" s="2241"/>
      <c r="F1" s="2241"/>
      <c r="G1" s="2241"/>
      <c r="H1" s="2241"/>
      <c r="I1" s="2241"/>
      <c r="J1" s="2241"/>
      <c r="K1" s="2241"/>
      <c r="L1" s="2241"/>
      <c r="M1" s="2241"/>
      <c r="N1" s="2241"/>
      <c r="O1" s="2241"/>
      <c r="P1" s="2241"/>
      <c r="Q1" s="2241"/>
      <c r="R1" s="2241"/>
      <c r="S1" s="2241"/>
      <c r="T1" s="2241"/>
      <c r="U1" s="2241"/>
      <c r="V1" s="2241"/>
      <c r="W1" s="2241"/>
      <c r="X1" s="2241"/>
      <c r="Y1" s="2241"/>
      <c r="Z1" s="2241"/>
      <c r="AA1" s="2241"/>
      <c r="AB1" s="2241"/>
      <c r="AC1" s="2241"/>
      <c r="AD1" s="2241"/>
      <c r="AE1" s="2241"/>
      <c r="AF1" s="2241"/>
      <c r="AG1" s="2241"/>
      <c r="AH1" s="2241"/>
      <c r="AI1" s="2241"/>
      <c r="AJ1" s="2241"/>
      <c r="AK1" s="2241"/>
      <c r="AL1" s="2241"/>
      <c r="AM1" s="2241"/>
      <c r="AN1" s="2241"/>
      <c r="AO1" s="2241"/>
      <c r="AP1" s="2241"/>
      <c r="AQ1" s="2242"/>
      <c r="AR1" s="1546" t="s">
        <v>2632</v>
      </c>
      <c r="AS1" s="1547" t="s">
        <v>1141</v>
      </c>
      <c r="AT1" s="3"/>
      <c r="AU1" s="3"/>
      <c r="AV1" s="3"/>
      <c r="AW1" s="3"/>
      <c r="AX1" s="3"/>
      <c r="AY1" s="3"/>
      <c r="AZ1" s="3"/>
      <c r="BA1" s="3"/>
      <c r="BB1" s="3"/>
      <c r="BC1" s="3"/>
      <c r="BD1" s="3"/>
      <c r="BE1" s="3"/>
      <c r="BF1" s="3"/>
      <c r="BG1" s="3"/>
      <c r="BH1" s="3"/>
      <c r="BI1" s="3"/>
      <c r="BJ1" s="3"/>
      <c r="BK1" s="3"/>
      <c r="BL1" s="3"/>
      <c r="BM1" s="3"/>
    </row>
    <row r="2" spans="1:65" ht="18" customHeight="1" x14ac:dyDescent="0.25">
      <c r="A2" s="2246"/>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1546" t="s">
        <v>2633</v>
      </c>
      <c r="AS2" s="1547" t="s">
        <v>693</v>
      </c>
      <c r="AT2" s="3"/>
      <c r="AU2" s="3"/>
      <c r="AV2" s="3"/>
      <c r="AW2" s="3"/>
      <c r="AX2" s="3"/>
      <c r="AY2" s="3"/>
      <c r="AZ2" s="3"/>
      <c r="BA2" s="3"/>
      <c r="BB2" s="3"/>
      <c r="BC2" s="3"/>
      <c r="BD2" s="3"/>
      <c r="BE2" s="3"/>
      <c r="BF2" s="3"/>
      <c r="BG2" s="3"/>
      <c r="BH2" s="3"/>
      <c r="BI2" s="3"/>
      <c r="BJ2" s="3"/>
      <c r="BK2" s="3"/>
      <c r="BL2" s="3"/>
      <c r="BM2" s="3"/>
    </row>
    <row r="3" spans="1:65" ht="23.25" customHeight="1" x14ac:dyDescent="0.25">
      <c r="A3" s="2246"/>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1546" t="s">
        <v>2634</v>
      </c>
      <c r="AS3" s="1714" t="s">
        <v>1142</v>
      </c>
      <c r="AT3" s="3"/>
      <c r="AU3" s="3"/>
      <c r="AV3" s="3"/>
      <c r="AW3" s="3"/>
      <c r="AX3" s="3"/>
      <c r="AY3" s="3"/>
      <c r="AZ3" s="3"/>
      <c r="BA3" s="3"/>
      <c r="BB3" s="3"/>
      <c r="BC3" s="3"/>
      <c r="BD3" s="3"/>
      <c r="BE3" s="3"/>
      <c r="BF3" s="3"/>
      <c r="BG3" s="3"/>
      <c r="BH3" s="3"/>
      <c r="BI3" s="3"/>
      <c r="BJ3" s="3"/>
      <c r="BK3" s="3"/>
      <c r="BL3" s="3"/>
      <c r="BM3" s="3"/>
    </row>
    <row r="4" spans="1:65" ht="17.25" customHeight="1" x14ac:dyDescent="0.25">
      <c r="A4" s="2243"/>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9"/>
      <c r="AR4" s="1546" t="s">
        <v>2635</v>
      </c>
      <c r="AS4" s="659" t="s">
        <v>120</v>
      </c>
      <c r="AT4" s="3"/>
      <c r="AU4" s="3"/>
      <c r="AV4" s="3"/>
      <c r="AW4" s="3"/>
      <c r="AX4" s="3"/>
      <c r="AY4" s="3"/>
      <c r="AZ4" s="3"/>
      <c r="BA4" s="3"/>
      <c r="BB4" s="3"/>
      <c r="BC4" s="3"/>
      <c r="BD4" s="3"/>
      <c r="BE4" s="3"/>
      <c r="BF4" s="3"/>
      <c r="BG4" s="3"/>
      <c r="BH4" s="3"/>
      <c r="BI4" s="3"/>
      <c r="BJ4" s="3"/>
      <c r="BK4" s="3"/>
      <c r="BL4" s="3"/>
      <c r="BM4" s="3"/>
    </row>
    <row r="5" spans="1:65" ht="15.75" x14ac:dyDescent="0.25">
      <c r="A5" s="2955" t="s">
        <v>2636</v>
      </c>
      <c r="B5" s="2955"/>
      <c r="C5" s="2955"/>
      <c r="D5" s="2955"/>
      <c r="E5" s="2955"/>
      <c r="F5" s="2955"/>
      <c r="G5" s="2955"/>
      <c r="H5" s="2955"/>
      <c r="I5" s="2955"/>
      <c r="J5" s="2955"/>
      <c r="K5" s="2955"/>
      <c r="L5" s="2955"/>
      <c r="M5" s="2955"/>
      <c r="N5" s="2955"/>
      <c r="O5" s="2955"/>
      <c r="P5" s="3462"/>
      <c r="Q5" s="3462"/>
      <c r="R5" s="3462"/>
      <c r="S5" s="3462"/>
      <c r="T5" s="3462"/>
      <c r="U5" s="3462"/>
      <c r="V5" s="3462"/>
      <c r="W5" s="3462"/>
      <c r="X5" s="3462"/>
      <c r="Y5" s="3462"/>
      <c r="Z5" s="3462"/>
      <c r="AA5" s="3462"/>
      <c r="AB5" s="3462"/>
      <c r="AC5" s="3462"/>
      <c r="AD5" s="3462"/>
      <c r="AE5" s="3462"/>
      <c r="AF5" s="3462"/>
      <c r="AG5" s="3462"/>
      <c r="AH5" s="3462"/>
      <c r="AI5" s="3462"/>
      <c r="AJ5" s="3462"/>
      <c r="AK5" s="3462"/>
      <c r="AL5" s="3462"/>
      <c r="AM5" s="3462"/>
      <c r="AN5" s="3462"/>
      <c r="AO5" s="3462"/>
      <c r="AP5" s="3462"/>
      <c r="AQ5" s="3462"/>
      <c r="AR5" s="2245"/>
      <c r="AS5" s="2245"/>
      <c r="AT5" s="3"/>
      <c r="AU5" s="3"/>
      <c r="AV5" s="3"/>
      <c r="AW5" s="3"/>
      <c r="AX5" s="3"/>
      <c r="AY5" s="3"/>
      <c r="AZ5" s="3"/>
      <c r="BA5" s="3"/>
      <c r="BB5" s="3"/>
      <c r="BC5" s="3"/>
      <c r="BD5" s="3"/>
      <c r="BE5" s="3"/>
      <c r="BF5" s="3"/>
      <c r="BG5" s="3"/>
      <c r="BH5" s="3"/>
      <c r="BI5" s="3"/>
      <c r="BJ5" s="3"/>
      <c r="BK5" s="3"/>
      <c r="BL5" s="3"/>
      <c r="BM5" s="3"/>
    </row>
    <row r="6" spans="1:65" ht="15.75" x14ac:dyDescent="0.25">
      <c r="A6" s="2238"/>
      <c r="B6" s="2238"/>
      <c r="C6" s="2238"/>
      <c r="D6" s="2238"/>
      <c r="E6" s="2238"/>
      <c r="F6" s="2238"/>
      <c r="G6" s="2238"/>
      <c r="H6" s="2238"/>
      <c r="I6" s="2238"/>
      <c r="J6" s="2238"/>
      <c r="K6" s="2238"/>
      <c r="L6" s="2238"/>
      <c r="M6" s="2238"/>
      <c r="N6" s="2238"/>
      <c r="O6" s="2955"/>
      <c r="P6" s="1564"/>
      <c r="Q6" s="1564"/>
      <c r="R6" s="1564"/>
      <c r="S6" s="1564"/>
      <c r="T6" s="1564"/>
      <c r="U6" s="1564"/>
      <c r="V6" s="1564"/>
      <c r="W6" s="1564"/>
      <c r="X6" s="1553"/>
      <c r="Y6" s="1544"/>
      <c r="Z6" s="233"/>
      <c r="AA6" s="2243" t="s">
        <v>8</v>
      </c>
      <c r="AB6" s="2238"/>
      <c r="AC6" s="2238"/>
      <c r="AD6" s="2238"/>
      <c r="AE6" s="2238"/>
      <c r="AF6" s="2238"/>
      <c r="AG6" s="2238"/>
      <c r="AH6" s="2238"/>
      <c r="AI6" s="2238"/>
      <c r="AJ6" s="2238"/>
      <c r="AK6" s="2238"/>
      <c r="AL6" s="2238"/>
      <c r="AM6" s="2238"/>
      <c r="AN6" s="2238"/>
      <c r="AO6" s="2239"/>
      <c r="AP6" s="1544"/>
      <c r="AQ6" s="1544"/>
      <c r="AR6" s="1544"/>
      <c r="AS6" s="1545"/>
      <c r="AT6" s="3"/>
      <c r="AU6" s="3"/>
      <c r="AV6" s="3"/>
      <c r="AW6" s="3"/>
      <c r="AX6" s="3"/>
      <c r="AY6" s="3"/>
      <c r="AZ6" s="3"/>
      <c r="BA6" s="3"/>
      <c r="BB6" s="3"/>
      <c r="BC6" s="3"/>
      <c r="BD6" s="3"/>
      <c r="BE6" s="3"/>
      <c r="BF6" s="3"/>
      <c r="BG6" s="3"/>
      <c r="BH6" s="3"/>
      <c r="BI6" s="3"/>
      <c r="BJ6" s="3"/>
      <c r="BK6" s="3"/>
      <c r="BL6" s="3"/>
      <c r="BM6" s="3"/>
    </row>
    <row r="7" spans="1:65" ht="45" customHeight="1" x14ac:dyDescent="0.25">
      <c r="A7" s="2248" t="s">
        <v>9</v>
      </c>
      <c r="B7" s="2351"/>
      <c r="C7" s="2247" t="s">
        <v>10</v>
      </c>
      <c r="D7" s="2248"/>
      <c r="E7" s="2248" t="s">
        <v>11</v>
      </c>
      <c r="F7" s="2351"/>
      <c r="G7" s="2247" t="s">
        <v>12</v>
      </c>
      <c r="H7" s="2248"/>
      <c r="I7" s="2248"/>
      <c r="J7" s="2248"/>
      <c r="K7" s="2247" t="s">
        <v>13</v>
      </c>
      <c r="L7" s="2248"/>
      <c r="M7" s="2248"/>
      <c r="N7" s="2248"/>
      <c r="O7" s="3145" t="s">
        <v>14</v>
      </c>
      <c r="P7" s="3145"/>
      <c r="Q7" s="3145"/>
      <c r="R7" s="3145"/>
      <c r="S7" s="3145"/>
      <c r="T7" s="3145"/>
      <c r="U7" s="3145"/>
      <c r="V7" s="3145"/>
      <c r="W7" s="3145"/>
      <c r="X7" s="3138" t="s">
        <v>15</v>
      </c>
      <c r="Y7" s="3138"/>
      <c r="Z7" s="3139"/>
      <c r="AA7" s="2401" t="s">
        <v>16</v>
      </c>
      <c r="AB7" s="2401"/>
      <c r="AC7" s="2218" t="s">
        <v>17</v>
      </c>
      <c r="AD7" s="2218"/>
      <c r="AE7" s="2218"/>
      <c r="AF7" s="2218"/>
      <c r="AG7" s="2359" t="s">
        <v>18</v>
      </c>
      <c r="AH7" s="2360"/>
      <c r="AI7" s="2360"/>
      <c r="AJ7" s="2360"/>
      <c r="AK7" s="2360"/>
      <c r="AL7" s="3140"/>
      <c r="AM7" s="2218" t="s">
        <v>19</v>
      </c>
      <c r="AN7" s="2218"/>
      <c r="AO7" s="2218"/>
      <c r="AP7" s="2986" t="s">
        <v>20</v>
      </c>
      <c r="AQ7" s="2249" t="s">
        <v>21</v>
      </c>
      <c r="AR7" s="2249" t="s">
        <v>22</v>
      </c>
      <c r="AS7" s="2357" t="s">
        <v>23</v>
      </c>
      <c r="AT7" s="3"/>
      <c r="AU7" s="3"/>
      <c r="AV7" s="3"/>
      <c r="AW7" s="3"/>
      <c r="AX7" s="3"/>
      <c r="AY7" s="3"/>
      <c r="AZ7" s="3"/>
      <c r="BA7" s="3"/>
      <c r="BB7" s="3"/>
      <c r="BC7" s="3"/>
      <c r="BD7" s="3"/>
      <c r="BE7" s="3"/>
      <c r="BF7" s="3"/>
      <c r="BG7" s="3"/>
      <c r="BH7" s="3"/>
      <c r="BI7" s="3"/>
      <c r="BJ7" s="3"/>
      <c r="BK7" s="3"/>
      <c r="BL7" s="3"/>
      <c r="BM7" s="3"/>
    </row>
    <row r="8" spans="1:65" ht="93" customHeight="1" x14ac:dyDescent="0.25">
      <c r="A8" s="239" t="s">
        <v>24</v>
      </c>
      <c r="B8" s="18" t="s">
        <v>25</v>
      </c>
      <c r="C8" s="239" t="s">
        <v>24</v>
      </c>
      <c r="D8" s="18" t="s">
        <v>25</v>
      </c>
      <c r="E8" s="922" t="s">
        <v>24</v>
      </c>
      <c r="F8" s="18" t="s">
        <v>25</v>
      </c>
      <c r="G8" s="240" t="s">
        <v>26</v>
      </c>
      <c r="H8" s="240" t="s">
        <v>27</v>
      </c>
      <c r="I8" s="240" t="s">
        <v>28</v>
      </c>
      <c r="J8" s="240" t="s">
        <v>122</v>
      </c>
      <c r="K8" s="240" t="s">
        <v>26</v>
      </c>
      <c r="L8" s="240" t="s">
        <v>30</v>
      </c>
      <c r="M8" s="18" t="s">
        <v>31</v>
      </c>
      <c r="N8" s="923" t="s">
        <v>32</v>
      </c>
      <c r="O8" s="1354" t="s">
        <v>185</v>
      </c>
      <c r="P8" s="1354" t="s">
        <v>34</v>
      </c>
      <c r="Q8" s="1354" t="s">
        <v>35</v>
      </c>
      <c r="R8" s="1355" t="s">
        <v>36</v>
      </c>
      <c r="S8" s="1356" t="s">
        <v>37</v>
      </c>
      <c r="T8" s="1354" t="s">
        <v>38</v>
      </c>
      <c r="U8" s="1354" t="s">
        <v>39</v>
      </c>
      <c r="V8" s="1354" t="s">
        <v>40</v>
      </c>
      <c r="W8" s="1356" t="s">
        <v>1540</v>
      </c>
      <c r="X8" s="922" t="s">
        <v>42</v>
      </c>
      <c r="Y8" s="1592" t="s">
        <v>43</v>
      </c>
      <c r="Z8" s="240" t="s">
        <v>25</v>
      </c>
      <c r="AA8" s="927" t="s">
        <v>44</v>
      </c>
      <c r="AB8" s="928" t="s">
        <v>45</v>
      </c>
      <c r="AC8" s="929" t="s">
        <v>46</v>
      </c>
      <c r="AD8" s="929" t="s">
        <v>47</v>
      </c>
      <c r="AE8" s="929" t="s">
        <v>188</v>
      </c>
      <c r="AF8" s="929" t="s">
        <v>49</v>
      </c>
      <c r="AG8" s="929" t="s">
        <v>50</v>
      </c>
      <c r="AH8" s="929" t="s">
        <v>51</v>
      </c>
      <c r="AI8" s="929" t="s">
        <v>52</v>
      </c>
      <c r="AJ8" s="929" t="s">
        <v>189</v>
      </c>
      <c r="AK8" s="929" t="s">
        <v>54</v>
      </c>
      <c r="AL8" s="929" t="s">
        <v>55</v>
      </c>
      <c r="AM8" s="929" t="s">
        <v>56</v>
      </c>
      <c r="AN8" s="929" t="s">
        <v>57</v>
      </c>
      <c r="AO8" s="929" t="s">
        <v>2637</v>
      </c>
      <c r="AP8" s="2987"/>
      <c r="AQ8" s="2356"/>
      <c r="AR8" s="2356"/>
      <c r="AS8" s="2358"/>
      <c r="AT8" s="3"/>
      <c r="AU8" s="3"/>
      <c r="AV8" s="3"/>
      <c r="AW8" s="3"/>
      <c r="AX8" s="3"/>
      <c r="AY8" s="3"/>
      <c r="AZ8" s="3"/>
      <c r="BA8" s="3"/>
      <c r="BB8" s="3"/>
      <c r="BC8" s="3"/>
      <c r="BD8" s="3"/>
      <c r="BE8" s="3"/>
      <c r="BF8" s="3"/>
      <c r="BG8" s="3"/>
      <c r="BH8" s="3"/>
      <c r="BI8" s="3"/>
      <c r="BJ8" s="3"/>
      <c r="BK8" s="3"/>
      <c r="BL8" s="3"/>
      <c r="BM8" s="3"/>
    </row>
    <row r="9" spans="1:65" ht="24.75" customHeight="1" x14ac:dyDescent="0.25">
      <c r="A9" s="1715">
        <v>1</v>
      </c>
      <c r="B9" s="3453" t="s">
        <v>1145</v>
      </c>
      <c r="C9" s="3454"/>
      <c r="D9" s="3454"/>
      <c r="E9" s="3454"/>
      <c r="F9" s="3454"/>
      <c r="G9" s="3454"/>
      <c r="H9" s="1716"/>
      <c r="I9" s="665"/>
      <c r="J9" s="1717"/>
      <c r="K9" s="665"/>
      <c r="L9" s="1717"/>
      <c r="M9" s="665"/>
      <c r="N9" s="1717"/>
      <c r="O9" s="993"/>
      <c r="P9" s="993"/>
      <c r="Q9" s="993"/>
      <c r="R9" s="1718"/>
      <c r="S9" s="1719"/>
      <c r="T9" s="993"/>
      <c r="U9" s="993"/>
      <c r="V9" s="993"/>
      <c r="W9" s="1719"/>
      <c r="X9" s="1720"/>
      <c r="Y9" s="668"/>
      <c r="Z9" s="1717"/>
      <c r="AA9" s="3455"/>
      <c r="AB9" s="3456"/>
      <c r="AC9" s="3456"/>
      <c r="AD9" s="3456"/>
      <c r="AE9" s="3456"/>
      <c r="AF9" s="3456"/>
      <c r="AG9" s="3456"/>
      <c r="AH9" s="3456"/>
      <c r="AI9" s="3456"/>
      <c r="AJ9" s="3456"/>
      <c r="AK9" s="3456"/>
      <c r="AL9" s="3456"/>
      <c r="AM9" s="3456"/>
      <c r="AN9" s="3456"/>
      <c r="AO9" s="3456"/>
      <c r="AP9" s="3456"/>
      <c r="AQ9" s="669"/>
      <c r="AR9" s="669"/>
      <c r="AS9" s="670"/>
      <c r="AT9" s="3"/>
      <c r="AU9" s="3"/>
      <c r="AV9" s="3"/>
      <c r="AW9" s="3"/>
      <c r="AX9" s="3"/>
      <c r="AY9" s="3"/>
      <c r="AZ9" s="3"/>
      <c r="BA9" s="3"/>
      <c r="BB9" s="3"/>
      <c r="BC9" s="3"/>
      <c r="BD9" s="3"/>
      <c r="BE9" s="3"/>
      <c r="BF9" s="3"/>
      <c r="BG9" s="3"/>
      <c r="BH9" s="3"/>
      <c r="BI9" s="3"/>
      <c r="BJ9" s="3"/>
      <c r="BK9" s="3"/>
      <c r="BL9" s="3"/>
      <c r="BM9" s="3"/>
    </row>
    <row r="10" spans="1:65" ht="24.75" customHeight="1" x14ac:dyDescent="0.25">
      <c r="A10" s="50"/>
      <c r="B10" s="68"/>
      <c r="C10" s="36">
        <v>22</v>
      </c>
      <c r="D10" s="1721" t="s">
        <v>423</v>
      </c>
      <c r="E10" s="38"/>
      <c r="F10" s="38"/>
      <c r="G10" s="38"/>
      <c r="H10" s="37"/>
      <c r="I10" s="38"/>
      <c r="J10" s="995"/>
      <c r="K10" s="38"/>
      <c r="L10" s="995"/>
      <c r="M10" s="38"/>
      <c r="N10" s="995"/>
      <c r="O10" s="38"/>
      <c r="P10" s="38"/>
      <c r="Q10" s="38"/>
      <c r="R10" s="40"/>
      <c r="S10" s="42"/>
      <c r="T10" s="38"/>
      <c r="U10" s="38"/>
      <c r="V10" s="38"/>
      <c r="W10" s="42"/>
      <c r="X10" s="39"/>
      <c r="Y10" s="43"/>
      <c r="Z10" s="995"/>
      <c r="AA10" s="1722"/>
      <c r="AB10" s="38"/>
      <c r="AC10" s="38"/>
      <c r="AD10" s="38"/>
      <c r="AE10" s="38"/>
      <c r="AF10" s="38"/>
      <c r="AG10" s="38"/>
      <c r="AH10" s="38"/>
      <c r="AI10" s="38"/>
      <c r="AJ10" s="38"/>
      <c r="AK10" s="38"/>
      <c r="AL10" s="38"/>
      <c r="AM10" s="38"/>
      <c r="AN10" s="38"/>
      <c r="AO10" s="38"/>
      <c r="AP10" s="38"/>
      <c r="AQ10" s="44"/>
      <c r="AR10" s="44"/>
      <c r="AS10" s="401"/>
    </row>
    <row r="11" spans="1:65" s="3" customFormat="1" ht="24.75" customHeight="1" x14ac:dyDescent="0.25">
      <c r="A11" s="2438"/>
      <c r="B11" s="3457"/>
      <c r="C11" s="1554"/>
      <c r="D11" s="1555"/>
      <c r="E11" s="714">
        <v>2201</v>
      </c>
      <c r="F11" s="3458" t="s">
        <v>2638</v>
      </c>
      <c r="G11" s="3459"/>
      <c r="H11" s="3459"/>
      <c r="I11" s="3459"/>
      <c r="J11" s="3459"/>
      <c r="K11" s="3459"/>
      <c r="L11" s="3459"/>
      <c r="M11" s="3459"/>
      <c r="N11" s="3459"/>
      <c r="O11" s="3459"/>
      <c r="P11" s="3460"/>
      <c r="Q11" s="3460"/>
      <c r="R11" s="3459"/>
      <c r="S11" s="62"/>
      <c r="T11" s="62"/>
      <c r="U11" s="62"/>
      <c r="V11" s="62"/>
      <c r="W11" s="709"/>
      <c r="X11" s="1723"/>
      <c r="Y11" s="709"/>
      <c r="Z11" s="59"/>
      <c r="AA11" s="709"/>
      <c r="AB11" s="709"/>
      <c r="AC11" s="709"/>
      <c r="AD11" s="709"/>
      <c r="AE11" s="709"/>
      <c r="AF11" s="709"/>
      <c r="AG11" s="709"/>
      <c r="AH11" s="709"/>
      <c r="AI11" s="709"/>
      <c r="AJ11" s="709"/>
      <c r="AK11" s="709"/>
      <c r="AL11" s="709"/>
      <c r="AM11" s="709"/>
      <c r="AN11" s="709"/>
      <c r="AO11" s="709"/>
      <c r="AP11" s="709"/>
      <c r="AQ11" s="709"/>
      <c r="AR11" s="709"/>
      <c r="AS11" s="714"/>
    </row>
    <row r="12" spans="1:65" s="3" customFormat="1" ht="28.5" customHeight="1" x14ac:dyDescent="0.25">
      <c r="A12" s="2438"/>
      <c r="B12" s="3457"/>
      <c r="C12" s="1556"/>
      <c r="D12" s="1557"/>
      <c r="E12" s="1565"/>
      <c r="F12" s="1565"/>
      <c r="G12" s="3343" t="s">
        <v>2639</v>
      </c>
      <c r="H12" s="2366" t="s">
        <v>2640</v>
      </c>
      <c r="I12" s="3343" t="s">
        <v>2639</v>
      </c>
      <c r="J12" s="2366" t="s">
        <v>2640</v>
      </c>
      <c r="K12" s="3389">
        <v>220103000</v>
      </c>
      <c r="L12" s="2726" t="s">
        <v>2641</v>
      </c>
      <c r="M12" s="3389">
        <v>220103000</v>
      </c>
      <c r="N12" s="2726" t="s">
        <v>2641</v>
      </c>
      <c r="O12" s="3397">
        <v>2500</v>
      </c>
      <c r="P12" s="2165" t="s">
        <v>2642</v>
      </c>
      <c r="Q12" s="2793" t="s">
        <v>2643</v>
      </c>
      <c r="R12" s="3449">
        <f>SUM(W12:W15)/S12</f>
        <v>8.0651585961659625E-2</v>
      </c>
      <c r="S12" s="3451">
        <f>SUM(W12:W42)</f>
        <v>16660598957.58</v>
      </c>
      <c r="T12" s="2793" t="s">
        <v>2644</v>
      </c>
      <c r="U12" s="2993" t="s">
        <v>2645</v>
      </c>
      <c r="V12" s="2993" t="s">
        <v>2646</v>
      </c>
      <c r="W12" s="1724">
        <f>111029461-21747174</f>
        <v>89282287</v>
      </c>
      <c r="X12" s="1576" t="s">
        <v>2647</v>
      </c>
      <c r="Y12" s="3423">
        <v>25</v>
      </c>
      <c r="Z12" s="2459" t="s">
        <v>2648</v>
      </c>
      <c r="AA12" s="3372">
        <v>19649</v>
      </c>
      <c r="AB12" s="3372">
        <v>20118</v>
      </c>
      <c r="AC12" s="3372">
        <v>28907</v>
      </c>
      <c r="AD12" s="3372">
        <v>9525</v>
      </c>
      <c r="AE12" s="3372">
        <v>1222</v>
      </c>
      <c r="AF12" s="3372">
        <v>113</v>
      </c>
      <c r="AG12" s="3372">
        <v>297</v>
      </c>
      <c r="AH12" s="3372">
        <v>345</v>
      </c>
      <c r="AI12" s="3372">
        <v>0</v>
      </c>
      <c r="AJ12" s="3372">
        <v>0</v>
      </c>
      <c r="AK12" s="3372">
        <v>0</v>
      </c>
      <c r="AL12" s="3372">
        <v>0</v>
      </c>
      <c r="AM12" s="3372">
        <v>3301</v>
      </c>
      <c r="AN12" s="3372">
        <v>113</v>
      </c>
      <c r="AO12" s="3372">
        <v>2507</v>
      </c>
      <c r="AP12" s="3372">
        <f>SUM(AA12:AB42)</f>
        <v>39767</v>
      </c>
      <c r="AQ12" s="3018">
        <v>44198</v>
      </c>
      <c r="AR12" s="3018">
        <v>44560</v>
      </c>
      <c r="AS12" s="3452" t="s">
        <v>2649</v>
      </c>
    </row>
    <row r="13" spans="1:65" s="3" customFormat="1" ht="27" customHeight="1" x14ac:dyDescent="0.25">
      <c r="A13" s="2438"/>
      <c r="B13" s="3457"/>
      <c r="C13" s="1556"/>
      <c r="D13" s="1557"/>
      <c r="E13" s="1565"/>
      <c r="F13" s="1565"/>
      <c r="G13" s="3343"/>
      <c r="H13" s="2366"/>
      <c r="I13" s="3343"/>
      <c r="J13" s="2366"/>
      <c r="K13" s="3447"/>
      <c r="L13" s="2718"/>
      <c r="M13" s="3447"/>
      <c r="N13" s="2718"/>
      <c r="O13" s="3448"/>
      <c r="P13" s="2165"/>
      <c r="Q13" s="2793"/>
      <c r="R13" s="3449"/>
      <c r="S13" s="3451"/>
      <c r="T13" s="2793"/>
      <c r="U13" s="2993"/>
      <c r="V13" s="2993"/>
      <c r="W13" s="1725">
        <f>689467807-135045028</f>
        <v>554422779</v>
      </c>
      <c r="X13" s="1576" t="s">
        <v>2650</v>
      </c>
      <c r="Y13" s="3423"/>
      <c r="Z13" s="2459"/>
      <c r="AA13" s="3372"/>
      <c r="AB13" s="3372"/>
      <c r="AC13" s="3372"/>
      <c r="AD13" s="3372"/>
      <c r="AE13" s="3372"/>
      <c r="AF13" s="3372"/>
      <c r="AG13" s="3372"/>
      <c r="AH13" s="3372"/>
      <c r="AI13" s="3372"/>
      <c r="AJ13" s="3372"/>
      <c r="AK13" s="3372"/>
      <c r="AL13" s="3372"/>
      <c r="AM13" s="3372"/>
      <c r="AN13" s="3372"/>
      <c r="AO13" s="3372"/>
      <c r="AP13" s="3372"/>
      <c r="AQ13" s="3018"/>
      <c r="AR13" s="3018"/>
      <c r="AS13" s="2522"/>
    </row>
    <row r="14" spans="1:65" s="3" customFormat="1" ht="44.25" customHeight="1" x14ac:dyDescent="0.25">
      <c r="A14" s="2438"/>
      <c r="B14" s="3457"/>
      <c r="C14" s="1556"/>
      <c r="D14" s="1557"/>
      <c r="E14" s="1565"/>
      <c r="F14" s="1565"/>
      <c r="G14" s="3343"/>
      <c r="H14" s="2366"/>
      <c r="I14" s="3343"/>
      <c r="J14" s="2366"/>
      <c r="K14" s="3447"/>
      <c r="L14" s="2718"/>
      <c r="M14" s="3447"/>
      <c r="N14" s="2718"/>
      <c r="O14" s="3448"/>
      <c r="P14" s="2165"/>
      <c r="Q14" s="2793"/>
      <c r="R14" s="3449"/>
      <c r="S14" s="3451"/>
      <c r="T14" s="2793"/>
      <c r="U14" s="2993"/>
      <c r="V14" s="2993"/>
      <c r="W14" s="1725">
        <f>626740793-122758782</f>
        <v>503982011</v>
      </c>
      <c r="X14" s="1576" t="s">
        <v>2651</v>
      </c>
      <c r="Y14" s="3423"/>
      <c r="Z14" s="2459"/>
      <c r="AA14" s="3372"/>
      <c r="AB14" s="3372"/>
      <c r="AC14" s="3372"/>
      <c r="AD14" s="3372"/>
      <c r="AE14" s="3372"/>
      <c r="AF14" s="3372"/>
      <c r="AG14" s="3372"/>
      <c r="AH14" s="3372"/>
      <c r="AI14" s="3372"/>
      <c r="AJ14" s="3372"/>
      <c r="AK14" s="3372"/>
      <c r="AL14" s="3372"/>
      <c r="AM14" s="3372"/>
      <c r="AN14" s="3372"/>
      <c r="AO14" s="3372"/>
      <c r="AP14" s="3372"/>
      <c r="AQ14" s="3018"/>
      <c r="AR14" s="3018"/>
      <c r="AS14" s="2522"/>
    </row>
    <row r="15" spans="1:65" s="3" customFormat="1" ht="44.25" customHeight="1" x14ac:dyDescent="0.25">
      <c r="A15" s="2438"/>
      <c r="B15" s="3457"/>
      <c r="C15" s="1556"/>
      <c r="D15" s="1557"/>
      <c r="E15" s="1565"/>
      <c r="F15" s="1565"/>
      <c r="G15" s="3328"/>
      <c r="H15" s="3130"/>
      <c r="I15" s="3328"/>
      <c r="J15" s="3130"/>
      <c r="K15" s="3447"/>
      <c r="L15" s="2718"/>
      <c r="M15" s="3447"/>
      <c r="N15" s="2718"/>
      <c r="O15" s="3448"/>
      <c r="P15" s="2165"/>
      <c r="Q15" s="2793"/>
      <c r="R15" s="3450"/>
      <c r="S15" s="3451"/>
      <c r="T15" s="2793"/>
      <c r="U15" s="2993"/>
      <c r="V15" s="2993"/>
      <c r="W15" s="1725">
        <f>243761939-47745287</f>
        <v>196016652</v>
      </c>
      <c r="X15" s="1576" t="s">
        <v>2652</v>
      </c>
      <c r="Y15" s="3424"/>
      <c r="Z15" s="2460"/>
      <c r="AA15" s="3372"/>
      <c r="AB15" s="3372"/>
      <c r="AC15" s="3372"/>
      <c r="AD15" s="3372"/>
      <c r="AE15" s="3372"/>
      <c r="AF15" s="3372"/>
      <c r="AG15" s="3372"/>
      <c r="AH15" s="3372"/>
      <c r="AI15" s="3372"/>
      <c r="AJ15" s="3372"/>
      <c r="AK15" s="3372"/>
      <c r="AL15" s="3372"/>
      <c r="AM15" s="3372"/>
      <c r="AN15" s="3372"/>
      <c r="AO15" s="3372"/>
      <c r="AP15" s="3372"/>
      <c r="AQ15" s="3057"/>
      <c r="AR15" s="3057"/>
      <c r="AS15" s="2522"/>
    </row>
    <row r="16" spans="1:65" s="3" customFormat="1" ht="44.25" customHeight="1" x14ac:dyDescent="0.25">
      <c r="A16" s="2438"/>
      <c r="B16" s="3457"/>
      <c r="C16" s="1556"/>
      <c r="D16" s="1557"/>
      <c r="E16" s="1565"/>
      <c r="F16" s="1565"/>
      <c r="G16" s="3329">
        <v>2201033</v>
      </c>
      <c r="H16" s="2810" t="s">
        <v>2653</v>
      </c>
      <c r="I16" s="3329">
        <v>2201033</v>
      </c>
      <c r="J16" s="2810" t="s">
        <v>2653</v>
      </c>
      <c r="K16" s="3447">
        <v>220103300</v>
      </c>
      <c r="L16" s="2793" t="s">
        <v>2654</v>
      </c>
      <c r="M16" s="3447">
        <v>220103300</v>
      </c>
      <c r="N16" s="2793" t="s">
        <v>2654</v>
      </c>
      <c r="O16" s="3448">
        <v>9000</v>
      </c>
      <c r="P16" s="2165"/>
      <c r="Q16" s="2793"/>
      <c r="R16" s="3444">
        <f>SUM(W16:W19)/S12</f>
        <v>1.0803933307458084E-3</v>
      </c>
      <c r="S16" s="3451"/>
      <c r="T16" s="2793"/>
      <c r="U16" s="2993" t="s">
        <v>2655</v>
      </c>
      <c r="V16" s="2993" t="s">
        <v>2656</v>
      </c>
      <c r="W16" s="1724">
        <v>1196008.55</v>
      </c>
      <c r="X16" s="1576" t="s">
        <v>2657</v>
      </c>
      <c r="Y16" s="3422">
        <v>20</v>
      </c>
      <c r="Z16" s="2458" t="s">
        <v>73</v>
      </c>
      <c r="AA16" s="3372"/>
      <c r="AB16" s="3372"/>
      <c r="AC16" s="3372"/>
      <c r="AD16" s="3372"/>
      <c r="AE16" s="3372"/>
      <c r="AF16" s="3372"/>
      <c r="AG16" s="3372"/>
      <c r="AH16" s="3372"/>
      <c r="AI16" s="3372"/>
      <c r="AJ16" s="3372"/>
      <c r="AK16" s="3372"/>
      <c r="AL16" s="3372"/>
      <c r="AM16" s="3372"/>
      <c r="AN16" s="3372"/>
      <c r="AO16" s="3372"/>
      <c r="AP16" s="3372"/>
      <c r="AQ16" s="3017">
        <v>44198</v>
      </c>
      <c r="AR16" s="3017">
        <v>44560</v>
      </c>
      <c r="AS16" s="2522"/>
    </row>
    <row r="17" spans="1:45" s="3" customFormat="1" ht="15.75" x14ac:dyDescent="0.25">
      <c r="A17" s="2438"/>
      <c r="B17" s="3457"/>
      <c r="C17" s="1556"/>
      <c r="D17" s="1557"/>
      <c r="E17" s="1565"/>
      <c r="F17" s="1565"/>
      <c r="G17" s="3343"/>
      <c r="H17" s="2366"/>
      <c r="I17" s="3343"/>
      <c r="J17" s="2366"/>
      <c r="K17" s="3447"/>
      <c r="L17" s="2793"/>
      <c r="M17" s="3447"/>
      <c r="N17" s="2793"/>
      <c r="O17" s="3448"/>
      <c r="P17" s="2165"/>
      <c r="Q17" s="2793"/>
      <c r="R17" s="3445"/>
      <c r="S17" s="3451"/>
      <c r="T17" s="2793"/>
      <c r="U17" s="2993"/>
      <c r="V17" s="2993"/>
      <c r="W17" s="1725">
        <v>7426942.2699999996</v>
      </c>
      <c r="X17" s="1576" t="s">
        <v>2658</v>
      </c>
      <c r="Y17" s="3423"/>
      <c r="Z17" s="2459"/>
      <c r="AA17" s="3372"/>
      <c r="AB17" s="3372"/>
      <c r="AC17" s="3372"/>
      <c r="AD17" s="3372"/>
      <c r="AE17" s="3372"/>
      <c r="AF17" s="3372"/>
      <c r="AG17" s="3372"/>
      <c r="AH17" s="3372"/>
      <c r="AI17" s="3372"/>
      <c r="AJ17" s="3372"/>
      <c r="AK17" s="3372"/>
      <c r="AL17" s="3372"/>
      <c r="AM17" s="3372"/>
      <c r="AN17" s="3372"/>
      <c r="AO17" s="3372"/>
      <c r="AP17" s="3372"/>
      <c r="AQ17" s="3018"/>
      <c r="AR17" s="3018"/>
      <c r="AS17" s="2522"/>
    </row>
    <row r="18" spans="1:45" s="3" customFormat="1" ht="15.75" x14ac:dyDescent="0.25">
      <c r="A18" s="2438"/>
      <c r="B18" s="3457"/>
      <c r="C18" s="1556"/>
      <c r="D18" s="1557"/>
      <c r="E18" s="1565"/>
      <c r="F18" s="1565"/>
      <c r="G18" s="3343"/>
      <c r="H18" s="2366"/>
      <c r="I18" s="3343"/>
      <c r="J18" s="2366"/>
      <c r="K18" s="3447"/>
      <c r="L18" s="2793"/>
      <c r="M18" s="3447"/>
      <c r="N18" s="2793"/>
      <c r="O18" s="3448"/>
      <c r="P18" s="2165"/>
      <c r="Q18" s="2793"/>
      <c r="R18" s="3445"/>
      <c r="S18" s="3451"/>
      <c r="T18" s="2793"/>
      <c r="U18" s="2993"/>
      <c r="V18" s="2993"/>
      <c r="W18" s="1725">
        <v>6751247.3300000001</v>
      </c>
      <c r="X18" s="1576" t="s">
        <v>2659</v>
      </c>
      <c r="Y18" s="3423"/>
      <c r="Z18" s="2459"/>
      <c r="AA18" s="3372"/>
      <c r="AB18" s="3372"/>
      <c r="AC18" s="3372"/>
      <c r="AD18" s="3372"/>
      <c r="AE18" s="3372"/>
      <c r="AF18" s="3372"/>
      <c r="AG18" s="3372"/>
      <c r="AH18" s="3372"/>
      <c r="AI18" s="3372"/>
      <c r="AJ18" s="3372"/>
      <c r="AK18" s="3372"/>
      <c r="AL18" s="3372"/>
      <c r="AM18" s="3372"/>
      <c r="AN18" s="3372"/>
      <c r="AO18" s="3372"/>
      <c r="AP18" s="3372"/>
      <c r="AQ18" s="3018"/>
      <c r="AR18" s="3018"/>
      <c r="AS18" s="2522"/>
    </row>
    <row r="19" spans="1:45" s="3" customFormat="1" ht="15.75" x14ac:dyDescent="0.25">
      <c r="A19" s="2438"/>
      <c r="B19" s="3457"/>
      <c r="C19" s="1556"/>
      <c r="D19" s="1557"/>
      <c r="E19" s="1565"/>
      <c r="F19" s="1565"/>
      <c r="G19" s="3328"/>
      <c r="H19" s="3130"/>
      <c r="I19" s="3328"/>
      <c r="J19" s="3130"/>
      <c r="K19" s="3447"/>
      <c r="L19" s="2793"/>
      <c r="M19" s="3447"/>
      <c r="N19" s="2793"/>
      <c r="O19" s="3448"/>
      <c r="P19" s="2165"/>
      <c r="Q19" s="2793"/>
      <c r="R19" s="3446"/>
      <c r="S19" s="3451"/>
      <c r="T19" s="2793"/>
      <c r="U19" s="2993"/>
      <c r="V19" s="2993"/>
      <c r="W19" s="1725">
        <v>2625801.85</v>
      </c>
      <c r="X19" s="1576" t="s">
        <v>2660</v>
      </c>
      <c r="Y19" s="3424"/>
      <c r="Z19" s="2460"/>
      <c r="AA19" s="3372"/>
      <c r="AB19" s="3372"/>
      <c r="AC19" s="3372"/>
      <c r="AD19" s="3372"/>
      <c r="AE19" s="3372"/>
      <c r="AF19" s="3372"/>
      <c r="AG19" s="3372"/>
      <c r="AH19" s="3372"/>
      <c r="AI19" s="3372"/>
      <c r="AJ19" s="3372"/>
      <c r="AK19" s="3372"/>
      <c r="AL19" s="3372"/>
      <c r="AM19" s="3372"/>
      <c r="AN19" s="3372"/>
      <c r="AO19" s="3372"/>
      <c r="AP19" s="3372"/>
      <c r="AQ19" s="3057"/>
      <c r="AR19" s="3057"/>
      <c r="AS19" s="2522"/>
    </row>
    <row r="20" spans="1:45" s="3" customFormat="1" ht="15.75" customHeight="1" x14ac:dyDescent="0.25">
      <c r="A20" s="2438"/>
      <c r="B20" s="3457"/>
      <c r="C20" s="1556"/>
      <c r="D20" s="1557"/>
      <c r="E20" s="1565"/>
      <c r="F20" s="1565"/>
      <c r="G20" s="3329">
        <v>2201032</v>
      </c>
      <c r="H20" s="2280" t="s">
        <v>2661</v>
      </c>
      <c r="I20" s="3329">
        <v>2201032</v>
      </c>
      <c r="J20" s="2280" t="s">
        <v>2661</v>
      </c>
      <c r="K20" s="2416">
        <v>220103200</v>
      </c>
      <c r="L20" s="2281" t="s">
        <v>2662</v>
      </c>
      <c r="M20" s="2416">
        <v>220103200</v>
      </c>
      <c r="N20" s="2281" t="s">
        <v>2662</v>
      </c>
      <c r="O20" s="3442">
        <v>200</v>
      </c>
      <c r="P20" s="2165"/>
      <c r="Q20" s="2793"/>
      <c r="R20" s="3444">
        <f>SUM(W20:W23)/S12</f>
        <v>0</v>
      </c>
      <c r="S20" s="3451"/>
      <c r="T20" s="2793"/>
      <c r="U20" s="2993" t="s">
        <v>2663</v>
      </c>
      <c r="V20" s="2993" t="s">
        <v>2664</v>
      </c>
      <c r="W20" s="1725">
        <f>664449.2-664449.2</f>
        <v>0</v>
      </c>
      <c r="X20" s="1576" t="s">
        <v>2665</v>
      </c>
      <c r="Y20" s="3422">
        <v>20</v>
      </c>
      <c r="Z20" s="2458" t="s">
        <v>73</v>
      </c>
      <c r="AA20" s="3372"/>
      <c r="AB20" s="3372"/>
      <c r="AC20" s="3372"/>
      <c r="AD20" s="3372"/>
      <c r="AE20" s="3372"/>
      <c r="AF20" s="3372"/>
      <c r="AG20" s="3372"/>
      <c r="AH20" s="3372"/>
      <c r="AI20" s="3372"/>
      <c r="AJ20" s="3372"/>
      <c r="AK20" s="3372"/>
      <c r="AL20" s="3372"/>
      <c r="AM20" s="3372"/>
      <c r="AN20" s="3372"/>
      <c r="AO20" s="3372"/>
      <c r="AP20" s="3372"/>
      <c r="AQ20" s="3017">
        <v>44198</v>
      </c>
      <c r="AR20" s="3017">
        <v>44560</v>
      </c>
      <c r="AS20" s="2522"/>
    </row>
    <row r="21" spans="1:45" s="3" customFormat="1" ht="15.75" x14ac:dyDescent="0.25">
      <c r="A21" s="2438"/>
      <c r="B21" s="3457"/>
      <c r="C21" s="1556"/>
      <c r="D21" s="1557"/>
      <c r="E21" s="1565"/>
      <c r="F21" s="1565"/>
      <c r="G21" s="3343"/>
      <c r="H21" s="2281"/>
      <c r="I21" s="3343"/>
      <c r="J21" s="2281"/>
      <c r="K21" s="2416"/>
      <c r="L21" s="2281"/>
      <c r="M21" s="2416"/>
      <c r="N21" s="2281"/>
      <c r="O21" s="3442"/>
      <c r="P21" s="2165"/>
      <c r="Q21" s="2793"/>
      <c r="R21" s="3445"/>
      <c r="S21" s="3451"/>
      <c r="T21" s="2793"/>
      <c r="U21" s="2993"/>
      <c r="V21" s="2993"/>
      <c r="W21" s="1725">
        <f>4126079.04-4126079.04</f>
        <v>0</v>
      </c>
      <c r="X21" s="1576" t="s">
        <v>2666</v>
      </c>
      <c r="Y21" s="3423"/>
      <c r="Z21" s="2459"/>
      <c r="AA21" s="3372"/>
      <c r="AB21" s="3372"/>
      <c r="AC21" s="3372"/>
      <c r="AD21" s="3372"/>
      <c r="AE21" s="3372"/>
      <c r="AF21" s="3372"/>
      <c r="AG21" s="3372"/>
      <c r="AH21" s="3372"/>
      <c r="AI21" s="3372"/>
      <c r="AJ21" s="3372"/>
      <c r="AK21" s="3372"/>
      <c r="AL21" s="3372"/>
      <c r="AM21" s="3372"/>
      <c r="AN21" s="3372"/>
      <c r="AO21" s="3372"/>
      <c r="AP21" s="3372"/>
      <c r="AQ21" s="3018"/>
      <c r="AR21" s="3018"/>
      <c r="AS21" s="2522"/>
    </row>
    <row r="22" spans="1:45" s="3" customFormat="1" ht="15.75" x14ac:dyDescent="0.25">
      <c r="A22" s="2438"/>
      <c r="B22" s="3457"/>
      <c r="C22" s="1556"/>
      <c r="D22" s="1557"/>
      <c r="E22" s="1565"/>
      <c r="F22" s="1565"/>
      <c r="G22" s="3343"/>
      <c r="H22" s="2281"/>
      <c r="I22" s="3343"/>
      <c r="J22" s="2281"/>
      <c r="K22" s="2416"/>
      <c r="L22" s="2281"/>
      <c r="M22" s="2416"/>
      <c r="N22" s="2281"/>
      <c r="O22" s="3442"/>
      <c r="P22" s="2165"/>
      <c r="Q22" s="2793"/>
      <c r="R22" s="3445"/>
      <c r="S22" s="3451"/>
      <c r="T22" s="2793"/>
      <c r="U22" s="2993"/>
      <c r="V22" s="2993"/>
      <c r="W22" s="1725">
        <f>3750692.96-3750692.96</f>
        <v>0</v>
      </c>
      <c r="X22" s="1576" t="s">
        <v>2667</v>
      </c>
      <c r="Y22" s="3423"/>
      <c r="Z22" s="2459"/>
      <c r="AA22" s="3372"/>
      <c r="AB22" s="3372"/>
      <c r="AC22" s="3372"/>
      <c r="AD22" s="3372"/>
      <c r="AE22" s="3372"/>
      <c r="AF22" s="3372"/>
      <c r="AG22" s="3372"/>
      <c r="AH22" s="3372"/>
      <c r="AI22" s="3372"/>
      <c r="AJ22" s="3372"/>
      <c r="AK22" s="3372"/>
      <c r="AL22" s="3372"/>
      <c r="AM22" s="3372"/>
      <c r="AN22" s="3372"/>
      <c r="AO22" s="3372"/>
      <c r="AP22" s="3372"/>
      <c r="AQ22" s="3018"/>
      <c r="AR22" s="3018"/>
      <c r="AS22" s="2522"/>
    </row>
    <row r="23" spans="1:45" s="3" customFormat="1" ht="15.75" x14ac:dyDescent="0.25">
      <c r="A23" s="2438"/>
      <c r="B23" s="3457"/>
      <c r="C23" s="1556"/>
      <c r="D23" s="1557"/>
      <c r="E23" s="1565"/>
      <c r="F23" s="1565"/>
      <c r="G23" s="3328"/>
      <c r="H23" s="2282"/>
      <c r="I23" s="3328"/>
      <c r="J23" s="2282"/>
      <c r="K23" s="2417"/>
      <c r="L23" s="2282"/>
      <c r="M23" s="2417"/>
      <c r="N23" s="2282"/>
      <c r="O23" s="3443"/>
      <c r="P23" s="2165"/>
      <c r="Q23" s="2793"/>
      <c r="R23" s="3446"/>
      <c r="S23" s="3451"/>
      <c r="T23" s="2793"/>
      <c r="U23" s="2993"/>
      <c r="V23" s="2993"/>
      <c r="W23" s="1725">
        <f>1458778.81-1458778.81</f>
        <v>0</v>
      </c>
      <c r="X23" s="1576" t="s">
        <v>2668</v>
      </c>
      <c r="Y23" s="3424"/>
      <c r="Z23" s="2460"/>
      <c r="AA23" s="3372"/>
      <c r="AB23" s="3372"/>
      <c r="AC23" s="3372"/>
      <c r="AD23" s="3372"/>
      <c r="AE23" s="3372"/>
      <c r="AF23" s="3372"/>
      <c r="AG23" s="3372"/>
      <c r="AH23" s="3372"/>
      <c r="AI23" s="3372"/>
      <c r="AJ23" s="3372"/>
      <c r="AK23" s="3372"/>
      <c r="AL23" s="3372"/>
      <c r="AM23" s="3372"/>
      <c r="AN23" s="3372"/>
      <c r="AO23" s="3372"/>
      <c r="AP23" s="3372"/>
      <c r="AQ23" s="3057"/>
      <c r="AR23" s="3057"/>
      <c r="AS23" s="2522"/>
    </row>
    <row r="24" spans="1:45" s="3" customFormat="1" ht="15.75" x14ac:dyDescent="0.25">
      <c r="A24" s="2438"/>
      <c r="B24" s="3457"/>
      <c r="C24" s="1556"/>
      <c r="D24" s="1557"/>
      <c r="E24" s="1565"/>
      <c r="F24" s="1565"/>
      <c r="G24" s="3329">
        <v>2201055</v>
      </c>
      <c r="H24" s="2732" t="s">
        <v>2669</v>
      </c>
      <c r="I24" s="3329">
        <v>2201055</v>
      </c>
      <c r="J24" s="2732" t="s">
        <v>2669</v>
      </c>
      <c r="K24" s="3329">
        <v>220105500</v>
      </c>
      <c r="L24" s="2732" t="s">
        <v>2670</v>
      </c>
      <c r="M24" s="3329">
        <v>220105500</v>
      </c>
      <c r="N24" s="2732" t="s">
        <v>2670</v>
      </c>
      <c r="O24" s="3441">
        <v>1</v>
      </c>
      <c r="P24" s="2165"/>
      <c r="Q24" s="2793"/>
      <c r="R24" s="3444">
        <f>SUM(W24:W26)/S12</f>
        <v>2.8978087236194235E-3</v>
      </c>
      <c r="S24" s="3451"/>
      <c r="T24" s="2793"/>
      <c r="U24" s="2993"/>
      <c r="V24" s="2993" t="s">
        <v>2671</v>
      </c>
      <c r="W24" s="1725">
        <f>30938242-9600035</f>
        <v>21338207</v>
      </c>
      <c r="X24" s="1576" t="s">
        <v>2672</v>
      </c>
      <c r="Y24" s="3422">
        <v>25</v>
      </c>
      <c r="Z24" s="2458" t="s">
        <v>2648</v>
      </c>
      <c r="AA24" s="3372"/>
      <c r="AB24" s="3372"/>
      <c r="AC24" s="3372"/>
      <c r="AD24" s="3372"/>
      <c r="AE24" s="3372"/>
      <c r="AF24" s="3372"/>
      <c r="AG24" s="3372"/>
      <c r="AH24" s="3372"/>
      <c r="AI24" s="3372"/>
      <c r="AJ24" s="3372"/>
      <c r="AK24" s="3372"/>
      <c r="AL24" s="3372"/>
      <c r="AM24" s="3372"/>
      <c r="AN24" s="3372"/>
      <c r="AO24" s="3372"/>
      <c r="AP24" s="3372"/>
      <c r="AQ24" s="3017">
        <v>44198</v>
      </c>
      <c r="AR24" s="3017">
        <v>44560</v>
      </c>
      <c r="AS24" s="2522"/>
    </row>
    <row r="25" spans="1:45" s="3" customFormat="1" ht="15.75" x14ac:dyDescent="0.25">
      <c r="A25" s="2438"/>
      <c r="B25" s="3457"/>
      <c r="C25" s="1556"/>
      <c r="D25" s="1557"/>
      <c r="E25" s="1565"/>
      <c r="F25" s="1565"/>
      <c r="G25" s="3343"/>
      <c r="H25" s="2745"/>
      <c r="I25" s="3343"/>
      <c r="J25" s="2745"/>
      <c r="K25" s="3343"/>
      <c r="L25" s="2745"/>
      <c r="M25" s="3343"/>
      <c r="N25" s="2745"/>
      <c r="O25" s="3442"/>
      <c r="P25" s="2165"/>
      <c r="Q25" s="2793"/>
      <c r="R25" s="3445"/>
      <c r="S25" s="3451"/>
      <c r="T25" s="2793"/>
      <c r="U25" s="2993"/>
      <c r="V25" s="2993"/>
      <c r="W25" s="1725">
        <f>28123516-8726635</f>
        <v>19396881</v>
      </c>
      <c r="X25" s="1576" t="s">
        <v>2673</v>
      </c>
      <c r="Y25" s="3423"/>
      <c r="Z25" s="2459"/>
      <c r="AA25" s="3372"/>
      <c r="AB25" s="3372"/>
      <c r="AC25" s="3372"/>
      <c r="AD25" s="3372"/>
      <c r="AE25" s="3372"/>
      <c r="AF25" s="3372"/>
      <c r="AG25" s="3372"/>
      <c r="AH25" s="3372"/>
      <c r="AI25" s="3372"/>
      <c r="AJ25" s="3372"/>
      <c r="AK25" s="3372"/>
      <c r="AL25" s="3372"/>
      <c r="AM25" s="3372"/>
      <c r="AN25" s="3372"/>
      <c r="AO25" s="3372"/>
      <c r="AP25" s="3372"/>
      <c r="AQ25" s="3018"/>
      <c r="AR25" s="3018"/>
      <c r="AS25" s="2522"/>
    </row>
    <row r="26" spans="1:45" s="3" customFormat="1" ht="78" customHeight="1" x14ac:dyDescent="0.25">
      <c r="A26" s="2438"/>
      <c r="B26" s="3457"/>
      <c r="C26" s="1556"/>
      <c r="D26" s="1557"/>
      <c r="E26" s="1565"/>
      <c r="F26" s="1565"/>
      <c r="G26" s="3328"/>
      <c r="H26" s="2744"/>
      <c r="I26" s="3328"/>
      <c r="J26" s="2744"/>
      <c r="K26" s="3328"/>
      <c r="L26" s="2744"/>
      <c r="M26" s="3328"/>
      <c r="N26" s="2744"/>
      <c r="O26" s="3443"/>
      <c r="P26" s="2165"/>
      <c r="Q26" s="2793"/>
      <c r="R26" s="3446"/>
      <c r="S26" s="3451"/>
      <c r="T26" s="2793"/>
      <c r="U26" s="2993"/>
      <c r="V26" s="2993"/>
      <c r="W26" s="1725">
        <f>10938242-3394101</f>
        <v>7544141</v>
      </c>
      <c r="X26" s="1576" t="s">
        <v>2674</v>
      </c>
      <c r="Y26" s="3424"/>
      <c r="Z26" s="2460"/>
      <c r="AA26" s="3372"/>
      <c r="AB26" s="3372"/>
      <c r="AC26" s="3372"/>
      <c r="AD26" s="3372"/>
      <c r="AE26" s="3372"/>
      <c r="AF26" s="3372"/>
      <c r="AG26" s="3372"/>
      <c r="AH26" s="3372"/>
      <c r="AI26" s="3372"/>
      <c r="AJ26" s="3372"/>
      <c r="AK26" s="3372"/>
      <c r="AL26" s="3372"/>
      <c r="AM26" s="3372"/>
      <c r="AN26" s="3372"/>
      <c r="AO26" s="3372"/>
      <c r="AP26" s="3372"/>
      <c r="AQ26" s="3018"/>
      <c r="AR26" s="3018"/>
      <c r="AS26" s="2522"/>
    </row>
    <row r="27" spans="1:45" s="3" customFormat="1" ht="15.75" x14ac:dyDescent="0.25">
      <c r="A27" s="2438"/>
      <c r="B27" s="3457"/>
      <c r="C27" s="1556"/>
      <c r="D27" s="1557"/>
      <c r="E27" s="1565"/>
      <c r="F27" s="1565"/>
      <c r="G27" s="3329">
        <v>2201067</v>
      </c>
      <c r="H27" s="2280" t="s">
        <v>2675</v>
      </c>
      <c r="I27" s="3329">
        <v>2201067</v>
      </c>
      <c r="J27" s="2280" t="s">
        <v>2675</v>
      </c>
      <c r="K27" s="2415">
        <v>220106700</v>
      </c>
      <c r="L27" s="2280" t="s">
        <v>2676</v>
      </c>
      <c r="M27" s="2415">
        <v>220106700</v>
      </c>
      <c r="N27" s="2280" t="s">
        <v>2676</v>
      </c>
      <c r="O27" s="3441">
        <v>54</v>
      </c>
      <c r="P27" s="2165"/>
      <c r="Q27" s="2793"/>
      <c r="R27" s="3444">
        <f>SUM(W27:W30)/S12</f>
        <v>6.0021851768122321E-4</v>
      </c>
      <c r="S27" s="3451"/>
      <c r="T27" s="2793"/>
      <c r="U27" s="2993"/>
      <c r="V27" s="2993" t="s">
        <v>2677</v>
      </c>
      <c r="W27" s="1725">
        <f>664449.2</f>
        <v>664449.19999999995</v>
      </c>
      <c r="X27" s="1576" t="s">
        <v>2678</v>
      </c>
      <c r="Y27" s="3422">
        <v>20</v>
      </c>
      <c r="Z27" s="2458" t="s">
        <v>73</v>
      </c>
      <c r="AA27" s="3372"/>
      <c r="AB27" s="3372"/>
      <c r="AC27" s="3372"/>
      <c r="AD27" s="3372"/>
      <c r="AE27" s="3372"/>
      <c r="AF27" s="3372"/>
      <c r="AG27" s="3372"/>
      <c r="AH27" s="3372"/>
      <c r="AI27" s="3372"/>
      <c r="AJ27" s="3372"/>
      <c r="AK27" s="3372"/>
      <c r="AL27" s="3372"/>
      <c r="AM27" s="3372"/>
      <c r="AN27" s="3372"/>
      <c r="AO27" s="3372"/>
      <c r="AP27" s="3372"/>
      <c r="AQ27" s="3017">
        <v>44198</v>
      </c>
      <c r="AR27" s="3017">
        <v>44560</v>
      </c>
      <c r="AS27" s="2522"/>
    </row>
    <row r="28" spans="1:45" s="3" customFormat="1" ht="15.75" x14ac:dyDescent="0.25">
      <c r="A28" s="2438"/>
      <c r="B28" s="3457"/>
      <c r="C28" s="1556"/>
      <c r="D28" s="1557"/>
      <c r="E28" s="1565"/>
      <c r="F28" s="1565"/>
      <c r="G28" s="3343"/>
      <c r="H28" s="2281"/>
      <c r="I28" s="3343"/>
      <c r="J28" s="2281"/>
      <c r="K28" s="2416"/>
      <c r="L28" s="2281"/>
      <c r="M28" s="2416"/>
      <c r="N28" s="2281"/>
      <c r="O28" s="3442"/>
      <c r="P28" s="2165"/>
      <c r="Q28" s="2793"/>
      <c r="R28" s="3445"/>
      <c r="S28" s="3451"/>
      <c r="T28" s="2793"/>
      <c r="U28" s="2993"/>
      <c r="V28" s="2993"/>
      <c r="W28" s="1725">
        <f>4126079.04</f>
        <v>4126079.04</v>
      </c>
      <c r="X28" s="1576" t="s">
        <v>2679</v>
      </c>
      <c r="Y28" s="3423"/>
      <c r="Z28" s="2459"/>
      <c r="AA28" s="3372"/>
      <c r="AB28" s="3372"/>
      <c r="AC28" s="3372"/>
      <c r="AD28" s="3372"/>
      <c r="AE28" s="3372"/>
      <c r="AF28" s="3372"/>
      <c r="AG28" s="3372"/>
      <c r="AH28" s="3372"/>
      <c r="AI28" s="3372"/>
      <c r="AJ28" s="3372"/>
      <c r="AK28" s="3372"/>
      <c r="AL28" s="3372"/>
      <c r="AM28" s="3372"/>
      <c r="AN28" s="3372"/>
      <c r="AO28" s="3372"/>
      <c r="AP28" s="3372"/>
      <c r="AQ28" s="3018"/>
      <c r="AR28" s="3018"/>
      <c r="AS28" s="2522"/>
    </row>
    <row r="29" spans="1:45" s="3" customFormat="1" ht="15.75" x14ac:dyDescent="0.25">
      <c r="A29" s="2438"/>
      <c r="B29" s="3457"/>
      <c r="C29" s="1556"/>
      <c r="D29" s="1557"/>
      <c r="E29" s="1565"/>
      <c r="F29" s="1565"/>
      <c r="G29" s="3343"/>
      <c r="H29" s="2281"/>
      <c r="I29" s="3343"/>
      <c r="J29" s="2281"/>
      <c r="K29" s="2416"/>
      <c r="L29" s="2281"/>
      <c r="M29" s="2416"/>
      <c r="N29" s="2281"/>
      <c r="O29" s="3442"/>
      <c r="P29" s="2165"/>
      <c r="Q29" s="2793"/>
      <c r="R29" s="3445"/>
      <c r="S29" s="3451"/>
      <c r="T29" s="2793"/>
      <c r="U29" s="2993"/>
      <c r="V29" s="2993"/>
      <c r="W29" s="1725">
        <f>3750692.96</f>
        <v>3750692.96</v>
      </c>
      <c r="X29" s="1576" t="s">
        <v>2680</v>
      </c>
      <c r="Y29" s="3423"/>
      <c r="Z29" s="2459"/>
      <c r="AA29" s="3372"/>
      <c r="AB29" s="3372"/>
      <c r="AC29" s="3372"/>
      <c r="AD29" s="3372"/>
      <c r="AE29" s="3372"/>
      <c r="AF29" s="3372"/>
      <c r="AG29" s="3372"/>
      <c r="AH29" s="3372"/>
      <c r="AI29" s="3372"/>
      <c r="AJ29" s="3372"/>
      <c r="AK29" s="3372"/>
      <c r="AL29" s="3372"/>
      <c r="AM29" s="3372"/>
      <c r="AN29" s="3372"/>
      <c r="AO29" s="3372"/>
      <c r="AP29" s="3372"/>
      <c r="AQ29" s="3018"/>
      <c r="AR29" s="3018"/>
      <c r="AS29" s="2522"/>
    </row>
    <row r="30" spans="1:45" s="3" customFormat="1" ht="15.75" x14ac:dyDescent="0.25">
      <c r="A30" s="2438"/>
      <c r="B30" s="3457"/>
      <c r="C30" s="1556"/>
      <c r="D30" s="1557"/>
      <c r="E30" s="1565"/>
      <c r="F30" s="1565"/>
      <c r="G30" s="3328"/>
      <c r="H30" s="2282"/>
      <c r="I30" s="3328"/>
      <c r="J30" s="2282"/>
      <c r="K30" s="2417"/>
      <c r="L30" s="2282"/>
      <c r="M30" s="2417"/>
      <c r="N30" s="2282"/>
      <c r="O30" s="3443"/>
      <c r="P30" s="2165"/>
      <c r="Q30" s="2793"/>
      <c r="R30" s="3446"/>
      <c r="S30" s="3451"/>
      <c r="T30" s="2793"/>
      <c r="U30" s="2993"/>
      <c r="V30" s="2993"/>
      <c r="W30" s="1725">
        <f>1458778.81</f>
        <v>1458778.81</v>
      </c>
      <c r="X30" s="1576" t="s">
        <v>2681</v>
      </c>
      <c r="Y30" s="3424"/>
      <c r="Z30" s="2460"/>
      <c r="AA30" s="3372"/>
      <c r="AB30" s="3372"/>
      <c r="AC30" s="3372"/>
      <c r="AD30" s="3372"/>
      <c r="AE30" s="3372"/>
      <c r="AF30" s="3372"/>
      <c r="AG30" s="3372"/>
      <c r="AH30" s="3372"/>
      <c r="AI30" s="3372"/>
      <c r="AJ30" s="3372"/>
      <c r="AK30" s="3372"/>
      <c r="AL30" s="3372"/>
      <c r="AM30" s="3372"/>
      <c r="AN30" s="3372"/>
      <c r="AO30" s="3372"/>
      <c r="AP30" s="3372"/>
      <c r="AQ30" s="3057"/>
      <c r="AR30" s="3057"/>
      <c r="AS30" s="2522"/>
    </row>
    <row r="31" spans="1:45" s="3" customFormat="1" ht="64.5" customHeight="1" x14ac:dyDescent="0.25">
      <c r="A31" s="2438"/>
      <c r="B31" s="3457"/>
      <c r="C31" s="1556"/>
      <c r="D31" s="1557"/>
      <c r="E31" s="1565"/>
      <c r="F31" s="1565"/>
      <c r="G31" s="3329">
        <v>2201028</v>
      </c>
      <c r="H31" s="2280" t="s">
        <v>2682</v>
      </c>
      <c r="I31" s="3329">
        <v>2201028</v>
      </c>
      <c r="J31" s="2280" t="s">
        <v>2682</v>
      </c>
      <c r="K31" s="3417">
        <v>220102801</v>
      </c>
      <c r="L31" s="2280" t="s">
        <v>2683</v>
      </c>
      <c r="M31" s="3417">
        <v>220102801</v>
      </c>
      <c r="N31" s="2280" t="s">
        <v>2683</v>
      </c>
      <c r="O31" s="3441">
        <v>36000</v>
      </c>
      <c r="P31" s="2165"/>
      <c r="Q31" s="2793"/>
      <c r="R31" s="3444">
        <f>SUM(W31:W36)/S12</f>
        <v>0.89595554382867226</v>
      </c>
      <c r="S31" s="3451"/>
      <c r="T31" s="2793"/>
      <c r="U31" s="2993" t="s">
        <v>2684</v>
      </c>
      <c r="V31" s="2993" t="s">
        <v>2685</v>
      </c>
      <c r="W31" s="1725">
        <f>12990000000-2811152214+269734136-140000000+267805797</f>
        <v>10576387719</v>
      </c>
      <c r="X31" s="1576" t="s">
        <v>2686</v>
      </c>
      <c r="Y31" s="1149">
        <v>81</v>
      </c>
      <c r="Z31" s="1552" t="s">
        <v>2687</v>
      </c>
      <c r="AA31" s="3372"/>
      <c r="AB31" s="3372"/>
      <c r="AC31" s="3372"/>
      <c r="AD31" s="3372"/>
      <c r="AE31" s="3372"/>
      <c r="AF31" s="3372"/>
      <c r="AG31" s="3372"/>
      <c r="AH31" s="3372"/>
      <c r="AI31" s="3372"/>
      <c r="AJ31" s="3372"/>
      <c r="AK31" s="3372"/>
      <c r="AL31" s="3372"/>
      <c r="AM31" s="3372"/>
      <c r="AN31" s="3372"/>
      <c r="AO31" s="3372"/>
      <c r="AP31" s="3372"/>
      <c r="AQ31" s="1569">
        <v>44198</v>
      </c>
      <c r="AR31" s="1569">
        <v>44560</v>
      </c>
      <c r="AS31" s="2522"/>
    </row>
    <row r="32" spans="1:45" s="3" customFormat="1" ht="64.5" customHeight="1" x14ac:dyDescent="0.25">
      <c r="A32" s="2438"/>
      <c r="B32" s="3457"/>
      <c r="C32" s="1556"/>
      <c r="D32" s="1557"/>
      <c r="E32" s="1565"/>
      <c r="F32" s="1565"/>
      <c r="G32" s="3343"/>
      <c r="H32" s="2281"/>
      <c r="I32" s="3343"/>
      <c r="J32" s="2281"/>
      <c r="K32" s="3418"/>
      <c r="L32" s="2281"/>
      <c r="M32" s="3418"/>
      <c r="N32" s="2281"/>
      <c r="O32" s="3442"/>
      <c r="P32" s="2165"/>
      <c r="Q32" s="2793"/>
      <c r="R32" s="3445"/>
      <c r="S32" s="3451"/>
      <c r="T32" s="2793"/>
      <c r="U32" s="2993"/>
      <c r="V32" s="2993"/>
      <c r="W32" s="1726">
        <f>250000000+327000000</f>
        <v>577000000</v>
      </c>
      <c r="X32" s="1581" t="s">
        <v>2688</v>
      </c>
      <c r="Y32" s="975">
        <v>20</v>
      </c>
      <c r="Z32" s="1558" t="s">
        <v>73</v>
      </c>
      <c r="AA32" s="3372"/>
      <c r="AB32" s="3372"/>
      <c r="AC32" s="3372"/>
      <c r="AD32" s="3372"/>
      <c r="AE32" s="3372"/>
      <c r="AF32" s="3372"/>
      <c r="AG32" s="3372"/>
      <c r="AH32" s="3372"/>
      <c r="AI32" s="3372"/>
      <c r="AJ32" s="3372"/>
      <c r="AK32" s="3372"/>
      <c r="AL32" s="3372"/>
      <c r="AM32" s="3372"/>
      <c r="AN32" s="3372"/>
      <c r="AO32" s="3372"/>
      <c r="AP32" s="3372"/>
      <c r="AQ32" s="1569"/>
      <c r="AR32" s="1569"/>
      <c r="AS32" s="2522"/>
    </row>
    <row r="33" spans="1:45" s="3" customFormat="1" ht="64.5" customHeight="1" x14ac:dyDescent="0.25">
      <c r="A33" s="2438"/>
      <c r="B33" s="3457"/>
      <c r="C33" s="1556"/>
      <c r="D33" s="1557"/>
      <c r="E33" s="1565"/>
      <c r="F33" s="1565"/>
      <c r="G33" s="3343"/>
      <c r="H33" s="2281"/>
      <c r="I33" s="3343"/>
      <c r="J33" s="2281"/>
      <c r="K33" s="3418"/>
      <c r="L33" s="2281"/>
      <c r="M33" s="3418"/>
      <c r="N33" s="2281"/>
      <c r="O33" s="3442"/>
      <c r="P33" s="2165"/>
      <c r="Q33" s="2793"/>
      <c r="R33" s="3445"/>
      <c r="S33" s="3451"/>
      <c r="T33" s="2793"/>
      <c r="U33" s="2993"/>
      <c r="V33" s="2993"/>
      <c r="W33" s="1727">
        <v>62.1</v>
      </c>
      <c r="X33" s="1728" t="s">
        <v>2689</v>
      </c>
      <c r="Y33" s="1575">
        <v>186</v>
      </c>
      <c r="Z33" s="1578" t="s">
        <v>2690</v>
      </c>
      <c r="AA33" s="3375"/>
      <c r="AB33" s="3372"/>
      <c r="AC33" s="3372"/>
      <c r="AD33" s="3372"/>
      <c r="AE33" s="3372"/>
      <c r="AF33" s="3372"/>
      <c r="AG33" s="3372"/>
      <c r="AH33" s="3372"/>
      <c r="AI33" s="3372"/>
      <c r="AJ33" s="3372"/>
      <c r="AK33" s="3372"/>
      <c r="AL33" s="3372"/>
      <c r="AM33" s="3372"/>
      <c r="AN33" s="3372"/>
      <c r="AO33" s="3372"/>
      <c r="AP33" s="3372"/>
      <c r="AQ33" s="1569"/>
      <c r="AR33" s="1569"/>
      <c r="AS33" s="2522"/>
    </row>
    <row r="34" spans="1:45" s="3" customFormat="1" ht="64.5" customHeight="1" x14ac:dyDescent="0.25">
      <c r="A34" s="2438"/>
      <c r="B34" s="3457"/>
      <c r="C34" s="1556"/>
      <c r="D34" s="1557"/>
      <c r="E34" s="1565"/>
      <c r="F34" s="1565"/>
      <c r="G34" s="3343"/>
      <c r="H34" s="2281"/>
      <c r="I34" s="3343"/>
      <c r="J34" s="2281"/>
      <c r="K34" s="3418"/>
      <c r="L34" s="2281"/>
      <c r="M34" s="3418"/>
      <c r="N34" s="2281"/>
      <c r="O34" s="3442"/>
      <c r="P34" s="2165"/>
      <c r="Q34" s="2793"/>
      <c r="R34" s="3445"/>
      <c r="S34" s="3451"/>
      <c r="T34" s="2793"/>
      <c r="U34" s="2993"/>
      <c r="V34" s="2993"/>
      <c r="W34" s="1729">
        <v>1411366447.05</v>
      </c>
      <c r="X34" s="1576" t="s">
        <v>2691</v>
      </c>
      <c r="Y34" s="1730">
        <v>137</v>
      </c>
      <c r="Z34" s="1577" t="s">
        <v>2692</v>
      </c>
      <c r="AA34" s="3375"/>
      <c r="AB34" s="3372"/>
      <c r="AC34" s="3372"/>
      <c r="AD34" s="3372"/>
      <c r="AE34" s="3372"/>
      <c r="AF34" s="3372"/>
      <c r="AG34" s="3372"/>
      <c r="AH34" s="3372"/>
      <c r="AI34" s="3372"/>
      <c r="AJ34" s="3372"/>
      <c r="AK34" s="3372"/>
      <c r="AL34" s="3372"/>
      <c r="AM34" s="3372"/>
      <c r="AN34" s="3372"/>
      <c r="AO34" s="3372"/>
      <c r="AP34" s="3372"/>
      <c r="AQ34" s="1569"/>
      <c r="AR34" s="1569"/>
      <c r="AS34" s="2522"/>
    </row>
    <row r="35" spans="1:45" s="3" customFormat="1" ht="64.5" customHeight="1" x14ac:dyDescent="0.25">
      <c r="A35" s="2438"/>
      <c r="B35" s="3457"/>
      <c r="C35" s="1556"/>
      <c r="D35" s="1557"/>
      <c r="E35" s="1565"/>
      <c r="F35" s="1565"/>
      <c r="G35" s="3343"/>
      <c r="H35" s="2281"/>
      <c r="I35" s="3343"/>
      <c r="J35" s="2281"/>
      <c r="K35" s="3418"/>
      <c r="L35" s="2281"/>
      <c r="M35" s="3418"/>
      <c r="N35" s="2281"/>
      <c r="O35" s="3442"/>
      <c r="P35" s="2165"/>
      <c r="Q35" s="2793"/>
      <c r="R35" s="3445"/>
      <c r="S35" s="3451"/>
      <c r="T35" s="2793"/>
      <c r="U35" s="2993"/>
      <c r="V35" s="2993"/>
      <c r="W35" s="1729">
        <v>1800000000</v>
      </c>
      <c r="X35" s="1576" t="s">
        <v>2693</v>
      </c>
      <c r="Y35" s="1730">
        <v>88</v>
      </c>
      <c r="Z35" s="1578" t="s">
        <v>77</v>
      </c>
      <c r="AA35" s="3375"/>
      <c r="AB35" s="3372"/>
      <c r="AC35" s="3372"/>
      <c r="AD35" s="3372"/>
      <c r="AE35" s="3372"/>
      <c r="AF35" s="3372"/>
      <c r="AG35" s="3372"/>
      <c r="AH35" s="3372"/>
      <c r="AI35" s="3372"/>
      <c r="AJ35" s="3372"/>
      <c r="AK35" s="3372"/>
      <c r="AL35" s="3372"/>
      <c r="AM35" s="3372"/>
      <c r="AN35" s="3372"/>
      <c r="AO35" s="3372"/>
      <c r="AP35" s="3372"/>
      <c r="AQ35" s="1569"/>
      <c r="AR35" s="1569"/>
      <c r="AS35" s="2522"/>
    </row>
    <row r="36" spans="1:45" s="3" customFormat="1" ht="51" customHeight="1" x14ac:dyDescent="0.25">
      <c r="A36" s="2438"/>
      <c r="B36" s="3457"/>
      <c r="C36" s="1556"/>
      <c r="D36" s="1557"/>
      <c r="E36" s="1565"/>
      <c r="F36" s="1565"/>
      <c r="G36" s="3328"/>
      <c r="H36" s="2282"/>
      <c r="I36" s="3328"/>
      <c r="J36" s="2282"/>
      <c r="K36" s="3419"/>
      <c r="L36" s="2282"/>
      <c r="M36" s="3419"/>
      <c r="N36" s="2282"/>
      <c r="O36" s="3443"/>
      <c r="P36" s="2165"/>
      <c r="Q36" s="2793"/>
      <c r="R36" s="3446"/>
      <c r="S36" s="3451"/>
      <c r="T36" s="2793"/>
      <c r="U36" s="2993"/>
      <c r="V36" s="2993"/>
      <c r="W36" s="1729">
        <v>562401771.39999998</v>
      </c>
      <c r="X36" s="1576" t="s">
        <v>2694</v>
      </c>
      <c r="Y36" s="1730">
        <v>172</v>
      </c>
      <c r="Z36" s="1578" t="s">
        <v>2695</v>
      </c>
      <c r="AA36" s="3375"/>
      <c r="AB36" s="3372"/>
      <c r="AC36" s="3372"/>
      <c r="AD36" s="3372"/>
      <c r="AE36" s="3372"/>
      <c r="AF36" s="3372"/>
      <c r="AG36" s="3372"/>
      <c r="AH36" s="3372"/>
      <c r="AI36" s="3372"/>
      <c r="AJ36" s="3372"/>
      <c r="AK36" s="3372"/>
      <c r="AL36" s="3372"/>
      <c r="AM36" s="3372"/>
      <c r="AN36" s="3372"/>
      <c r="AO36" s="3372"/>
      <c r="AP36" s="3372"/>
      <c r="AQ36" s="1569">
        <v>44198</v>
      </c>
      <c r="AR36" s="1569">
        <v>44560</v>
      </c>
      <c r="AS36" s="2522"/>
    </row>
    <row r="37" spans="1:45" s="3" customFormat="1" ht="51" customHeight="1" x14ac:dyDescent="0.25">
      <c r="A37" s="2438"/>
      <c r="B37" s="3457"/>
      <c r="C37" s="1556"/>
      <c r="D37" s="1557"/>
      <c r="E37" s="1565"/>
      <c r="F37" s="1565"/>
      <c r="G37" s="3329" t="s">
        <v>2696</v>
      </c>
      <c r="H37" s="2280" t="s">
        <v>2697</v>
      </c>
      <c r="I37" s="3329" t="s">
        <v>2696</v>
      </c>
      <c r="J37" s="2280" t="s">
        <v>2697</v>
      </c>
      <c r="K37" s="3417">
        <v>220102900</v>
      </c>
      <c r="L37" s="2280" t="s">
        <v>2698</v>
      </c>
      <c r="M37" s="3417">
        <v>220102900</v>
      </c>
      <c r="N37" s="2280" t="s">
        <v>2698</v>
      </c>
      <c r="O37" s="3441">
        <v>1000</v>
      </c>
      <c r="P37" s="2165"/>
      <c r="Q37" s="2793"/>
      <c r="R37" s="3444">
        <f>SUM(W37:W38)/S12</f>
        <v>1.0740310145847936E-2</v>
      </c>
      <c r="S37" s="3451"/>
      <c r="T37" s="2793"/>
      <c r="U37" s="2993"/>
      <c r="V37" s="2993" t="s">
        <v>2699</v>
      </c>
      <c r="W37" s="1729">
        <v>120000000</v>
      </c>
      <c r="X37" s="1579" t="s">
        <v>2700</v>
      </c>
      <c r="Y37" s="1583">
        <v>88</v>
      </c>
      <c r="Z37" s="1559" t="s">
        <v>77</v>
      </c>
      <c r="AA37" s="3375"/>
      <c r="AB37" s="3372"/>
      <c r="AC37" s="3372"/>
      <c r="AD37" s="3372"/>
      <c r="AE37" s="3372"/>
      <c r="AF37" s="3372"/>
      <c r="AG37" s="3372"/>
      <c r="AH37" s="3372"/>
      <c r="AI37" s="3372"/>
      <c r="AJ37" s="3372"/>
      <c r="AK37" s="3372"/>
      <c r="AL37" s="3372"/>
      <c r="AM37" s="3372"/>
      <c r="AN37" s="3372"/>
      <c r="AO37" s="3372"/>
      <c r="AP37" s="3372"/>
      <c r="AQ37" s="1569"/>
      <c r="AR37" s="1569"/>
      <c r="AS37" s="2522"/>
    </row>
    <row r="38" spans="1:45" s="3" customFormat="1" ht="138" customHeight="1" x14ac:dyDescent="0.25">
      <c r="A38" s="2438"/>
      <c r="B38" s="3457"/>
      <c r="C38" s="1556"/>
      <c r="D38" s="1557"/>
      <c r="E38" s="1565"/>
      <c r="F38" s="1565"/>
      <c r="G38" s="3328"/>
      <c r="H38" s="2282"/>
      <c r="I38" s="3328"/>
      <c r="J38" s="2282"/>
      <c r="K38" s="3419"/>
      <c r="L38" s="2282"/>
      <c r="M38" s="3419"/>
      <c r="N38" s="2282"/>
      <c r="O38" s="3443"/>
      <c r="P38" s="2165"/>
      <c r="Q38" s="2793"/>
      <c r="R38" s="3446"/>
      <c r="S38" s="3451"/>
      <c r="T38" s="2793"/>
      <c r="U38" s="2993"/>
      <c r="V38" s="2993"/>
      <c r="W38" s="1727">
        <f>380000000-100000000-280000000+58940000.02</f>
        <v>58940000.020000003</v>
      </c>
      <c r="X38" s="1579" t="s">
        <v>2701</v>
      </c>
      <c r="Y38" s="1583">
        <v>20</v>
      </c>
      <c r="Z38" s="1559" t="s">
        <v>73</v>
      </c>
      <c r="AA38" s="3372"/>
      <c r="AB38" s="3372"/>
      <c r="AC38" s="3372"/>
      <c r="AD38" s="3372"/>
      <c r="AE38" s="3372"/>
      <c r="AF38" s="3372"/>
      <c r="AG38" s="3372"/>
      <c r="AH38" s="3372"/>
      <c r="AI38" s="3372"/>
      <c r="AJ38" s="3372"/>
      <c r="AK38" s="3372"/>
      <c r="AL38" s="3372"/>
      <c r="AM38" s="3372"/>
      <c r="AN38" s="3372"/>
      <c r="AO38" s="3372"/>
      <c r="AP38" s="3372"/>
      <c r="AQ38" s="1569">
        <v>44198</v>
      </c>
      <c r="AR38" s="1569">
        <v>44560</v>
      </c>
      <c r="AS38" s="2522"/>
    </row>
    <row r="39" spans="1:45" s="3" customFormat="1" ht="93" customHeight="1" x14ac:dyDescent="0.25">
      <c r="A39" s="2438"/>
      <c r="B39" s="3457"/>
      <c r="C39" s="1556"/>
      <c r="D39" s="1557"/>
      <c r="E39" s="1565"/>
      <c r="F39" s="1565"/>
      <c r="G39" s="1731" t="s">
        <v>62</v>
      </c>
      <c r="H39" s="1548" t="s">
        <v>2702</v>
      </c>
      <c r="I39" s="1731">
        <v>2201062</v>
      </c>
      <c r="J39" s="1548" t="s">
        <v>426</v>
      </c>
      <c r="K39" s="1543" t="s">
        <v>62</v>
      </c>
      <c r="L39" s="1548" t="s">
        <v>427</v>
      </c>
      <c r="M39" s="1543">
        <v>220106200</v>
      </c>
      <c r="N39" s="1548" t="s">
        <v>2703</v>
      </c>
      <c r="O39" s="1732">
        <v>15</v>
      </c>
      <c r="P39" s="2165"/>
      <c r="Q39" s="2793"/>
      <c r="R39" s="1733">
        <f>W39/S12</f>
        <v>6.5735931990711632E-3</v>
      </c>
      <c r="S39" s="3451"/>
      <c r="T39" s="2793"/>
      <c r="U39" s="2993" t="s">
        <v>2704</v>
      </c>
      <c r="V39" s="1566" t="s">
        <v>2705</v>
      </c>
      <c r="W39" s="1724">
        <f>30000000+100000000-20480000</f>
        <v>109520000</v>
      </c>
      <c r="X39" s="1576" t="s">
        <v>2706</v>
      </c>
      <c r="Y39" s="1149">
        <v>20</v>
      </c>
      <c r="Z39" s="1552" t="s">
        <v>73</v>
      </c>
      <c r="AA39" s="3372"/>
      <c r="AB39" s="3372"/>
      <c r="AC39" s="3372"/>
      <c r="AD39" s="3372"/>
      <c r="AE39" s="3372"/>
      <c r="AF39" s="3372"/>
      <c r="AG39" s="3372"/>
      <c r="AH39" s="3372"/>
      <c r="AI39" s="3372"/>
      <c r="AJ39" s="3372"/>
      <c r="AK39" s="3372"/>
      <c r="AL39" s="3372"/>
      <c r="AM39" s="3372"/>
      <c r="AN39" s="3372"/>
      <c r="AO39" s="3372"/>
      <c r="AP39" s="3372"/>
      <c r="AQ39" s="1569">
        <v>44198</v>
      </c>
      <c r="AR39" s="1569">
        <v>44560</v>
      </c>
      <c r="AS39" s="2522"/>
    </row>
    <row r="40" spans="1:45" s="3" customFormat="1" ht="74.25" customHeight="1" x14ac:dyDescent="0.25">
      <c r="A40" s="2438"/>
      <c r="B40" s="3457"/>
      <c r="C40" s="1556"/>
      <c r="D40" s="1557"/>
      <c r="E40" s="1565"/>
      <c r="F40" s="1565"/>
      <c r="G40" s="1731">
        <v>2201063</v>
      </c>
      <c r="H40" s="1548" t="s">
        <v>2707</v>
      </c>
      <c r="I40" s="1731">
        <v>2201063</v>
      </c>
      <c r="J40" s="1548" t="s">
        <v>2707</v>
      </c>
      <c r="K40" s="1734">
        <v>220106300</v>
      </c>
      <c r="L40" s="1548" t="s">
        <v>2708</v>
      </c>
      <c r="M40" s="1734">
        <v>220106300</v>
      </c>
      <c r="N40" s="1548" t="s">
        <v>2708</v>
      </c>
      <c r="O40" s="1732">
        <v>2</v>
      </c>
      <c r="P40" s="2165"/>
      <c r="Q40" s="2793"/>
      <c r="R40" s="1733">
        <f>W40/S12</f>
        <v>0</v>
      </c>
      <c r="S40" s="3451"/>
      <c r="T40" s="2793"/>
      <c r="U40" s="2993"/>
      <c r="V40" s="1566" t="s">
        <v>2709</v>
      </c>
      <c r="W40" s="1725">
        <f>30000000-30000000</f>
        <v>0</v>
      </c>
      <c r="X40" s="1576" t="s">
        <v>2710</v>
      </c>
      <c r="Y40" s="1149">
        <v>20</v>
      </c>
      <c r="Z40" s="1552" t="s">
        <v>73</v>
      </c>
      <c r="AA40" s="3372"/>
      <c r="AB40" s="3372"/>
      <c r="AC40" s="3372"/>
      <c r="AD40" s="3372"/>
      <c r="AE40" s="3372"/>
      <c r="AF40" s="3372"/>
      <c r="AG40" s="3372"/>
      <c r="AH40" s="3372"/>
      <c r="AI40" s="3372"/>
      <c r="AJ40" s="3372"/>
      <c r="AK40" s="3372"/>
      <c r="AL40" s="3372"/>
      <c r="AM40" s="3372"/>
      <c r="AN40" s="3372"/>
      <c r="AO40" s="3372"/>
      <c r="AP40" s="3372"/>
      <c r="AQ40" s="1569">
        <v>44198</v>
      </c>
      <c r="AR40" s="1569">
        <v>44560</v>
      </c>
      <c r="AS40" s="2522"/>
    </row>
    <row r="41" spans="1:45" s="3" customFormat="1" ht="37.5" customHeight="1" x14ac:dyDescent="0.25">
      <c r="A41" s="2438"/>
      <c r="B41" s="3457"/>
      <c r="C41" s="1556"/>
      <c r="D41" s="1557"/>
      <c r="E41" s="1565"/>
      <c r="F41" s="1565"/>
      <c r="G41" s="3386">
        <v>2201069</v>
      </c>
      <c r="H41" s="3440" t="s">
        <v>2711</v>
      </c>
      <c r="I41" s="3386">
        <v>2201069</v>
      </c>
      <c r="J41" s="3440" t="s">
        <v>2711</v>
      </c>
      <c r="K41" s="3386">
        <v>220106900</v>
      </c>
      <c r="L41" s="3440" t="s">
        <v>2712</v>
      </c>
      <c r="M41" s="3386">
        <v>220106900</v>
      </c>
      <c r="N41" s="3440" t="s">
        <v>2712</v>
      </c>
      <c r="O41" s="3461">
        <v>3</v>
      </c>
      <c r="P41" s="2165"/>
      <c r="Q41" s="2793"/>
      <c r="R41" s="3437">
        <f>SUM(W41:W42)/S12</f>
        <v>1.5005462927025117E-3</v>
      </c>
      <c r="S41" s="3451"/>
      <c r="T41" s="2793"/>
      <c r="U41" s="2993"/>
      <c r="V41" s="2993" t="s">
        <v>2713</v>
      </c>
      <c r="W41" s="1725">
        <f>50000000-45000000</f>
        <v>5000000</v>
      </c>
      <c r="X41" s="1576" t="s">
        <v>2714</v>
      </c>
      <c r="Y41" s="1149">
        <v>21</v>
      </c>
      <c r="Z41" s="1552" t="s">
        <v>2715</v>
      </c>
      <c r="AA41" s="3372"/>
      <c r="AB41" s="3372"/>
      <c r="AC41" s="3372"/>
      <c r="AD41" s="3372"/>
      <c r="AE41" s="3372"/>
      <c r="AF41" s="3372"/>
      <c r="AG41" s="3372"/>
      <c r="AH41" s="3372"/>
      <c r="AI41" s="3372"/>
      <c r="AJ41" s="3372"/>
      <c r="AK41" s="3372"/>
      <c r="AL41" s="3372"/>
      <c r="AM41" s="3372"/>
      <c r="AN41" s="3372"/>
      <c r="AO41" s="3372"/>
      <c r="AP41" s="3372"/>
      <c r="AQ41" s="1569">
        <v>44198</v>
      </c>
      <c r="AR41" s="1569">
        <v>44560</v>
      </c>
      <c r="AS41" s="2522"/>
    </row>
    <row r="42" spans="1:45" s="3" customFormat="1" ht="33.75" customHeight="1" x14ac:dyDescent="0.25">
      <c r="A42" s="2438"/>
      <c r="B42" s="3457"/>
      <c r="C42" s="1556"/>
      <c r="D42" s="1557"/>
      <c r="E42" s="1565"/>
      <c r="F42" s="1565"/>
      <c r="G42" s="3386"/>
      <c r="H42" s="3440"/>
      <c r="I42" s="3386"/>
      <c r="J42" s="3440"/>
      <c r="K42" s="3386"/>
      <c r="L42" s="3440"/>
      <c r="M42" s="3386"/>
      <c r="N42" s="3440"/>
      <c r="O42" s="3461"/>
      <c r="P42" s="2165"/>
      <c r="Q42" s="2793"/>
      <c r="R42" s="3437"/>
      <c r="S42" s="3451"/>
      <c r="T42" s="2793"/>
      <c r="U42" s="2993"/>
      <c r="V42" s="2993"/>
      <c r="W42" s="1725">
        <f>20000000-20000000+20000000</f>
        <v>20000000</v>
      </c>
      <c r="X42" s="1576" t="s">
        <v>2716</v>
      </c>
      <c r="Y42" s="1149">
        <v>20</v>
      </c>
      <c r="Z42" s="1552" t="s">
        <v>73</v>
      </c>
      <c r="AA42" s="3372"/>
      <c r="AB42" s="3372"/>
      <c r="AC42" s="3372"/>
      <c r="AD42" s="3372"/>
      <c r="AE42" s="3372"/>
      <c r="AF42" s="3372"/>
      <c r="AG42" s="3372"/>
      <c r="AH42" s="3372"/>
      <c r="AI42" s="3372"/>
      <c r="AJ42" s="3372"/>
      <c r="AK42" s="3372"/>
      <c r="AL42" s="3372"/>
      <c r="AM42" s="3372"/>
      <c r="AN42" s="3372"/>
      <c r="AO42" s="3372"/>
      <c r="AP42" s="3372"/>
      <c r="AQ42" s="1569">
        <v>44198</v>
      </c>
      <c r="AR42" s="1569">
        <v>44560</v>
      </c>
      <c r="AS42" s="2522"/>
    </row>
    <row r="43" spans="1:45" ht="207" customHeight="1" x14ac:dyDescent="0.25">
      <c r="A43" s="1640"/>
      <c r="B43" s="33"/>
      <c r="C43" s="1549"/>
      <c r="D43" s="1541"/>
      <c r="G43" s="1735">
        <v>2201018</v>
      </c>
      <c r="H43" s="1571" t="s">
        <v>2717</v>
      </c>
      <c r="I43" s="1735">
        <v>2201018</v>
      </c>
      <c r="J43" s="1571" t="s">
        <v>2717</v>
      </c>
      <c r="K43" s="1736">
        <v>220101802</v>
      </c>
      <c r="L43" s="1571" t="s">
        <v>2718</v>
      </c>
      <c r="M43" s="1736">
        <v>220101802</v>
      </c>
      <c r="N43" s="1571" t="s">
        <v>2718</v>
      </c>
      <c r="O43" s="1737">
        <v>1</v>
      </c>
      <c r="P43" s="2157" t="s">
        <v>2719</v>
      </c>
      <c r="Q43" s="2282" t="s">
        <v>2720</v>
      </c>
      <c r="R43" s="1738">
        <f>W43/S43</f>
        <v>0</v>
      </c>
      <c r="S43" s="3438">
        <f>SUM(W43:W44)</f>
        <v>10000000</v>
      </c>
      <c r="T43" s="2282" t="s">
        <v>2721</v>
      </c>
      <c r="U43" s="1551" t="s">
        <v>2722</v>
      </c>
      <c r="V43" s="1551" t="s">
        <v>2723</v>
      </c>
      <c r="W43" s="1739">
        <f>6000000-6000000</f>
        <v>0</v>
      </c>
      <c r="X43" s="1576" t="s">
        <v>2724</v>
      </c>
      <c r="Y43" s="1149">
        <v>20</v>
      </c>
      <c r="Z43" s="1552" t="s">
        <v>73</v>
      </c>
      <c r="AA43" s="3320">
        <v>1263</v>
      </c>
      <c r="AB43" s="3320">
        <v>1364</v>
      </c>
      <c r="AC43" s="3320">
        <v>2622</v>
      </c>
      <c r="AD43" s="3320">
        <v>4</v>
      </c>
      <c r="AE43" s="3320">
        <v>1</v>
      </c>
      <c r="AF43" s="3320">
        <v>0</v>
      </c>
      <c r="AG43" s="3320">
        <v>14</v>
      </c>
      <c r="AH43" s="3320">
        <v>3</v>
      </c>
      <c r="AI43" s="3320">
        <v>0</v>
      </c>
      <c r="AJ43" s="3320">
        <v>0</v>
      </c>
      <c r="AK43" s="3320">
        <v>0</v>
      </c>
      <c r="AL43" s="3320">
        <v>0</v>
      </c>
      <c r="AM43" s="3320">
        <v>158</v>
      </c>
      <c r="AN43" s="3320">
        <v>31</v>
      </c>
      <c r="AO43" s="3320">
        <v>42</v>
      </c>
      <c r="AP43" s="3320">
        <f>SUM(AA43:AB44)</f>
        <v>2627</v>
      </c>
      <c r="AQ43" s="1569">
        <v>44198</v>
      </c>
      <c r="AR43" s="1569">
        <v>44560</v>
      </c>
      <c r="AS43" s="2522"/>
    </row>
    <row r="44" spans="1:45" ht="151.5" customHeight="1" x14ac:dyDescent="0.25">
      <c r="A44" s="1640"/>
      <c r="B44" s="33"/>
      <c r="C44" s="1549"/>
      <c r="D44" s="1541"/>
      <c r="G44" s="1740">
        <v>2201037</v>
      </c>
      <c r="H44" s="1567" t="s">
        <v>2725</v>
      </c>
      <c r="I44" s="1740">
        <v>2201037</v>
      </c>
      <c r="J44" s="1567" t="s">
        <v>2725</v>
      </c>
      <c r="K44" s="1741">
        <v>220103700</v>
      </c>
      <c r="L44" s="1689" t="s">
        <v>2726</v>
      </c>
      <c r="M44" s="1741">
        <v>220103700</v>
      </c>
      <c r="N44" s="1689" t="s">
        <v>2726</v>
      </c>
      <c r="O44" s="1742">
        <v>54</v>
      </c>
      <c r="P44" s="2157"/>
      <c r="Q44" s="2257"/>
      <c r="R44" s="1743">
        <f>W44/S43</f>
        <v>1</v>
      </c>
      <c r="S44" s="3439"/>
      <c r="T44" s="2257"/>
      <c r="U44" s="1560" t="s">
        <v>2727</v>
      </c>
      <c r="V44" s="1560" t="s">
        <v>2728</v>
      </c>
      <c r="W44" s="1739">
        <v>10000000</v>
      </c>
      <c r="X44" s="1576" t="s">
        <v>2729</v>
      </c>
      <c r="Y44" s="975">
        <v>20</v>
      </c>
      <c r="Z44" s="1558" t="s">
        <v>73</v>
      </c>
      <c r="AA44" s="3372"/>
      <c r="AB44" s="3372"/>
      <c r="AC44" s="3372"/>
      <c r="AD44" s="3372"/>
      <c r="AE44" s="3372"/>
      <c r="AF44" s="3372"/>
      <c r="AG44" s="3372"/>
      <c r="AH44" s="3372"/>
      <c r="AI44" s="3372"/>
      <c r="AJ44" s="3372"/>
      <c r="AK44" s="3372"/>
      <c r="AL44" s="3372"/>
      <c r="AM44" s="3372"/>
      <c r="AN44" s="3372"/>
      <c r="AO44" s="3372"/>
      <c r="AP44" s="3372"/>
      <c r="AQ44" s="1569">
        <v>44198</v>
      </c>
      <c r="AR44" s="1569">
        <v>44560</v>
      </c>
      <c r="AS44" s="2523"/>
    </row>
    <row r="45" spans="1:45" ht="15.75" customHeight="1" x14ac:dyDescent="0.25">
      <c r="A45" s="1640"/>
      <c r="B45" s="33"/>
      <c r="C45" s="1549"/>
      <c r="D45" s="1541"/>
      <c r="G45" s="3368">
        <v>2201007</v>
      </c>
      <c r="H45" s="2829" t="s">
        <v>2730</v>
      </c>
      <c r="I45" s="3368">
        <v>2201073</v>
      </c>
      <c r="J45" s="2829" t="s">
        <v>2730</v>
      </c>
      <c r="K45" s="3368">
        <v>2201007</v>
      </c>
      <c r="L45" s="2829" t="s">
        <v>2731</v>
      </c>
      <c r="M45" s="3368">
        <v>220107300</v>
      </c>
      <c r="N45" s="2829" t="s">
        <v>2731</v>
      </c>
      <c r="O45" s="3392">
        <v>7774</v>
      </c>
      <c r="P45" s="2287" t="s">
        <v>2732</v>
      </c>
      <c r="Q45" s="2257" t="s">
        <v>2733</v>
      </c>
      <c r="R45" s="3429">
        <f>SUM(W45:W49)/S45</f>
        <v>0.22120578086620721</v>
      </c>
      <c r="S45" s="3430">
        <f>SUM(W45:W77)</f>
        <v>152973653.48000002</v>
      </c>
      <c r="T45" s="2257" t="s">
        <v>2734</v>
      </c>
      <c r="U45" s="2283" t="s">
        <v>2735</v>
      </c>
      <c r="V45" s="3059" t="s">
        <v>2736</v>
      </c>
      <c r="W45" s="1739">
        <v>1328898.3899999999</v>
      </c>
      <c r="X45" s="739" t="s">
        <v>2737</v>
      </c>
      <c r="Y45" s="3226">
        <v>20</v>
      </c>
      <c r="Z45" s="3355" t="s">
        <v>73</v>
      </c>
      <c r="AA45" s="3374">
        <v>19649</v>
      </c>
      <c r="AB45" s="3320">
        <v>20118</v>
      </c>
      <c r="AC45" s="3320">
        <v>28907</v>
      </c>
      <c r="AD45" s="3320">
        <v>9525</v>
      </c>
      <c r="AE45" s="3320">
        <v>1222</v>
      </c>
      <c r="AF45" s="3320">
        <v>113</v>
      </c>
      <c r="AG45" s="3320">
        <v>297</v>
      </c>
      <c r="AH45" s="3320">
        <v>345</v>
      </c>
      <c r="AI45" s="3320">
        <v>0</v>
      </c>
      <c r="AJ45" s="3320">
        <v>0</v>
      </c>
      <c r="AK45" s="3320">
        <v>0</v>
      </c>
      <c r="AL45" s="3320">
        <v>0</v>
      </c>
      <c r="AM45" s="3320">
        <v>3301</v>
      </c>
      <c r="AN45" s="3320">
        <v>2507</v>
      </c>
      <c r="AO45" s="3320">
        <v>113</v>
      </c>
      <c r="AP45" s="3320">
        <f>SUM(AA45:AB77)</f>
        <v>39767</v>
      </c>
      <c r="AQ45" s="3017">
        <v>44198</v>
      </c>
      <c r="AR45" s="3017">
        <v>44560</v>
      </c>
      <c r="AS45" s="2521" t="s">
        <v>2649</v>
      </c>
    </row>
    <row r="46" spans="1:45" x14ac:dyDescent="0.25">
      <c r="A46" s="1640"/>
      <c r="B46" s="33"/>
      <c r="C46" s="1549"/>
      <c r="D46" s="1541"/>
      <c r="G46" s="3369"/>
      <c r="H46" s="2824"/>
      <c r="I46" s="3369"/>
      <c r="J46" s="2824"/>
      <c r="K46" s="3369"/>
      <c r="L46" s="2824"/>
      <c r="M46" s="3369"/>
      <c r="N46" s="2824"/>
      <c r="O46" s="3393"/>
      <c r="P46" s="2157"/>
      <c r="Q46" s="2257"/>
      <c r="R46" s="3426"/>
      <c r="S46" s="3430"/>
      <c r="T46" s="2257"/>
      <c r="U46" s="2284"/>
      <c r="V46" s="3060"/>
      <c r="W46" s="1739">
        <v>8252158.0700000003</v>
      </c>
      <c r="X46" s="739" t="s">
        <v>2738</v>
      </c>
      <c r="Y46" s="3226"/>
      <c r="Z46" s="3355"/>
      <c r="AA46" s="3375"/>
      <c r="AB46" s="3372"/>
      <c r="AC46" s="3372"/>
      <c r="AD46" s="3372"/>
      <c r="AE46" s="3372"/>
      <c r="AF46" s="3372"/>
      <c r="AG46" s="3372"/>
      <c r="AH46" s="3372"/>
      <c r="AI46" s="3372"/>
      <c r="AJ46" s="3372"/>
      <c r="AK46" s="3372"/>
      <c r="AL46" s="3372"/>
      <c r="AM46" s="3372"/>
      <c r="AN46" s="3372"/>
      <c r="AO46" s="3372"/>
      <c r="AP46" s="3372"/>
      <c r="AQ46" s="3018"/>
      <c r="AR46" s="3018"/>
      <c r="AS46" s="2522"/>
    </row>
    <row r="47" spans="1:45" x14ac:dyDescent="0.25">
      <c r="A47" s="1640"/>
      <c r="B47" s="33"/>
      <c r="C47" s="1549"/>
      <c r="D47" s="1541"/>
      <c r="G47" s="3369"/>
      <c r="H47" s="2824"/>
      <c r="I47" s="3369"/>
      <c r="J47" s="2824"/>
      <c r="K47" s="3369"/>
      <c r="L47" s="2824"/>
      <c r="M47" s="3369"/>
      <c r="N47" s="2824"/>
      <c r="O47" s="3393"/>
      <c r="P47" s="2157"/>
      <c r="Q47" s="2257"/>
      <c r="R47" s="3426"/>
      <c r="S47" s="3430"/>
      <c r="T47" s="2257"/>
      <c r="U47" s="2284"/>
      <c r="V47" s="3060"/>
      <c r="W47" s="1739">
        <v>7501385.9199999999</v>
      </c>
      <c r="X47" s="739" t="s">
        <v>2739</v>
      </c>
      <c r="Y47" s="3226"/>
      <c r="Z47" s="3355"/>
      <c r="AA47" s="3375"/>
      <c r="AB47" s="3372"/>
      <c r="AC47" s="3372"/>
      <c r="AD47" s="3372"/>
      <c r="AE47" s="3372"/>
      <c r="AF47" s="3372"/>
      <c r="AG47" s="3372"/>
      <c r="AH47" s="3372"/>
      <c r="AI47" s="3372"/>
      <c r="AJ47" s="3372"/>
      <c r="AK47" s="3372"/>
      <c r="AL47" s="3372"/>
      <c r="AM47" s="3372"/>
      <c r="AN47" s="3372"/>
      <c r="AO47" s="3372"/>
      <c r="AP47" s="3372"/>
      <c r="AQ47" s="3018"/>
      <c r="AR47" s="3018"/>
      <c r="AS47" s="2522"/>
    </row>
    <row r="48" spans="1:45" x14ac:dyDescent="0.25">
      <c r="A48" s="1640"/>
      <c r="B48" s="33"/>
      <c r="C48" s="1549"/>
      <c r="D48" s="1541"/>
      <c r="G48" s="3369"/>
      <c r="H48" s="2824"/>
      <c r="I48" s="3369"/>
      <c r="J48" s="2824"/>
      <c r="K48" s="3369"/>
      <c r="L48" s="2824"/>
      <c r="M48" s="3369"/>
      <c r="N48" s="2824"/>
      <c r="O48" s="3393"/>
      <c r="P48" s="2157"/>
      <c r="Q48" s="2257"/>
      <c r="R48" s="3426"/>
      <c r="S48" s="3430"/>
      <c r="T48" s="2257"/>
      <c r="U48" s="2284"/>
      <c r="V48" s="3060"/>
      <c r="W48" s="1739">
        <v>2917557.61</v>
      </c>
      <c r="X48" s="739" t="s">
        <v>2740</v>
      </c>
      <c r="Y48" s="3226"/>
      <c r="Z48" s="3355"/>
      <c r="AA48" s="3375"/>
      <c r="AB48" s="3372"/>
      <c r="AC48" s="3372"/>
      <c r="AD48" s="3372"/>
      <c r="AE48" s="3372"/>
      <c r="AF48" s="3372"/>
      <c r="AG48" s="3372"/>
      <c r="AH48" s="3372"/>
      <c r="AI48" s="3372"/>
      <c r="AJ48" s="3372"/>
      <c r="AK48" s="3372"/>
      <c r="AL48" s="3372"/>
      <c r="AM48" s="3372"/>
      <c r="AN48" s="3372"/>
      <c r="AO48" s="3372"/>
      <c r="AP48" s="3372"/>
      <c r="AQ48" s="3018"/>
      <c r="AR48" s="3018"/>
      <c r="AS48" s="2522"/>
    </row>
    <row r="49" spans="1:45" ht="72" customHeight="1" x14ac:dyDescent="0.25">
      <c r="A49" s="1640"/>
      <c r="B49" s="33"/>
      <c r="C49" s="1549"/>
      <c r="D49" s="1541"/>
      <c r="G49" s="3369"/>
      <c r="H49" s="2824"/>
      <c r="I49" s="3369"/>
      <c r="J49" s="2824"/>
      <c r="K49" s="3369"/>
      <c r="L49" s="2824"/>
      <c r="M49" s="3369"/>
      <c r="N49" s="2824"/>
      <c r="O49" s="3393"/>
      <c r="P49" s="2157"/>
      <c r="Q49" s="2257"/>
      <c r="R49" s="3426"/>
      <c r="S49" s="3430"/>
      <c r="T49" s="2257"/>
      <c r="U49" s="2284"/>
      <c r="V49" s="3061"/>
      <c r="W49" s="1739">
        <v>13838656.48</v>
      </c>
      <c r="X49" s="739" t="s">
        <v>2741</v>
      </c>
      <c r="Y49" s="1575">
        <v>189</v>
      </c>
      <c r="Z49" s="1578" t="s">
        <v>2742</v>
      </c>
      <c r="AA49" s="3375"/>
      <c r="AB49" s="3372"/>
      <c r="AC49" s="3372"/>
      <c r="AD49" s="3372"/>
      <c r="AE49" s="3372"/>
      <c r="AF49" s="3372"/>
      <c r="AG49" s="3372"/>
      <c r="AH49" s="3372"/>
      <c r="AI49" s="3372"/>
      <c r="AJ49" s="3372"/>
      <c r="AK49" s="3372"/>
      <c r="AL49" s="3372"/>
      <c r="AM49" s="3372"/>
      <c r="AN49" s="3372"/>
      <c r="AO49" s="3372"/>
      <c r="AP49" s="3372"/>
      <c r="AQ49" s="3057"/>
      <c r="AR49" s="3057"/>
      <c r="AS49" s="2522"/>
    </row>
    <row r="50" spans="1:45" ht="37.5" customHeight="1" x14ac:dyDescent="0.25">
      <c r="A50" s="1640"/>
      <c r="B50" s="33"/>
      <c r="C50" s="1549"/>
      <c r="D50" s="1541"/>
      <c r="G50" s="3386">
        <v>2201068</v>
      </c>
      <c r="H50" s="2257" t="s">
        <v>2743</v>
      </c>
      <c r="I50" s="3386">
        <v>2201068</v>
      </c>
      <c r="J50" s="2257" t="s">
        <v>2743</v>
      </c>
      <c r="K50" s="3428">
        <v>220106800</v>
      </c>
      <c r="L50" s="2313" t="s">
        <v>2744</v>
      </c>
      <c r="M50" s="3428">
        <v>220106800</v>
      </c>
      <c r="N50" s="2313" t="s">
        <v>2744</v>
      </c>
      <c r="O50" s="3294">
        <v>70</v>
      </c>
      <c r="P50" s="2157"/>
      <c r="Q50" s="2257"/>
      <c r="R50" s="3432">
        <f>SUM(W50:W53)/S45</f>
        <v>0.11766732107469306</v>
      </c>
      <c r="S50" s="3430"/>
      <c r="T50" s="2257"/>
      <c r="U50" s="2284"/>
      <c r="V50" s="3059" t="s">
        <v>2745</v>
      </c>
      <c r="W50" s="1739">
        <v>1196008.55</v>
      </c>
      <c r="X50" s="1576" t="s">
        <v>2746</v>
      </c>
      <c r="Y50" s="3423">
        <v>20</v>
      </c>
      <c r="Z50" s="2459" t="s">
        <v>73</v>
      </c>
      <c r="AA50" s="3372"/>
      <c r="AB50" s="3372"/>
      <c r="AC50" s="3372"/>
      <c r="AD50" s="3372"/>
      <c r="AE50" s="3372"/>
      <c r="AF50" s="3372"/>
      <c r="AG50" s="3372"/>
      <c r="AH50" s="3372"/>
      <c r="AI50" s="3372"/>
      <c r="AJ50" s="3372"/>
      <c r="AK50" s="3372"/>
      <c r="AL50" s="3372"/>
      <c r="AM50" s="3372"/>
      <c r="AN50" s="3372"/>
      <c r="AO50" s="3372"/>
      <c r="AP50" s="3372"/>
      <c r="AQ50" s="3017">
        <v>44198</v>
      </c>
      <c r="AR50" s="3017">
        <v>44560</v>
      </c>
      <c r="AS50" s="2522"/>
    </row>
    <row r="51" spans="1:45" ht="25.5" customHeight="1" x14ac:dyDescent="0.25">
      <c r="A51" s="1640"/>
      <c r="B51" s="33"/>
      <c r="C51" s="1549"/>
      <c r="D51" s="1541"/>
      <c r="G51" s="3386"/>
      <c r="H51" s="2257"/>
      <c r="I51" s="3386"/>
      <c r="J51" s="2257"/>
      <c r="K51" s="3428"/>
      <c r="L51" s="2313"/>
      <c r="M51" s="3428"/>
      <c r="N51" s="2313"/>
      <c r="O51" s="3294"/>
      <c r="P51" s="2157"/>
      <c r="Q51" s="2257"/>
      <c r="R51" s="3432"/>
      <c r="S51" s="3430"/>
      <c r="T51" s="2257"/>
      <c r="U51" s="2284"/>
      <c r="V51" s="3060"/>
      <c r="W51" s="1739">
        <v>7426942.2699999996</v>
      </c>
      <c r="X51" s="1576" t="s">
        <v>2747</v>
      </c>
      <c r="Y51" s="3423"/>
      <c r="Z51" s="2459"/>
      <c r="AA51" s="3372"/>
      <c r="AB51" s="3372"/>
      <c r="AC51" s="3372"/>
      <c r="AD51" s="3372"/>
      <c r="AE51" s="3372"/>
      <c r="AF51" s="3372"/>
      <c r="AG51" s="3372"/>
      <c r="AH51" s="3372"/>
      <c r="AI51" s="3372"/>
      <c r="AJ51" s="3372"/>
      <c r="AK51" s="3372"/>
      <c r="AL51" s="3372"/>
      <c r="AM51" s="3372"/>
      <c r="AN51" s="3372"/>
      <c r="AO51" s="3372"/>
      <c r="AP51" s="3372"/>
      <c r="AQ51" s="3018"/>
      <c r="AR51" s="3018"/>
      <c r="AS51" s="2522"/>
    </row>
    <row r="52" spans="1:45" ht="25.5" customHeight="1" x14ac:dyDescent="0.25">
      <c r="A52" s="1640"/>
      <c r="B52" s="33"/>
      <c r="C52" s="1549"/>
      <c r="D52" s="1541"/>
      <c r="G52" s="3386"/>
      <c r="H52" s="2257"/>
      <c r="I52" s="3386"/>
      <c r="J52" s="2257"/>
      <c r="K52" s="3428"/>
      <c r="L52" s="2313"/>
      <c r="M52" s="3428"/>
      <c r="N52" s="2313"/>
      <c r="O52" s="3294"/>
      <c r="P52" s="2157"/>
      <c r="Q52" s="2257"/>
      <c r="R52" s="3432"/>
      <c r="S52" s="3430"/>
      <c r="T52" s="2257"/>
      <c r="U52" s="2284"/>
      <c r="V52" s="3060"/>
      <c r="W52" s="1739">
        <v>6751247.3300000001</v>
      </c>
      <c r="X52" s="1576" t="s">
        <v>2748</v>
      </c>
      <c r="Y52" s="3423"/>
      <c r="Z52" s="2459"/>
      <c r="AA52" s="3372"/>
      <c r="AB52" s="3372"/>
      <c r="AC52" s="3372"/>
      <c r="AD52" s="3372"/>
      <c r="AE52" s="3372"/>
      <c r="AF52" s="3372"/>
      <c r="AG52" s="3372"/>
      <c r="AH52" s="3372"/>
      <c r="AI52" s="3372"/>
      <c r="AJ52" s="3372"/>
      <c r="AK52" s="3372"/>
      <c r="AL52" s="3372"/>
      <c r="AM52" s="3372"/>
      <c r="AN52" s="3372"/>
      <c r="AO52" s="3372"/>
      <c r="AP52" s="3372"/>
      <c r="AQ52" s="3018"/>
      <c r="AR52" s="3018"/>
      <c r="AS52" s="2522"/>
    </row>
    <row r="53" spans="1:45" ht="30.75" customHeight="1" x14ac:dyDescent="0.25">
      <c r="A53" s="1640"/>
      <c r="B53" s="33"/>
      <c r="C53" s="1549"/>
      <c r="D53" s="1541"/>
      <c r="G53" s="3386"/>
      <c r="H53" s="2257"/>
      <c r="I53" s="3386"/>
      <c r="J53" s="2257"/>
      <c r="K53" s="3428"/>
      <c r="L53" s="2313"/>
      <c r="M53" s="3428"/>
      <c r="N53" s="2313"/>
      <c r="O53" s="3294"/>
      <c r="P53" s="2157"/>
      <c r="Q53" s="2257"/>
      <c r="R53" s="3432"/>
      <c r="S53" s="3430"/>
      <c r="T53" s="2257"/>
      <c r="U53" s="2284"/>
      <c r="V53" s="3061"/>
      <c r="W53" s="1739">
        <v>2625801.85</v>
      </c>
      <c r="X53" s="1576" t="s">
        <v>2749</v>
      </c>
      <c r="Y53" s="3424"/>
      <c r="Z53" s="2460"/>
      <c r="AA53" s="3372"/>
      <c r="AB53" s="3372"/>
      <c r="AC53" s="3372"/>
      <c r="AD53" s="3372"/>
      <c r="AE53" s="3372"/>
      <c r="AF53" s="3372"/>
      <c r="AG53" s="3372"/>
      <c r="AH53" s="3372"/>
      <c r="AI53" s="3372"/>
      <c r="AJ53" s="3372"/>
      <c r="AK53" s="3372"/>
      <c r="AL53" s="3372"/>
      <c r="AM53" s="3372"/>
      <c r="AN53" s="3372"/>
      <c r="AO53" s="3372"/>
      <c r="AP53" s="3372"/>
      <c r="AQ53" s="3057"/>
      <c r="AR53" s="3057"/>
      <c r="AS53" s="2522"/>
    </row>
    <row r="54" spans="1:45" ht="30.75" customHeight="1" x14ac:dyDescent="0.25">
      <c r="A54" s="1640"/>
      <c r="B54" s="33"/>
      <c r="C54" s="1549"/>
      <c r="D54" s="1541"/>
      <c r="G54" s="3329" t="s">
        <v>2750</v>
      </c>
      <c r="H54" s="2280" t="s">
        <v>2751</v>
      </c>
      <c r="I54" s="3329" t="s">
        <v>2750</v>
      </c>
      <c r="J54" s="2280" t="s">
        <v>2751</v>
      </c>
      <c r="K54" s="3417">
        <v>220102600</v>
      </c>
      <c r="L54" s="2280" t="s">
        <v>2752</v>
      </c>
      <c r="M54" s="3417">
        <v>220102600</v>
      </c>
      <c r="N54" s="2280" t="s">
        <v>2752</v>
      </c>
      <c r="O54" s="3325">
        <v>17</v>
      </c>
      <c r="P54" s="2157"/>
      <c r="Q54" s="2257"/>
      <c r="R54" s="3351">
        <f>SUM(W54:W61)/S45</f>
        <v>0.1280939335253693</v>
      </c>
      <c r="S54" s="3430"/>
      <c r="T54" s="2257"/>
      <c r="U54" s="2284"/>
      <c r="V54" s="3059" t="s">
        <v>2753</v>
      </c>
      <c r="W54" s="1739">
        <f>10000000-8405003</f>
        <v>1594997</v>
      </c>
      <c r="X54" s="1576" t="s">
        <v>2754</v>
      </c>
      <c r="Y54" s="3422">
        <v>25</v>
      </c>
      <c r="Z54" s="2458" t="s">
        <v>2648</v>
      </c>
      <c r="AA54" s="3372"/>
      <c r="AB54" s="3372"/>
      <c r="AC54" s="3372"/>
      <c r="AD54" s="3372"/>
      <c r="AE54" s="3372"/>
      <c r="AF54" s="3372"/>
      <c r="AG54" s="3372"/>
      <c r="AH54" s="3372"/>
      <c r="AI54" s="3372"/>
      <c r="AJ54" s="3372"/>
      <c r="AK54" s="3372"/>
      <c r="AL54" s="3372"/>
      <c r="AM54" s="3372"/>
      <c r="AN54" s="3372"/>
      <c r="AO54" s="3372"/>
      <c r="AP54" s="3372"/>
      <c r="AQ54" s="3017">
        <v>44198</v>
      </c>
      <c r="AR54" s="3017">
        <v>44560</v>
      </c>
      <c r="AS54" s="2522"/>
    </row>
    <row r="55" spans="1:45" x14ac:dyDescent="0.25">
      <c r="A55" s="1640"/>
      <c r="B55" s="33"/>
      <c r="C55" s="1549"/>
      <c r="D55" s="1541"/>
      <c r="G55" s="3343"/>
      <c r="H55" s="2281"/>
      <c r="I55" s="3343"/>
      <c r="J55" s="2281"/>
      <c r="K55" s="3418"/>
      <c r="L55" s="2281"/>
      <c r="M55" s="3418"/>
      <c r="N55" s="2281"/>
      <c r="O55" s="3420"/>
      <c r="P55" s="2157"/>
      <c r="Q55" s="2257"/>
      <c r="R55" s="3352"/>
      <c r="S55" s="3430"/>
      <c r="T55" s="2257"/>
      <c r="U55" s="2284"/>
      <c r="V55" s="3060"/>
      <c r="W55" s="1739">
        <f>5000000-5000000</f>
        <v>0</v>
      </c>
      <c r="X55" s="1576" t="s">
        <v>2755</v>
      </c>
      <c r="Y55" s="3423"/>
      <c r="Z55" s="2459"/>
      <c r="AA55" s="3372"/>
      <c r="AB55" s="3372"/>
      <c r="AC55" s="3372"/>
      <c r="AD55" s="3372"/>
      <c r="AE55" s="3372"/>
      <c r="AF55" s="3372"/>
      <c r="AG55" s="3372"/>
      <c r="AH55" s="3372"/>
      <c r="AI55" s="3372"/>
      <c r="AJ55" s="3372"/>
      <c r="AK55" s="3372"/>
      <c r="AL55" s="3372"/>
      <c r="AM55" s="3372"/>
      <c r="AN55" s="3372"/>
      <c r="AO55" s="3372"/>
      <c r="AP55" s="3372"/>
      <c r="AQ55" s="3018"/>
      <c r="AR55" s="3018"/>
      <c r="AS55" s="2522"/>
    </row>
    <row r="56" spans="1:45" x14ac:dyDescent="0.25">
      <c r="A56" s="1640"/>
      <c r="B56" s="33"/>
      <c r="C56" s="1549"/>
      <c r="D56" s="1541"/>
      <c r="G56" s="3343"/>
      <c r="H56" s="2281"/>
      <c r="I56" s="3343"/>
      <c r="J56" s="2281"/>
      <c r="K56" s="3418"/>
      <c r="L56" s="2281"/>
      <c r="M56" s="3418"/>
      <c r="N56" s="2281"/>
      <c r="O56" s="3420"/>
      <c r="P56" s="2157"/>
      <c r="Q56" s="2257"/>
      <c r="R56" s="3352"/>
      <c r="S56" s="3430"/>
      <c r="T56" s="2257"/>
      <c r="U56" s="2284"/>
      <c r="V56" s="3060"/>
      <c r="W56" s="1739">
        <f>5000000-5000000</f>
        <v>0</v>
      </c>
      <c r="X56" s="1576" t="s">
        <v>2756</v>
      </c>
      <c r="Y56" s="3423"/>
      <c r="Z56" s="2459"/>
      <c r="AA56" s="3372"/>
      <c r="AB56" s="3372"/>
      <c r="AC56" s="3372"/>
      <c r="AD56" s="3372"/>
      <c r="AE56" s="3372"/>
      <c r="AF56" s="3372"/>
      <c r="AG56" s="3372"/>
      <c r="AH56" s="3372"/>
      <c r="AI56" s="3372"/>
      <c r="AJ56" s="3372"/>
      <c r="AK56" s="3372"/>
      <c r="AL56" s="3372"/>
      <c r="AM56" s="3372"/>
      <c r="AN56" s="3372"/>
      <c r="AO56" s="3372"/>
      <c r="AP56" s="3372"/>
      <c r="AQ56" s="3018"/>
      <c r="AR56" s="3018"/>
      <c r="AS56" s="2522"/>
    </row>
    <row r="57" spans="1:45" x14ac:dyDescent="0.25">
      <c r="A57" s="1640"/>
      <c r="B57" s="33"/>
      <c r="C57" s="1549"/>
      <c r="D57" s="1541"/>
      <c r="G57" s="3343"/>
      <c r="H57" s="2281"/>
      <c r="I57" s="3343"/>
      <c r="J57" s="2281"/>
      <c r="K57" s="3418"/>
      <c r="L57" s="2281"/>
      <c r="M57" s="3418"/>
      <c r="N57" s="2281"/>
      <c r="O57" s="3420"/>
      <c r="P57" s="2157"/>
      <c r="Q57" s="2257"/>
      <c r="R57" s="3352"/>
      <c r="S57" s="3430"/>
      <c r="T57" s="2257"/>
      <c r="U57" s="2284"/>
      <c r="V57" s="3060"/>
      <c r="W57" s="1739">
        <f>5000000-5000000</f>
        <v>0</v>
      </c>
      <c r="X57" s="1576" t="s">
        <v>2757</v>
      </c>
      <c r="Y57" s="3424"/>
      <c r="Z57" s="2460"/>
      <c r="AA57" s="3372"/>
      <c r="AB57" s="3372"/>
      <c r="AC57" s="3372"/>
      <c r="AD57" s="3372"/>
      <c r="AE57" s="3372"/>
      <c r="AF57" s="3372"/>
      <c r="AG57" s="3372"/>
      <c r="AH57" s="3372"/>
      <c r="AI57" s="3372"/>
      <c r="AJ57" s="3372"/>
      <c r="AK57" s="3372"/>
      <c r="AL57" s="3372"/>
      <c r="AM57" s="3372"/>
      <c r="AN57" s="3372"/>
      <c r="AO57" s="3372"/>
      <c r="AP57" s="3372"/>
      <c r="AQ57" s="3057"/>
      <c r="AR57" s="3057"/>
      <c r="AS57" s="2522"/>
    </row>
    <row r="58" spans="1:45" x14ac:dyDescent="0.25">
      <c r="A58" s="1640"/>
      <c r="B58" s="33"/>
      <c r="C58" s="1549"/>
      <c r="D58" s="1541"/>
      <c r="G58" s="3343"/>
      <c r="H58" s="2281"/>
      <c r="I58" s="3343"/>
      <c r="J58" s="2281"/>
      <c r="K58" s="3418"/>
      <c r="L58" s="2281"/>
      <c r="M58" s="3418"/>
      <c r="N58" s="2281"/>
      <c r="O58" s="3420"/>
      <c r="P58" s="2157"/>
      <c r="Q58" s="2257"/>
      <c r="R58" s="3352"/>
      <c r="S58" s="3430"/>
      <c r="T58" s="2257"/>
      <c r="U58" s="2284"/>
      <c r="V58" s="3060"/>
      <c r="W58" s="1739">
        <v>9000000</v>
      </c>
      <c r="X58" s="1576" t="s">
        <v>2758</v>
      </c>
      <c r="Y58" s="3361">
        <v>20</v>
      </c>
      <c r="Z58" s="2458" t="s">
        <v>73</v>
      </c>
      <c r="AA58" s="3372"/>
      <c r="AB58" s="3372"/>
      <c r="AC58" s="3372"/>
      <c r="AD58" s="3372"/>
      <c r="AE58" s="3372"/>
      <c r="AF58" s="3372"/>
      <c r="AG58" s="3372"/>
      <c r="AH58" s="3372"/>
      <c r="AI58" s="3372"/>
      <c r="AJ58" s="3372"/>
      <c r="AK58" s="3372"/>
      <c r="AL58" s="3372"/>
      <c r="AM58" s="3372"/>
      <c r="AN58" s="3372"/>
      <c r="AO58" s="3372"/>
      <c r="AP58" s="3372"/>
      <c r="AQ58" s="3017">
        <v>44198</v>
      </c>
      <c r="AR58" s="3017">
        <v>44560</v>
      </c>
      <c r="AS58" s="2522"/>
    </row>
    <row r="59" spans="1:45" x14ac:dyDescent="0.25">
      <c r="A59" s="1640"/>
      <c r="B59" s="33"/>
      <c r="C59" s="1549"/>
      <c r="D59" s="1541"/>
      <c r="G59" s="3343"/>
      <c r="H59" s="2281"/>
      <c r="I59" s="3343"/>
      <c r="J59" s="2281"/>
      <c r="K59" s="3418"/>
      <c r="L59" s="2281"/>
      <c r="M59" s="3418"/>
      <c r="N59" s="2281"/>
      <c r="O59" s="3420"/>
      <c r="P59" s="2157"/>
      <c r="Q59" s="2257"/>
      <c r="R59" s="3352"/>
      <c r="S59" s="3430"/>
      <c r="T59" s="2257"/>
      <c r="U59" s="2284"/>
      <c r="V59" s="3060"/>
      <c r="W59" s="1739">
        <v>2000000</v>
      </c>
      <c r="X59" s="1576" t="s">
        <v>2759</v>
      </c>
      <c r="Y59" s="3362"/>
      <c r="Z59" s="2459"/>
      <c r="AA59" s="3372"/>
      <c r="AB59" s="3372"/>
      <c r="AC59" s="3372"/>
      <c r="AD59" s="3372"/>
      <c r="AE59" s="3372"/>
      <c r="AF59" s="3372"/>
      <c r="AG59" s="3372"/>
      <c r="AH59" s="3372"/>
      <c r="AI59" s="3372"/>
      <c r="AJ59" s="3372"/>
      <c r="AK59" s="3372"/>
      <c r="AL59" s="3372"/>
      <c r="AM59" s="3372"/>
      <c r="AN59" s="3372"/>
      <c r="AO59" s="3372"/>
      <c r="AP59" s="3372"/>
      <c r="AQ59" s="3018"/>
      <c r="AR59" s="3018"/>
      <c r="AS59" s="2522"/>
    </row>
    <row r="60" spans="1:45" x14ac:dyDescent="0.25">
      <c r="A60" s="1640"/>
      <c r="B60" s="33"/>
      <c r="C60" s="1549"/>
      <c r="D60" s="1541"/>
      <c r="G60" s="3343"/>
      <c r="H60" s="2281"/>
      <c r="I60" s="3343"/>
      <c r="J60" s="2281"/>
      <c r="K60" s="3418"/>
      <c r="L60" s="2281"/>
      <c r="M60" s="3418"/>
      <c r="N60" s="2281"/>
      <c r="O60" s="3420"/>
      <c r="P60" s="2157"/>
      <c r="Q60" s="2257"/>
      <c r="R60" s="3352"/>
      <c r="S60" s="3430"/>
      <c r="T60" s="2257"/>
      <c r="U60" s="2284"/>
      <c r="V60" s="3060"/>
      <c r="W60" s="1739">
        <v>5000000</v>
      </c>
      <c r="X60" s="1576" t="s">
        <v>2760</v>
      </c>
      <c r="Y60" s="3362"/>
      <c r="Z60" s="2459"/>
      <c r="AA60" s="3372"/>
      <c r="AB60" s="3372"/>
      <c r="AC60" s="3372"/>
      <c r="AD60" s="3372"/>
      <c r="AE60" s="3372"/>
      <c r="AF60" s="3372"/>
      <c r="AG60" s="3372"/>
      <c r="AH60" s="3372"/>
      <c r="AI60" s="3372"/>
      <c r="AJ60" s="3372"/>
      <c r="AK60" s="3372"/>
      <c r="AL60" s="3372"/>
      <c r="AM60" s="3372"/>
      <c r="AN60" s="3372"/>
      <c r="AO60" s="3372"/>
      <c r="AP60" s="3372"/>
      <c r="AQ60" s="3018"/>
      <c r="AR60" s="3018"/>
      <c r="AS60" s="2522"/>
    </row>
    <row r="61" spans="1:45" x14ac:dyDescent="0.25">
      <c r="A61" s="1640"/>
      <c r="B61" s="33"/>
      <c r="C61" s="1549"/>
      <c r="D61" s="1541"/>
      <c r="G61" s="3328"/>
      <c r="H61" s="2282"/>
      <c r="I61" s="3328"/>
      <c r="J61" s="2282"/>
      <c r="K61" s="3419"/>
      <c r="L61" s="2282"/>
      <c r="M61" s="3419"/>
      <c r="N61" s="2282"/>
      <c r="O61" s="3324"/>
      <c r="P61" s="2157"/>
      <c r="Q61" s="2257"/>
      <c r="R61" s="3421"/>
      <c r="S61" s="3430"/>
      <c r="T61" s="2257"/>
      <c r="U61" s="2284"/>
      <c r="V61" s="3061"/>
      <c r="W61" s="1739">
        <v>2000000</v>
      </c>
      <c r="X61" s="1576" t="s">
        <v>2761</v>
      </c>
      <c r="Y61" s="3363"/>
      <c r="Z61" s="2460"/>
      <c r="AA61" s="3372"/>
      <c r="AB61" s="3372"/>
      <c r="AC61" s="3372"/>
      <c r="AD61" s="3372"/>
      <c r="AE61" s="3372"/>
      <c r="AF61" s="3372"/>
      <c r="AG61" s="3372"/>
      <c r="AH61" s="3372"/>
      <c r="AI61" s="3372"/>
      <c r="AJ61" s="3372"/>
      <c r="AK61" s="3372"/>
      <c r="AL61" s="3372"/>
      <c r="AM61" s="3372"/>
      <c r="AN61" s="3372"/>
      <c r="AO61" s="3372"/>
      <c r="AP61" s="3372"/>
      <c r="AQ61" s="3057"/>
      <c r="AR61" s="3057"/>
      <c r="AS61" s="2522"/>
    </row>
    <row r="62" spans="1:45" ht="39.75" customHeight="1" x14ac:dyDescent="0.25">
      <c r="A62" s="1640"/>
      <c r="B62" s="33"/>
      <c r="C62" s="1549"/>
      <c r="D62" s="1541"/>
      <c r="G62" s="3403">
        <v>2201009</v>
      </c>
      <c r="H62" s="2834" t="s">
        <v>2762</v>
      </c>
      <c r="I62" s="3403">
        <v>2201074</v>
      </c>
      <c r="J62" s="2834" t="s">
        <v>2762</v>
      </c>
      <c r="K62" s="3404">
        <v>220100900</v>
      </c>
      <c r="L62" s="2834" t="s">
        <v>2763</v>
      </c>
      <c r="M62" s="3404">
        <v>220107400</v>
      </c>
      <c r="N62" s="2834" t="s">
        <v>2764</v>
      </c>
      <c r="O62" s="3405">
        <v>606</v>
      </c>
      <c r="P62" s="2157"/>
      <c r="Q62" s="2257"/>
      <c r="R62" s="3425">
        <f>SUM(W62:W65)/S45</f>
        <v>0.13074146779539936</v>
      </c>
      <c r="S62" s="3430"/>
      <c r="T62" s="2257"/>
      <c r="U62" s="2284"/>
      <c r="V62" s="3409" t="s">
        <v>2765</v>
      </c>
      <c r="W62" s="1739">
        <v>1328898.3899999999</v>
      </c>
      <c r="X62" s="1576" t="s">
        <v>2766</v>
      </c>
      <c r="Y62" s="1744">
        <v>20</v>
      </c>
      <c r="Z62" s="1552" t="s">
        <v>73</v>
      </c>
      <c r="AA62" s="3372"/>
      <c r="AB62" s="3372"/>
      <c r="AC62" s="3372"/>
      <c r="AD62" s="3372"/>
      <c r="AE62" s="3372"/>
      <c r="AF62" s="3372"/>
      <c r="AG62" s="3372"/>
      <c r="AH62" s="3372"/>
      <c r="AI62" s="3372"/>
      <c r="AJ62" s="3372"/>
      <c r="AK62" s="3372"/>
      <c r="AL62" s="3372"/>
      <c r="AM62" s="3372"/>
      <c r="AN62" s="3372"/>
      <c r="AO62" s="3372"/>
      <c r="AP62" s="3372"/>
      <c r="AQ62" s="3017">
        <v>44198</v>
      </c>
      <c r="AR62" s="3017">
        <v>44560</v>
      </c>
      <c r="AS62" s="2522"/>
    </row>
    <row r="63" spans="1:45" ht="48.75" customHeight="1" x14ac:dyDescent="0.25">
      <c r="A63" s="1640"/>
      <c r="B63" s="33"/>
      <c r="C63" s="1549"/>
      <c r="D63" s="1541"/>
      <c r="G63" s="3369"/>
      <c r="H63" s="2824"/>
      <c r="I63" s="3369"/>
      <c r="J63" s="2824"/>
      <c r="K63" s="3391"/>
      <c r="L63" s="2824"/>
      <c r="M63" s="3391"/>
      <c r="N63" s="2824"/>
      <c r="O63" s="3393"/>
      <c r="P63" s="2157"/>
      <c r="Q63" s="2257"/>
      <c r="R63" s="3426"/>
      <c r="S63" s="3430"/>
      <c r="T63" s="2257"/>
      <c r="U63" s="2284"/>
      <c r="V63" s="3359"/>
      <c r="W63" s="1739">
        <v>8252158.0700000003</v>
      </c>
      <c r="X63" s="1576" t="s">
        <v>2767</v>
      </c>
      <c r="Y63" s="1744">
        <v>20</v>
      </c>
      <c r="Z63" s="1552" t="s">
        <v>73</v>
      </c>
      <c r="AA63" s="3372"/>
      <c r="AB63" s="3372"/>
      <c r="AC63" s="3372"/>
      <c r="AD63" s="3372"/>
      <c r="AE63" s="3372"/>
      <c r="AF63" s="3372"/>
      <c r="AG63" s="3372"/>
      <c r="AH63" s="3372"/>
      <c r="AI63" s="3372"/>
      <c r="AJ63" s="3372"/>
      <c r="AK63" s="3372"/>
      <c r="AL63" s="3372"/>
      <c r="AM63" s="3372"/>
      <c r="AN63" s="3372"/>
      <c r="AO63" s="3372"/>
      <c r="AP63" s="3372"/>
      <c r="AQ63" s="3018"/>
      <c r="AR63" s="3018"/>
      <c r="AS63" s="2522"/>
    </row>
    <row r="64" spans="1:45" ht="36.75" customHeight="1" x14ac:dyDescent="0.25">
      <c r="A64" s="1640"/>
      <c r="B64" s="33"/>
      <c r="C64" s="1549"/>
      <c r="D64" s="1541"/>
      <c r="G64" s="3369"/>
      <c r="H64" s="2824"/>
      <c r="I64" s="3369"/>
      <c r="J64" s="2824"/>
      <c r="K64" s="3391"/>
      <c r="L64" s="2824"/>
      <c r="M64" s="3391"/>
      <c r="N64" s="2824"/>
      <c r="O64" s="3393"/>
      <c r="P64" s="2157"/>
      <c r="Q64" s="2257"/>
      <c r="R64" s="3426"/>
      <c r="S64" s="3430"/>
      <c r="T64" s="2257"/>
      <c r="U64" s="2284"/>
      <c r="V64" s="3359"/>
      <c r="W64" s="1739">
        <v>7501385.9199999999</v>
      </c>
      <c r="X64" s="1576" t="s">
        <v>2768</v>
      </c>
      <c r="Y64" s="1744">
        <v>20</v>
      </c>
      <c r="Z64" s="1552" t="s">
        <v>73</v>
      </c>
      <c r="AA64" s="3372"/>
      <c r="AB64" s="3372"/>
      <c r="AC64" s="3372"/>
      <c r="AD64" s="3372"/>
      <c r="AE64" s="3372"/>
      <c r="AF64" s="3372"/>
      <c r="AG64" s="3372"/>
      <c r="AH64" s="3372"/>
      <c r="AI64" s="3372"/>
      <c r="AJ64" s="3372"/>
      <c r="AK64" s="3372"/>
      <c r="AL64" s="3372"/>
      <c r="AM64" s="3372"/>
      <c r="AN64" s="3372"/>
      <c r="AO64" s="3372"/>
      <c r="AP64" s="3372"/>
      <c r="AQ64" s="3018"/>
      <c r="AR64" s="3018"/>
      <c r="AS64" s="2522"/>
    </row>
    <row r="65" spans="1:45" ht="84" customHeight="1" x14ac:dyDescent="0.25">
      <c r="A65" s="1640"/>
      <c r="B65" s="33"/>
      <c r="C65" s="1549"/>
      <c r="D65" s="1541"/>
      <c r="G65" s="3376"/>
      <c r="H65" s="2825"/>
      <c r="I65" s="3376"/>
      <c r="J65" s="2825"/>
      <c r="K65" s="2881"/>
      <c r="L65" s="2825"/>
      <c r="M65" s="2881"/>
      <c r="N65" s="2825"/>
      <c r="O65" s="3394"/>
      <c r="P65" s="2157"/>
      <c r="Q65" s="2257"/>
      <c r="R65" s="3427"/>
      <c r="S65" s="3430"/>
      <c r="T65" s="2257"/>
      <c r="U65" s="2284"/>
      <c r="V65" s="3360"/>
      <c r="W65" s="1739">
        <v>2917557.61</v>
      </c>
      <c r="X65" s="1576" t="s">
        <v>2769</v>
      </c>
      <c r="Y65" s="1744">
        <v>20</v>
      </c>
      <c r="Z65" s="1552" t="s">
        <v>73</v>
      </c>
      <c r="AA65" s="3372"/>
      <c r="AB65" s="3372"/>
      <c r="AC65" s="3372"/>
      <c r="AD65" s="3372"/>
      <c r="AE65" s="3372"/>
      <c r="AF65" s="3372"/>
      <c r="AG65" s="3372"/>
      <c r="AH65" s="3372"/>
      <c r="AI65" s="3372"/>
      <c r="AJ65" s="3372"/>
      <c r="AK65" s="3372"/>
      <c r="AL65" s="3372"/>
      <c r="AM65" s="3372"/>
      <c r="AN65" s="3372"/>
      <c r="AO65" s="3372"/>
      <c r="AP65" s="3372"/>
      <c r="AQ65" s="3057"/>
      <c r="AR65" s="3057"/>
      <c r="AS65" s="2522"/>
    </row>
    <row r="66" spans="1:45" ht="117" customHeight="1" x14ac:dyDescent="0.25">
      <c r="A66" s="1640"/>
      <c r="B66" s="33"/>
      <c r="C66" s="1549"/>
      <c r="D66" s="1541"/>
      <c r="G66" s="1542">
        <v>2201010</v>
      </c>
      <c r="H66" s="1567" t="s">
        <v>2770</v>
      </c>
      <c r="I66" s="1735">
        <v>2201074</v>
      </c>
      <c r="J66" s="1567" t="s">
        <v>2771</v>
      </c>
      <c r="K66" s="1542">
        <v>220101000</v>
      </c>
      <c r="L66" s="1567" t="s">
        <v>2764</v>
      </c>
      <c r="M66" s="1144">
        <v>220107400</v>
      </c>
      <c r="N66" s="1567" t="s">
        <v>2764</v>
      </c>
      <c r="O66" s="1742">
        <v>94</v>
      </c>
      <c r="P66" s="2157"/>
      <c r="Q66" s="2257"/>
      <c r="R66" s="1743">
        <f>W66/S45</f>
        <v>0.13074146786077007</v>
      </c>
      <c r="S66" s="3430"/>
      <c r="T66" s="2257"/>
      <c r="U66" s="2285"/>
      <c r="V66" s="1745" t="s">
        <v>2772</v>
      </c>
      <c r="W66" s="1739">
        <v>20000000</v>
      </c>
      <c r="X66" s="1576" t="s">
        <v>2773</v>
      </c>
      <c r="Y66" s="1744">
        <v>20</v>
      </c>
      <c r="Z66" s="1552" t="s">
        <v>73</v>
      </c>
      <c r="AA66" s="3372"/>
      <c r="AB66" s="3372"/>
      <c r="AC66" s="3372"/>
      <c r="AD66" s="3372"/>
      <c r="AE66" s="3372"/>
      <c r="AF66" s="3372"/>
      <c r="AG66" s="3372"/>
      <c r="AH66" s="3372"/>
      <c r="AI66" s="3372"/>
      <c r="AJ66" s="3372"/>
      <c r="AK66" s="3372"/>
      <c r="AL66" s="3372"/>
      <c r="AM66" s="3372"/>
      <c r="AN66" s="3372"/>
      <c r="AO66" s="3372"/>
      <c r="AP66" s="3372"/>
      <c r="AQ66" s="1569">
        <v>44198</v>
      </c>
      <c r="AR66" s="1569">
        <v>44560</v>
      </c>
      <c r="AS66" s="2522"/>
    </row>
    <row r="67" spans="1:45" ht="86.25" customHeight="1" x14ac:dyDescent="0.25">
      <c r="A67" s="1640"/>
      <c r="B67" s="33"/>
      <c r="C67" s="1549"/>
      <c r="D67" s="1541"/>
      <c r="G67" s="1740">
        <v>2201035</v>
      </c>
      <c r="H67" s="1567" t="s">
        <v>2774</v>
      </c>
      <c r="I67" s="1740">
        <v>2201035</v>
      </c>
      <c r="J67" s="1567" t="s">
        <v>2774</v>
      </c>
      <c r="K67" s="1144">
        <v>220103500</v>
      </c>
      <c r="L67" s="1567" t="s">
        <v>2775</v>
      </c>
      <c r="M67" s="1144">
        <v>220103500</v>
      </c>
      <c r="N67" s="1567" t="s">
        <v>2775</v>
      </c>
      <c r="O67" s="1742">
        <v>8</v>
      </c>
      <c r="P67" s="2157"/>
      <c r="Q67" s="2257"/>
      <c r="R67" s="1743">
        <f>W67/S45</f>
        <v>6.5370733930385033E-2</v>
      </c>
      <c r="S67" s="3430"/>
      <c r="T67" s="2257"/>
      <c r="U67" s="2283" t="s">
        <v>2776</v>
      </c>
      <c r="V67" s="1687" t="s">
        <v>2777</v>
      </c>
      <c r="W67" s="1739">
        <v>10000000</v>
      </c>
      <c r="X67" s="1576" t="s">
        <v>2778</v>
      </c>
      <c r="Y67" s="1744">
        <v>20</v>
      </c>
      <c r="Z67" s="1552" t="s">
        <v>73</v>
      </c>
      <c r="AA67" s="3372"/>
      <c r="AB67" s="3372"/>
      <c r="AC67" s="3372"/>
      <c r="AD67" s="3372"/>
      <c r="AE67" s="3372"/>
      <c r="AF67" s="3372"/>
      <c r="AG67" s="3372"/>
      <c r="AH67" s="3372"/>
      <c r="AI67" s="3372"/>
      <c r="AJ67" s="3372"/>
      <c r="AK67" s="3372"/>
      <c r="AL67" s="3372"/>
      <c r="AM67" s="3372"/>
      <c r="AN67" s="3372"/>
      <c r="AO67" s="3372"/>
      <c r="AP67" s="3372"/>
      <c r="AQ67" s="1569">
        <v>44198</v>
      </c>
      <c r="AR67" s="1569">
        <v>44560</v>
      </c>
      <c r="AS67" s="2522"/>
    </row>
    <row r="68" spans="1:45" ht="26.25" customHeight="1" x14ac:dyDescent="0.25">
      <c r="A68" s="1640"/>
      <c r="B68" s="33"/>
      <c r="C68" s="1549"/>
      <c r="D68" s="1541"/>
      <c r="G68" s="3403">
        <v>2201046</v>
      </c>
      <c r="H68" s="2834" t="s">
        <v>2779</v>
      </c>
      <c r="I68" s="3403">
        <v>2201046</v>
      </c>
      <c r="J68" s="2834" t="s">
        <v>2779</v>
      </c>
      <c r="K68" s="3404">
        <v>220104602</v>
      </c>
      <c r="L68" s="2834" t="s">
        <v>2780</v>
      </c>
      <c r="M68" s="3404">
        <v>220104602</v>
      </c>
      <c r="N68" s="2834" t="s">
        <v>2780</v>
      </c>
      <c r="O68" s="3405">
        <v>13</v>
      </c>
      <c r="P68" s="2157"/>
      <c r="Q68" s="2257"/>
      <c r="R68" s="3425">
        <f>SUM(W68:W71)/S45</f>
        <v>6.537073399575577E-2</v>
      </c>
      <c r="S68" s="3430"/>
      <c r="T68" s="2257"/>
      <c r="U68" s="2284"/>
      <c r="V68" s="3409" t="s">
        <v>2781</v>
      </c>
      <c r="W68" s="1739">
        <v>664449.19999999995</v>
      </c>
      <c r="X68" s="1576" t="s">
        <v>2782</v>
      </c>
      <c r="Y68" s="3361">
        <v>20</v>
      </c>
      <c r="Z68" s="2458" t="s">
        <v>73</v>
      </c>
      <c r="AA68" s="3372"/>
      <c r="AB68" s="3372"/>
      <c r="AC68" s="3372"/>
      <c r="AD68" s="3372"/>
      <c r="AE68" s="3372"/>
      <c r="AF68" s="3372"/>
      <c r="AG68" s="3372"/>
      <c r="AH68" s="3372"/>
      <c r="AI68" s="3372"/>
      <c r="AJ68" s="3372"/>
      <c r="AK68" s="3372"/>
      <c r="AL68" s="3372"/>
      <c r="AM68" s="3372"/>
      <c r="AN68" s="3372"/>
      <c r="AO68" s="3372"/>
      <c r="AP68" s="3372"/>
      <c r="AQ68" s="3017">
        <v>44198</v>
      </c>
      <c r="AR68" s="3017">
        <v>44560</v>
      </c>
      <c r="AS68" s="2522"/>
    </row>
    <row r="69" spans="1:45" ht="39.75" customHeight="1" x14ac:dyDescent="0.25">
      <c r="A69" s="1640"/>
      <c r="B69" s="33"/>
      <c r="C69" s="1549"/>
      <c r="D69" s="1541"/>
      <c r="G69" s="3369"/>
      <c r="H69" s="2824"/>
      <c r="I69" s="3369"/>
      <c r="J69" s="2824"/>
      <c r="K69" s="3391"/>
      <c r="L69" s="2824"/>
      <c r="M69" s="3391"/>
      <c r="N69" s="2824"/>
      <c r="O69" s="3393"/>
      <c r="P69" s="2157"/>
      <c r="Q69" s="2257"/>
      <c r="R69" s="3426"/>
      <c r="S69" s="3430"/>
      <c r="T69" s="2257"/>
      <c r="U69" s="2284"/>
      <c r="V69" s="3359"/>
      <c r="W69" s="1739">
        <v>4126079.04</v>
      </c>
      <c r="X69" s="1576" t="s">
        <v>2783</v>
      </c>
      <c r="Y69" s="3362"/>
      <c r="Z69" s="2459"/>
      <c r="AA69" s="3372"/>
      <c r="AB69" s="3372"/>
      <c r="AC69" s="3372"/>
      <c r="AD69" s="3372"/>
      <c r="AE69" s="3372"/>
      <c r="AF69" s="3372"/>
      <c r="AG69" s="3372"/>
      <c r="AH69" s="3372"/>
      <c r="AI69" s="3372"/>
      <c r="AJ69" s="3372"/>
      <c r="AK69" s="3372"/>
      <c r="AL69" s="3372"/>
      <c r="AM69" s="3372"/>
      <c r="AN69" s="3372"/>
      <c r="AO69" s="3372"/>
      <c r="AP69" s="3372"/>
      <c r="AQ69" s="3018"/>
      <c r="AR69" s="3018"/>
      <c r="AS69" s="2522"/>
    </row>
    <row r="70" spans="1:45" x14ac:dyDescent="0.25">
      <c r="A70" s="1640"/>
      <c r="B70" s="33"/>
      <c r="C70" s="1549"/>
      <c r="D70" s="1541"/>
      <c r="G70" s="3369"/>
      <c r="H70" s="2824"/>
      <c r="I70" s="3369"/>
      <c r="J70" s="2824"/>
      <c r="K70" s="3391"/>
      <c r="L70" s="2824"/>
      <c r="M70" s="3391"/>
      <c r="N70" s="2824"/>
      <c r="O70" s="3393"/>
      <c r="P70" s="2157"/>
      <c r="Q70" s="2257"/>
      <c r="R70" s="3426"/>
      <c r="S70" s="3430"/>
      <c r="T70" s="2257"/>
      <c r="U70" s="2284"/>
      <c r="V70" s="3359"/>
      <c r="W70" s="1739">
        <v>3750692.96</v>
      </c>
      <c r="X70" s="1576" t="s">
        <v>2784</v>
      </c>
      <c r="Y70" s="3362"/>
      <c r="Z70" s="2459"/>
      <c r="AA70" s="3372"/>
      <c r="AB70" s="3372"/>
      <c r="AC70" s="3372"/>
      <c r="AD70" s="3372"/>
      <c r="AE70" s="3372"/>
      <c r="AF70" s="3372"/>
      <c r="AG70" s="3372"/>
      <c r="AH70" s="3372"/>
      <c r="AI70" s="3372"/>
      <c r="AJ70" s="3372"/>
      <c r="AK70" s="3372"/>
      <c r="AL70" s="3372"/>
      <c r="AM70" s="3372"/>
      <c r="AN70" s="3372"/>
      <c r="AO70" s="3372"/>
      <c r="AP70" s="3372"/>
      <c r="AQ70" s="3018"/>
      <c r="AR70" s="3018"/>
      <c r="AS70" s="2522"/>
    </row>
    <row r="71" spans="1:45" x14ac:dyDescent="0.25">
      <c r="A71" s="1640"/>
      <c r="B71" s="33"/>
      <c r="C71" s="1549"/>
      <c r="D71" s="1541"/>
      <c r="G71" s="3376"/>
      <c r="H71" s="2825"/>
      <c r="I71" s="3376"/>
      <c r="J71" s="2825"/>
      <c r="K71" s="2881"/>
      <c r="L71" s="2825"/>
      <c r="M71" s="2881"/>
      <c r="N71" s="2825"/>
      <c r="O71" s="3394"/>
      <c r="P71" s="2157"/>
      <c r="Q71" s="2257"/>
      <c r="R71" s="3427"/>
      <c r="S71" s="3430"/>
      <c r="T71" s="2257"/>
      <c r="U71" s="2285"/>
      <c r="V71" s="3359"/>
      <c r="W71" s="1739">
        <v>1458778.81</v>
      </c>
      <c r="X71" s="1576" t="s">
        <v>2785</v>
      </c>
      <c r="Y71" s="3363"/>
      <c r="Z71" s="2460"/>
      <c r="AA71" s="3372"/>
      <c r="AB71" s="3372"/>
      <c r="AC71" s="3372"/>
      <c r="AD71" s="3372"/>
      <c r="AE71" s="3372"/>
      <c r="AF71" s="3372"/>
      <c r="AG71" s="3372"/>
      <c r="AH71" s="3372"/>
      <c r="AI71" s="3372"/>
      <c r="AJ71" s="3372"/>
      <c r="AK71" s="3372"/>
      <c r="AL71" s="3372"/>
      <c r="AM71" s="3372"/>
      <c r="AN71" s="3372"/>
      <c r="AO71" s="3372"/>
      <c r="AP71" s="3372"/>
      <c r="AQ71" s="3057"/>
      <c r="AR71" s="3057"/>
      <c r="AS71" s="2522"/>
    </row>
    <row r="72" spans="1:45" ht="33.75" customHeight="1" x14ac:dyDescent="0.25">
      <c r="A72" s="1640"/>
      <c r="B72" s="33"/>
      <c r="C72" s="1549"/>
      <c r="D72" s="1541"/>
      <c r="G72" s="3403">
        <v>2201054</v>
      </c>
      <c r="H72" s="2834" t="s">
        <v>2786</v>
      </c>
      <c r="I72" s="3403">
        <v>2201054</v>
      </c>
      <c r="J72" s="2834" t="s">
        <v>2786</v>
      </c>
      <c r="K72" s="3404">
        <v>220105400</v>
      </c>
      <c r="L72" s="2834" t="s">
        <v>2787</v>
      </c>
      <c r="M72" s="3404">
        <v>220105400</v>
      </c>
      <c r="N72" s="2834" t="s">
        <v>2787</v>
      </c>
      <c r="O72" s="3405">
        <v>11</v>
      </c>
      <c r="P72" s="2157"/>
      <c r="Q72" s="2257"/>
      <c r="R72" s="3433">
        <f>SUM(W72:W75)/S45</f>
        <v>6.537073399575577E-2</v>
      </c>
      <c r="S72" s="3430"/>
      <c r="T72" s="2257"/>
      <c r="U72" s="3436" t="s">
        <v>2735</v>
      </c>
      <c r="V72" s="2793" t="s">
        <v>2788</v>
      </c>
      <c r="W72" s="1725">
        <v>664449.19999999995</v>
      </c>
      <c r="X72" s="1576" t="s">
        <v>2789</v>
      </c>
      <c r="Y72" s="3361">
        <v>20</v>
      </c>
      <c r="Z72" s="2458" t="s">
        <v>73</v>
      </c>
      <c r="AA72" s="3372"/>
      <c r="AB72" s="3372"/>
      <c r="AC72" s="3372"/>
      <c r="AD72" s="3372"/>
      <c r="AE72" s="3372"/>
      <c r="AF72" s="3372"/>
      <c r="AG72" s="3372"/>
      <c r="AH72" s="3372"/>
      <c r="AI72" s="3372"/>
      <c r="AJ72" s="3372"/>
      <c r="AK72" s="3372"/>
      <c r="AL72" s="3372"/>
      <c r="AM72" s="3372"/>
      <c r="AN72" s="3372"/>
      <c r="AO72" s="3372"/>
      <c r="AP72" s="3372"/>
      <c r="AQ72" s="3017">
        <v>44198</v>
      </c>
      <c r="AR72" s="3017">
        <v>44560</v>
      </c>
      <c r="AS72" s="2522"/>
    </row>
    <row r="73" spans="1:45" x14ac:dyDescent="0.25">
      <c r="A73" s="1640"/>
      <c r="B73" s="33"/>
      <c r="C73" s="1549"/>
      <c r="D73" s="1541"/>
      <c r="G73" s="3369"/>
      <c r="H73" s="2824"/>
      <c r="I73" s="3369"/>
      <c r="J73" s="2824"/>
      <c r="K73" s="3391"/>
      <c r="L73" s="2824"/>
      <c r="M73" s="3391"/>
      <c r="N73" s="2824"/>
      <c r="O73" s="3393"/>
      <c r="P73" s="2157"/>
      <c r="Q73" s="2257"/>
      <c r="R73" s="3434"/>
      <c r="S73" s="3430"/>
      <c r="T73" s="2257"/>
      <c r="U73" s="3436"/>
      <c r="V73" s="2793"/>
      <c r="W73" s="1725">
        <v>4126079.04</v>
      </c>
      <c r="X73" s="1576" t="s">
        <v>2790</v>
      </c>
      <c r="Y73" s="3362"/>
      <c r="Z73" s="2459"/>
      <c r="AA73" s="3372"/>
      <c r="AB73" s="3372"/>
      <c r="AC73" s="3372"/>
      <c r="AD73" s="3372"/>
      <c r="AE73" s="3372"/>
      <c r="AF73" s="3372"/>
      <c r="AG73" s="3372"/>
      <c r="AH73" s="3372"/>
      <c r="AI73" s="3372"/>
      <c r="AJ73" s="3372"/>
      <c r="AK73" s="3372"/>
      <c r="AL73" s="3372"/>
      <c r="AM73" s="3372"/>
      <c r="AN73" s="3372"/>
      <c r="AO73" s="3372"/>
      <c r="AP73" s="3372"/>
      <c r="AQ73" s="3018"/>
      <c r="AR73" s="3018"/>
      <c r="AS73" s="2522"/>
    </row>
    <row r="74" spans="1:45" ht="39" customHeight="1" x14ac:dyDescent="0.25">
      <c r="A74" s="1640"/>
      <c r="B74" s="33"/>
      <c r="C74" s="1549"/>
      <c r="D74" s="1541"/>
      <c r="G74" s="3369"/>
      <c r="H74" s="2824"/>
      <c r="I74" s="3369"/>
      <c r="J74" s="2824"/>
      <c r="K74" s="3391"/>
      <c r="L74" s="2824"/>
      <c r="M74" s="3391"/>
      <c r="N74" s="2824"/>
      <c r="O74" s="3393"/>
      <c r="P74" s="2157"/>
      <c r="Q74" s="2257"/>
      <c r="R74" s="3434"/>
      <c r="S74" s="3430"/>
      <c r="T74" s="2257"/>
      <c r="U74" s="3436"/>
      <c r="V74" s="2793"/>
      <c r="W74" s="1725">
        <v>3750692.96</v>
      </c>
      <c r="X74" s="1576" t="s">
        <v>2791</v>
      </c>
      <c r="Y74" s="3362"/>
      <c r="Z74" s="2459"/>
      <c r="AA74" s="3372"/>
      <c r="AB74" s="3372"/>
      <c r="AC74" s="3372"/>
      <c r="AD74" s="3372"/>
      <c r="AE74" s="3372"/>
      <c r="AF74" s="3372"/>
      <c r="AG74" s="3372"/>
      <c r="AH74" s="3372"/>
      <c r="AI74" s="3372"/>
      <c r="AJ74" s="3372"/>
      <c r="AK74" s="3372"/>
      <c r="AL74" s="3372"/>
      <c r="AM74" s="3372"/>
      <c r="AN74" s="3372"/>
      <c r="AO74" s="3372"/>
      <c r="AP74" s="3372"/>
      <c r="AQ74" s="3018"/>
      <c r="AR74" s="3018"/>
      <c r="AS74" s="2522"/>
    </row>
    <row r="75" spans="1:45" x14ac:dyDescent="0.25">
      <c r="A75" s="1640"/>
      <c r="B75" s="33"/>
      <c r="C75" s="1549"/>
      <c r="D75" s="1541"/>
      <c r="G75" s="3376"/>
      <c r="H75" s="2825"/>
      <c r="I75" s="3376"/>
      <c r="J75" s="2825"/>
      <c r="K75" s="2881"/>
      <c r="L75" s="2825"/>
      <c r="M75" s="2881"/>
      <c r="N75" s="2825"/>
      <c r="O75" s="3394"/>
      <c r="P75" s="2157"/>
      <c r="Q75" s="2257"/>
      <c r="R75" s="3435"/>
      <c r="S75" s="3430"/>
      <c r="T75" s="2257"/>
      <c r="U75" s="3436"/>
      <c r="V75" s="2793"/>
      <c r="W75" s="1725">
        <v>1458778.81</v>
      </c>
      <c r="X75" s="1576" t="s">
        <v>2792</v>
      </c>
      <c r="Y75" s="3363"/>
      <c r="Z75" s="2460"/>
      <c r="AA75" s="3372"/>
      <c r="AB75" s="3372"/>
      <c r="AC75" s="3372"/>
      <c r="AD75" s="3372"/>
      <c r="AE75" s="3372"/>
      <c r="AF75" s="3372"/>
      <c r="AG75" s="3372"/>
      <c r="AH75" s="3372"/>
      <c r="AI75" s="3372"/>
      <c r="AJ75" s="3372"/>
      <c r="AK75" s="3372"/>
      <c r="AL75" s="3372"/>
      <c r="AM75" s="3372"/>
      <c r="AN75" s="3372"/>
      <c r="AO75" s="3372"/>
      <c r="AP75" s="3372"/>
      <c r="AQ75" s="3057"/>
      <c r="AR75" s="3057"/>
      <c r="AS75" s="2522"/>
    </row>
    <row r="76" spans="1:45" ht="83.25" customHeight="1" x14ac:dyDescent="0.25">
      <c r="A76" s="1640"/>
      <c r="B76" s="33"/>
      <c r="C76" s="1549"/>
      <c r="D76" s="1541"/>
      <c r="G76" s="1746">
        <v>2201061</v>
      </c>
      <c r="H76" s="1574" t="s">
        <v>2793</v>
      </c>
      <c r="I76" s="1746">
        <v>2201061</v>
      </c>
      <c r="J76" s="1574" t="s">
        <v>2793</v>
      </c>
      <c r="K76" s="1747">
        <v>220106102</v>
      </c>
      <c r="L76" s="1574" t="s">
        <v>2794</v>
      </c>
      <c r="M76" s="1747">
        <v>220106102</v>
      </c>
      <c r="N76" s="1574" t="s">
        <v>2794</v>
      </c>
      <c r="O76" s="1748">
        <v>12</v>
      </c>
      <c r="P76" s="2157"/>
      <c r="Q76" s="2257"/>
      <c r="R76" s="1749">
        <f>W76/S45</f>
        <v>6.5370733930385033E-2</v>
      </c>
      <c r="S76" s="3430"/>
      <c r="T76" s="2257"/>
      <c r="U76" s="1560" t="s">
        <v>2776</v>
      </c>
      <c r="V76" s="1686" t="s">
        <v>2795</v>
      </c>
      <c r="W76" s="1739">
        <v>10000000</v>
      </c>
      <c r="X76" s="1576" t="s">
        <v>2796</v>
      </c>
      <c r="Y76" s="1744">
        <v>20</v>
      </c>
      <c r="Z76" s="1552" t="s">
        <v>73</v>
      </c>
      <c r="AA76" s="3372"/>
      <c r="AB76" s="3372"/>
      <c r="AC76" s="3372"/>
      <c r="AD76" s="3372"/>
      <c r="AE76" s="3372"/>
      <c r="AF76" s="3372"/>
      <c r="AG76" s="3372"/>
      <c r="AH76" s="3372"/>
      <c r="AI76" s="3372"/>
      <c r="AJ76" s="3372"/>
      <c r="AK76" s="3372"/>
      <c r="AL76" s="3372"/>
      <c r="AM76" s="3372"/>
      <c r="AN76" s="3372"/>
      <c r="AO76" s="3372"/>
      <c r="AP76" s="3372"/>
      <c r="AQ76" s="1569">
        <v>44198</v>
      </c>
      <c r="AR76" s="1569">
        <v>44560</v>
      </c>
      <c r="AS76" s="2522"/>
    </row>
    <row r="77" spans="1:45" ht="95.25" customHeight="1" x14ac:dyDescent="0.25">
      <c r="A77" s="1640"/>
      <c r="B77" s="33"/>
      <c r="C77" s="1549"/>
      <c r="D77" s="1541"/>
      <c r="G77" s="1731">
        <v>2201066</v>
      </c>
      <c r="H77" s="1548" t="s">
        <v>2797</v>
      </c>
      <c r="I77" s="1731">
        <v>2201066</v>
      </c>
      <c r="J77" s="1548" t="s">
        <v>2797</v>
      </c>
      <c r="K77" s="1734">
        <v>220106600</v>
      </c>
      <c r="L77" s="1548" t="s">
        <v>2798</v>
      </c>
      <c r="M77" s="1734">
        <v>220106600</v>
      </c>
      <c r="N77" s="1548" t="s">
        <v>2798</v>
      </c>
      <c r="O77" s="1750">
        <v>10000</v>
      </c>
      <c r="P77" s="2157"/>
      <c r="Q77" s="2280"/>
      <c r="R77" s="1751">
        <f>W77/S45</f>
        <v>1.0067093025279295E-2</v>
      </c>
      <c r="S77" s="3431"/>
      <c r="T77" s="2280"/>
      <c r="U77" s="1560" t="s">
        <v>2735</v>
      </c>
      <c r="V77" s="1573" t="s">
        <v>2799</v>
      </c>
      <c r="W77" s="1739">
        <f>10000000-8460000</f>
        <v>1540000</v>
      </c>
      <c r="X77" s="1576" t="s">
        <v>2800</v>
      </c>
      <c r="Y77" s="1752">
        <v>20</v>
      </c>
      <c r="Z77" s="1558" t="s">
        <v>73</v>
      </c>
      <c r="AA77" s="3372"/>
      <c r="AB77" s="3372"/>
      <c r="AC77" s="3372"/>
      <c r="AD77" s="3372"/>
      <c r="AE77" s="3372"/>
      <c r="AF77" s="3372"/>
      <c r="AG77" s="3372"/>
      <c r="AH77" s="3372"/>
      <c r="AI77" s="3372"/>
      <c r="AJ77" s="3372"/>
      <c r="AK77" s="3372"/>
      <c r="AL77" s="3372"/>
      <c r="AM77" s="3372"/>
      <c r="AN77" s="3372"/>
      <c r="AO77" s="3372"/>
      <c r="AP77" s="3372"/>
      <c r="AQ77" s="1569">
        <v>44198</v>
      </c>
      <c r="AR77" s="1569">
        <v>44560</v>
      </c>
      <c r="AS77" s="2523"/>
    </row>
    <row r="78" spans="1:45" ht="21.75" customHeight="1" x14ac:dyDescent="0.25">
      <c r="A78" s="1640"/>
      <c r="B78" s="33"/>
      <c r="C78" s="1549"/>
      <c r="D78" s="1541"/>
      <c r="G78" s="3403">
        <v>2201050</v>
      </c>
      <c r="H78" s="2834" t="s">
        <v>2801</v>
      </c>
      <c r="I78" s="3403">
        <v>2201050</v>
      </c>
      <c r="J78" s="2834" t="s">
        <v>2801</v>
      </c>
      <c r="K78" s="3404">
        <v>220105000</v>
      </c>
      <c r="L78" s="2834" t="s">
        <v>2802</v>
      </c>
      <c r="M78" s="3404">
        <v>220105000</v>
      </c>
      <c r="N78" s="2834" t="s">
        <v>2802</v>
      </c>
      <c r="O78" s="3405">
        <v>8000</v>
      </c>
      <c r="P78" s="2287" t="s">
        <v>2803</v>
      </c>
      <c r="Q78" s="2259" t="s">
        <v>2804</v>
      </c>
      <c r="R78" s="3415">
        <f>SUM(W78:W81)/S78</f>
        <v>1.6341321671867436E-2</v>
      </c>
      <c r="S78" s="3356">
        <f>SUM(W78:W89)</f>
        <v>611945607.01999998</v>
      </c>
      <c r="T78" s="2280" t="s">
        <v>2805</v>
      </c>
      <c r="U78" s="2319" t="s">
        <v>2806</v>
      </c>
      <c r="V78" s="2793" t="s">
        <v>2807</v>
      </c>
      <c r="W78" s="1725">
        <v>664449.19999999995</v>
      </c>
      <c r="X78" s="1576" t="s">
        <v>2808</v>
      </c>
      <c r="Y78" s="3414">
        <v>20</v>
      </c>
      <c r="Z78" s="3355" t="s">
        <v>73</v>
      </c>
      <c r="AA78" s="3374">
        <v>19649</v>
      </c>
      <c r="AB78" s="3320">
        <v>20118</v>
      </c>
      <c r="AC78" s="3320">
        <v>28907</v>
      </c>
      <c r="AD78" s="3320">
        <v>9525</v>
      </c>
      <c r="AE78" s="3320">
        <v>1222</v>
      </c>
      <c r="AF78" s="3320">
        <v>113</v>
      </c>
      <c r="AG78" s="3320">
        <v>297</v>
      </c>
      <c r="AH78" s="3320">
        <v>345</v>
      </c>
      <c r="AI78" s="3320">
        <v>0</v>
      </c>
      <c r="AJ78" s="3320">
        <v>0</v>
      </c>
      <c r="AK78" s="3320">
        <v>0</v>
      </c>
      <c r="AL78" s="3320">
        <v>0</v>
      </c>
      <c r="AM78" s="3320">
        <v>3301</v>
      </c>
      <c r="AN78" s="3320">
        <v>2507</v>
      </c>
      <c r="AO78" s="3320">
        <v>113</v>
      </c>
      <c r="AP78" s="3320">
        <f>SUM(AA78:AB86)</f>
        <v>39767</v>
      </c>
      <c r="AQ78" s="3017">
        <v>44198</v>
      </c>
      <c r="AR78" s="3017">
        <v>44560</v>
      </c>
      <c r="AS78" s="2521" t="s">
        <v>2649</v>
      </c>
    </row>
    <row r="79" spans="1:45" ht="29.25" customHeight="1" x14ac:dyDescent="0.25">
      <c r="A79" s="1640"/>
      <c r="B79" s="33"/>
      <c r="C79" s="1549"/>
      <c r="D79" s="1541"/>
      <c r="G79" s="3369"/>
      <c r="H79" s="2824"/>
      <c r="I79" s="3369"/>
      <c r="J79" s="2824"/>
      <c r="K79" s="3391"/>
      <c r="L79" s="2824"/>
      <c r="M79" s="3391"/>
      <c r="N79" s="2824"/>
      <c r="O79" s="3393"/>
      <c r="P79" s="2157"/>
      <c r="Q79" s="2259"/>
      <c r="R79" s="3415"/>
      <c r="S79" s="3357"/>
      <c r="T79" s="2281"/>
      <c r="U79" s="2319"/>
      <c r="V79" s="2793"/>
      <c r="W79" s="1725">
        <v>4126079.04</v>
      </c>
      <c r="X79" s="1576" t="s">
        <v>2809</v>
      </c>
      <c r="Y79" s="3414"/>
      <c r="Z79" s="3355"/>
      <c r="AA79" s="3375"/>
      <c r="AB79" s="3372"/>
      <c r="AC79" s="3372"/>
      <c r="AD79" s="3372"/>
      <c r="AE79" s="3372"/>
      <c r="AF79" s="3372"/>
      <c r="AG79" s="3372"/>
      <c r="AH79" s="3372"/>
      <c r="AI79" s="3372"/>
      <c r="AJ79" s="3372"/>
      <c r="AK79" s="3372"/>
      <c r="AL79" s="3372"/>
      <c r="AM79" s="3372"/>
      <c r="AN79" s="3372"/>
      <c r="AO79" s="3372"/>
      <c r="AP79" s="3372"/>
      <c r="AQ79" s="3018"/>
      <c r="AR79" s="3018"/>
      <c r="AS79" s="2522"/>
    </row>
    <row r="80" spans="1:45" ht="27" customHeight="1" x14ac:dyDescent="0.25">
      <c r="A80" s="1640"/>
      <c r="B80" s="33"/>
      <c r="C80" s="1549"/>
      <c r="D80" s="1541"/>
      <c r="G80" s="3369"/>
      <c r="H80" s="2824"/>
      <c r="I80" s="3369"/>
      <c r="J80" s="2824"/>
      <c r="K80" s="3391"/>
      <c r="L80" s="2824"/>
      <c r="M80" s="3391"/>
      <c r="N80" s="2824"/>
      <c r="O80" s="3393"/>
      <c r="P80" s="2157"/>
      <c r="Q80" s="2259"/>
      <c r="R80" s="3415"/>
      <c r="S80" s="3357"/>
      <c r="T80" s="2281"/>
      <c r="U80" s="2319"/>
      <c r="V80" s="2793"/>
      <c r="W80" s="1725">
        <v>3750692.96</v>
      </c>
      <c r="X80" s="1576" t="s">
        <v>2810</v>
      </c>
      <c r="Y80" s="3414"/>
      <c r="Z80" s="3355"/>
      <c r="AA80" s="3375"/>
      <c r="AB80" s="3372"/>
      <c r="AC80" s="3372"/>
      <c r="AD80" s="3372"/>
      <c r="AE80" s="3372"/>
      <c r="AF80" s="3372"/>
      <c r="AG80" s="3372"/>
      <c r="AH80" s="3372"/>
      <c r="AI80" s="3372"/>
      <c r="AJ80" s="3372"/>
      <c r="AK80" s="3372"/>
      <c r="AL80" s="3372"/>
      <c r="AM80" s="3372"/>
      <c r="AN80" s="3372"/>
      <c r="AO80" s="3372"/>
      <c r="AP80" s="3372"/>
      <c r="AQ80" s="3018"/>
      <c r="AR80" s="3018"/>
      <c r="AS80" s="2522"/>
    </row>
    <row r="81" spans="1:45" ht="30.75" customHeight="1" x14ac:dyDescent="0.25">
      <c r="A81" s="1640"/>
      <c r="B81" s="33"/>
      <c r="C81" s="1549"/>
      <c r="D81" s="1541"/>
      <c r="G81" s="3376"/>
      <c r="H81" s="2825"/>
      <c r="I81" s="3376"/>
      <c r="J81" s="2825"/>
      <c r="K81" s="2881"/>
      <c r="L81" s="2825"/>
      <c r="M81" s="2881"/>
      <c r="N81" s="2825"/>
      <c r="O81" s="3394"/>
      <c r="P81" s="2157"/>
      <c r="Q81" s="2259"/>
      <c r="R81" s="3415"/>
      <c r="S81" s="3357"/>
      <c r="T81" s="2281"/>
      <c r="U81" s="2319"/>
      <c r="V81" s="2793"/>
      <c r="W81" s="1725">
        <v>1458778.81</v>
      </c>
      <c r="X81" s="1576" t="s">
        <v>2811</v>
      </c>
      <c r="Y81" s="3414"/>
      <c r="Z81" s="3355"/>
      <c r="AA81" s="3375"/>
      <c r="AB81" s="3372"/>
      <c r="AC81" s="3372"/>
      <c r="AD81" s="3372"/>
      <c r="AE81" s="3372"/>
      <c r="AF81" s="3372"/>
      <c r="AG81" s="3372"/>
      <c r="AH81" s="3372"/>
      <c r="AI81" s="3372"/>
      <c r="AJ81" s="3372"/>
      <c r="AK81" s="3372"/>
      <c r="AL81" s="3372"/>
      <c r="AM81" s="3372"/>
      <c r="AN81" s="3372"/>
      <c r="AO81" s="3372"/>
      <c r="AP81" s="3372"/>
      <c r="AQ81" s="3057"/>
      <c r="AR81" s="3057"/>
      <c r="AS81" s="2522"/>
    </row>
    <row r="82" spans="1:45" ht="35.25" customHeight="1" x14ac:dyDescent="0.25">
      <c r="A82" s="1640"/>
      <c r="B82" s="33"/>
      <c r="C82" s="1549"/>
      <c r="D82" s="1541"/>
      <c r="G82" s="3403">
        <v>2201050</v>
      </c>
      <c r="H82" s="2834" t="s">
        <v>2801</v>
      </c>
      <c r="I82" s="3403">
        <v>2201050</v>
      </c>
      <c r="J82" s="2834" t="s">
        <v>2801</v>
      </c>
      <c r="K82" s="3404">
        <v>220105001</v>
      </c>
      <c r="L82" s="2834" t="s">
        <v>2812</v>
      </c>
      <c r="M82" s="3404">
        <v>220105001</v>
      </c>
      <c r="N82" s="2834" t="s">
        <v>2812</v>
      </c>
      <c r="O82" s="3405">
        <v>150</v>
      </c>
      <c r="P82" s="2157"/>
      <c r="Q82" s="2259"/>
      <c r="R82" s="3416">
        <f>SUM(W82:W85)/S78</f>
        <v>0.96731735665626517</v>
      </c>
      <c r="S82" s="3357"/>
      <c r="T82" s="2281"/>
      <c r="U82" s="2319"/>
      <c r="V82" s="2793" t="s">
        <v>2813</v>
      </c>
      <c r="W82" s="1725">
        <f>49767245-10435466</f>
        <v>39331779</v>
      </c>
      <c r="X82" s="1576" t="s">
        <v>2814</v>
      </c>
      <c r="Y82" s="3414">
        <v>25</v>
      </c>
      <c r="Z82" s="3355" t="s">
        <v>2648</v>
      </c>
      <c r="AA82" s="3375"/>
      <c r="AB82" s="3372"/>
      <c r="AC82" s="3372"/>
      <c r="AD82" s="3372"/>
      <c r="AE82" s="3372"/>
      <c r="AF82" s="3372"/>
      <c r="AG82" s="3372"/>
      <c r="AH82" s="3372"/>
      <c r="AI82" s="3372"/>
      <c r="AJ82" s="3372"/>
      <c r="AK82" s="3372"/>
      <c r="AL82" s="3372"/>
      <c r="AM82" s="3372"/>
      <c r="AN82" s="3372"/>
      <c r="AO82" s="3372"/>
      <c r="AP82" s="3372"/>
      <c r="AQ82" s="3017">
        <v>44198</v>
      </c>
      <c r="AR82" s="3017">
        <v>44560</v>
      </c>
      <c r="AS82" s="2522"/>
    </row>
    <row r="83" spans="1:45" ht="26.25" customHeight="1" x14ac:dyDescent="0.25">
      <c r="A83" s="1640"/>
      <c r="B83" s="33"/>
      <c r="C83" s="1549"/>
      <c r="D83" s="1541"/>
      <c r="G83" s="3369"/>
      <c r="H83" s="2824"/>
      <c r="I83" s="3369"/>
      <c r="J83" s="2824"/>
      <c r="K83" s="3391"/>
      <c r="L83" s="2824"/>
      <c r="M83" s="3391"/>
      <c r="N83" s="2824"/>
      <c r="O83" s="3393"/>
      <c r="P83" s="2157"/>
      <c r="Q83" s="2259"/>
      <c r="R83" s="3416"/>
      <c r="S83" s="3357"/>
      <c r="T83" s="2281"/>
      <c r="U83" s="2319"/>
      <c r="V83" s="2793"/>
      <c r="W83" s="1725">
        <f>309043320-64801884</f>
        <v>244241436</v>
      </c>
      <c r="X83" s="1576" t="s">
        <v>2815</v>
      </c>
      <c r="Y83" s="3414"/>
      <c r="Z83" s="3355"/>
      <c r="AA83" s="3375"/>
      <c r="AB83" s="3372"/>
      <c r="AC83" s="3372"/>
      <c r="AD83" s="3372"/>
      <c r="AE83" s="3372"/>
      <c r="AF83" s="3372"/>
      <c r="AG83" s="3372"/>
      <c r="AH83" s="3372"/>
      <c r="AI83" s="3372"/>
      <c r="AJ83" s="3372"/>
      <c r="AK83" s="3372"/>
      <c r="AL83" s="3372"/>
      <c r="AM83" s="3372"/>
      <c r="AN83" s="3372"/>
      <c r="AO83" s="3372"/>
      <c r="AP83" s="3372"/>
      <c r="AQ83" s="3018"/>
      <c r="AR83" s="3018"/>
      <c r="AS83" s="2522"/>
    </row>
    <row r="84" spans="1:45" ht="21" customHeight="1" x14ac:dyDescent="0.25">
      <c r="A84" s="1640"/>
      <c r="B84" s="33"/>
      <c r="C84" s="1549"/>
      <c r="D84" s="1541"/>
      <c r="G84" s="3369"/>
      <c r="H84" s="2824"/>
      <c r="I84" s="3369"/>
      <c r="J84" s="2824"/>
      <c r="K84" s="3391"/>
      <c r="L84" s="2824"/>
      <c r="M84" s="3391"/>
      <c r="N84" s="2824"/>
      <c r="O84" s="3393"/>
      <c r="P84" s="2157"/>
      <c r="Q84" s="2259"/>
      <c r="R84" s="3416"/>
      <c r="S84" s="3357"/>
      <c r="T84" s="2281"/>
      <c r="U84" s="2319"/>
      <c r="V84" s="2793"/>
      <c r="W84" s="1725">
        <f>280926903-58906281</f>
        <v>222020622</v>
      </c>
      <c r="X84" s="1576" t="s">
        <v>2816</v>
      </c>
      <c r="Y84" s="3414"/>
      <c r="Z84" s="3355"/>
      <c r="AA84" s="3375"/>
      <c r="AB84" s="3372"/>
      <c r="AC84" s="3372"/>
      <c r="AD84" s="3372"/>
      <c r="AE84" s="3372"/>
      <c r="AF84" s="3372"/>
      <c r="AG84" s="3372"/>
      <c r="AH84" s="3372"/>
      <c r="AI84" s="3372"/>
      <c r="AJ84" s="3372"/>
      <c r="AK84" s="3372"/>
      <c r="AL84" s="3372"/>
      <c r="AM84" s="3372"/>
      <c r="AN84" s="3372"/>
      <c r="AO84" s="3372"/>
      <c r="AP84" s="3372"/>
      <c r="AQ84" s="3018"/>
      <c r="AR84" s="3018"/>
      <c r="AS84" s="2522"/>
    </row>
    <row r="85" spans="1:45" ht="17.25" customHeight="1" x14ac:dyDescent="0.25">
      <c r="A85" s="1640"/>
      <c r="B85" s="33"/>
      <c r="C85" s="1549"/>
      <c r="D85" s="1541"/>
      <c r="G85" s="3376"/>
      <c r="H85" s="2825"/>
      <c r="I85" s="3376"/>
      <c r="J85" s="2825"/>
      <c r="K85" s="2881"/>
      <c r="L85" s="2825"/>
      <c r="M85" s="2881"/>
      <c r="N85" s="2825"/>
      <c r="O85" s="3394"/>
      <c r="P85" s="2157"/>
      <c r="Q85" s="2259"/>
      <c r="R85" s="3416"/>
      <c r="S85" s="3357"/>
      <c r="T85" s="2281"/>
      <c r="U85" s="2319"/>
      <c r="V85" s="2793"/>
      <c r="W85" s="1725">
        <f>109262532-22910762</f>
        <v>86351770</v>
      </c>
      <c r="X85" s="1576" t="s">
        <v>2817</v>
      </c>
      <c r="Y85" s="3414"/>
      <c r="Z85" s="3355"/>
      <c r="AA85" s="3375"/>
      <c r="AB85" s="3372"/>
      <c r="AC85" s="3372"/>
      <c r="AD85" s="3372"/>
      <c r="AE85" s="3372"/>
      <c r="AF85" s="3372"/>
      <c r="AG85" s="3372"/>
      <c r="AH85" s="3372"/>
      <c r="AI85" s="3372"/>
      <c r="AJ85" s="3372"/>
      <c r="AK85" s="3372"/>
      <c r="AL85" s="3372"/>
      <c r="AM85" s="3372"/>
      <c r="AN85" s="3372"/>
      <c r="AO85" s="3372"/>
      <c r="AP85" s="3372"/>
      <c r="AQ85" s="3057"/>
      <c r="AR85" s="3057"/>
      <c r="AS85" s="2522"/>
    </row>
    <row r="86" spans="1:45" ht="28.5" customHeight="1" x14ac:dyDescent="0.25">
      <c r="A86" s="1640"/>
      <c r="B86" s="33"/>
      <c r="C86" s="1549"/>
      <c r="D86" s="1541"/>
      <c r="G86" s="3403" t="s">
        <v>62</v>
      </c>
      <c r="H86" s="2834" t="s">
        <v>2818</v>
      </c>
      <c r="I86" s="3403">
        <v>2201001</v>
      </c>
      <c r="J86" s="2834" t="s">
        <v>1337</v>
      </c>
      <c r="K86" s="3404" t="s">
        <v>62</v>
      </c>
      <c r="L86" s="2834" t="s">
        <v>2819</v>
      </c>
      <c r="M86" s="3404">
        <v>220100100</v>
      </c>
      <c r="N86" s="2834" t="s">
        <v>2820</v>
      </c>
      <c r="O86" s="3405">
        <v>2</v>
      </c>
      <c r="P86" s="2157"/>
      <c r="Q86" s="2259"/>
      <c r="R86" s="3415">
        <f>SUM(W86:W89)/S78</f>
        <v>1.6341321671867436E-2</v>
      </c>
      <c r="S86" s="3357"/>
      <c r="T86" s="2281"/>
      <c r="U86" s="2319" t="s">
        <v>2821</v>
      </c>
      <c r="V86" s="2825" t="s">
        <v>2822</v>
      </c>
      <c r="W86" s="1725">
        <v>664449.19999999995</v>
      </c>
      <c r="X86" s="1576" t="s">
        <v>2823</v>
      </c>
      <c r="Y86" s="3362">
        <v>20</v>
      </c>
      <c r="Z86" s="2459" t="s">
        <v>73</v>
      </c>
      <c r="AA86" s="3372"/>
      <c r="AB86" s="3372"/>
      <c r="AC86" s="3372"/>
      <c r="AD86" s="3372"/>
      <c r="AE86" s="3372"/>
      <c r="AF86" s="3372"/>
      <c r="AG86" s="3372"/>
      <c r="AH86" s="3372"/>
      <c r="AI86" s="3372"/>
      <c r="AJ86" s="3372"/>
      <c r="AK86" s="3372"/>
      <c r="AL86" s="3372"/>
      <c r="AM86" s="3372"/>
      <c r="AN86" s="3372"/>
      <c r="AO86" s="3372"/>
      <c r="AP86" s="3372"/>
      <c r="AQ86" s="3017">
        <v>44198</v>
      </c>
      <c r="AR86" s="3017">
        <v>44560</v>
      </c>
      <c r="AS86" s="2522"/>
    </row>
    <row r="87" spans="1:45" ht="25.5" customHeight="1" x14ac:dyDescent="0.25">
      <c r="A87" s="1640"/>
      <c r="B87" s="33"/>
      <c r="C87" s="1549"/>
      <c r="D87" s="1541"/>
      <c r="G87" s="3369"/>
      <c r="H87" s="2824"/>
      <c r="I87" s="3369"/>
      <c r="J87" s="2824"/>
      <c r="K87" s="3391"/>
      <c r="L87" s="2824"/>
      <c r="M87" s="3391"/>
      <c r="N87" s="2824"/>
      <c r="O87" s="3393"/>
      <c r="P87" s="2157"/>
      <c r="Q87" s="2259"/>
      <c r="R87" s="3415"/>
      <c r="S87" s="3357"/>
      <c r="T87" s="2281"/>
      <c r="U87" s="2319"/>
      <c r="V87" s="2793"/>
      <c r="W87" s="1725">
        <v>4126079.04</v>
      </c>
      <c r="X87" s="1576" t="s">
        <v>2824</v>
      </c>
      <c r="Y87" s="3362"/>
      <c r="Z87" s="2459"/>
      <c r="AA87" s="3372"/>
      <c r="AB87" s="3372"/>
      <c r="AC87" s="3372"/>
      <c r="AD87" s="3372"/>
      <c r="AE87" s="3372"/>
      <c r="AF87" s="3372"/>
      <c r="AG87" s="3372"/>
      <c r="AH87" s="3372"/>
      <c r="AI87" s="3372"/>
      <c r="AJ87" s="3372"/>
      <c r="AK87" s="3372"/>
      <c r="AL87" s="3372"/>
      <c r="AM87" s="3372"/>
      <c r="AN87" s="3372"/>
      <c r="AO87" s="3372"/>
      <c r="AP87" s="3372"/>
      <c r="AQ87" s="3018"/>
      <c r="AR87" s="3018"/>
      <c r="AS87" s="2522"/>
    </row>
    <row r="88" spans="1:45" ht="21.75" customHeight="1" x14ac:dyDescent="0.25">
      <c r="A88" s="1640"/>
      <c r="B88" s="33"/>
      <c r="C88" s="1549"/>
      <c r="D88" s="1541"/>
      <c r="G88" s="3369"/>
      <c r="H88" s="2824"/>
      <c r="I88" s="3369"/>
      <c r="J88" s="2824"/>
      <c r="K88" s="3391"/>
      <c r="L88" s="2824"/>
      <c r="M88" s="3391"/>
      <c r="N88" s="2824"/>
      <c r="O88" s="3393"/>
      <c r="P88" s="2157"/>
      <c r="Q88" s="2259"/>
      <c r="R88" s="3415"/>
      <c r="S88" s="3357"/>
      <c r="T88" s="2281"/>
      <c r="U88" s="2319"/>
      <c r="V88" s="2793"/>
      <c r="W88" s="1725">
        <v>3750692.96</v>
      </c>
      <c r="X88" s="1576" t="s">
        <v>2825</v>
      </c>
      <c r="Y88" s="3362"/>
      <c r="Z88" s="2459"/>
      <c r="AA88" s="3372"/>
      <c r="AB88" s="3372"/>
      <c r="AC88" s="3372"/>
      <c r="AD88" s="3372"/>
      <c r="AE88" s="3372"/>
      <c r="AF88" s="3372"/>
      <c r="AG88" s="3372"/>
      <c r="AH88" s="3372"/>
      <c r="AI88" s="3372"/>
      <c r="AJ88" s="3372"/>
      <c r="AK88" s="3372"/>
      <c r="AL88" s="3372"/>
      <c r="AM88" s="3372"/>
      <c r="AN88" s="3372"/>
      <c r="AO88" s="3372"/>
      <c r="AP88" s="3372"/>
      <c r="AQ88" s="3018"/>
      <c r="AR88" s="3018"/>
      <c r="AS88" s="2522"/>
    </row>
    <row r="89" spans="1:45" ht="24.75" customHeight="1" x14ac:dyDescent="0.25">
      <c r="A89" s="1640"/>
      <c r="B89" s="33"/>
      <c r="C89" s="1549"/>
      <c r="D89" s="1541"/>
      <c r="G89" s="3376"/>
      <c r="H89" s="2825"/>
      <c r="I89" s="3376"/>
      <c r="J89" s="2825"/>
      <c r="K89" s="2881"/>
      <c r="L89" s="2825"/>
      <c r="M89" s="2881"/>
      <c r="N89" s="2825"/>
      <c r="O89" s="3394"/>
      <c r="P89" s="2304"/>
      <c r="Q89" s="2259"/>
      <c r="R89" s="3415"/>
      <c r="S89" s="3413"/>
      <c r="T89" s="2282"/>
      <c r="U89" s="2319"/>
      <c r="V89" s="2793"/>
      <c r="W89" s="1725">
        <v>1458778.81</v>
      </c>
      <c r="X89" s="1576" t="s">
        <v>2826</v>
      </c>
      <c r="Y89" s="3363"/>
      <c r="Z89" s="2460"/>
      <c r="AA89" s="3319"/>
      <c r="AB89" s="3319"/>
      <c r="AC89" s="3319"/>
      <c r="AD89" s="3319"/>
      <c r="AE89" s="3319"/>
      <c r="AF89" s="3319"/>
      <c r="AG89" s="3319"/>
      <c r="AH89" s="3319"/>
      <c r="AI89" s="3319"/>
      <c r="AJ89" s="3319"/>
      <c r="AK89" s="3319"/>
      <c r="AL89" s="3319"/>
      <c r="AM89" s="3319"/>
      <c r="AN89" s="3319"/>
      <c r="AO89" s="3319"/>
      <c r="AP89" s="3319"/>
      <c r="AQ89" s="3057"/>
      <c r="AR89" s="3057"/>
      <c r="AS89" s="2523"/>
    </row>
    <row r="90" spans="1:45" ht="35.25" customHeight="1" x14ac:dyDescent="0.25">
      <c r="A90" s="1640"/>
      <c r="B90" s="33"/>
      <c r="C90" s="1549"/>
      <c r="D90" s="1541"/>
      <c r="G90" s="3403">
        <v>2201001</v>
      </c>
      <c r="H90" s="2834" t="s">
        <v>1337</v>
      </c>
      <c r="I90" s="3403">
        <v>2201001</v>
      </c>
      <c r="J90" s="2834" t="s">
        <v>1337</v>
      </c>
      <c r="K90" s="3404">
        <v>220100100</v>
      </c>
      <c r="L90" s="2834" t="s">
        <v>2820</v>
      </c>
      <c r="M90" s="3404">
        <v>220100100</v>
      </c>
      <c r="N90" s="2834" t="s">
        <v>2820</v>
      </c>
      <c r="O90" s="3405">
        <v>5</v>
      </c>
      <c r="P90" s="2287" t="s">
        <v>2827</v>
      </c>
      <c r="Q90" s="3398" t="s">
        <v>2828</v>
      </c>
      <c r="R90" s="3410">
        <f>SUM(W90:W93)/S90</f>
        <v>1</v>
      </c>
      <c r="S90" s="3406">
        <f>SUM(W90:W97)</f>
        <v>9000000</v>
      </c>
      <c r="T90" s="2280" t="s">
        <v>2829</v>
      </c>
      <c r="U90" s="2462" t="s">
        <v>2830</v>
      </c>
      <c r="V90" s="3359" t="s">
        <v>2822</v>
      </c>
      <c r="W90" s="1739">
        <v>598004.28</v>
      </c>
      <c r="X90" s="1576" t="s">
        <v>2831</v>
      </c>
      <c r="Y90" s="3361">
        <v>20</v>
      </c>
      <c r="Z90" s="2458" t="s">
        <v>73</v>
      </c>
      <c r="AA90" s="3320">
        <v>19649</v>
      </c>
      <c r="AB90" s="3320">
        <v>20118</v>
      </c>
      <c r="AC90" s="3320">
        <v>28907</v>
      </c>
      <c r="AD90" s="3320">
        <v>9525</v>
      </c>
      <c r="AE90" s="3320">
        <v>1222</v>
      </c>
      <c r="AF90" s="3320">
        <v>113</v>
      </c>
      <c r="AG90" s="3320">
        <v>297</v>
      </c>
      <c r="AH90" s="3320">
        <v>345</v>
      </c>
      <c r="AI90" s="3320">
        <v>0</v>
      </c>
      <c r="AJ90" s="3320">
        <v>0</v>
      </c>
      <c r="AK90" s="3320">
        <v>0</v>
      </c>
      <c r="AL90" s="3320">
        <v>0</v>
      </c>
      <c r="AM90" s="3320">
        <v>3301</v>
      </c>
      <c r="AN90" s="3320">
        <v>2507</v>
      </c>
      <c r="AO90" s="3320">
        <v>113</v>
      </c>
      <c r="AP90" s="3320">
        <f>SUM(AA90:AB94)</f>
        <v>39767</v>
      </c>
      <c r="AQ90" s="3017">
        <v>44198</v>
      </c>
      <c r="AR90" s="3017">
        <v>44560</v>
      </c>
      <c r="AS90" s="2521" t="s">
        <v>2649</v>
      </c>
    </row>
    <row r="91" spans="1:45" ht="35.25" customHeight="1" x14ac:dyDescent="0.25">
      <c r="A91" s="1640"/>
      <c r="B91" s="33"/>
      <c r="C91" s="1549"/>
      <c r="D91" s="1541"/>
      <c r="G91" s="3369"/>
      <c r="H91" s="2824"/>
      <c r="I91" s="3369"/>
      <c r="J91" s="2824"/>
      <c r="K91" s="3391"/>
      <c r="L91" s="2824"/>
      <c r="M91" s="3391"/>
      <c r="N91" s="2824"/>
      <c r="O91" s="3393"/>
      <c r="P91" s="2157"/>
      <c r="Q91" s="3399"/>
      <c r="R91" s="3410"/>
      <c r="S91" s="3407"/>
      <c r="T91" s="2281"/>
      <c r="U91" s="2462"/>
      <c r="V91" s="3359"/>
      <c r="W91" s="1739">
        <v>3713471.13</v>
      </c>
      <c r="X91" s="1576" t="s">
        <v>2832</v>
      </c>
      <c r="Y91" s="3362"/>
      <c r="Z91" s="2459"/>
      <c r="AA91" s="3372"/>
      <c r="AB91" s="3372"/>
      <c r="AC91" s="3372"/>
      <c r="AD91" s="3372"/>
      <c r="AE91" s="3372"/>
      <c r="AF91" s="3372"/>
      <c r="AG91" s="3372"/>
      <c r="AH91" s="3372"/>
      <c r="AI91" s="3372"/>
      <c r="AJ91" s="3372"/>
      <c r="AK91" s="3372"/>
      <c r="AL91" s="3372"/>
      <c r="AM91" s="3372"/>
      <c r="AN91" s="3372"/>
      <c r="AO91" s="3372"/>
      <c r="AP91" s="3372"/>
      <c r="AQ91" s="3018"/>
      <c r="AR91" s="3018"/>
      <c r="AS91" s="2522"/>
    </row>
    <row r="92" spans="1:45" ht="35.25" customHeight="1" x14ac:dyDescent="0.25">
      <c r="A92" s="1640"/>
      <c r="B92" s="33"/>
      <c r="C92" s="1549"/>
      <c r="D92" s="1541"/>
      <c r="G92" s="3369"/>
      <c r="H92" s="2824"/>
      <c r="I92" s="3369"/>
      <c r="J92" s="2824"/>
      <c r="K92" s="3391"/>
      <c r="L92" s="2824"/>
      <c r="M92" s="3391"/>
      <c r="N92" s="2824"/>
      <c r="O92" s="3393"/>
      <c r="P92" s="2157"/>
      <c r="Q92" s="3399"/>
      <c r="R92" s="3410"/>
      <c r="S92" s="3407"/>
      <c r="T92" s="2281"/>
      <c r="U92" s="2462"/>
      <c r="V92" s="3359"/>
      <c r="W92" s="1739">
        <v>3375623.66</v>
      </c>
      <c r="X92" s="1576" t="s">
        <v>2833</v>
      </c>
      <c r="Y92" s="3362"/>
      <c r="Z92" s="2459"/>
      <c r="AA92" s="3372"/>
      <c r="AB92" s="3372"/>
      <c r="AC92" s="3372"/>
      <c r="AD92" s="3372"/>
      <c r="AE92" s="3372"/>
      <c r="AF92" s="3372"/>
      <c r="AG92" s="3372"/>
      <c r="AH92" s="3372"/>
      <c r="AI92" s="3372"/>
      <c r="AJ92" s="3372"/>
      <c r="AK92" s="3372"/>
      <c r="AL92" s="3372"/>
      <c r="AM92" s="3372"/>
      <c r="AN92" s="3372"/>
      <c r="AO92" s="3372"/>
      <c r="AP92" s="3372"/>
      <c r="AQ92" s="3018"/>
      <c r="AR92" s="3018"/>
      <c r="AS92" s="2522"/>
    </row>
    <row r="93" spans="1:45" ht="35.25" customHeight="1" x14ac:dyDescent="0.25">
      <c r="A93" s="1640"/>
      <c r="B93" s="33"/>
      <c r="C93" s="1549"/>
      <c r="D93" s="1541"/>
      <c r="G93" s="3376"/>
      <c r="H93" s="2825"/>
      <c r="I93" s="3376"/>
      <c r="J93" s="2825"/>
      <c r="K93" s="2881"/>
      <c r="L93" s="2825"/>
      <c r="M93" s="2881"/>
      <c r="N93" s="2825"/>
      <c r="O93" s="3394"/>
      <c r="P93" s="2157"/>
      <c r="Q93" s="3399"/>
      <c r="R93" s="3411"/>
      <c r="S93" s="3407"/>
      <c r="T93" s="2281"/>
      <c r="U93" s="2462"/>
      <c r="V93" s="3360"/>
      <c r="W93" s="1739">
        <v>1312900.93</v>
      </c>
      <c r="X93" s="1576" t="s">
        <v>2834</v>
      </c>
      <c r="Y93" s="3363"/>
      <c r="Z93" s="2460"/>
      <c r="AA93" s="3372"/>
      <c r="AB93" s="3372"/>
      <c r="AC93" s="3372"/>
      <c r="AD93" s="3372"/>
      <c r="AE93" s="3372"/>
      <c r="AF93" s="3372"/>
      <c r="AG93" s="3372"/>
      <c r="AH93" s="3372"/>
      <c r="AI93" s="3372"/>
      <c r="AJ93" s="3372"/>
      <c r="AK93" s="3372"/>
      <c r="AL93" s="3372"/>
      <c r="AM93" s="3372"/>
      <c r="AN93" s="3372"/>
      <c r="AO93" s="3372"/>
      <c r="AP93" s="3372"/>
      <c r="AQ93" s="3057"/>
      <c r="AR93" s="3057"/>
      <c r="AS93" s="2522"/>
    </row>
    <row r="94" spans="1:45" ht="35.25" customHeight="1" x14ac:dyDescent="0.25">
      <c r="A94" s="1640"/>
      <c r="B94" s="33"/>
      <c r="C94" s="1549"/>
      <c r="D94" s="1541"/>
      <c r="G94" s="3403">
        <v>2201048</v>
      </c>
      <c r="H94" s="2834" t="s">
        <v>2835</v>
      </c>
      <c r="I94" s="3403">
        <v>2201048</v>
      </c>
      <c r="J94" s="2834" t="s">
        <v>2835</v>
      </c>
      <c r="K94" s="3404">
        <v>220104801</v>
      </c>
      <c r="L94" s="2834" t="s">
        <v>2836</v>
      </c>
      <c r="M94" s="3404">
        <v>220104801</v>
      </c>
      <c r="N94" s="2834" t="s">
        <v>2836</v>
      </c>
      <c r="O94" s="3405">
        <v>1</v>
      </c>
      <c r="P94" s="2157"/>
      <c r="Q94" s="3399"/>
      <c r="R94" s="3412">
        <f>SUM(W94:W97)/S90</f>
        <v>0</v>
      </c>
      <c r="S94" s="3407"/>
      <c r="T94" s="2281"/>
      <c r="U94" s="2462" t="s">
        <v>2837</v>
      </c>
      <c r="V94" s="3409" t="s">
        <v>2838</v>
      </c>
      <c r="W94" s="1739">
        <f>598004.28-598004.28</f>
        <v>0</v>
      </c>
      <c r="X94" s="1576" t="s">
        <v>2839</v>
      </c>
      <c r="Y94" s="3361">
        <v>20</v>
      </c>
      <c r="Z94" s="2458" t="s">
        <v>73</v>
      </c>
      <c r="AA94" s="3372"/>
      <c r="AB94" s="3372"/>
      <c r="AC94" s="3372"/>
      <c r="AD94" s="3372"/>
      <c r="AE94" s="3372"/>
      <c r="AF94" s="3372"/>
      <c r="AG94" s="3372"/>
      <c r="AH94" s="3372"/>
      <c r="AI94" s="3372"/>
      <c r="AJ94" s="3372"/>
      <c r="AK94" s="3372"/>
      <c r="AL94" s="3372"/>
      <c r="AM94" s="3372"/>
      <c r="AN94" s="3372"/>
      <c r="AO94" s="3372"/>
      <c r="AP94" s="3372"/>
      <c r="AQ94" s="3017">
        <v>44198</v>
      </c>
      <c r="AR94" s="3017">
        <v>44560</v>
      </c>
      <c r="AS94" s="2522"/>
    </row>
    <row r="95" spans="1:45" ht="35.25" customHeight="1" x14ac:dyDescent="0.25">
      <c r="A95" s="1640"/>
      <c r="B95" s="33"/>
      <c r="C95" s="1549"/>
      <c r="D95" s="1541"/>
      <c r="G95" s="3369"/>
      <c r="H95" s="2824"/>
      <c r="I95" s="3369"/>
      <c r="J95" s="2824"/>
      <c r="K95" s="3391"/>
      <c r="L95" s="2824"/>
      <c r="M95" s="3391"/>
      <c r="N95" s="2824"/>
      <c r="O95" s="3393"/>
      <c r="P95" s="2157"/>
      <c r="Q95" s="3399"/>
      <c r="R95" s="3410"/>
      <c r="S95" s="3407"/>
      <c r="T95" s="2281"/>
      <c r="U95" s="2462"/>
      <c r="V95" s="3359"/>
      <c r="W95" s="1739">
        <f>3713471.13-3713471.13</f>
        <v>0</v>
      </c>
      <c r="X95" s="1576" t="s">
        <v>2840</v>
      </c>
      <c r="Y95" s="3362"/>
      <c r="Z95" s="2459"/>
      <c r="AA95" s="3372"/>
      <c r="AB95" s="3372"/>
      <c r="AC95" s="3372"/>
      <c r="AD95" s="3372"/>
      <c r="AE95" s="3372"/>
      <c r="AF95" s="3372"/>
      <c r="AG95" s="3372"/>
      <c r="AH95" s="3372"/>
      <c r="AI95" s="3372"/>
      <c r="AJ95" s="3372"/>
      <c r="AK95" s="3372"/>
      <c r="AL95" s="3372"/>
      <c r="AM95" s="3372"/>
      <c r="AN95" s="3372"/>
      <c r="AO95" s="3372"/>
      <c r="AP95" s="3372"/>
      <c r="AQ95" s="3018"/>
      <c r="AR95" s="3018"/>
      <c r="AS95" s="2522"/>
    </row>
    <row r="96" spans="1:45" ht="35.25" customHeight="1" x14ac:dyDescent="0.25">
      <c r="A96" s="1640"/>
      <c r="B96" s="33"/>
      <c r="C96" s="1549"/>
      <c r="D96" s="1541"/>
      <c r="G96" s="3369"/>
      <c r="H96" s="2824"/>
      <c r="I96" s="3369"/>
      <c r="J96" s="2824"/>
      <c r="K96" s="3391"/>
      <c r="L96" s="2824"/>
      <c r="M96" s="3391"/>
      <c r="N96" s="2824"/>
      <c r="O96" s="3393"/>
      <c r="P96" s="2157"/>
      <c r="Q96" s="3399"/>
      <c r="R96" s="3410"/>
      <c r="S96" s="3407"/>
      <c r="T96" s="2281"/>
      <c r="U96" s="2462"/>
      <c r="V96" s="3359"/>
      <c r="W96" s="1739">
        <f>3375623.66-3375623.66</f>
        <v>0</v>
      </c>
      <c r="X96" s="1576" t="s">
        <v>2841</v>
      </c>
      <c r="Y96" s="3362"/>
      <c r="Z96" s="2459"/>
      <c r="AA96" s="3372"/>
      <c r="AB96" s="3372"/>
      <c r="AC96" s="3372"/>
      <c r="AD96" s="3372"/>
      <c r="AE96" s="3372"/>
      <c r="AF96" s="3372"/>
      <c r="AG96" s="3372"/>
      <c r="AH96" s="3372"/>
      <c r="AI96" s="3372"/>
      <c r="AJ96" s="3372"/>
      <c r="AK96" s="3372"/>
      <c r="AL96" s="3372"/>
      <c r="AM96" s="3372"/>
      <c r="AN96" s="3372"/>
      <c r="AO96" s="3372"/>
      <c r="AP96" s="3372"/>
      <c r="AQ96" s="3018"/>
      <c r="AR96" s="3018"/>
      <c r="AS96" s="2522"/>
    </row>
    <row r="97" spans="1:45" ht="35.25" customHeight="1" x14ac:dyDescent="0.25">
      <c r="A97" s="1640"/>
      <c r="B97" s="33"/>
      <c r="C97" s="1549"/>
      <c r="D97" s="1541"/>
      <c r="G97" s="3376"/>
      <c r="H97" s="2825"/>
      <c r="I97" s="3376"/>
      <c r="J97" s="2825"/>
      <c r="K97" s="2881"/>
      <c r="L97" s="2825"/>
      <c r="M97" s="2881"/>
      <c r="N97" s="2825"/>
      <c r="O97" s="3394"/>
      <c r="P97" s="2304"/>
      <c r="Q97" s="3400"/>
      <c r="R97" s="3411"/>
      <c r="S97" s="3408"/>
      <c r="T97" s="2282"/>
      <c r="U97" s="2462"/>
      <c r="V97" s="3360"/>
      <c r="W97" s="1739">
        <f>1312900.93-1312900.93</f>
        <v>0</v>
      </c>
      <c r="X97" s="1576" t="s">
        <v>2842</v>
      </c>
      <c r="Y97" s="3363"/>
      <c r="Z97" s="2460"/>
      <c r="AA97" s="3319"/>
      <c r="AB97" s="3319"/>
      <c r="AC97" s="3319"/>
      <c r="AD97" s="3319"/>
      <c r="AE97" s="3319"/>
      <c r="AF97" s="3319"/>
      <c r="AG97" s="3319"/>
      <c r="AH97" s="3319"/>
      <c r="AI97" s="3319"/>
      <c r="AJ97" s="3319"/>
      <c r="AK97" s="3319"/>
      <c r="AL97" s="3319"/>
      <c r="AM97" s="3319"/>
      <c r="AN97" s="3319"/>
      <c r="AO97" s="3319"/>
      <c r="AP97" s="3319"/>
      <c r="AQ97" s="3057"/>
      <c r="AR97" s="3057"/>
      <c r="AS97" s="2523"/>
    </row>
    <row r="98" spans="1:45" ht="37.5" customHeight="1" x14ac:dyDescent="0.25">
      <c r="A98" s="1640"/>
      <c r="B98" s="33"/>
      <c r="C98" s="1549"/>
      <c r="D98" s="1541"/>
      <c r="G98" s="3368">
        <v>2201034</v>
      </c>
      <c r="H98" s="2829" t="s">
        <v>2843</v>
      </c>
      <c r="I98" s="3368">
        <v>2201034</v>
      </c>
      <c r="J98" s="2829" t="s">
        <v>2843</v>
      </c>
      <c r="K98" s="3387">
        <v>220103400</v>
      </c>
      <c r="L98" s="2177" t="s">
        <v>2844</v>
      </c>
      <c r="M98" s="3387">
        <v>220103400</v>
      </c>
      <c r="N98" s="2177" t="s">
        <v>2844</v>
      </c>
      <c r="O98" s="3395">
        <v>5500</v>
      </c>
      <c r="P98" s="2287" t="s">
        <v>2845</v>
      </c>
      <c r="Q98" s="3398" t="s">
        <v>2846</v>
      </c>
      <c r="R98" s="3377">
        <f>SUM(W98:W101)/S98</f>
        <v>0.50000000075000006</v>
      </c>
      <c r="S98" s="3390">
        <f>SUM(W98:W109)</f>
        <v>19999999.989999998</v>
      </c>
      <c r="T98" s="2280" t="s">
        <v>2847</v>
      </c>
      <c r="U98" s="2283" t="s">
        <v>2848</v>
      </c>
      <c r="V98" s="2177" t="s">
        <v>2849</v>
      </c>
      <c r="W98" s="1739">
        <v>664449.19999999995</v>
      </c>
      <c r="X98" s="1576" t="s">
        <v>2850</v>
      </c>
      <c r="Y98" s="3361">
        <v>20</v>
      </c>
      <c r="Z98" s="2458" t="s">
        <v>73</v>
      </c>
      <c r="AA98" s="3320">
        <v>19649</v>
      </c>
      <c r="AB98" s="3320">
        <v>20118</v>
      </c>
      <c r="AC98" s="3320">
        <v>28907</v>
      </c>
      <c r="AD98" s="3320">
        <v>9525</v>
      </c>
      <c r="AE98" s="3320">
        <v>1222</v>
      </c>
      <c r="AF98" s="3320">
        <v>113</v>
      </c>
      <c r="AG98" s="3320">
        <v>297</v>
      </c>
      <c r="AH98" s="3320">
        <v>345</v>
      </c>
      <c r="AI98" s="3320">
        <v>0</v>
      </c>
      <c r="AJ98" s="3320">
        <v>0</v>
      </c>
      <c r="AK98" s="3320">
        <v>0</v>
      </c>
      <c r="AL98" s="3320">
        <v>0</v>
      </c>
      <c r="AM98" s="3320">
        <v>3301</v>
      </c>
      <c r="AN98" s="3320">
        <v>2507</v>
      </c>
      <c r="AO98" s="3320">
        <v>113</v>
      </c>
      <c r="AP98" s="3320">
        <f>SUM(AA98:AB106)</f>
        <v>39767</v>
      </c>
      <c r="AQ98" s="3017">
        <v>44198</v>
      </c>
      <c r="AR98" s="3017">
        <v>44560</v>
      </c>
      <c r="AS98" s="2521" t="s">
        <v>2649</v>
      </c>
    </row>
    <row r="99" spans="1:45" ht="47.25" customHeight="1" x14ac:dyDescent="0.25">
      <c r="A99" s="1640"/>
      <c r="B99" s="33"/>
      <c r="C99" s="1549"/>
      <c r="D99" s="1541"/>
      <c r="G99" s="3369"/>
      <c r="H99" s="2824"/>
      <c r="I99" s="3369"/>
      <c r="J99" s="2824"/>
      <c r="K99" s="3388"/>
      <c r="L99" s="2178"/>
      <c r="M99" s="3388"/>
      <c r="N99" s="2178"/>
      <c r="O99" s="3396"/>
      <c r="P99" s="2157"/>
      <c r="Q99" s="3399"/>
      <c r="R99" s="3378"/>
      <c r="S99" s="3390"/>
      <c r="T99" s="2281"/>
      <c r="U99" s="2284"/>
      <c r="V99" s="2178"/>
      <c r="W99" s="1739">
        <v>4126079.04</v>
      </c>
      <c r="X99" s="1576" t="s">
        <v>2851</v>
      </c>
      <c r="Y99" s="3362"/>
      <c r="Z99" s="2459"/>
      <c r="AA99" s="3372"/>
      <c r="AB99" s="3372"/>
      <c r="AC99" s="3372"/>
      <c r="AD99" s="3372"/>
      <c r="AE99" s="3372"/>
      <c r="AF99" s="3372"/>
      <c r="AG99" s="3372"/>
      <c r="AH99" s="3372"/>
      <c r="AI99" s="3372"/>
      <c r="AJ99" s="3372"/>
      <c r="AK99" s="3372"/>
      <c r="AL99" s="3372"/>
      <c r="AM99" s="3372"/>
      <c r="AN99" s="3372"/>
      <c r="AO99" s="3372"/>
      <c r="AP99" s="3372"/>
      <c r="AQ99" s="3018"/>
      <c r="AR99" s="3018"/>
      <c r="AS99" s="2522"/>
    </row>
    <row r="100" spans="1:45" ht="24.75" customHeight="1" x14ac:dyDescent="0.25">
      <c r="A100" s="1640"/>
      <c r="B100" s="33"/>
      <c r="C100" s="1549"/>
      <c r="D100" s="1541"/>
      <c r="G100" s="3369"/>
      <c r="H100" s="2824"/>
      <c r="I100" s="3369"/>
      <c r="J100" s="2824"/>
      <c r="K100" s="3388"/>
      <c r="L100" s="2178"/>
      <c r="M100" s="3388"/>
      <c r="N100" s="2178"/>
      <c r="O100" s="3396"/>
      <c r="P100" s="2157"/>
      <c r="Q100" s="3399"/>
      <c r="R100" s="3378"/>
      <c r="S100" s="3390"/>
      <c r="T100" s="2281"/>
      <c r="U100" s="2284"/>
      <c r="V100" s="2178"/>
      <c r="W100" s="1739">
        <v>3750692.96</v>
      </c>
      <c r="X100" s="1576" t="s">
        <v>2852</v>
      </c>
      <c r="Y100" s="3362"/>
      <c r="Z100" s="2459"/>
      <c r="AA100" s="3372"/>
      <c r="AB100" s="3372"/>
      <c r="AC100" s="3372"/>
      <c r="AD100" s="3372"/>
      <c r="AE100" s="3372"/>
      <c r="AF100" s="3372"/>
      <c r="AG100" s="3372"/>
      <c r="AH100" s="3372"/>
      <c r="AI100" s="3372"/>
      <c r="AJ100" s="3372"/>
      <c r="AK100" s="3372"/>
      <c r="AL100" s="3372"/>
      <c r="AM100" s="3372"/>
      <c r="AN100" s="3372"/>
      <c r="AO100" s="3372"/>
      <c r="AP100" s="3372"/>
      <c r="AQ100" s="3018"/>
      <c r="AR100" s="3018"/>
      <c r="AS100" s="2522"/>
    </row>
    <row r="101" spans="1:45" ht="26.25" customHeight="1" x14ac:dyDescent="0.25">
      <c r="A101" s="1640"/>
      <c r="B101" s="33"/>
      <c r="C101" s="1549"/>
      <c r="D101" s="1541"/>
      <c r="G101" s="3376"/>
      <c r="H101" s="2825"/>
      <c r="I101" s="3376"/>
      <c r="J101" s="2825"/>
      <c r="K101" s="3389"/>
      <c r="L101" s="2726"/>
      <c r="M101" s="3389"/>
      <c r="N101" s="2726"/>
      <c r="O101" s="3397"/>
      <c r="P101" s="2157"/>
      <c r="Q101" s="3399"/>
      <c r="R101" s="3379"/>
      <c r="S101" s="3390"/>
      <c r="T101" s="2281"/>
      <c r="U101" s="2284"/>
      <c r="V101" s="2726"/>
      <c r="W101" s="1739">
        <v>1458778.81</v>
      </c>
      <c r="X101" s="1576" t="s">
        <v>2853</v>
      </c>
      <c r="Y101" s="3363"/>
      <c r="Z101" s="2460"/>
      <c r="AA101" s="3372"/>
      <c r="AB101" s="3372"/>
      <c r="AC101" s="3372"/>
      <c r="AD101" s="3372"/>
      <c r="AE101" s="3372"/>
      <c r="AF101" s="3372"/>
      <c r="AG101" s="3372"/>
      <c r="AH101" s="3372"/>
      <c r="AI101" s="3372"/>
      <c r="AJ101" s="3372"/>
      <c r="AK101" s="3372"/>
      <c r="AL101" s="3372"/>
      <c r="AM101" s="3372"/>
      <c r="AN101" s="3372"/>
      <c r="AO101" s="3372"/>
      <c r="AP101" s="3372"/>
      <c r="AQ101" s="3057"/>
      <c r="AR101" s="3057"/>
      <c r="AS101" s="2522"/>
    </row>
    <row r="102" spans="1:45" ht="30" customHeight="1" x14ac:dyDescent="0.25">
      <c r="A102" s="1640"/>
      <c r="B102" s="33"/>
      <c r="C102" s="1549"/>
      <c r="D102" s="1541"/>
      <c r="G102" s="3368">
        <v>2201034</v>
      </c>
      <c r="H102" s="2829" t="s">
        <v>2854</v>
      </c>
      <c r="I102" s="3368">
        <v>2201034</v>
      </c>
      <c r="J102" s="2829" t="s">
        <v>2854</v>
      </c>
      <c r="K102" s="3117">
        <v>220103401</v>
      </c>
      <c r="L102" s="2829" t="s">
        <v>2855</v>
      </c>
      <c r="M102" s="3117">
        <v>220103401</v>
      </c>
      <c r="N102" s="2829" t="s">
        <v>2855</v>
      </c>
      <c r="O102" s="3392">
        <v>54</v>
      </c>
      <c r="P102" s="2157"/>
      <c r="Q102" s="3399"/>
      <c r="R102" s="3377">
        <f>SUM(W102:W105)/S98</f>
        <v>0.49999999925000005</v>
      </c>
      <c r="S102" s="3390"/>
      <c r="T102" s="2281"/>
      <c r="U102" s="2284"/>
      <c r="V102" s="2829" t="s">
        <v>2856</v>
      </c>
      <c r="W102" s="1739">
        <v>664449.17000000004</v>
      </c>
      <c r="X102" s="1576" t="s">
        <v>2857</v>
      </c>
      <c r="Y102" s="3361">
        <v>20</v>
      </c>
      <c r="Z102" s="2458" t="s">
        <v>73</v>
      </c>
      <c r="AA102" s="3372"/>
      <c r="AB102" s="3372"/>
      <c r="AC102" s="3372"/>
      <c r="AD102" s="3372"/>
      <c r="AE102" s="3372"/>
      <c r="AF102" s="3372"/>
      <c r="AG102" s="3372"/>
      <c r="AH102" s="3372"/>
      <c r="AI102" s="3372"/>
      <c r="AJ102" s="3372"/>
      <c r="AK102" s="3372"/>
      <c r="AL102" s="3372"/>
      <c r="AM102" s="3372"/>
      <c r="AN102" s="3372"/>
      <c r="AO102" s="3372"/>
      <c r="AP102" s="3372"/>
      <c r="AQ102" s="3017">
        <v>44198</v>
      </c>
      <c r="AR102" s="3017">
        <v>44560</v>
      </c>
      <c r="AS102" s="2522"/>
    </row>
    <row r="103" spans="1:45" ht="26.25" customHeight="1" x14ac:dyDescent="0.25">
      <c r="A103" s="1640"/>
      <c r="B103" s="33"/>
      <c r="C103" s="1549"/>
      <c r="D103" s="1541"/>
      <c r="G103" s="3369"/>
      <c r="H103" s="2824"/>
      <c r="I103" s="3369"/>
      <c r="J103" s="2824"/>
      <c r="K103" s="3391"/>
      <c r="L103" s="2824"/>
      <c r="M103" s="3391"/>
      <c r="N103" s="2824"/>
      <c r="O103" s="3393"/>
      <c r="P103" s="2157"/>
      <c r="Q103" s="3399"/>
      <c r="R103" s="3378"/>
      <c r="S103" s="3390"/>
      <c r="T103" s="2281"/>
      <c r="U103" s="2284"/>
      <c r="V103" s="2824"/>
      <c r="W103" s="1739">
        <v>4126079.04</v>
      </c>
      <c r="X103" s="1576" t="s">
        <v>2858</v>
      </c>
      <c r="Y103" s="3362"/>
      <c r="Z103" s="2459"/>
      <c r="AA103" s="3372"/>
      <c r="AB103" s="3372"/>
      <c r="AC103" s="3372"/>
      <c r="AD103" s="3372"/>
      <c r="AE103" s="3372"/>
      <c r="AF103" s="3372"/>
      <c r="AG103" s="3372"/>
      <c r="AH103" s="3372"/>
      <c r="AI103" s="3372"/>
      <c r="AJ103" s="3372"/>
      <c r="AK103" s="3372"/>
      <c r="AL103" s="3372"/>
      <c r="AM103" s="3372"/>
      <c r="AN103" s="3372"/>
      <c r="AO103" s="3372"/>
      <c r="AP103" s="3372"/>
      <c r="AQ103" s="3018"/>
      <c r="AR103" s="3018"/>
      <c r="AS103" s="2522"/>
    </row>
    <row r="104" spans="1:45" ht="26.25" customHeight="1" x14ac:dyDescent="0.25">
      <c r="A104" s="1640"/>
      <c r="B104" s="33"/>
      <c r="C104" s="1549"/>
      <c r="D104" s="1541"/>
      <c r="G104" s="3369"/>
      <c r="H104" s="2824"/>
      <c r="I104" s="3369"/>
      <c r="J104" s="2824"/>
      <c r="K104" s="3391"/>
      <c r="L104" s="2824"/>
      <c r="M104" s="3391"/>
      <c r="N104" s="2824"/>
      <c r="O104" s="3393"/>
      <c r="P104" s="2157"/>
      <c r="Q104" s="3399"/>
      <c r="R104" s="3378"/>
      <c r="S104" s="3390"/>
      <c r="T104" s="2281"/>
      <c r="U104" s="2284"/>
      <c r="V104" s="2824"/>
      <c r="W104" s="1739">
        <v>3750692.96</v>
      </c>
      <c r="X104" s="1576" t="s">
        <v>2859</v>
      </c>
      <c r="Y104" s="3362"/>
      <c r="Z104" s="2459"/>
      <c r="AA104" s="3372"/>
      <c r="AB104" s="3372"/>
      <c r="AC104" s="3372"/>
      <c r="AD104" s="3372"/>
      <c r="AE104" s="3372"/>
      <c r="AF104" s="3372"/>
      <c r="AG104" s="3372"/>
      <c r="AH104" s="3372"/>
      <c r="AI104" s="3372"/>
      <c r="AJ104" s="3372"/>
      <c r="AK104" s="3372"/>
      <c r="AL104" s="3372"/>
      <c r="AM104" s="3372"/>
      <c r="AN104" s="3372"/>
      <c r="AO104" s="3372"/>
      <c r="AP104" s="3372"/>
      <c r="AQ104" s="3018"/>
      <c r="AR104" s="3018"/>
      <c r="AS104" s="2522"/>
    </row>
    <row r="105" spans="1:45" ht="30.75" customHeight="1" x14ac:dyDescent="0.25">
      <c r="A105" s="1640"/>
      <c r="B105" s="33"/>
      <c r="C105" s="1549"/>
      <c r="D105" s="1541"/>
      <c r="G105" s="3376"/>
      <c r="H105" s="2825"/>
      <c r="I105" s="3376"/>
      <c r="J105" s="2825"/>
      <c r="K105" s="2881"/>
      <c r="L105" s="2825"/>
      <c r="M105" s="2881"/>
      <c r="N105" s="2825"/>
      <c r="O105" s="3394"/>
      <c r="P105" s="2157"/>
      <c r="Q105" s="3399"/>
      <c r="R105" s="3379"/>
      <c r="S105" s="3390"/>
      <c r="T105" s="2281"/>
      <c r="U105" s="2284"/>
      <c r="V105" s="2825"/>
      <c r="W105" s="1739">
        <v>1458778.81</v>
      </c>
      <c r="X105" s="1576" t="s">
        <v>2860</v>
      </c>
      <c r="Y105" s="3363"/>
      <c r="Z105" s="2460"/>
      <c r="AA105" s="3372"/>
      <c r="AB105" s="3372"/>
      <c r="AC105" s="3372"/>
      <c r="AD105" s="3372"/>
      <c r="AE105" s="3372"/>
      <c r="AF105" s="3372"/>
      <c r="AG105" s="3372"/>
      <c r="AH105" s="3372"/>
      <c r="AI105" s="3372"/>
      <c r="AJ105" s="3372"/>
      <c r="AK105" s="3372"/>
      <c r="AL105" s="3372"/>
      <c r="AM105" s="3372"/>
      <c r="AN105" s="3372"/>
      <c r="AO105" s="3372"/>
      <c r="AP105" s="3372"/>
      <c r="AQ105" s="3057"/>
      <c r="AR105" s="3057"/>
      <c r="AS105" s="2522"/>
    </row>
    <row r="106" spans="1:45" ht="26.25" customHeight="1" x14ac:dyDescent="0.25">
      <c r="A106" s="1640"/>
      <c r="B106" s="33"/>
      <c r="C106" s="1549"/>
      <c r="D106" s="1541"/>
      <c r="G106" s="3368">
        <v>2201060</v>
      </c>
      <c r="H106" s="2829" t="s">
        <v>2861</v>
      </c>
      <c r="I106" s="3368">
        <v>2201060</v>
      </c>
      <c r="J106" s="2829" t="s">
        <v>2861</v>
      </c>
      <c r="K106" s="3387">
        <v>220106000</v>
      </c>
      <c r="L106" s="2829" t="s">
        <v>2862</v>
      </c>
      <c r="M106" s="3387">
        <v>220106000</v>
      </c>
      <c r="N106" s="2829" t="s">
        <v>2862</v>
      </c>
      <c r="O106" s="3401">
        <v>200</v>
      </c>
      <c r="P106" s="2157"/>
      <c r="Q106" s="3399"/>
      <c r="R106" s="3377">
        <f>SUM(W106:W109)/S98</f>
        <v>0</v>
      </c>
      <c r="S106" s="3390"/>
      <c r="T106" s="2281"/>
      <c r="U106" s="2284"/>
      <c r="V106" s="2829" t="s">
        <v>2863</v>
      </c>
      <c r="W106" s="1739">
        <f>664449.2-664449.2</f>
        <v>0</v>
      </c>
      <c r="X106" s="1576" t="s">
        <v>2864</v>
      </c>
      <c r="Y106" s="3361">
        <v>20</v>
      </c>
      <c r="Z106" s="2458" t="s">
        <v>73</v>
      </c>
      <c r="AA106" s="3372"/>
      <c r="AB106" s="3372"/>
      <c r="AC106" s="3372"/>
      <c r="AD106" s="3372"/>
      <c r="AE106" s="3372"/>
      <c r="AF106" s="3372"/>
      <c r="AG106" s="3372"/>
      <c r="AH106" s="3372"/>
      <c r="AI106" s="3372"/>
      <c r="AJ106" s="3372"/>
      <c r="AK106" s="3372"/>
      <c r="AL106" s="3372"/>
      <c r="AM106" s="3372"/>
      <c r="AN106" s="3372"/>
      <c r="AO106" s="3372"/>
      <c r="AP106" s="3372"/>
      <c r="AQ106" s="3017">
        <v>44198</v>
      </c>
      <c r="AR106" s="3017">
        <v>44560</v>
      </c>
      <c r="AS106" s="2522"/>
    </row>
    <row r="107" spans="1:45" ht="30.75" customHeight="1" x14ac:dyDescent="0.25">
      <c r="A107" s="1640"/>
      <c r="B107" s="33"/>
      <c r="C107" s="1549"/>
      <c r="D107" s="1541"/>
      <c r="G107" s="3369"/>
      <c r="H107" s="2824"/>
      <c r="I107" s="3369"/>
      <c r="J107" s="2824"/>
      <c r="K107" s="3388"/>
      <c r="L107" s="2824"/>
      <c r="M107" s="3388"/>
      <c r="N107" s="2824"/>
      <c r="O107" s="3402"/>
      <c r="P107" s="2157"/>
      <c r="Q107" s="3399"/>
      <c r="R107" s="3378"/>
      <c r="S107" s="3390"/>
      <c r="T107" s="2281"/>
      <c r="U107" s="2284"/>
      <c r="V107" s="2824"/>
      <c r="W107" s="1739">
        <f>4126079.04-4126079.04</f>
        <v>0</v>
      </c>
      <c r="X107" s="1576" t="s">
        <v>2865</v>
      </c>
      <c r="Y107" s="3362"/>
      <c r="Z107" s="2459"/>
      <c r="AA107" s="3372"/>
      <c r="AB107" s="3372"/>
      <c r="AC107" s="3372"/>
      <c r="AD107" s="3372"/>
      <c r="AE107" s="3372"/>
      <c r="AF107" s="3372"/>
      <c r="AG107" s="3372"/>
      <c r="AH107" s="3372"/>
      <c r="AI107" s="3372"/>
      <c r="AJ107" s="3372"/>
      <c r="AK107" s="3372"/>
      <c r="AL107" s="3372"/>
      <c r="AM107" s="3372"/>
      <c r="AN107" s="3372"/>
      <c r="AO107" s="3372"/>
      <c r="AP107" s="3372"/>
      <c r="AQ107" s="3018"/>
      <c r="AR107" s="3018"/>
      <c r="AS107" s="2522"/>
    </row>
    <row r="108" spans="1:45" ht="26.25" customHeight="1" x14ac:dyDescent="0.25">
      <c r="A108" s="1640"/>
      <c r="B108" s="33"/>
      <c r="C108" s="1549"/>
      <c r="D108" s="1541"/>
      <c r="G108" s="3369"/>
      <c r="H108" s="2824"/>
      <c r="I108" s="3369"/>
      <c r="J108" s="2824"/>
      <c r="K108" s="3388"/>
      <c r="L108" s="2824"/>
      <c r="M108" s="3388"/>
      <c r="N108" s="2824"/>
      <c r="O108" s="3402"/>
      <c r="P108" s="2157"/>
      <c r="Q108" s="3399"/>
      <c r="R108" s="3378"/>
      <c r="S108" s="3390"/>
      <c r="T108" s="2281"/>
      <c r="U108" s="2284"/>
      <c r="V108" s="2824"/>
      <c r="W108" s="1739">
        <f>3750692.96-3750692.96</f>
        <v>0</v>
      </c>
      <c r="X108" s="1576" t="s">
        <v>2866</v>
      </c>
      <c r="Y108" s="3362"/>
      <c r="Z108" s="2459"/>
      <c r="AA108" s="3372"/>
      <c r="AB108" s="3372"/>
      <c r="AC108" s="3372"/>
      <c r="AD108" s="3372"/>
      <c r="AE108" s="3372"/>
      <c r="AF108" s="3372"/>
      <c r="AG108" s="3372"/>
      <c r="AH108" s="3372"/>
      <c r="AI108" s="3372"/>
      <c r="AJ108" s="3372"/>
      <c r="AK108" s="3372"/>
      <c r="AL108" s="3372"/>
      <c r="AM108" s="3372"/>
      <c r="AN108" s="3372"/>
      <c r="AO108" s="3372"/>
      <c r="AP108" s="3372"/>
      <c r="AQ108" s="3018"/>
      <c r="AR108" s="3018"/>
      <c r="AS108" s="2522"/>
    </row>
    <row r="109" spans="1:45" ht="27" customHeight="1" x14ac:dyDescent="0.25">
      <c r="A109" s="1640"/>
      <c r="B109" s="33"/>
      <c r="C109" s="1549"/>
      <c r="D109" s="1541"/>
      <c r="G109" s="3376"/>
      <c r="H109" s="2825"/>
      <c r="I109" s="3376"/>
      <c r="J109" s="2825"/>
      <c r="K109" s="3389"/>
      <c r="L109" s="2825"/>
      <c r="M109" s="3389"/>
      <c r="N109" s="2825"/>
      <c r="O109" s="3402"/>
      <c r="P109" s="2157"/>
      <c r="Q109" s="3400"/>
      <c r="R109" s="3379"/>
      <c r="S109" s="3390"/>
      <c r="T109" s="2282"/>
      <c r="U109" s="2285"/>
      <c r="V109" s="2825"/>
      <c r="W109" s="1739">
        <f>1458778.81-1458778.81</f>
        <v>0</v>
      </c>
      <c r="X109" s="1581" t="s">
        <v>2867</v>
      </c>
      <c r="Y109" s="3363"/>
      <c r="Z109" s="2460"/>
      <c r="AA109" s="3319"/>
      <c r="AB109" s="3319"/>
      <c r="AC109" s="3319"/>
      <c r="AD109" s="3319"/>
      <c r="AE109" s="3319"/>
      <c r="AF109" s="3319"/>
      <c r="AG109" s="3319"/>
      <c r="AH109" s="3319"/>
      <c r="AI109" s="3319"/>
      <c r="AJ109" s="3319"/>
      <c r="AK109" s="3319"/>
      <c r="AL109" s="3319"/>
      <c r="AM109" s="3319"/>
      <c r="AN109" s="3319"/>
      <c r="AO109" s="3319"/>
      <c r="AP109" s="3319"/>
      <c r="AQ109" s="3057"/>
      <c r="AR109" s="3057"/>
      <c r="AS109" s="2523"/>
    </row>
    <row r="110" spans="1:45" ht="29.25" customHeight="1" x14ac:dyDescent="0.25">
      <c r="A110" s="1640"/>
      <c r="B110" s="33"/>
      <c r="C110" s="1549"/>
      <c r="D110" s="1541"/>
      <c r="G110" s="3368">
        <v>2201006</v>
      </c>
      <c r="H110" s="2829" t="s">
        <v>2868</v>
      </c>
      <c r="I110" s="3368">
        <v>2201006</v>
      </c>
      <c r="J110" s="2829" t="s">
        <v>2868</v>
      </c>
      <c r="K110" s="3368">
        <v>220100600</v>
      </c>
      <c r="L110" s="2822" t="s">
        <v>2869</v>
      </c>
      <c r="M110" s="3368">
        <v>220100600</v>
      </c>
      <c r="N110" s="2822" t="s">
        <v>2869</v>
      </c>
      <c r="O110" s="3338">
        <v>54</v>
      </c>
      <c r="P110" s="2165" t="s">
        <v>2870</v>
      </c>
      <c r="Q110" s="2660" t="s">
        <v>2871</v>
      </c>
      <c r="R110" s="3380">
        <f>SUM(W110:W113)/S110</f>
        <v>1.0134428240320566E-3</v>
      </c>
      <c r="S110" s="3356">
        <f>SUM(W110:W223)</f>
        <v>177612388860.63333</v>
      </c>
      <c r="T110" s="2280" t="s">
        <v>2872</v>
      </c>
      <c r="U110" s="2462" t="s">
        <v>2873</v>
      </c>
      <c r="V110" s="3358" t="s">
        <v>2874</v>
      </c>
      <c r="W110" s="1739">
        <f>664449.2+49287773.25-3200000</f>
        <v>46752222.450000003</v>
      </c>
      <c r="X110" s="1576" t="s">
        <v>2875</v>
      </c>
      <c r="Y110" s="3361">
        <v>20</v>
      </c>
      <c r="Z110" s="2458" t="s">
        <v>73</v>
      </c>
      <c r="AA110" s="3374">
        <v>19649</v>
      </c>
      <c r="AB110" s="3320">
        <v>20118</v>
      </c>
      <c r="AC110" s="3320">
        <v>28907</v>
      </c>
      <c r="AD110" s="3320">
        <v>9525</v>
      </c>
      <c r="AE110" s="3320">
        <v>1222</v>
      </c>
      <c r="AF110" s="3320">
        <v>113</v>
      </c>
      <c r="AG110" s="3320">
        <v>297</v>
      </c>
      <c r="AH110" s="3320">
        <v>345</v>
      </c>
      <c r="AI110" s="3320">
        <v>0</v>
      </c>
      <c r="AJ110" s="3320">
        <v>0</v>
      </c>
      <c r="AK110" s="3320">
        <v>0</v>
      </c>
      <c r="AL110" s="3320">
        <v>0</v>
      </c>
      <c r="AM110" s="3320">
        <v>3301</v>
      </c>
      <c r="AN110" s="3320">
        <v>2507</v>
      </c>
      <c r="AO110" s="3320">
        <v>113</v>
      </c>
      <c r="AP110" s="3320">
        <f>SUM(AA110:AB208)</f>
        <v>39767</v>
      </c>
      <c r="AQ110" s="3017">
        <v>44198</v>
      </c>
      <c r="AR110" s="3017">
        <v>44560</v>
      </c>
      <c r="AS110" s="2521" t="s">
        <v>2649</v>
      </c>
    </row>
    <row r="111" spans="1:45" ht="26.25" customHeight="1" x14ac:dyDescent="0.25">
      <c r="A111" s="1640"/>
      <c r="B111" s="33"/>
      <c r="C111" s="1549"/>
      <c r="D111" s="1541"/>
      <c r="G111" s="3369"/>
      <c r="H111" s="2824"/>
      <c r="I111" s="3369"/>
      <c r="J111" s="2824"/>
      <c r="K111" s="3369"/>
      <c r="L111" s="2823"/>
      <c r="M111" s="3369"/>
      <c r="N111" s="2823"/>
      <c r="O111" s="3338"/>
      <c r="P111" s="2165"/>
      <c r="Q111" s="2661"/>
      <c r="R111" s="3381"/>
      <c r="S111" s="3357"/>
      <c r="T111" s="2281"/>
      <c r="U111" s="2462"/>
      <c r="V111" s="3359"/>
      <c r="W111" s="1739">
        <f>4126079.98+86525649.55-4300000</f>
        <v>86351729.530000001</v>
      </c>
      <c r="X111" s="1576" t="s">
        <v>2876</v>
      </c>
      <c r="Y111" s="3362"/>
      <c r="Z111" s="2459"/>
      <c r="AA111" s="3375"/>
      <c r="AB111" s="3372"/>
      <c r="AC111" s="3372"/>
      <c r="AD111" s="3372"/>
      <c r="AE111" s="3372"/>
      <c r="AF111" s="3372"/>
      <c r="AG111" s="3372"/>
      <c r="AH111" s="3372"/>
      <c r="AI111" s="3372"/>
      <c r="AJ111" s="3372"/>
      <c r="AK111" s="3372"/>
      <c r="AL111" s="3372"/>
      <c r="AM111" s="3372"/>
      <c r="AN111" s="3372"/>
      <c r="AO111" s="3372"/>
      <c r="AP111" s="3372"/>
      <c r="AQ111" s="3018"/>
      <c r="AR111" s="3018"/>
      <c r="AS111" s="2522"/>
    </row>
    <row r="112" spans="1:45" ht="26.25" customHeight="1" x14ac:dyDescent="0.25">
      <c r="A112" s="1640"/>
      <c r="B112" s="33"/>
      <c r="C112" s="1549"/>
      <c r="D112" s="1541"/>
      <c r="G112" s="3369"/>
      <c r="H112" s="2824"/>
      <c r="I112" s="3369"/>
      <c r="J112" s="2824"/>
      <c r="K112" s="3369"/>
      <c r="L112" s="2823"/>
      <c r="M112" s="3369"/>
      <c r="N112" s="2823"/>
      <c r="O112" s="3338"/>
      <c r="P112" s="2165"/>
      <c r="Q112" s="2661"/>
      <c r="R112" s="3381"/>
      <c r="S112" s="3357"/>
      <c r="T112" s="2281"/>
      <c r="U112" s="2462"/>
      <c r="V112" s="3359"/>
      <c r="W112" s="1739">
        <f>3750692.96+44186577.2-2500000</f>
        <v>45437270.160000004</v>
      </c>
      <c r="X112" s="1576" t="s">
        <v>2877</v>
      </c>
      <c r="Y112" s="3362"/>
      <c r="Z112" s="2459"/>
      <c r="AA112" s="3375"/>
      <c r="AB112" s="3372"/>
      <c r="AC112" s="3372"/>
      <c r="AD112" s="3372"/>
      <c r="AE112" s="3372"/>
      <c r="AF112" s="3372"/>
      <c r="AG112" s="3372"/>
      <c r="AH112" s="3372"/>
      <c r="AI112" s="3372"/>
      <c r="AJ112" s="3372"/>
      <c r="AK112" s="3372"/>
      <c r="AL112" s="3372"/>
      <c r="AM112" s="3372"/>
      <c r="AN112" s="3372"/>
      <c r="AO112" s="3372"/>
      <c r="AP112" s="3372"/>
      <c r="AQ112" s="3018"/>
      <c r="AR112" s="3018"/>
      <c r="AS112" s="2522"/>
    </row>
    <row r="113" spans="1:45" ht="27.75" customHeight="1" x14ac:dyDescent="0.25">
      <c r="A113" s="1640"/>
      <c r="B113" s="33"/>
      <c r="C113" s="1549"/>
      <c r="D113" s="1541"/>
      <c r="G113" s="3376"/>
      <c r="H113" s="2825"/>
      <c r="I113" s="3376"/>
      <c r="J113" s="2825"/>
      <c r="K113" s="3376"/>
      <c r="L113" s="2390"/>
      <c r="M113" s="3376"/>
      <c r="N113" s="2390"/>
      <c r="O113" s="3338"/>
      <c r="P113" s="2165"/>
      <c r="Q113" s="2661"/>
      <c r="R113" s="3382"/>
      <c r="S113" s="3357"/>
      <c r="T113" s="2281"/>
      <c r="U113" s="2462"/>
      <c r="V113" s="3360"/>
      <c r="W113" s="1739">
        <v>1458778.81</v>
      </c>
      <c r="X113" s="1576" t="s">
        <v>2878</v>
      </c>
      <c r="Y113" s="3363"/>
      <c r="Z113" s="2460"/>
      <c r="AA113" s="3375"/>
      <c r="AB113" s="3372"/>
      <c r="AC113" s="3372"/>
      <c r="AD113" s="3372"/>
      <c r="AE113" s="3372"/>
      <c r="AF113" s="3372"/>
      <c r="AG113" s="3372"/>
      <c r="AH113" s="3372"/>
      <c r="AI113" s="3372"/>
      <c r="AJ113" s="3372"/>
      <c r="AK113" s="3372"/>
      <c r="AL113" s="3372"/>
      <c r="AM113" s="3372"/>
      <c r="AN113" s="3372"/>
      <c r="AO113" s="3372"/>
      <c r="AP113" s="3372"/>
      <c r="AQ113" s="3057"/>
      <c r="AR113" s="3057"/>
      <c r="AS113" s="2522"/>
    </row>
    <row r="114" spans="1:45" ht="36.75" customHeight="1" x14ac:dyDescent="0.25">
      <c r="A114" s="1640"/>
      <c r="B114" s="33"/>
      <c r="C114" s="1549"/>
      <c r="D114" s="1541"/>
      <c r="G114" s="3368">
        <v>2201015</v>
      </c>
      <c r="H114" s="2829" t="s">
        <v>2879</v>
      </c>
      <c r="I114" s="3368">
        <v>2201015</v>
      </c>
      <c r="J114" s="2829" t="s">
        <v>2879</v>
      </c>
      <c r="K114" s="3368">
        <v>220101500</v>
      </c>
      <c r="L114" s="2822" t="s">
        <v>2880</v>
      </c>
      <c r="M114" s="3368">
        <v>220101500</v>
      </c>
      <c r="N114" s="2822" t="s">
        <v>2880</v>
      </c>
      <c r="O114" s="3338">
        <v>11</v>
      </c>
      <c r="P114" s="2165"/>
      <c r="Q114" s="2661"/>
      <c r="R114" s="3383">
        <f>SUM(W114:W117)/S110</f>
        <v>0</v>
      </c>
      <c r="S114" s="3357"/>
      <c r="T114" s="2281"/>
      <c r="U114" s="2462" t="s">
        <v>2881</v>
      </c>
      <c r="V114" s="3358" t="s">
        <v>2882</v>
      </c>
      <c r="W114" s="1739">
        <f>797339.04-797339.04</f>
        <v>0</v>
      </c>
      <c r="X114" s="1576" t="s">
        <v>2883</v>
      </c>
      <c r="Y114" s="3361">
        <v>20</v>
      </c>
      <c r="Z114" s="2458" t="s">
        <v>73</v>
      </c>
      <c r="AA114" s="3375"/>
      <c r="AB114" s="3372"/>
      <c r="AC114" s="3372"/>
      <c r="AD114" s="3372"/>
      <c r="AE114" s="3372"/>
      <c r="AF114" s="3372"/>
      <c r="AG114" s="3372"/>
      <c r="AH114" s="3372"/>
      <c r="AI114" s="3372"/>
      <c r="AJ114" s="3372"/>
      <c r="AK114" s="3372"/>
      <c r="AL114" s="3372"/>
      <c r="AM114" s="3372"/>
      <c r="AN114" s="3372"/>
      <c r="AO114" s="3372"/>
      <c r="AP114" s="3372"/>
      <c r="AQ114" s="3017">
        <v>44198</v>
      </c>
      <c r="AR114" s="3017">
        <v>44560</v>
      </c>
      <c r="AS114" s="2522"/>
    </row>
    <row r="115" spans="1:45" ht="36.75" customHeight="1" x14ac:dyDescent="0.25">
      <c r="A115" s="1640"/>
      <c r="B115" s="33"/>
      <c r="C115" s="1549"/>
      <c r="D115" s="1541"/>
      <c r="G115" s="3369"/>
      <c r="H115" s="2824"/>
      <c r="I115" s="3369"/>
      <c r="J115" s="2824"/>
      <c r="K115" s="3369"/>
      <c r="L115" s="2823"/>
      <c r="M115" s="3369"/>
      <c r="N115" s="2823"/>
      <c r="O115" s="3338"/>
      <c r="P115" s="2165"/>
      <c r="Q115" s="2661"/>
      <c r="R115" s="3384"/>
      <c r="S115" s="3357"/>
      <c r="T115" s="2281"/>
      <c r="U115" s="2462"/>
      <c r="V115" s="3359"/>
      <c r="W115" s="1739">
        <f>4951294.84-4951294.84</f>
        <v>0</v>
      </c>
      <c r="X115" s="1576" t="s">
        <v>2884</v>
      </c>
      <c r="Y115" s="3362"/>
      <c r="Z115" s="2459"/>
      <c r="AA115" s="3375"/>
      <c r="AB115" s="3372"/>
      <c r="AC115" s="3372"/>
      <c r="AD115" s="3372"/>
      <c r="AE115" s="3372"/>
      <c r="AF115" s="3372"/>
      <c r="AG115" s="3372"/>
      <c r="AH115" s="3372"/>
      <c r="AI115" s="3372"/>
      <c r="AJ115" s="3372"/>
      <c r="AK115" s="3372"/>
      <c r="AL115" s="3372"/>
      <c r="AM115" s="3372"/>
      <c r="AN115" s="3372"/>
      <c r="AO115" s="3372"/>
      <c r="AP115" s="3372"/>
      <c r="AQ115" s="3018"/>
      <c r="AR115" s="3018"/>
      <c r="AS115" s="2522"/>
    </row>
    <row r="116" spans="1:45" ht="38.25" customHeight="1" x14ac:dyDescent="0.25">
      <c r="A116" s="1640"/>
      <c r="B116" s="33"/>
      <c r="C116" s="1549"/>
      <c r="D116" s="1541"/>
      <c r="G116" s="3369"/>
      <c r="H116" s="2824"/>
      <c r="I116" s="3369"/>
      <c r="J116" s="2824"/>
      <c r="K116" s="3369"/>
      <c r="L116" s="2823"/>
      <c r="M116" s="3369"/>
      <c r="N116" s="2823"/>
      <c r="O116" s="3338"/>
      <c r="P116" s="2165"/>
      <c r="Q116" s="2661"/>
      <c r="R116" s="3384"/>
      <c r="S116" s="3357"/>
      <c r="T116" s="2281"/>
      <c r="U116" s="2462"/>
      <c r="V116" s="3359"/>
      <c r="W116" s="1739">
        <f>4500831.55-4500831.55</f>
        <v>0</v>
      </c>
      <c r="X116" s="1576" t="s">
        <v>2885</v>
      </c>
      <c r="Y116" s="3362"/>
      <c r="Z116" s="2459"/>
      <c r="AA116" s="3375"/>
      <c r="AB116" s="3372"/>
      <c r="AC116" s="3372"/>
      <c r="AD116" s="3372"/>
      <c r="AE116" s="3372"/>
      <c r="AF116" s="3372"/>
      <c r="AG116" s="3372"/>
      <c r="AH116" s="3372"/>
      <c r="AI116" s="3372"/>
      <c r="AJ116" s="3372"/>
      <c r="AK116" s="3372"/>
      <c r="AL116" s="3372"/>
      <c r="AM116" s="3372"/>
      <c r="AN116" s="3372"/>
      <c r="AO116" s="3372"/>
      <c r="AP116" s="3372"/>
      <c r="AQ116" s="3018"/>
      <c r="AR116" s="3018"/>
      <c r="AS116" s="2522"/>
    </row>
    <row r="117" spans="1:45" ht="39" customHeight="1" x14ac:dyDescent="0.25">
      <c r="A117" s="1640"/>
      <c r="B117" s="33"/>
      <c r="C117" s="1549"/>
      <c r="D117" s="1541"/>
      <c r="G117" s="3370"/>
      <c r="H117" s="2835"/>
      <c r="I117" s="3370"/>
      <c r="J117" s="2835"/>
      <c r="K117" s="3370"/>
      <c r="L117" s="3371"/>
      <c r="M117" s="3370"/>
      <c r="N117" s="3371"/>
      <c r="O117" s="3338"/>
      <c r="P117" s="2165"/>
      <c r="Q117" s="2661"/>
      <c r="R117" s="3385"/>
      <c r="S117" s="3357"/>
      <c r="T117" s="2281"/>
      <c r="U117" s="2462"/>
      <c r="V117" s="3364"/>
      <c r="W117" s="1739">
        <f>1750534.57-1750534.57</f>
        <v>0</v>
      </c>
      <c r="X117" s="1576" t="s">
        <v>2886</v>
      </c>
      <c r="Y117" s="3363"/>
      <c r="Z117" s="2460"/>
      <c r="AA117" s="3375"/>
      <c r="AB117" s="3372"/>
      <c r="AC117" s="3372"/>
      <c r="AD117" s="3372"/>
      <c r="AE117" s="3372"/>
      <c r="AF117" s="3372"/>
      <c r="AG117" s="3372"/>
      <c r="AH117" s="3372"/>
      <c r="AI117" s="3372"/>
      <c r="AJ117" s="3372"/>
      <c r="AK117" s="3372"/>
      <c r="AL117" s="3372"/>
      <c r="AM117" s="3372"/>
      <c r="AN117" s="3372"/>
      <c r="AO117" s="3372"/>
      <c r="AP117" s="3372"/>
      <c r="AQ117" s="3057"/>
      <c r="AR117" s="3057"/>
      <c r="AS117" s="2522"/>
    </row>
    <row r="118" spans="1:45" ht="30" customHeight="1" x14ac:dyDescent="0.25">
      <c r="A118" s="1640"/>
      <c r="B118" s="33"/>
      <c r="C118" s="1549"/>
      <c r="D118" s="1541"/>
      <c r="G118" s="3386">
        <v>2201042</v>
      </c>
      <c r="H118" s="2257" t="s">
        <v>2887</v>
      </c>
      <c r="I118" s="3386">
        <v>2201042</v>
      </c>
      <c r="J118" s="2257" t="s">
        <v>2887</v>
      </c>
      <c r="K118" s="2468">
        <v>220104200</v>
      </c>
      <c r="L118" s="2259" t="s">
        <v>2888</v>
      </c>
      <c r="M118" s="2468">
        <v>220104200</v>
      </c>
      <c r="N118" s="2259" t="s">
        <v>2888</v>
      </c>
      <c r="O118" s="3338">
        <v>6000</v>
      </c>
      <c r="P118" s="2165"/>
      <c r="Q118" s="2661"/>
      <c r="R118" s="3373">
        <f>SUM(W118:W121)/S110</f>
        <v>5.6302378872042955E-5</v>
      </c>
      <c r="S118" s="3357"/>
      <c r="T118" s="2281"/>
      <c r="U118" s="2283" t="s">
        <v>2889</v>
      </c>
      <c r="V118" s="2257" t="s">
        <v>2890</v>
      </c>
      <c r="W118" s="1739">
        <v>664449.19999999995</v>
      </c>
      <c r="X118" s="1576" t="s">
        <v>2891</v>
      </c>
      <c r="Y118" s="3361">
        <v>20</v>
      </c>
      <c r="Z118" s="2458" t="s">
        <v>73</v>
      </c>
      <c r="AA118" s="3375"/>
      <c r="AB118" s="3372"/>
      <c r="AC118" s="3372"/>
      <c r="AD118" s="3372"/>
      <c r="AE118" s="3372"/>
      <c r="AF118" s="3372"/>
      <c r="AG118" s="3372"/>
      <c r="AH118" s="3372"/>
      <c r="AI118" s="3372"/>
      <c r="AJ118" s="3372"/>
      <c r="AK118" s="3372"/>
      <c r="AL118" s="3372"/>
      <c r="AM118" s="3372"/>
      <c r="AN118" s="3372"/>
      <c r="AO118" s="3372"/>
      <c r="AP118" s="3372"/>
      <c r="AQ118" s="3017">
        <v>44198</v>
      </c>
      <c r="AR118" s="3017">
        <v>44560</v>
      </c>
      <c r="AS118" s="2522"/>
    </row>
    <row r="119" spans="1:45" ht="24" customHeight="1" x14ac:dyDescent="0.25">
      <c r="A119" s="1640"/>
      <c r="B119" s="33"/>
      <c r="C119" s="1549"/>
      <c r="D119" s="1541"/>
      <c r="G119" s="3386"/>
      <c r="H119" s="2257"/>
      <c r="I119" s="3386"/>
      <c r="J119" s="2257"/>
      <c r="K119" s="2468"/>
      <c r="L119" s="2259"/>
      <c r="M119" s="2468"/>
      <c r="N119" s="2259"/>
      <c r="O119" s="3338"/>
      <c r="P119" s="2165"/>
      <c r="Q119" s="2661"/>
      <c r="R119" s="3373"/>
      <c r="S119" s="3357"/>
      <c r="T119" s="2281"/>
      <c r="U119" s="2284"/>
      <c r="V119" s="2257"/>
      <c r="W119" s="1739">
        <v>4126079.04</v>
      </c>
      <c r="X119" s="1576" t="s">
        <v>2892</v>
      </c>
      <c r="Y119" s="3362"/>
      <c r="Z119" s="2459"/>
      <c r="AA119" s="3375"/>
      <c r="AB119" s="3372"/>
      <c r="AC119" s="3372"/>
      <c r="AD119" s="3372"/>
      <c r="AE119" s="3372"/>
      <c r="AF119" s="3372"/>
      <c r="AG119" s="3372"/>
      <c r="AH119" s="3372"/>
      <c r="AI119" s="3372"/>
      <c r="AJ119" s="3372"/>
      <c r="AK119" s="3372"/>
      <c r="AL119" s="3372"/>
      <c r="AM119" s="3372"/>
      <c r="AN119" s="3372"/>
      <c r="AO119" s="3372"/>
      <c r="AP119" s="3372"/>
      <c r="AQ119" s="3018"/>
      <c r="AR119" s="3018"/>
      <c r="AS119" s="2522"/>
    </row>
    <row r="120" spans="1:45" ht="18.75" customHeight="1" x14ac:dyDescent="0.25">
      <c r="A120" s="1640"/>
      <c r="B120" s="33"/>
      <c r="C120" s="1549"/>
      <c r="D120" s="1541"/>
      <c r="G120" s="3386"/>
      <c r="H120" s="2257"/>
      <c r="I120" s="3386"/>
      <c r="J120" s="2257"/>
      <c r="K120" s="2468"/>
      <c r="L120" s="2259"/>
      <c r="M120" s="2468"/>
      <c r="N120" s="2259"/>
      <c r="O120" s="3338"/>
      <c r="P120" s="2165"/>
      <c r="Q120" s="2661"/>
      <c r="R120" s="3373"/>
      <c r="S120" s="3357"/>
      <c r="T120" s="2281"/>
      <c r="U120" s="2284"/>
      <c r="V120" s="2257"/>
      <c r="W120" s="1739">
        <v>3750692.96</v>
      </c>
      <c r="X120" s="1576" t="s">
        <v>2893</v>
      </c>
      <c r="Y120" s="3362"/>
      <c r="Z120" s="2459"/>
      <c r="AA120" s="3375"/>
      <c r="AB120" s="3372"/>
      <c r="AC120" s="3372"/>
      <c r="AD120" s="3372"/>
      <c r="AE120" s="3372"/>
      <c r="AF120" s="3372"/>
      <c r="AG120" s="3372"/>
      <c r="AH120" s="3372"/>
      <c r="AI120" s="3372"/>
      <c r="AJ120" s="3372"/>
      <c r="AK120" s="3372"/>
      <c r="AL120" s="3372"/>
      <c r="AM120" s="3372"/>
      <c r="AN120" s="3372"/>
      <c r="AO120" s="3372"/>
      <c r="AP120" s="3372"/>
      <c r="AQ120" s="3018"/>
      <c r="AR120" s="3018"/>
      <c r="AS120" s="2522"/>
    </row>
    <row r="121" spans="1:45" x14ac:dyDescent="0.25">
      <c r="A121" s="1640"/>
      <c r="B121" s="33"/>
      <c r="C121" s="1549"/>
      <c r="D121" s="1541"/>
      <c r="G121" s="3386"/>
      <c r="H121" s="2257"/>
      <c r="I121" s="3386"/>
      <c r="J121" s="2257"/>
      <c r="K121" s="2468"/>
      <c r="L121" s="2259"/>
      <c r="M121" s="2468"/>
      <c r="N121" s="2259"/>
      <c r="O121" s="3338"/>
      <c r="P121" s="2165"/>
      <c r="Q121" s="2661"/>
      <c r="R121" s="3373"/>
      <c r="S121" s="3357"/>
      <c r="T121" s="2281"/>
      <c r="U121" s="2284"/>
      <c r="V121" s="2280"/>
      <c r="W121" s="1739">
        <v>1458778.81</v>
      </c>
      <c r="X121" s="1576" t="s">
        <v>2894</v>
      </c>
      <c r="Y121" s="3363"/>
      <c r="Z121" s="2459"/>
      <c r="AA121" s="3375"/>
      <c r="AB121" s="3372"/>
      <c r="AC121" s="3372"/>
      <c r="AD121" s="3372"/>
      <c r="AE121" s="3372"/>
      <c r="AF121" s="3372"/>
      <c r="AG121" s="3372"/>
      <c r="AH121" s="3372"/>
      <c r="AI121" s="3372"/>
      <c r="AJ121" s="3372"/>
      <c r="AK121" s="3372"/>
      <c r="AL121" s="3372"/>
      <c r="AM121" s="3372"/>
      <c r="AN121" s="3372"/>
      <c r="AO121" s="3372"/>
      <c r="AP121" s="3372"/>
      <c r="AQ121" s="3057"/>
      <c r="AR121" s="3057"/>
      <c r="AS121" s="2522"/>
    </row>
    <row r="122" spans="1:45" ht="40.5" customHeight="1" x14ac:dyDescent="0.25">
      <c r="A122" s="1640"/>
      <c r="B122" s="33"/>
      <c r="C122" s="1549"/>
      <c r="D122" s="1541"/>
      <c r="G122" s="3329" t="s">
        <v>2895</v>
      </c>
      <c r="H122" s="3345" t="s">
        <v>2896</v>
      </c>
      <c r="I122" s="3329" t="s">
        <v>2895</v>
      </c>
      <c r="J122" s="3345" t="s">
        <v>2896</v>
      </c>
      <c r="K122" s="3329" t="s">
        <v>2897</v>
      </c>
      <c r="L122" s="3348" t="s">
        <v>2898</v>
      </c>
      <c r="M122" s="3329" t="s">
        <v>2897</v>
      </c>
      <c r="N122" s="3348" t="s">
        <v>2898</v>
      </c>
      <c r="O122" s="3342" t="s">
        <v>2899</v>
      </c>
      <c r="P122" s="2165"/>
      <c r="Q122" s="2661"/>
      <c r="R122" s="3351">
        <f>SUM(W122:W223)/S110</f>
        <v>0.99893025479709596</v>
      </c>
      <c r="S122" s="3357"/>
      <c r="T122" s="2281"/>
      <c r="U122" s="2518"/>
      <c r="V122" s="2168" t="s">
        <v>2900</v>
      </c>
      <c r="W122" s="1725">
        <v>8428000000</v>
      </c>
      <c r="X122" s="1576" t="s">
        <v>2901</v>
      </c>
      <c r="Y122" s="3353">
        <v>25</v>
      </c>
      <c r="Z122" s="3355" t="s">
        <v>2648</v>
      </c>
      <c r="AA122" s="3375"/>
      <c r="AB122" s="3372"/>
      <c r="AC122" s="3372"/>
      <c r="AD122" s="3372"/>
      <c r="AE122" s="3372"/>
      <c r="AF122" s="3372"/>
      <c r="AG122" s="3372"/>
      <c r="AH122" s="3372"/>
      <c r="AI122" s="3372"/>
      <c r="AJ122" s="3372"/>
      <c r="AK122" s="3372"/>
      <c r="AL122" s="3372"/>
      <c r="AM122" s="3372"/>
      <c r="AN122" s="3372"/>
      <c r="AO122" s="3372"/>
      <c r="AP122" s="3372"/>
      <c r="AQ122" s="3017">
        <v>44198</v>
      </c>
      <c r="AR122" s="3017">
        <v>44560</v>
      </c>
      <c r="AS122" s="2522"/>
    </row>
    <row r="123" spans="1:45" x14ac:dyDescent="0.25">
      <c r="A123" s="1640"/>
      <c r="B123" s="33"/>
      <c r="C123" s="1549"/>
      <c r="D123" s="1541"/>
      <c r="G123" s="3343"/>
      <c r="H123" s="3346"/>
      <c r="I123" s="3343"/>
      <c r="J123" s="3346"/>
      <c r="K123" s="3343"/>
      <c r="L123" s="3349"/>
      <c r="M123" s="3343"/>
      <c r="N123" s="3349"/>
      <c r="O123" s="3342"/>
      <c r="P123" s="2165"/>
      <c r="Q123" s="2661"/>
      <c r="R123" s="3352"/>
      <c r="S123" s="3357"/>
      <c r="T123" s="2281"/>
      <c r="U123" s="2518"/>
      <c r="V123" s="2168"/>
      <c r="W123" s="1725">
        <v>1127000000</v>
      </c>
      <c r="X123" s="1576" t="s">
        <v>2902</v>
      </c>
      <c r="Y123" s="3353"/>
      <c r="Z123" s="3355"/>
      <c r="AA123" s="3375"/>
      <c r="AB123" s="3372"/>
      <c r="AC123" s="3372"/>
      <c r="AD123" s="3372"/>
      <c r="AE123" s="3372"/>
      <c r="AF123" s="3372"/>
      <c r="AG123" s="3372"/>
      <c r="AH123" s="3372"/>
      <c r="AI123" s="3372"/>
      <c r="AJ123" s="3372"/>
      <c r="AK123" s="3372"/>
      <c r="AL123" s="3372"/>
      <c r="AM123" s="3372"/>
      <c r="AN123" s="3372"/>
      <c r="AO123" s="3372"/>
      <c r="AP123" s="3372"/>
      <c r="AQ123" s="3018"/>
      <c r="AR123" s="3018"/>
      <c r="AS123" s="2522"/>
    </row>
    <row r="124" spans="1:45" x14ac:dyDescent="0.25">
      <c r="A124" s="1640"/>
      <c r="B124" s="33"/>
      <c r="C124" s="1549"/>
      <c r="D124" s="1541"/>
      <c r="G124" s="3343"/>
      <c r="H124" s="3346"/>
      <c r="I124" s="3343"/>
      <c r="J124" s="3346"/>
      <c r="K124" s="3343"/>
      <c r="L124" s="3349"/>
      <c r="M124" s="3343"/>
      <c r="N124" s="3349"/>
      <c r="O124" s="3342"/>
      <c r="P124" s="2165"/>
      <c r="Q124" s="2661"/>
      <c r="R124" s="3352"/>
      <c r="S124" s="3357"/>
      <c r="T124" s="2281"/>
      <c r="U124" s="2518"/>
      <c r="V124" s="2168"/>
      <c r="W124" s="1725">
        <v>352000000</v>
      </c>
      <c r="X124" s="1576" t="s">
        <v>2903</v>
      </c>
      <c r="Y124" s="3353"/>
      <c r="Z124" s="3355"/>
      <c r="AA124" s="3375"/>
      <c r="AB124" s="3372"/>
      <c r="AC124" s="3372"/>
      <c r="AD124" s="3372"/>
      <c r="AE124" s="3372"/>
      <c r="AF124" s="3372"/>
      <c r="AG124" s="3372"/>
      <c r="AH124" s="3372"/>
      <c r="AI124" s="3372"/>
      <c r="AJ124" s="3372"/>
      <c r="AK124" s="3372"/>
      <c r="AL124" s="3372"/>
      <c r="AM124" s="3372"/>
      <c r="AN124" s="3372"/>
      <c r="AO124" s="3372"/>
      <c r="AP124" s="3372"/>
      <c r="AQ124" s="3018"/>
      <c r="AR124" s="3018"/>
      <c r="AS124" s="2522"/>
    </row>
    <row r="125" spans="1:45" x14ac:dyDescent="0.25">
      <c r="A125" s="1640"/>
      <c r="B125" s="33"/>
      <c r="C125" s="1549"/>
      <c r="D125" s="1541"/>
      <c r="G125" s="3343"/>
      <c r="H125" s="3346"/>
      <c r="I125" s="3343"/>
      <c r="J125" s="3346"/>
      <c r="K125" s="3343"/>
      <c r="L125" s="3349"/>
      <c r="M125" s="3343"/>
      <c r="N125" s="3349"/>
      <c r="O125" s="3342"/>
      <c r="P125" s="2165"/>
      <c r="Q125" s="2661"/>
      <c r="R125" s="3352"/>
      <c r="S125" s="3357"/>
      <c r="T125" s="2281"/>
      <c r="U125" s="2518"/>
      <c r="V125" s="2168"/>
      <c r="W125" s="1725">
        <v>246000000</v>
      </c>
      <c r="X125" s="1576" t="s">
        <v>2904</v>
      </c>
      <c r="Y125" s="3353"/>
      <c r="Z125" s="3355"/>
      <c r="AA125" s="3375"/>
      <c r="AB125" s="3372"/>
      <c r="AC125" s="3372"/>
      <c r="AD125" s="3372"/>
      <c r="AE125" s="3372"/>
      <c r="AF125" s="3372"/>
      <c r="AG125" s="3372"/>
      <c r="AH125" s="3372"/>
      <c r="AI125" s="3372"/>
      <c r="AJ125" s="3372"/>
      <c r="AK125" s="3372"/>
      <c r="AL125" s="3372"/>
      <c r="AM125" s="3372"/>
      <c r="AN125" s="3372"/>
      <c r="AO125" s="3372"/>
      <c r="AP125" s="3372"/>
      <c r="AQ125" s="3018"/>
      <c r="AR125" s="3018"/>
      <c r="AS125" s="2522"/>
    </row>
    <row r="126" spans="1:45" x14ac:dyDescent="0.25">
      <c r="A126" s="1640"/>
      <c r="B126" s="33"/>
      <c r="C126" s="1549"/>
      <c r="D126" s="1541"/>
      <c r="G126" s="3343"/>
      <c r="H126" s="3346"/>
      <c r="I126" s="3343"/>
      <c r="J126" s="3346"/>
      <c r="K126" s="3343"/>
      <c r="L126" s="3349"/>
      <c r="M126" s="3343"/>
      <c r="N126" s="3349"/>
      <c r="O126" s="3342"/>
      <c r="P126" s="2165"/>
      <c r="Q126" s="2661"/>
      <c r="R126" s="3352"/>
      <c r="S126" s="3357"/>
      <c r="T126" s="2281"/>
      <c r="U126" s="2518"/>
      <c r="V126" s="2168"/>
      <c r="W126" s="1725">
        <v>786000000</v>
      </c>
      <c r="X126" s="1576" t="s">
        <v>2905</v>
      </c>
      <c r="Y126" s="3353"/>
      <c r="Z126" s="3355"/>
      <c r="AA126" s="3375"/>
      <c r="AB126" s="3372"/>
      <c r="AC126" s="3372"/>
      <c r="AD126" s="3372"/>
      <c r="AE126" s="3372"/>
      <c r="AF126" s="3372"/>
      <c r="AG126" s="3372"/>
      <c r="AH126" s="3372"/>
      <c r="AI126" s="3372"/>
      <c r="AJ126" s="3372"/>
      <c r="AK126" s="3372"/>
      <c r="AL126" s="3372"/>
      <c r="AM126" s="3372"/>
      <c r="AN126" s="3372"/>
      <c r="AO126" s="3372"/>
      <c r="AP126" s="3372"/>
      <c r="AQ126" s="3018"/>
      <c r="AR126" s="3018"/>
      <c r="AS126" s="2522"/>
    </row>
    <row r="127" spans="1:45" x14ac:dyDescent="0.25">
      <c r="A127" s="1640"/>
      <c r="B127" s="33"/>
      <c r="C127" s="1549"/>
      <c r="D127" s="1541"/>
      <c r="G127" s="3343"/>
      <c r="H127" s="3346"/>
      <c r="I127" s="3343"/>
      <c r="J127" s="3346"/>
      <c r="K127" s="3343"/>
      <c r="L127" s="3349"/>
      <c r="M127" s="3343"/>
      <c r="N127" s="3349"/>
      <c r="O127" s="3342"/>
      <c r="P127" s="2165"/>
      <c r="Q127" s="2661"/>
      <c r="R127" s="3352"/>
      <c r="S127" s="3357"/>
      <c r="T127" s="2281"/>
      <c r="U127" s="2518"/>
      <c r="V127" s="2168"/>
      <c r="W127" s="1725">
        <v>401000000</v>
      </c>
      <c r="X127" s="1576" t="s">
        <v>2906</v>
      </c>
      <c r="Y127" s="3353"/>
      <c r="Z127" s="3355"/>
      <c r="AA127" s="3375"/>
      <c r="AB127" s="3372"/>
      <c r="AC127" s="3372"/>
      <c r="AD127" s="3372"/>
      <c r="AE127" s="3372"/>
      <c r="AF127" s="3372"/>
      <c r="AG127" s="3372"/>
      <c r="AH127" s="3372"/>
      <c r="AI127" s="3372"/>
      <c r="AJ127" s="3372"/>
      <c r="AK127" s="3372"/>
      <c r="AL127" s="3372"/>
      <c r="AM127" s="3372"/>
      <c r="AN127" s="3372"/>
      <c r="AO127" s="3372"/>
      <c r="AP127" s="3372"/>
      <c r="AQ127" s="3018"/>
      <c r="AR127" s="3018"/>
      <c r="AS127" s="2522"/>
    </row>
    <row r="128" spans="1:45" x14ac:dyDescent="0.25">
      <c r="A128" s="1640"/>
      <c r="B128" s="33"/>
      <c r="C128" s="1549"/>
      <c r="D128" s="1541"/>
      <c r="G128" s="3343"/>
      <c r="H128" s="3346"/>
      <c r="I128" s="3343"/>
      <c r="J128" s="3346"/>
      <c r="K128" s="3343"/>
      <c r="L128" s="3349"/>
      <c r="M128" s="3343"/>
      <c r="N128" s="3349"/>
      <c r="O128" s="3342"/>
      <c r="P128" s="2165"/>
      <c r="Q128" s="2661"/>
      <c r="R128" s="3352"/>
      <c r="S128" s="3357"/>
      <c r="T128" s="2281"/>
      <c r="U128" s="2518"/>
      <c r="V128" s="2168"/>
      <c r="W128" s="1725">
        <v>245000000</v>
      </c>
      <c r="X128" s="1576" t="s">
        <v>2907</v>
      </c>
      <c r="Y128" s="3353"/>
      <c r="Z128" s="3355"/>
      <c r="AA128" s="3375"/>
      <c r="AB128" s="3372"/>
      <c r="AC128" s="3372"/>
      <c r="AD128" s="3372"/>
      <c r="AE128" s="3372"/>
      <c r="AF128" s="3372"/>
      <c r="AG128" s="3372"/>
      <c r="AH128" s="3372"/>
      <c r="AI128" s="3372"/>
      <c r="AJ128" s="3372"/>
      <c r="AK128" s="3372"/>
      <c r="AL128" s="3372"/>
      <c r="AM128" s="3372"/>
      <c r="AN128" s="3372"/>
      <c r="AO128" s="3372"/>
      <c r="AP128" s="3372"/>
      <c r="AQ128" s="3018"/>
      <c r="AR128" s="3018"/>
      <c r="AS128" s="2522"/>
    </row>
    <row r="129" spans="1:45" x14ac:dyDescent="0.25">
      <c r="A129" s="1640"/>
      <c r="B129" s="33"/>
      <c r="C129" s="1549"/>
      <c r="D129" s="1541"/>
      <c r="G129" s="3343"/>
      <c r="H129" s="3346"/>
      <c r="I129" s="3343"/>
      <c r="J129" s="3346"/>
      <c r="K129" s="3343"/>
      <c r="L129" s="3349"/>
      <c r="M129" s="3343"/>
      <c r="N129" s="3349"/>
      <c r="O129" s="3342"/>
      <c r="P129" s="2165"/>
      <c r="Q129" s="2661"/>
      <c r="R129" s="3352"/>
      <c r="S129" s="3357"/>
      <c r="T129" s="2281"/>
      <c r="U129" s="2518"/>
      <c r="V129" s="2168"/>
      <c r="W129" s="1725">
        <v>1136000000</v>
      </c>
      <c r="X129" s="1576" t="s">
        <v>2908</v>
      </c>
      <c r="Y129" s="3353"/>
      <c r="Z129" s="3355"/>
      <c r="AA129" s="3375"/>
      <c r="AB129" s="3372"/>
      <c r="AC129" s="3372"/>
      <c r="AD129" s="3372"/>
      <c r="AE129" s="3372"/>
      <c r="AF129" s="3372"/>
      <c r="AG129" s="3372"/>
      <c r="AH129" s="3372"/>
      <c r="AI129" s="3372"/>
      <c r="AJ129" s="3372"/>
      <c r="AK129" s="3372"/>
      <c r="AL129" s="3372"/>
      <c r="AM129" s="3372"/>
      <c r="AN129" s="3372"/>
      <c r="AO129" s="3372"/>
      <c r="AP129" s="3372"/>
      <c r="AQ129" s="3018"/>
      <c r="AR129" s="3018"/>
      <c r="AS129" s="2522"/>
    </row>
    <row r="130" spans="1:45" x14ac:dyDescent="0.25">
      <c r="A130" s="1640"/>
      <c r="B130" s="33"/>
      <c r="C130" s="1549"/>
      <c r="D130" s="1541"/>
      <c r="G130" s="3343"/>
      <c r="H130" s="3346"/>
      <c r="I130" s="3343"/>
      <c r="J130" s="3346"/>
      <c r="K130" s="3343"/>
      <c r="L130" s="3349"/>
      <c r="M130" s="3343"/>
      <c r="N130" s="3349"/>
      <c r="O130" s="3342"/>
      <c r="P130" s="2165"/>
      <c r="Q130" s="2661"/>
      <c r="R130" s="3352"/>
      <c r="S130" s="3357"/>
      <c r="T130" s="2281"/>
      <c r="U130" s="2518"/>
      <c r="V130" s="2168"/>
      <c r="W130" s="1753">
        <v>805000000</v>
      </c>
      <c r="X130" s="1576" t="s">
        <v>2909</v>
      </c>
      <c r="Y130" s="3353"/>
      <c r="Z130" s="3355"/>
      <c r="AA130" s="3375"/>
      <c r="AB130" s="3372"/>
      <c r="AC130" s="3372"/>
      <c r="AD130" s="3372"/>
      <c r="AE130" s="3372"/>
      <c r="AF130" s="3372"/>
      <c r="AG130" s="3372"/>
      <c r="AH130" s="3372"/>
      <c r="AI130" s="3372"/>
      <c r="AJ130" s="3372"/>
      <c r="AK130" s="3372"/>
      <c r="AL130" s="3372"/>
      <c r="AM130" s="3372"/>
      <c r="AN130" s="3372"/>
      <c r="AO130" s="3372"/>
      <c r="AP130" s="3372"/>
      <c r="AQ130" s="3018"/>
      <c r="AR130" s="3018"/>
      <c r="AS130" s="2522"/>
    </row>
    <row r="131" spans="1:45" x14ac:dyDescent="0.25">
      <c r="A131" s="1640"/>
      <c r="B131" s="33"/>
      <c r="C131" s="1549"/>
      <c r="D131" s="1541"/>
      <c r="G131" s="3343"/>
      <c r="H131" s="3346"/>
      <c r="I131" s="3343"/>
      <c r="J131" s="3346"/>
      <c r="K131" s="3343"/>
      <c r="L131" s="3349"/>
      <c r="M131" s="3343"/>
      <c r="N131" s="3349"/>
      <c r="O131" s="3342"/>
      <c r="P131" s="2165"/>
      <c r="Q131" s="2661"/>
      <c r="R131" s="3352"/>
      <c r="S131" s="3357"/>
      <c r="T131" s="2281"/>
      <c r="U131" s="2518"/>
      <c r="V131" s="2168"/>
      <c r="W131" s="1753">
        <v>1971000000</v>
      </c>
      <c r="X131" s="1576" t="s">
        <v>2910</v>
      </c>
      <c r="Y131" s="3353"/>
      <c r="Z131" s="3355"/>
      <c r="AA131" s="3375"/>
      <c r="AB131" s="3372"/>
      <c r="AC131" s="3372"/>
      <c r="AD131" s="3372"/>
      <c r="AE131" s="3372"/>
      <c r="AF131" s="3372"/>
      <c r="AG131" s="3372"/>
      <c r="AH131" s="3372"/>
      <c r="AI131" s="3372"/>
      <c r="AJ131" s="3372"/>
      <c r="AK131" s="3372"/>
      <c r="AL131" s="3372"/>
      <c r="AM131" s="3372"/>
      <c r="AN131" s="3372"/>
      <c r="AO131" s="3372"/>
      <c r="AP131" s="3372"/>
      <c r="AQ131" s="3018"/>
      <c r="AR131" s="3018"/>
      <c r="AS131" s="2522"/>
    </row>
    <row r="132" spans="1:45" x14ac:dyDescent="0.25">
      <c r="A132" s="1640"/>
      <c r="B132" s="33"/>
      <c r="C132" s="1549"/>
      <c r="D132" s="1541"/>
      <c r="G132" s="3343"/>
      <c r="H132" s="3346"/>
      <c r="I132" s="3343"/>
      <c r="J132" s="3346"/>
      <c r="K132" s="3343"/>
      <c r="L132" s="3349"/>
      <c r="M132" s="3343"/>
      <c r="N132" s="3349"/>
      <c r="O132" s="3342"/>
      <c r="P132" s="2165"/>
      <c r="Q132" s="2661"/>
      <c r="R132" s="3352"/>
      <c r="S132" s="3357"/>
      <c r="T132" s="2281"/>
      <c r="U132" s="2518"/>
      <c r="V132" s="2168"/>
      <c r="W132" s="1753">
        <v>409000000</v>
      </c>
      <c r="X132" s="1576" t="s">
        <v>2911</v>
      </c>
      <c r="Y132" s="3353"/>
      <c r="Z132" s="3355"/>
      <c r="AA132" s="3375"/>
      <c r="AB132" s="3372"/>
      <c r="AC132" s="3372"/>
      <c r="AD132" s="3372"/>
      <c r="AE132" s="3372"/>
      <c r="AF132" s="3372"/>
      <c r="AG132" s="3372"/>
      <c r="AH132" s="3372"/>
      <c r="AI132" s="3372"/>
      <c r="AJ132" s="3372"/>
      <c r="AK132" s="3372"/>
      <c r="AL132" s="3372"/>
      <c r="AM132" s="3372"/>
      <c r="AN132" s="3372"/>
      <c r="AO132" s="3372"/>
      <c r="AP132" s="3372"/>
      <c r="AQ132" s="3018"/>
      <c r="AR132" s="3018"/>
      <c r="AS132" s="2522"/>
    </row>
    <row r="133" spans="1:45" x14ac:dyDescent="0.25">
      <c r="A133" s="1640"/>
      <c r="B133" s="33"/>
      <c r="C133" s="1549"/>
      <c r="D133" s="1541"/>
      <c r="G133" s="3343"/>
      <c r="H133" s="3346"/>
      <c r="I133" s="3343"/>
      <c r="J133" s="3346"/>
      <c r="K133" s="3343"/>
      <c r="L133" s="3349"/>
      <c r="M133" s="3343"/>
      <c r="N133" s="3349"/>
      <c r="O133" s="3342"/>
      <c r="P133" s="2165"/>
      <c r="Q133" s="2661"/>
      <c r="R133" s="3352"/>
      <c r="S133" s="3357"/>
      <c r="T133" s="2281"/>
      <c r="U133" s="2518"/>
      <c r="V133" s="2168"/>
      <c r="W133" s="1753">
        <v>50000000</v>
      </c>
      <c r="X133" s="1576" t="s">
        <v>2912</v>
      </c>
      <c r="Y133" s="3353"/>
      <c r="Z133" s="3355"/>
      <c r="AA133" s="3375"/>
      <c r="AB133" s="3372"/>
      <c r="AC133" s="3372"/>
      <c r="AD133" s="3372"/>
      <c r="AE133" s="3372"/>
      <c r="AF133" s="3372"/>
      <c r="AG133" s="3372"/>
      <c r="AH133" s="3372"/>
      <c r="AI133" s="3372"/>
      <c r="AJ133" s="3372"/>
      <c r="AK133" s="3372"/>
      <c r="AL133" s="3372"/>
      <c r="AM133" s="3372"/>
      <c r="AN133" s="3372"/>
      <c r="AO133" s="3372"/>
      <c r="AP133" s="3372"/>
      <c r="AQ133" s="3018"/>
      <c r="AR133" s="3018"/>
      <c r="AS133" s="2522"/>
    </row>
    <row r="134" spans="1:45" x14ac:dyDescent="0.25">
      <c r="A134" s="1640"/>
      <c r="B134" s="33"/>
      <c r="C134" s="1549"/>
      <c r="D134" s="1541"/>
      <c r="G134" s="3343"/>
      <c r="H134" s="3346"/>
      <c r="I134" s="3343"/>
      <c r="J134" s="3346"/>
      <c r="K134" s="3343"/>
      <c r="L134" s="3349"/>
      <c r="M134" s="3343"/>
      <c r="N134" s="3349"/>
      <c r="O134" s="3342"/>
      <c r="P134" s="2165"/>
      <c r="Q134" s="2661"/>
      <c r="R134" s="3352"/>
      <c r="S134" s="3357"/>
      <c r="T134" s="2281"/>
      <c r="U134" s="2518"/>
      <c r="V134" s="2168"/>
      <c r="W134" s="1753">
        <v>307000000</v>
      </c>
      <c r="X134" s="1576" t="s">
        <v>2913</v>
      </c>
      <c r="Y134" s="3353"/>
      <c r="Z134" s="3355"/>
      <c r="AA134" s="3375"/>
      <c r="AB134" s="3372"/>
      <c r="AC134" s="3372"/>
      <c r="AD134" s="3372"/>
      <c r="AE134" s="3372"/>
      <c r="AF134" s="3372"/>
      <c r="AG134" s="3372"/>
      <c r="AH134" s="3372"/>
      <c r="AI134" s="3372"/>
      <c r="AJ134" s="3372"/>
      <c r="AK134" s="3372"/>
      <c r="AL134" s="3372"/>
      <c r="AM134" s="3372"/>
      <c r="AN134" s="3372"/>
      <c r="AO134" s="3372"/>
      <c r="AP134" s="3372"/>
      <c r="AQ134" s="3018"/>
      <c r="AR134" s="3018"/>
      <c r="AS134" s="2522"/>
    </row>
    <row r="135" spans="1:45" x14ac:dyDescent="0.25">
      <c r="A135" s="1640"/>
      <c r="B135" s="33"/>
      <c r="C135" s="1549"/>
      <c r="D135" s="1541"/>
      <c r="G135" s="3343"/>
      <c r="H135" s="3346"/>
      <c r="I135" s="3343"/>
      <c r="J135" s="3346"/>
      <c r="K135" s="3343"/>
      <c r="L135" s="3349"/>
      <c r="M135" s="3343"/>
      <c r="N135" s="3349"/>
      <c r="O135" s="3342"/>
      <c r="P135" s="2165"/>
      <c r="Q135" s="2661"/>
      <c r="R135" s="3352"/>
      <c r="S135" s="3357"/>
      <c r="T135" s="2281"/>
      <c r="U135" s="2518"/>
      <c r="V135" s="2168"/>
      <c r="W135" s="1753">
        <v>51000000</v>
      </c>
      <c r="X135" s="1576" t="s">
        <v>2914</v>
      </c>
      <c r="Y135" s="3353"/>
      <c r="Z135" s="3355"/>
      <c r="AA135" s="3375"/>
      <c r="AB135" s="3372"/>
      <c r="AC135" s="3372"/>
      <c r="AD135" s="3372"/>
      <c r="AE135" s="3372"/>
      <c r="AF135" s="3372"/>
      <c r="AG135" s="3372"/>
      <c r="AH135" s="3372"/>
      <c r="AI135" s="3372"/>
      <c r="AJ135" s="3372"/>
      <c r="AK135" s="3372"/>
      <c r="AL135" s="3372"/>
      <c r="AM135" s="3372"/>
      <c r="AN135" s="3372"/>
      <c r="AO135" s="3372"/>
      <c r="AP135" s="3372"/>
      <c r="AQ135" s="3018"/>
      <c r="AR135" s="3018"/>
      <c r="AS135" s="2522"/>
    </row>
    <row r="136" spans="1:45" x14ac:dyDescent="0.25">
      <c r="A136" s="1640"/>
      <c r="B136" s="33"/>
      <c r="C136" s="1549"/>
      <c r="D136" s="1541"/>
      <c r="G136" s="3343"/>
      <c r="H136" s="3346"/>
      <c r="I136" s="3343"/>
      <c r="J136" s="3346"/>
      <c r="K136" s="3343"/>
      <c r="L136" s="3349"/>
      <c r="M136" s="3343"/>
      <c r="N136" s="3349"/>
      <c r="O136" s="3342"/>
      <c r="P136" s="2165"/>
      <c r="Q136" s="2661"/>
      <c r="R136" s="3352"/>
      <c r="S136" s="3357"/>
      <c r="T136" s="2281"/>
      <c r="U136" s="2518"/>
      <c r="V136" s="2168"/>
      <c r="W136" s="1753">
        <v>51000000</v>
      </c>
      <c r="X136" s="1576" t="s">
        <v>2915</v>
      </c>
      <c r="Y136" s="3353"/>
      <c r="Z136" s="3355"/>
      <c r="AA136" s="3375"/>
      <c r="AB136" s="3372"/>
      <c r="AC136" s="3372"/>
      <c r="AD136" s="3372"/>
      <c r="AE136" s="3372"/>
      <c r="AF136" s="3372"/>
      <c r="AG136" s="3372"/>
      <c r="AH136" s="3372"/>
      <c r="AI136" s="3372"/>
      <c r="AJ136" s="3372"/>
      <c r="AK136" s="3372"/>
      <c r="AL136" s="3372"/>
      <c r="AM136" s="3372"/>
      <c r="AN136" s="3372"/>
      <c r="AO136" s="3372"/>
      <c r="AP136" s="3372"/>
      <c r="AQ136" s="3018"/>
      <c r="AR136" s="3018"/>
      <c r="AS136" s="2522"/>
    </row>
    <row r="137" spans="1:45" x14ac:dyDescent="0.25">
      <c r="A137" s="1640"/>
      <c r="B137" s="33"/>
      <c r="C137" s="1549"/>
      <c r="D137" s="1541"/>
      <c r="G137" s="3343"/>
      <c r="H137" s="3346"/>
      <c r="I137" s="3343"/>
      <c r="J137" s="3346"/>
      <c r="K137" s="3343"/>
      <c r="L137" s="3349"/>
      <c r="M137" s="3343"/>
      <c r="N137" s="3349"/>
      <c r="O137" s="3342"/>
      <c r="P137" s="2165"/>
      <c r="Q137" s="2661"/>
      <c r="R137" s="3352"/>
      <c r="S137" s="3357"/>
      <c r="T137" s="2281"/>
      <c r="U137" s="2518"/>
      <c r="V137" s="2168"/>
      <c r="W137" s="1753">
        <v>103000000</v>
      </c>
      <c r="X137" s="1576" t="s">
        <v>2916</v>
      </c>
      <c r="Y137" s="3353"/>
      <c r="Z137" s="3355"/>
      <c r="AA137" s="3375"/>
      <c r="AB137" s="3372"/>
      <c r="AC137" s="3372"/>
      <c r="AD137" s="3372"/>
      <c r="AE137" s="3372"/>
      <c r="AF137" s="3372"/>
      <c r="AG137" s="3372"/>
      <c r="AH137" s="3372"/>
      <c r="AI137" s="3372"/>
      <c r="AJ137" s="3372"/>
      <c r="AK137" s="3372"/>
      <c r="AL137" s="3372"/>
      <c r="AM137" s="3372"/>
      <c r="AN137" s="3372"/>
      <c r="AO137" s="3372"/>
      <c r="AP137" s="3372"/>
      <c r="AQ137" s="3018"/>
      <c r="AR137" s="3018"/>
      <c r="AS137" s="2522"/>
    </row>
    <row r="138" spans="1:45" x14ac:dyDescent="0.25">
      <c r="A138" s="1640"/>
      <c r="B138" s="33"/>
      <c r="C138" s="1549"/>
      <c r="D138" s="1541"/>
      <c r="G138" s="3343"/>
      <c r="H138" s="3346"/>
      <c r="I138" s="3343"/>
      <c r="J138" s="3346"/>
      <c r="K138" s="3343"/>
      <c r="L138" s="3349"/>
      <c r="M138" s="3343"/>
      <c r="N138" s="3349"/>
      <c r="O138" s="3342"/>
      <c r="P138" s="2165"/>
      <c r="Q138" s="2661"/>
      <c r="R138" s="3352"/>
      <c r="S138" s="3357"/>
      <c r="T138" s="2281"/>
      <c r="U138" s="2518"/>
      <c r="V138" s="2168"/>
      <c r="W138" s="1753">
        <v>6000000</v>
      </c>
      <c r="X138" s="1576" t="s">
        <v>2917</v>
      </c>
      <c r="Y138" s="3353"/>
      <c r="Z138" s="3355"/>
      <c r="AA138" s="3375"/>
      <c r="AB138" s="3372"/>
      <c r="AC138" s="3372"/>
      <c r="AD138" s="3372"/>
      <c r="AE138" s="3372"/>
      <c r="AF138" s="3372"/>
      <c r="AG138" s="3372"/>
      <c r="AH138" s="3372"/>
      <c r="AI138" s="3372"/>
      <c r="AJ138" s="3372"/>
      <c r="AK138" s="3372"/>
      <c r="AL138" s="3372"/>
      <c r="AM138" s="3372"/>
      <c r="AN138" s="3372"/>
      <c r="AO138" s="3372"/>
      <c r="AP138" s="3372"/>
      <c r="AQ138" s="3018"/>
      <c r="AR138" s="3018"/>
      <c r="AS138" s="2522"/>
    </row>
    <row r="139" spans="1:45" x14ac:dyDescent="0.25">
      <c r="A139" s="1640"/>
      <c r="B139" s="33"/>
      <c r="C139" s="1549"/>
      <c r="D139" s="1541"/>
      <c r="G139" s="3343"/>
      <c r="H139" s="3346"/>
      <c r="I139" s="3343"/>
      <c r="J139" s="3346"/>
      <c r="K139" s="3343"/>
      <c r="L139" s="3349"/>
      <c r="M139" s="3343"/>
      <c r="N139" s="3349"/>
      <c r="O139" s="3342"/>
      <c r="P139" s="2165"/>
      <c r="Q139" s="2661"/>
      <c r="R139" s="3352"/>
      <c r="S139" s="3357"/>
      <c r="T139" s="2281"/>
      <c r="U139" s="2518"/>
      <c r="V139" s="2168"/>
      <c r="W139" s="1753">
        <v>47000000</v>
      </c>
      <c r="X139" s="1576" t="s">
        <v>2918</v>
      </c>
      <c r="Y139" s="3353"/>
      <c r="Z139" s="3355"/>
      <c r="AA139" s="3375"/>
      <c r="AB139" s="3372"/>
      <c r="AC139" s="3372"/>
      <c r="AD139" s="3372"/>
      <c r="AE139" s="3372"/>
      <c r="AF139" s="3372"/>
      <c r="AG139" s="3372"/>
      <c r="AH139" s="3372"/>
      <c r="AI139" s="3372"/>
      <c r="AJ139" s="3372"/>
      <c r="AK139" s="3372"/>
      <c r="AL139" s="3372"/>
      <c r="AM139" s="3372"/>
      <c r="AN139" s="3372"/>
      <c r="AO139" s="3372"/>
      <c r="AP139" s="3372"/>
      <c r="AQ139" s="3018"/>
      <c r="AR139" s="3018"/>
      <c r="AS139" s="2522"/>
    </row>
    <row r="140" spans="1:45" x14ac:dyDescent="0.25">
      <c r="A140" s="1640"/>
      <c r="B140" s="33"/>
      <c r="C140" s="1549"/>
      <c r="D140" s="1541"/>
      <c r="G140" s="3343"/>
      <c r="H140" s="3346"/>
      <c r="I140" s="3343"/>
      <c r="J140" s="3346"/>
      <c r="K140" s="3343"/>
      <c r="L140" s="3349"/>
      <c r="M140" s="3343"/>
      <c r="N140" s="3349"/>
      <c r="O140" s="3342"/>
      <c r="P140" s="2165"/>
      <c r="Q140" s="2661"/>
      <c r="R140" s="3352"/>
      <c r="S140" s="3357"/>
      <c r="T140" s="2281"/>
      <c r="U140" s="2518"/>
      <c r="V140" s="2168"/>
      <c r="W140" s="1753">
        <v>602000000</v>
      </c>
      <c r="X140" s="1576" t="s">
        <v>2919</v>
      </c>
      <c r="Y140" s="3353"/>
      <c r="Z140" s="3355"/>
      <c r="AA140" s="3375"/>
      <c r="AB140" s="3372"/>
      <c r="AC140" s="3372"/>
      <c r="AD140" s="3372"/>
      <c r="AE140" s="3372"/>
      <c r="AF140" s="3372"/>
      <c r="AG140" s="3372"/>
      <c r="AH140" s="3372"/>
      <c r="AI140" s="3372"/>
      <c r="AJ140" s="3372"/>
      <c r="AK140" s="3372"/>
      <c r="AL140" s="3372"/>
      <c r="AM140" s="3372"/>
      <c r="AN140" s="3372"/>
      <c r="AO140" s="3372"/>
      <c r="AP140" s="3372"/>
      <c r="AQ140" s="3018"/>
      <c r="AR140" s="3018"/>
      <c r="AS140" s="2522"/>
    </row>
    <row r="141" spans="1:45" ht="30" x14ac:dyDescent="0.25">
      <c r="A141" s="1640"/>
      <c r="B141" s="33"/>
      <c r="C141" s="1549"/>
      <c r="D141" s="1541"/>
      <c r="G141" s="3343"/>
      <c r="H141" s="3346"/>
      <c r="I141" s="3343"/>
      <c r="J141" s="3346"/>
      <c r="K141" s="3343"/>
      <c r="L141" s="3349"/>
      <c r="M141" s="3343"/>
      <c r="N141" s="3349"/>
      <c r="O141" s="3342"/>
      <c r="P141" s="2165"/>
      <c r="Q141" s="2661"/>
      <c r="R141" s="3352"/>
      <c r="S141" s="3357"/>
      <c r="T141" s="2281"/>
      <c r="U141" s="2518"/>
      <c r="V141" s="2168"/>
      <c r="W141" s="1753">
        <v>10000000</v>
      </c>
      <c r="X141" s="1576" t="s">
        <v>2920</v>
      </c>
      <c r="Y141" s="3353"/>
      <c r="Z141" s="3355"/>
      <c r="AA141" s="3375"/>
      <c r="AB141" s="3372"/>
      <c r="AC141" s="3372"/>
      <c r="AD141" s="3372"/>
      <c r="AE141" s="3372"/>
      <c r="AF141" s="3372"/>
      <c r="AG141" s="3372"/>
      <c r="AH141" s="3372"/>
      <c r="AI141" s="3372"/>
      <c r="AJ141" s="3372"/>
      <c r="AK141" s="3372"/>
      <c r="AL141" s="3372"/>
      <c r="AM141" s="3372"/>
      <c r="AN141" s="3372"/>
      <c r="AO141" s="3372"/>
      <c r="AP141" s="3372"/>
      <c r="AQ141" s="3018"/>
      <c r="AR141" s="3018"/>
      <c r="AS141" s="2522"/>
    </row>
    <row r="142" spans="1:45" x14ac:dyDescent="0.25">
      <c r="A142" s="1640"/>
      <c r="B142" s="33"/>
      <c r="C142" s="1549"/>
      <c r="D142" s="1541"/>
      <c r="G142" s="3343"/>
      <c r="H142" s="3346"/>
      <c r="I142" s="3343"/>
      <c r="J142" s="3346"/>
      <c r="K142" s="3343"/>
      <c r="L142" s="3349"/>
      <c r="M142" s="3343"/>
      <c r="N142" s="3349"/>
      <c r="O142" s="3342"/>
      <c r="P142" s="2165"/>
      <c r="Q142" s="2661"/>
      <c r="R142" s="3352"/>
      <c r="S142" s="3357"/>
      <c r="T142" s="2281"/>
      <c r="U142" s="2518"/>
      <c r="V142" s="2168"/>
      <c r="W142" s="1753">
        <v>79031000000</v>
      </c>
      <c r="X142" s="1576" t="s">
        <v>2921</v>
      </c>
      <c r="Y142" s="3353"/>
      <c r="Z142" s="3355"/>
      <c r="AA142" s="3375"/>
      <c r="AB142" s="3372"/>
      <c r="AC142" s="3372"/>
      <c r="AD142" s="3372"/>
      <c r="AE142" s="3372"/>
      <c r="AF142" s="3372"/>
      <c r="AG142" s="3372"/>
      <c r="AH142" s="3372"/>
      <c r="AI142" s="3372"/>
      <c r="AJ142" s="3372"/>
      <c r="AK142" s="3372"/>
      <c r="AL142" s="3372"/>
      <c r="AM142" s="3372"/>
      <c r="AN142" s="3372"/>
      <c r="AO142" s="3372"/>
      <c r="AP142" s="3372"/>
      <c r="AQ142" s="3018"/>
      <c r="AR142" s="3018"/>
      <c r="AS142" s="2522"/>
    </row>
    <row r="143" spans="1:45" x14ac:dyDescent="0.25">
      <c r="A143" s="1640"/>
      <c r="B143" s="33"/>
      <c r="C143" s="1549"/>
      <c r="D143" s="1541"/>
      <c r="G143" s="3343"/>
      <c r="H143" s="3346"/>
      <c r="I143" s="3343"/>
      <c r="J143" s="3346"/>
      <c r="K143" s="3343"/>
      <c r="L143" s="3349"/>
      <c r="M143" s="3343"/>
      <c r="N143" s="3349"/>
      <c r="O143" s="3342"/>
      <c r="P143" s="2165"/>
      <c r="Q143" s="2661"/>
      <c r="R143" s="3352"/>
      <c r="S143" s="3357"/>
      <c r="T143" s="2281"/>
      <c r="U143" s="2518"/>
      <c r="V143" s="2168"/>
      <c r="W143" s="1753">
        <v>2051000000</v>
      </c>
      <c r="X143" s="1576" t="s">
        <v>2922</v>
      </c>
      <c r="Y143" s="3353"/>
      <c r="Z143" s="3355"/>
      <c r="AA143" s="3375"/>
      <c r="AB143" s="3372"/>
      <c r="AC143" s="3372"/>
      <c r="AD143" s="3372"/>
      <c r="AE143" s="3372"/>
      <c r="AF143" s="3372"/>
      <c r="AG143" s="3372"/>
      <c r="AH143" s="3372"/>
      <c r="AI143" s="3372"/>
      <c r="AJ143" s="3372"/>
      <c r="AK143" s="3372"/>
      <c r="AL143" s="3372"/>
      <c r="AM143" s="3372"/>
      <c r="AN143" s="3372"/>
      <c r="AO143" s="3372"/>
      <c r="AP143" s="3372"/>
      <c r="AQ143" s="3018"/>
      <c r="AR143" s="3018"/>
      <c r="AS143" s="2522"/>
    </row>
    <row r="144" spans="1:45" x14ac:dyDescent="0.25">
      <c r="A144" s="1640"/>
      <c r="B144" s="33"/>
      <c r="C144" s="1549"/>
      <c r="D144" s="1541"/>
      <c r="G144" s="3343"/>
      <c r="H144" s="3346"/>
      <c r="I144" s="3343"/>
      <c r="J144" s="3346"/>
      <c r="K144" s="3343"/>
      <c r="L144" s="3349"/>
      <c r="M144" s="3343"/>
      <c r="N144" s="3349"/>
      <c r="O144" s="3342"/>
      <c r="P144" s="2165"/>
      <c r="Q144" s="2661"/>
      <c r="R144" s="3352"/>
      <c r="S144" s="3357"/>
      <c r="T144" s="2281"/>
      <c r="U144" s="2518"/>
      <c r="V144" s="2168"/>
      <c r="W144" s="1753">
        <v>58000000</v>
      </c>
      <c r="X144" s="1576" t="s">
        <v>2923</v>
      </c>
      <c r="Y144" s="3353"/>
      <c r="Z144" s="3355"/>
      <c r="AA144" s="3375"/>
      <c r="AB144" s="3372"/>
      <c r="AC144" s="3372"/>
      <c r="AD144" s="3372"/>
      <c r="AE144" s="3372"/>
      <c r="AF144" s="3372"/>
      <c r="AG144" s="3372"/>
      <c r="AH144" s="3372"/>
      <c r="AI144" s="3372"/>
      <c r="AJ144" s="3372"/>
      <c r="AK144" s="3372"/>
      <c r="AL144" s="3372"/>
      <c r="AM144" s="3372"/>
      <c r="AN144" s="3372"/>
      <c r="AO144" s="3372"/>
      <c r="AP144" s="3372"/>
      <c r="AQ144" s="3018"/>
      <c r="AR144" s="3018"/>
      <c r="AS144" s="2522"/>
    </row>
    <row r="145" spans="1:45" x14ac:dyDescent="0.25">
      <c r="A145" s="1640"/>
      <c r="B145" s="33"/>
      <c r="C145" s="1549"/>
      <c r="D145" s="1541"/>
      <c r="G145" s="3343"/>
      <c r="H145" s="3346"/>
      <c r="I145" s="3343"/>
      <c r="J145" s="3346"/>
      <c r="K145" s="3343"/>
      <c r="L145" s="3349"/>
      <c r="M145" s="3343"/>
      <c r="N145" s="3349"/>
      <c r="O145" s="3342"/>
      <c r="P145" s="2165"/>
      <c r="Q145" s="2661"/>
      <c r="R145" s="3352"/>
      <c r="S145" s="3357"/>
      <c r="T145" s="2281"/>
      <c r="U145" s="2518"/>
      <c r="V145" s="2168"/>
      <c r="W145" s="1753">
        <v>62000000</v>
      </c>
      <c r="X145" s="1576" t="s">
        <v>2924</v>
      </c>
      <c r="Y145" s="3353"/>
      <c r="Z145" s="3355"/>
      <c r="AA145" s="3375"/>
      <c r="AB145" s="3372"/>
      <c r="AC145" s="3372"/>
      <c r="AD145" s="3372"/>
      <c r="AE145" s="3372"/>
      <c r="AF145" s="3372"/>
      <c r="AG145" s="3372"/>
      <c r="AH145" s="3372"/>
      <c r="AI145" s="3372"/>
      <c r="AJ145" s="3372"/>
      <c r="AK145" s="3372"/>
      <c r="AL145" s="3372"/>
      <c r="AM145" s="3372"/>
      <c r="AN145" s="3372"/>
      <c r="AO145" s="3372"/>
      <c r="AP145" s="3372"/>
      <c r="AQ145" s="3018"/>
      <c r="AR145" s="3018"/>
      <c r="AS145" s="2522"/>
    </row>
    <row r="146" spans="1:45" x14ac:dyDescent="0.25">
      <c r="A146" s="1640"/>
      <c r="B146" s="33"/>
      <c r="C146" s="1549"/>
      <c r="D146" s="1541"/>
      <c r="G146" s="3343"/>
      <c r="H146" s="3346"/>
      <c r="I146" s="3343"/>
      <c r="J146" s="3346"/>
      <c r="K146" s="3343"/>
      <c r="L146" s="3349"/>
      <c r="M146" s="3343"/>
      <c r="N146" s="3349"/>
      <c r="O146" s="3342"/>
      <c r="P146" s="2165"/>
      <c r="Q146" s="2661"/>
      <c r="R146" s="3352"/>
      <c r="S146" s="3357"/>
      <c r="T146" s="2281"/>
      <c r="U146" s="2518"/>
      <c r="V146" s="2168"/>
      <c r="W146" s="1753">
        <v>3533000000</v>
      </c>
      <c r="X146" s="1576" t="s">
        <v>2925</v>
      </c>
      <c r="Y146" s="3353"/>
      <c r="Z146" s="3355"/>
      <c r="AA146" s="3375"/>
      <c r="AB146" s="3372"/>
      <c r="AC146" s="3372"/>
      <c r="AD146" s="3372"/>
      <c r="AE146" s="3372"/>
      <c r="AF146" s="3372"/>
      <c r="AG146" s="3372"/>
      <c r="AH146" s="3372"/>
      <c r="AI146" s="3372"/>
      <c r="AJ146" s="3372"/>
      <c r="AK146" s="3372"/>
      <c r="AL146" s="3372"/>
      <c r="AM146" s="3372"/>
      <c r="AN146" s="3372"/>
      <c r="AO146" s="3372"/>
      <c r="AP146" s="3372"/>
      <c r="AQ146" s="3018"/>
      <c r="AR146" s="3018"/>
      <c r="AS146" s="2522"/>
    </row>
    <row r="147" spans="1:45" x14ac:dyDescent="0.25">
      <c r="A147" s="1640"/>
      <c r="B147" s="33"/>
      <c r="C147" s="1549"/>
      <c r="D147" s="1541"/>
      <c r="G147" s="3343"/>
      <c r="H147" s="3346"/>
      <c r="I147" s="3343"/>
      <c r="J147" s="3346"/>
      <c r="K147" s="3343"/>
      <c r="L147" s="3349"/>
      <c r="M147" s="3343"/>
      <c r="N147" s="3349"/>
      <c r="O147" s="3342"/>
      <c r="P147" s="2165"/>
      <c r="Q147" s="2661"/>
      <c r="R147" s="3352"/>
      <c r="S147" s="3357"/>
      <c r="T147" s="2281"/>
      <c r="U147" s="2518"/>
      <c r="V147" s="2168"/>
      <c r="W147" s="1753">
        <v>7522000000</v>
      </c>
      <c r="X147" s="1576" t="s">
        <v>2926</v>
      </c>
      <c r="Y147" s="3353"/>
      <c r="Z147" s="3355"/>
      <c r="AA147" s="3375"/>
      <c r="AB147" s="3372"/>
      <c r="AC147" s="3372"/>
      <c r="AD147" s="3372"/>
      <c r="AE147" s="3372"/>
      <c r="AF147" s="3372"/>
      <c r="AG147" s="3372"/>
      <c r="AH147" s="3372"/>
      <c r="AI147" s="3372"/>
      <c r="AJ147" s="3372"/>
      <c r="AK147" s="3372"/>
      <c r="AL147" s="3372"/>
      <c r="AM147" s="3372"/>
      <c r="AN147" s="3372"/>
      <c r="AO147" s="3372"/>
      <c r="AP147" s="3372"/>
      <c r="AQ147" s="3018"/>
      <c r="AR147" s="3018"/>
      <c r="AS147" s="2522"/>
    </row>
    <row r="148" spans="1:45" x14ac:dyDescent="0.25">
      <c r="A148" s="1640"/>
      <c r="B148" s="33"/>
      <c r="C148" s="1549"/>
      <c r="D148" s="1541"/>
      <c r="G148" s="3343"/>
      <c r="H148" s="3346"/>
      <c r="I148" s="3343"/>
      <c r="J148" s="3346"/>
      <c r="K148" s="3343"/>
      <c r="L148" s="3349"/>
      <c r="M148" s="3343"/>
      <c r="N148" s="3349"/>
      <c r="O148" s="3342"/>
      <c r="P148" s="2165"/>
      <c r="Q148" s="2661"/>
      <c r="R148" s="3352"/>
      <c r="S148" s="3357"/>
      <c r="T148" s="2281"/>
      <c r="U148" s="2518"/>
      <c r="V148" s="2168"/>
      <c r="W148" s="1753">
        <v>3424000000</v>
      </c>
      <c r="X148" s="1576" t="s">
        <v>2927</v>
      </c>
      <c r="Y148" s="3353"/>
      <c r="Z148" s="3355"/>
      <c r="AA148" s="3375"/>
      <c r="AB148" s="3372"/>
      <c r="AC148" s="3372"/>
      <c r="AD148" s="3372"/>
      <c r="AE148" s="3372"/>
      <c r="AF148" s="3372"/>
      <c r="AG148" s="3372"/>
      <c r="AH148" s="3372"/>
      <c r="AI148" s="3372"/>
      <c r="AJ148" s="3372"/>
      <c r="AK148" s="3372"/>
      <c r="AL148" s="3372"/>
      <c r="AM148" s="3372"/>
      <c r="AN148" s="3372"/>
      <c r="AO148" s="3372"/>
      <c r="AP148" s="3372"/>
      <c r="AQ148" s="3018"/>
      <c r="AR148" s="3018"/>
      <c r="AS148" s="2522"/>
    </row>
    <row r="149" spans="1:45" x14ac:dyDescent="0.25">
      <c r="A149" s="1640"/>
      <c r="B149" s="33"/>
      <c r="C149" s="1549"/>
      <c r="D149" s="1541"/>
      <c r="G149" s="3343"/>
      <c r="H149" s="3346"/>
      <c r="I149" s="3343"/>
      <c r="J149" s="3346"/>
      <c r="K149" s="3343"/>
      <c r="L149" s="3349"/>
      <c r="M149" s="3343"/>
      <c r="N149" s="3349"/>
      <c r="O149" s="3342"/>
      <c r="P149" s="2165"/>
      <c r="Q149" s="2661"/>
      <c r="R149" s="3352"/>
      <c r="S149" s="3357"/>
      <c r="T149" s="2281"/>
      <c r="U149" s="2518"/>
      <c r="V149" s="2168"/>
      <c r="W149" s="1753">
        <v>3527000000</v>
      </c>
      <c r="X149" s="1576" t="s">
        <v>2928</v>
      </c>
      <c r="Y149" s="3353"/>
      <c r="Z149" s="3355"/>
      <c r="AA149" s="3375"/>
      <c r="AB149" s="3372"/>
      <c r="AC149" s="3372"/>
      <c r="AD149" s="3372"/>
      <c r="AE149" s="3372"/>
      <c r="AF149" s="3372"/>
      <c r="AG149" s="3372"/>
      <c r="AH149" s="3372"/>
      <c r="AI149" s="3372"/>
      <c r="AJ149" s="3372"/>
      <c r="AK149" s="3372"/>
      <c r="AL149" s="3372"/>
      <c r="AM149" s="3372"/>
      <c r="AN149" s="3372"/>
      <c r="AO149" s="3372"/>
      <c r="AP149" s="3372"/>
      <c r="AQ149" s="3018"/>
      <c r="AR149" s="3018"/>
      <c r="AS149" s="2522"/>
    </row>
    <row r="150" spans="1:45" x14ac:dyDescent="0.25">
      <c r="A150" s="1640"/>
      <c r="B150" s="33"/>
      <c r="C150" s="1549"/>
      <c r="D150" s="1541"/>
      <c r="G150" s="3343"/>
      <c r="H150" s="3346"/>
      <c r="I150" s="3343"/>
      <c r="J150" s="3346"/>
      <c r="K150" s="3343"/>
      <c r="L150" s="3349"/>
      <c r="M150" s="3343"/>
      <c r="N150" s="3349"/>
      <c r="O150" s="3342"/>
      <c r="P150" s="2165"/>
      <c r="Q150" s="2661"/>
      <c r="R150" s="3352"/>
      <c r="S150" s="3357"/>
      <c r="T150" s="2281"/>
      <c r="U150" s="2518"/>
      <c r="V150" s="2168"/>
      <c r="W150" s="1753">
        <v>2645000000</v>
      </c>
      <c r="X150" s="1576" t="s">
        <v>2929</v>
      </c>
      <c r="Y150" s="3353"/>
      <c r="Z150" s="3355"/>
      <c r="AA150" s="3375"/>
      <c r="AB150" s="3372"/>
      <c r="AC150" s="3372"/>
      <c r="AD150" s="3372"/>
      <c r="AE150" s="3372"/>
      <c r="AF150" s="3372"/>
      <c r="AG150" s="3372"/>
      <c r="AH150" s="3372"/>
      <c r="AI150" s="3372"/>
      <c r="AJ150" s="3372"/>
      <c r="AK150" s="3372"/>
      <c r="AL150" s="3372"/>
      <c r="AM150" s="3372"/>
      <c r="AN150" s="3372"/>
      <c r="AO150" s="3372"/>
      <c r="AP150" s="3372"/>
      <c r="AQ150" s="3018"/>
      <c r="AR150" s="3018"/>
      <c r="AS150" s="2522"/>
    </row>
    <row r="151" spans="1:45" x14ac:dyDescent="0.25">
      <c r="A151" s="1640"/>
      <c r="B151" s="33"/>
      <c r="C151" s="1549"/>
      <c r="D151" s="1541"/>
      <c r="G151" s="3343"/>
      <c r="H151" s="3346"/>
      <c r="I151" s="3343"/>
      <c r="J151" s="3346"/>
      <c r="K151" s="3343"/>
      <c r="L151" s="3349"/>
      <c r="M151" s="3343"/>
      <c r="N151" s="3349"/>
      <c r="O151" s="3342"/>
      <c r="P151" s="2165"/>
      <c r="Q151" s="2661"/>
      <c r="R151" s="3352"/>
      <c r="S151" s="3357"/>
      <c r="T151" s="2281"/>
      <c r="U151" s="2518"/>
      <c r="V151" s="2168"/>
      <c r="W151" s="1753">
        <v>441000000</v>
      </c>
      <c r="X151" s="1576" t="s">
        <v>2930</v>
      </c>
      <c r="Y151" s="3353"/>
      <c r="Z151" s="3355"/>
      <c r="AA151" s="3375"/>
      <c r="AB151" s="3372"/>
      <c r="AC151" s="3372"/>
      <c r="AD151" s="3372"/>
      <c r="AE151" s="3372"/>
      <c r="AF151" s="3372"/>
      <c r="AG151" s="3372"/>
      <c r="AH151" s="3372"/>
      <c r="AI151" s="3372"/>
      <c r="AJ151" s="3372"/>
      <c r="AK151" s="3372"/>
      <c r="AL151" s="3372"/>
      <c r="AM151" s="3372"/>
      <c r="AN151" s="3372"/>
      <c r="AO151" s="3372"/>
      <c r="AP151" s="3372"/>
      <c r="AQ151" s="3018"/>
      <c r="AR151" s="3018"/>
      <c r="AS151" s="2522"/>
    </row>
    <row r="152" spans="1:45" x14ac:dyDescent="0.25">
      <c r="A152" s="1640"/>
      <c r="B152" s="33"/>
      <c r="C152" s="1549"/>
      <c r="D152" s="1541"/>
      <c r="G152" s="3343"/>
      <c r="H152" s="3346"/>
      <c r="I152" s="3343"/>
      <c r="J152" s="3346"/>
      <c r="K152" s="3343"/>
      <c r="L152" s="3349"/>
      <c r="M152" s="3343"/>
      <c r="N152" s="3349"/>
      <c r="O152" s="3342"/>
      <c r="P152" s="2165"/>
      <c r="Q152" s="2661"/>
      <c r="R152" s="3352"/>
      <c r="S152" s="3357"/>
      <c r="T152" s="2281"/>
      <c r="U152" s="2518"/>
      <c r="V152" s="2168"/>
      <c r="W152" s="1753">
        <v>441000000</v>
      </c>
      <c r="X152" s="1576" t="s">
        <v>2931</v>
      </c>
      <c r="Y152" s="3353"/>
      <c r="Z152" s="3355"/>
      <c r="AA152" s="3375"/>
      <c r="AB152" s="3372"/>
      <c r="AC152" s="3372"/>
      <c r="AD152" s="3372"/>
      <c r="AE152" s="3372"/>
      <c r="AF152" s="3372"/>
      <c r="AG152" s="3372"/>
      <c r="AH152" s="3372"/>
      <c r="AI152" s="3372"/>
      <c r="AJ152" s="3372"/>
      <c r="AK152" s="3372"/>
      <c r="AL152" s="3372"/>
      <c r="AM152" s="3372"/>
      <c r="AN152" s="3372"/>
      <c r="AO152" s="3372"/>
      <c r="AP152" s="3372"/>
      <c r="AQ152" s="3018"/>
      <c r="AR152" s="3018"/>
      <c r="AS152" s="2522"/>
    </row>
    <row r="153" spans="1:45" x14ac:dyDescent="0.25">
      <c r="A153" s="1640"/>
      <c r="B153" s="33"/>
      <c r="C153" s="1549"/>
      <c r="D153" s="1541"/>
      <c r="G153" s="3343"/>
      <c r="H153" s="3346"/>
      <c r="I153" s="3343"/>
      <c r="J153" s="3346"/>
      <c r="K153" s="3343"/>
      <c r="L153" s="3349"/>
      <c r="M153" s="3343"/>
      <c r="N153" s="3349"/>
      <c r="O153" s="3342"/>
      <c r="P153" s="2165"/>
      <c r="Q153" s="2661"/>
      <c r="R153" s="3352"/>
      <c r="S153" s="3357"/>
      <c r="T153" s="2281"/>
      <c r="U153" s="2518"/>
      <c r="V153" s="2168"/>
      <c r="W153" s="1753">
        <v>882000000</v>
      </c>
      <c r="X153" s="1576" t="s">
        <v>2932</v>
      </c>
      <c r="Y153" s="3353"/>
      <c r="Z153" s="3355"/>
      <c r="AA153" s="3375"/>
      <c r="AB153" s="3372"/>
      <c r="AC153" s="3372"/>
      <c r="AD153" s="3372"/>
      <c r="AE153" s="3372"/>
      <c r="AF153" s="3372"/>
      <c r="AG153" s="3372"/>
      <c r="AH153" s="3372"/>
      <c r="AI153" s="3372"/>
      <c r="AJ153" s="3372"/>
      <c r="AK153" s="3372"/>
      <c r="AL153" s="3372"/>
      <c r="AM153" s="3372"/>
      <c r="AN153" s="3372"/>
      <c r="AO153" s="3372"/>
      <c r="AP153" s="3372"/>
      <c r="AQ153" s="3018"/>
      <c r="AR153" s="3018"/>
      <c r="AS153" s="2522"/>
    </row>
    <row r="154" spans="1:45" x14ac:dyDescent="0.25">
      <c r="A154" s="1640"/>
      <c r="B154" s="33"/>
      <c r="C154" s="1549"/>
      <c r="D154" s="1541"/>
      <c r="G154" s="3343"/>
      <c r="H154" s="3346"/>
      <c r="I154" s="3343"/>
      <c r="J154" s="3346"/>
      <c r="K154" s="3343"/>
      <c r="L154" s="3349"/>
      <c r="M154" s="3343"/>
      <c r="N154" s="3349"/>
      <c r="O154" s="3342"/>
      <c r="P154" s="2165"/>
      <c r="Q154" s="2661"/>
      <c r="R154" s="3352"/>
      <c r="S154" s="3357"/>
      <c r="T154" s="2281"/>
      <c r="U154" s="2518"/>
      <c r="V154" s="2168"/>
      <c r="W154" s="1753">
        <v>64000000</v>
      </c>
      <c r="X154" s="1576" t="s">
        <v>2933</v>
      </c>
      <c r="Y154" s="3353"/>
      <c r="Z154" s="3355"/>
      <c r="AA154" s="3375"/>
      <c r="AB154" s="3372"/>
      <c r="AC154" s="3372"/>
      <c r="AD154" s="3372"/>
      <c r="AE154" s="3372"/>
      <c r="AF154" s="3372"/>
      <c r="AG154" s="3372"/>
      <c r="AH154" s="3372"/>
      <c r="AI154" s="3372"/>
      <c r="AJ154" s="3372"/>
      <c r="AK154" s="3372"/>
      <c r="AL154" s="3372"/>
      <c r="AM154" s="3372"/>
      <c r="AN154" s="3372"/>
      <c r="AO154" s="3372"/>
      <c r="AP154" s="3372"/>
      <c r="AQ154" s="3018"/>
      <c r="AR154" s="3018"/>
      <c r="AS154" s="2522"/>
    </row>
    <row r="155" spans="1:45" x14ac:dyDescent="0.25">
      <c r="A155" s="1640"/>
      <c r="B155" s="33"/>
      <c r="C155" s="1549"/>
      <c r="D155" s="1541"/>
      <c r="G155" s="3343"/>
      <c r="H155" s="3346"/>
      <c r="I155" s="3343"/>
      <c r="J155" s="3346"/>
      <c r="K155" s="3343"/>
      <c r="L155" s="3349"/>
      <c r="M155" s="3343"/>
      <c r="N155" s="3349"/>
      <c r="O155" s="3342"/>
      <c r="P155" s="2165"/>
      <c r="Q155" s="2661"/>
      <c r="R155" s="3352"/>
      <c r="S155" s="3357"/>
      <c r="T155" s="2281"/>
      <c r="U155" s="2518"/>
      <c r="V155" s="2168"/>
      <c r="W155" s="1754">
        <v>831338000</v>
      </c>
      <c r="X155" s="1576" t="s">
        <v>2934</v>
      </c>
      <c r="Y155" s="3353"/>
      <c r="Z155" s="3355"/>
      <c r="AA155" s="3375"/>
      <c r="AB155" s="3372"/>
      <c r="AC155" s="3372"/>
      <c r="AD155" s="3372"/>
      <c r="AE155" s="3372"/>
      <c r="AF155" s="3372"/>
      <c r="AG155" s="3372"/>
      <c r="AH155" s="3372"/>
      <c r="AI155" s="3372"/>
      <c r="AJ155" s="3372"/>
      <c r="AK155" s="3372"/>
      <c r="AL155" s="3372"/>
      <c r="AM155" s="3372"/>
      <c r="AN155" s="3372"/>
      <c r="AO155" s="3372"/>
      <c r="AP155" s="3372"/>
      <c r="AQ155" s="3018"/>
      <c r="AR155" s="3018"/>
      <c r="AS155" s="2522"/>
    </row>
    <row r="156" spans="1:45" ht="30" x14ac:dyDescent="0.25">
      <c r="A156" s="1640"/>
      <c r="B156" s="33"/>
      <c r="C156" s="1549"/>
      <c r="D156" s="1541"/>
      <c r="G156" s="3343"/>
      <c r="H156" s="3346"/>
      <c r="I156" s="3343"/>
      <c r="J156" s="3346"/>
      <c r="K156" s="3343"/>
      <c r="L156" s="3349"/>
      <c r="M156" s="3343"/>
      <c r="N156" s="3349"/>
      <c r="O156" s="3342"/>
      <c r="P156" s="2165"/>
      <c r="Q156" s="2661"/>
      <c r="R156" s="3352"/>
      <c r="S156" s="3357"/>
      <c r="T156" s="2281"/>
      <c r="U156" s="2518"/>
      <c r="V156" s="2168"/>
      <c r="W156" s="1753">
        <v>15000000</v>
      </c>
      <c r="X156" s="1576" t="s">
        <v>2935</v>
      </c>
      <c r="Y156" s="3353"/>
      <c r="Z156" s="3355"/>
      <c r="AA156" s="3375"/>
      <c r="AB156" s="3372"/>
      <c r="AC156" s="3372"/>
      <c r="AD156" s="3372"/>
      <c r="AE156" s="3372"/>
      <c r="AF156" s="3372"/>
      <c r="AG156" s="3372"/>
      <c r="AH156" s="3372"/>
      <c r="AI156" s="3372"/>
      <c r="AJ156" s="3372"/>
      <c r="AK156" s="3372"/>
      <c r="AL156" s="3372"/>
      <c r="AM156" s="3372"/>
      <c r="AN156" s="3372"/>
      <c r="AO156" s="3372"/>
      <c r="AP156" s="3372"/>
      <c r="AQ156" s="3018"/>
      <c r="AR156" s="3018"/>
      <c r="AS156" s="2522"/>
    </row>
    <row r="157" spans="1:45" x14ac:dyDescent="0.25">
      <c r="A157" s="1640"/>
      <c r="B157" s="33"/>
      <c r="C157" s="1549"/>
      <c r="D157" s="1541"/>
      <c r="G157" s="3343"/>
      <c r="H157" s="3346"/>
      <c r="I157" s="3343"/>
      <c r="J157" s="3346"/>
      <c r="K157" s="3343"/>
      <c r="L157" s="3349"/>
      <c r="M157" s="3343"/>
      <c r="N157" s="3349"/>
      <c r="O157" s="3342"/>
      <c r="P157" s="2165"/>
      <c r="Q157" s="2661"/>
      <c r="R157" s="3352"/>
      <c r="S157" s="3357"/>
      <c r="T157" s="2281"/>
      <c r="U157" s="2518"/>
      <c r="V157" s="2168"/>
      <c r="W157" s="1753">
        <v>12128000000</v>
      </c>
      <c r="X157" s="1576" t="s">
        <v>2936</v>
      </c>
      <c r="Y157" s="3353"/>
      <c r="Z157" s="3355"/>
      <c r="AA157" s="3375"/>
      <c r="AB157" s="3372"/>
      <c r="AC157" s="3372"/>
      <c r="AD157" s="3372"/>
      <c r="AE157" s="3372"/>
      <c r="AF157" s="3372"/>
      <c r="AG157" s="3372"/>
      <c r="AH157" s="3372"/>
      <c r="AI157" s="3372"/>
      <c r="AJ157" s="3372"/>
      <c r="AK157" s="3372"/>
      <c r="AL157" s="3372"/>
      <c r="AM157" s="3372"/>
      <c r="AN157" s="3372"/>
      <c r="AO157" s="3372"/>
      <c r="AP157" s="3372"/>
      <c r="AQ157" s="3018"/>
      <c r="AR157" s="3018"/>
      <c r="AS157" s="2522"/>
    </row>
    <row r="158" spans="1:45" x14ac:dyDescent="0.25">
      <c r="A158" s="1640"/>
      <c r="B158" s="33"/>
      <c r="C158" s="1549"/>
      <c r="D158" s="1541"/>
      <c r="G158" s="3343"/>
      <c r="H158" s="3346"/>
      <c r="I158" s="3343"/>
      <c r="J158" s="3346"/>
      <c r="K158" s="3343"/>
      <c r="L158" s="3349"/>
      <c r="M158" s="3343"/>
      <c r="N158" s="3349"/>
      <c r="O158" s="3342"/>
      <c r="P158" s="2165"/>
      <c r="Q158" s="2661"/>
      <c r="R158" s="3352"/>
      <c r="S158" s="3357"/>
      <c r="T158" s="2281"/>
      <c r="U158" s="2518"/>
      <c r="V158" s="2168"/>
      <c r="W158" s="1753">
        <v>79000000</v>
      </c>
      <c r="X158" s="1576" t="s">
        <v>2937</v>
      </c>
      <c r="Y158" s="3353"/>
      <c r="Z158" s="3355"/>
      <c r="AA158" s="3375"/>
      <c r="AB158" s="3372"/>
      <c r="AC158" s="3372"/>
      <c r="AD158" s="3372"/>
      <c r="AE158" s="3372"/>
      <c r="AF158" s="3372"/>
      <c r="AG158" s="3372"/>
      <c r="AH158" s="3372"/>
      <c r="AI158" s="3372"/>
      <c r="AJ158" s="3372"/>
      <c r="AK158" s="3372"/>
      <c r="AL158" s="3372"/>
      <c r="AM158" s="3372"/>
      <c r="AN158" s="3372"/>
      <c r="AO158" s="3372"/>
      <c r="AP158" s="3372"/>
      <c r="AQ158" s="3018"/>
      <c r="AR158" s="3018"/>
      <c r="AS158" s="2522"/>
    </row>
    <row r="159" spans="1:45" x14ac:dyDescent="0.25">
      <c r="A159" s="1640"/>
      <c r="B159" s="33"/>
      <c r="C159" s="1549"/>
      <c r="D159" s="1541"/>
      <c r="G159" s="3343"/>
      <c r="H159" s="3346"/>
      <c r="I159" s="3343"/>
      <c r="J159" s="3346"/>
      <c r="K159" s="3343"/>
      <c r="L159" s="3349"/>
      <c r="M159" s="3343"/>
      <c r="N159" s="3349"/>
      <c r="O159" s="3342"/>
      <c r="P159" s="2165"/>
      <c r="Q159" s="2661"/>
      <c r="R159" s="3352"/>
      <c r="S159" s="3357"/>
      <c r="T159" s="2281"/>
      <c r="U159" s="2518"/>
      <c r="V159" s="2168"/>
      <c r="W159" s="1753">
        <v>4000000</v>
      </c>
      <c r="X159" s="1576" t="s">
        <v>2938</v>
      </c>
      <c r="Y159" s="3353"/>
      <c r="Z159" s="3355"/>
      <c r="AA159" s="3375"/>
      <c r="AB159" s="3372"/>
      <c r="AC159" s="3372"/>
      <c r="AD159" s="3372"/>
      <c r="AE159" s="3372"/>
      <c r="AF159" s="3372"/>
      <c r="AG159" s="3372"/>
      <c r="AH159" s="3372"/>
      <c r="AI159" s="3372"/>
      <c r="AJ159" s="3372"/>
      <c r="AK159" s="3372"/>
      <c r="AL159" s="3372"/>
      <c r="AM159" s="3372"/>
      <c r="AN159" s="3372"/>
      <c r="AO159" s="3372"/>
      <c r="AP159" s="3372"/>
      <c r="AQ159" s="3018"/>
      <c r="AR159" s="3018"/>
      <c r="AS159" s="2522"/>
    </row>
    <row r="160" spans="1:45" x14ac:dyDescent="0.25">
      <c r="A160" s="1640"/>
      <c r="B160" s="33"/>
      <c r="C160" s="1549"/>
      <c r="D160" s="1541"/>
      <c r="G160" s="3343"/>
      <c r="H160" s="3346"/>
      <c r="I160" s="3343"/>
      <c r="J160" s="3346"/>
      <c r="K160" s="3343"/>
      <c r="L160" s="3349"/>
      <c r="M160" s="3343"/>
      <c r="N160" s="3349"/>
      <c r="O160" s="3342"/>
      <c r="P160" s="2165"/>
      <c r="Q160" s="2661"/>
      <c r="R160" s="3352"/>
      <c r="S160" s="3357"/>
      <c r="T160" s="2281"/>
      <c r="U160" s="2518"/>
      <c r="V160" s="2168"/>
      <c r="W160" s="1753">
        <v>514000000</v>
      </c>
      <c r="X160" s="1576" t="s">
        <v>2939</v>
      </c>
      <c r="Y160" s="3353"/>
      <c r="Z160" s="3355"/>
      <c r="AA160" s="3375"/>
      <c r="AB160" s="3372"/>
      <c r="AC160" s="3372"/>
      <c r="AD160" s="3372"/>
      <c r="AE160" s="3372"/>
      <c r="AF160" s="3372"/>
      <c r="AG160" s="3372"/>
      <c r="AH160" s="3372"/>
      <c r="AI160" s="3372"/>
      <c r="AJ160" s="3372"/>
      <c r="AK160" s="3372"/>
      <c r="AL160" s="3372"/>
      <c r="AM160" s="3372"/>
      <c r="AN160" s="3372"/>
      <c r="AO160" s="3372"/>
      <c r="AP160" s="3372"/>
      <c r="AQ160" s="3018"/>
      <c r="AR160" s="3018"/>
      <c r="AS160" s="2522"/>
    </row>
    <row r="161" spans="1:45" x14ac:dyDescent="0.25">
      <c r="A161" s="1640"/>
      <c r="B161" s="33"/>
      <c r="C161" s="1549"/>
      <c r="D161" s="1541"/>
      <c r="G161" s="3343"/>
      <c r="H161" s="3346"/>
      <c r="I161" s="3343"/>
      <c r="J161" s="3346"/>
      <c r="K161" s="3343"/>
      <c r="L161" s="3349"/>
      <c r="M161" s="3343"/>
      <c r="N161" s="3349"/>
      <c r="O161" s="3342"/>
      <c r="P161" s="2165"/>
      <c r="Q161" s="2661"/>
      <c r="R161" s="3352"/>
      <c r="S161" s="3357"/>
      <c r="T161" s="2281"/>
      <c r="U161" s="2518"/>
      <c r="V161" s="2168"/>
      <c r="W161" s="1753">
        <v>1367000000</v>
      </c>
      <c r="X161" s="1576" t="s">
        <v>2940</v>
      </c>
      <c r="Y161" s="3353"/>
      <c r="Z161" s="3355"/>
      <c r="AA161" s="3375"/>
      <c r="AB161" s="3372"/>
      <c r="AC161" s="3372"/>
      <c r="AD161" s="3372"/>
      <c r="AE161" s="3372"/>
      <c r="AF161" s="3372"/>
      <c r="AG161" s="3372"/>
      <c r="AH161" s="3372"/>
      <c r="AI161" s="3372"/>
      <c r="AJ161" s="3372"/>
      <c r="AK161" s="3372"/>
      <c r="AL161" s="3372"/>
      <c r="AM161" s="3372"/>
      <c r="AN161" s="3372"/>
      <c r="AO161" s="3372"/>
      <c r="AP161" s="3372"/>
      <c r="AQ161" s="3018"/>
      <c r="AR161" s="3018"/>
      <c r="AS161" s="2522"/>
    </row>
    <row r="162" spans="1:45" x14ac:dyDescent="0.25">
      <c r="A162" s="1640"/>
      <c r="B162" s="33"/>
      <c r="C162" s="1549"/>
      <c r="D162" s="1541"/>
      <c r="G162" s="3343"/>
      <c r="H162" s="3346"/>
      <c r="I162" s="3343"/>
      <c r="J162" s="3346"/>
      <c r="K162" s="3343"/>
      <c r="L162" s="3349"/>
      <c r="M162" s="3343"/>
      <c r="N162" s="3349"/>
      <c r="O162" s="3342"/>
      <c r="P162" s="2165"/>
      <c r="Q162" s="2661"/>
      <c r="R162" s="3352"/>
      <c r="S162" s="3357"/>
      <c r="T162" s="2281"/>
      <c r="U162" s="2518"/>
      <c r="V162" s="2168"/>
      <c r="W162" s="1753">
        <v>536000000</v>
      </c>
      <c r="X162" s="1576" t="s">
        <v>2941</v>
      </c>
      <c r="Y162" s="3353"/>
      <c r="Z162" s="3355"/>
      <c r="AA162" s="3375"/>
      <c r="AB162" s="3372"/>
      <c r="AC162" s="3372"/>
      <c r="AD162" s="3372"/>
      <c r="AE162" s="3372"/>
      <c r="AF162" s="3372"/>
      <c r="AG162" s="3372"/>
      <c r="AH162" s="3372"/>
      <c r="AI162" s="3372"/>
      <c r="AJ162" s="3372"/>
      <c r="AK162" s="3372"/>
      <c r="AL162" s="3372"/>
      <c r="AM162" s="3372"/>
      <c r="AN162" s="3372"/>
      <c r="AO162" s="3372"/>
      <c r="AP162" s="3372"/>
      <c r="AQ162" s="3018"/>
      <c r="AR162" s="3018"/>
      <c r="AS162" s="2522"/>
    </row>
    <row r="163" spans="1:45" x14ac:dyDescent="0.25">
      <c r="A163" s="1640"/>
      <c r="B163" s="33"/>
      <c r="C163" s="1549"/>
      <c r="D163" s="1541"/>
      <c r="G163" s="3343"/>
      <c r="H163" s="3346"/>
      <c r="I163" s="3343"/>
      <c r="J163" s="3346"/>
      <c r="K163" s="3343"/>
      <c r="L163" s="3349"/>
      <c r="M163" s="3343"/>
      <c r="N163" s="3349"/>
      <c r="O163" s="3342"/>
      <c r="P163" s="2165"/>
      <c r="Q163" s="2661"/>
      <c r="R163" s="3352"/>
      <c r="S163" s="3357"/>
      <c r="T163" s="2281"/>
      <c r="U163" s="2518"/>
      <c r="V163" s="2168"/>
      <c r="W163" s="1753">
        <v>567000000</v>
      </c>
      <c r="X163" s="1576" t="s">
        <v>2942</v>
      </c>
      <c r="Y163" s="3353"/>
      <c r="Z163" s="3355"/>
      <c r="AA163" s="3375"/>
      <c r="AB163" s="3372"/>
      <c r="AC163" s="3372"/>
      <c r="AD163" s="3372"/>
      <c r="AE163" s="3372"/>
      <c r="AF163" s="3372"/>
      <c r="AG163" s="3372"/>
      <c r="AH163" s="3372"/>
      <c r="AI163" s="3372"/>
      <c r="AJ163" s="3372"/>
      <c r="AK163" s="3372"/>
      <c r="AL163" s="3372"/>
      <c r="AM163" s="3372"/>
      <c r="AN163" s="3372"/>
      <c r="AO163" s="3372"/>
      <c r="AP163" s="3372"/>
      <c r="AQ163" s="3018"/>
      <c r="AR163" s="3018"/>
      <c r="AS163" s="2522"/>
    </row>
    <row r="164" spans="1:45" x14ac:dyDescent="0.25">
      <c r="A164" s="1640"/>
      <c r="B164" s="33"/>
      <c r="C164" s="1549"/>
      <c r="D164" s="1541"/>
      <c r="G164" s="3343"/>
      <c r="H164" s="3346"/>
      <c r="I164" s="3343"/>
      <c r="J164" s="3346"/>
      <c r="K164" s="3343"/>
      <c r="L164" s="3349"/>
      <c r="M164" s="3343"/>
      <c r="N164" s="3349"/>
      <c r="O164" s="3342"/>
      <c r="P164" s="2165"/>
      <c r="Q164" s="2661"/>
      <c r="R164" s="3352"/>
      <c r="S164" s="3357"/>
      <c r="T164" s="2281"/>
      <c r="U164" s="2518"/>
      <c r="V164" s="2168"/>
      <c r="W164" s="1753">
        <v>426000000</v>
      </c>
      <c r="X164" s="1576" t="s">
        <v>2943</v>
      </c>
      <c r="Y164" s="3353"/>
      <c r="Z164" s="3355"/>
      <c r="AA164" s="3375"/>
      <c r="AB164" s="3372"/>
      <c r="AC164" s="3372"/>
      <c r="AD164" s="3372"/>
      <c r="AE164" s="3372"/>
      <c r="AF164" s="3372"/>
      <c r="AG164" s="3372"/>
      <c r="AH164" s="3372"/>
      <c r="AI164" s="3372"/>
      <c r="AJ164" s="3372"/>
      <c r="AK164" s="3372"/>
      <c r="AL164" s="3372"/>
      <c r="AM164" s="3372"/>
      <c r="AN164" s="3372"/>
      <c r="AO164" s="3372"/>
      <c r="AP164" s="3372"/>
      <c r="AQ164" s="3018"/>
      <c r="AR164" s="3018"/>
      <c r="AS164" s="2522"/>
    </row>
    <row r="165" spans="1:45" x14ac:dyDescent="0.25">
      <c r="A165" s="1640"/>
      <c r="B165" s="33"/>
      <c r="C165" s="1549"/>
      <c r="D165" s="1541"/>
      <c r="G165" s="3343"/>
      <c r="H165" s="3346"/>
      <c r="I165" s="3343"/>
      <c r="J165" s="3346"/>
      <c r="K165" s="3343"/>
      <c r="L165" s="3349"/>
      <c r="M165" s="3343"/>
      <c r="N165" s="3349"/>
      <c r="O165" s="3342"/>
      <c r="P165" s="2165"/>
      <c r="Q165" s="2661"/>
      <c r="R165" s="3352"/>
      <c r="S165" s="3357"/>
      <c r="T165" s="2281"/>
      <c r="U165" s="2518"/>
      <c r="V165" s="2168"/>
      <c r="W165" s="1753">
        <v>71000000</v>
      </c>
      <c r="X165" s="1576" t="s">
        <v>2944</v>
      </c>
      <c r="Y165" s="3353"/>
      <c r="Z165" s="3355"/>
      <c r="AA165" s="3375"/>
      <c r="AB165" s="3372"/>
      <c r="AC165" s="3372"/>
      <c r="AD165" s="3372"/>
      <c r="AE165" s="3372"/>
      <c r="AF165" s="3372"/>
      <c r="AG165" s="3372"/>
      <c r="AH165" s="3372"/>
      <c r="AI165" s="3372"/>
      <c r="AJ165" s="3372"/>
      <c r="AK165" s="3372"/>
      <c r="AL165" s="3372"/>
      <c r="AM165" s="3372"/>
      <c r="AN165" s="3372"/>
      <c r="AO165" s="3372"/>
      <c r="AP165" s="3372"/>
      <c r="AQ165" s="3018"/>
      <c r="AR165" s="3018"/>
      <c r="AS165" s="2522"/>
    </row>
    <row r="166" spans="1:45" x14ac:dyDescent="0.25">
      <c r="A166" s="1640"/>
      <c r="B166" s="33"/>
      <c r="C166" s="1549"/>
      <c r="D166" s="1541"/>
      <c r="G166" s="3343"/>
      <c r="H166" s="3346"/>
      <c r="I166" s="3343"/>
      <c r="J166" s="3346"/>
      <c r="K166" s="3343"/>
      <c r="L166" s="3349"/>
      <c r="M166" s="3343"/>
      <c r="N166" s="3349"/>
      <c r="O166" s="3342"/>
      <c r="P166" s="2165"/>
      <c r="Q166" s="2661"/>
      <c r="R166" s="3352"/>
      <c r="S166" s="3357"/>
      <c r="T166" s="2281"/>
      <c r="U166" s="2518"/>
      <c r="V166" s="2168"/>
      <c r="W166" s="1753">
        <v>71000000</v>
      </c>
      <c r="X166" s="1576" t="s">
        <v>2945</v>
      </c>
      <c r="Y166" s="3353"/>
      <c r="Z166" s="3355"/>
      <c r="AA166" s="3375"/>
      <c r="AB166" s="3372"/>
      <c r="AC166" s="3372"/>
      <c r="AD166" s="3372"/>
      <c r="AE166" s="3372"/>
      <c r="AF166" s="3372"/>
      <c r="AG166" s="3372"/>
      <c r="AH166" s="3372"/>
      <c r="AI166" s="3372"/>
      <c r="AJ166" s="3372"/>
      <c r="AK166" s="3372"/>
      <c r="AL166" s="3372"/>
      <c r="AM166" s="3372"/>
      <c r="AN166" s="3372"/>
      <c r="AO166" s="3372"/>
      <c r="AP166" s="3372"/>
      <c r="AQ166" s="3018"/>
      <c r="AR166" s="3018"/>
      <c r="AS166" s="2522"/>
    </row>
    <row r="167" spans="1:45" x14ac:dyDescent="0.25">
      <c r="A167" s="1640"/>
      <c r="B167" s="33"/>
      <c r="C167" s="1549"/>
      <c r="D167" s="1541"/>
      <c r="G167" s="3343"/>
      <c r="H167" s="3346"/>
      <c r="I167" s="3343"/>
      <c r="J167" s="3346"/>
      <c r="K167" s="3343"/>
      <c r="L167" s="3349"/>
      <c r="M167" s="3343"/>
      <c r="N167" s="3349"/>
      <c r="O167" s="3342"/>
      <c r="P167" s="2165"/>
      <c r="Q167" s="2661"/>
      <c r="R167" s="3352"/>
      <c r="S167" s="3357"/>
      <c r="T167" s="2281"/>
      <c r="U167" s="2518"/>
      <c r="V167" s="2168"/>
      <c r="W167" s="1753">
        <v>142000000</v>
      </c>
      <c r="X167" s="1576" t="s">
        <v>2946</v>
      </c>
      <c r="Y167" s="3353"/>
      <c r="Z167" s="3355"/>
      <c r="AA167" s="3375"/>
      <c r="AB167" s="3372"/>
      <c r="AC167" s="3372"/>
      <c r="AD167" s="3372"/>
      <c r="AE167" s="3372"/>
      <c r="AF167" s="3372"/>
      <c r="AG167" s="3372"/>
      <c r="AH167" s="3372"/>
      <c r="AI167" s="3372"/>
      <c r="AJ167" s="3372"/>
      <c r="AK167" s="3372"/>
      <c r="AL167" s="3372"/>
      <c r="AM167" s="3372"/>
      <c r="AN167" s="3372"/>
      <c r="AO167" s="3372"/>
      <c r="AP167" s="3372"/>
      <c r="AQ167" s="3018"/>
      <c r="AR167" s="3018"/>
      <c r="AS167" s="2522"/>
    </row>
    <row r="168" spans="1:45" x14ac:dyDescent="0.25">
      <c r="A168" s="1640"/>
      <c r="B168" s="33"/>
      <c r="C168" s="1549"/>
      <c r="D168" s="1541"/>
      <c r="G168" s="3343"/>
      <c r="H168" s="3346"/>
      <c r="I168" s="3343"/>
      <c r="J168" s="3346"/>
      <c r="K168" s="3343"/>
      <c r="L168" s="3349"/>
      <c r="M168" s="3343"/>
      <c r="N168" s="3349"/>
      <c r="O168" s="3342"/>
      <c r="P168" s="2165"/>
      <c r="Q168" s="2661"/>
      <c r="R168" s="3352"/>
      <c r="S168" s="3357"/>
      <c r="T168" s="2281"/>
      <c r="U168" s="2518"/>
      <c r="V168" s="2168"/>
      <c r="W168" s="1753">
        <v>37662000</v>
      </c>
      <c r="X168" s="1576" t="s">
        <v>2947</v>
      </c>
      <c r="Y168" s="3353"/>
      <c r="Z168" s="3355"/>
      <c r="AA168" s="3375"/>
      <c r="AB168" s="3372"/>
      <c r="AC168" s="3372"/>
      <c r="AD168" s="3372"/>
      <c r="AE168" s="3372"/>
      <c r="AF168" s="3372"/>
      <c r="AG168" s="3372"/>
      <c r="AH168" s="3372"/>
      <c r="AI168" s="3372"/>
      <c r="AJ168" s="3372"/>
      <c r="AK168" s="3372"/>
      <c r="AL168" s="3372"/>
      <c r="AM168" s="3372"/>
      <c r="AN168" s="3372"/>
      <c r="AO168" s="3372"/>
      <c r="AP168" s="3372"/>
      <c r="AQ168" s="3018"/>
      <c r="AR168" s="3018"/>
      <c r="AS168" s="2522"/>
    </row>
    <row r="169" spans="1:45" ht="30" x14ac:dyDescent="0.25">
      <c r="A169" s="1640"/>
      <c r="B169" s="33"/>
      <c r="C169" s="1549"/>
      <c r="D169" s="1541"/>
      <c r="G169" s="3343"/>
      <c r="H169" s="3346"/>
      <c r="I169" s="3343"/>
      <c r="J169" s="3346"/>
      <c r="K169" s="3343"/>
      <c r="L169" s="3349"/>
      <c r="M169" s="3343"/>
      <c r="N169" s="3349"/>
      <c r="O169" s="3342"/>
      <c r="P169" s="2165"/>
      <c r="Q169" s="2661"/>
      <c r="R169" s="3352"/>
      <c r="S169" s="3357"/>
      <c r="T169" s="2281"/>
      <c r="U169" s="2518"/>
      <c r="V169" s="2168"/>
      <c r="W169" s="1753">
        <v>10000000</v>
      </c>
      <c r="X169" s="1576" t="s">
        <v>2948</v>
      </c>
      <c r="Y169" s="3353"/>
      <c r="Z169" s="3355"/>
      <c r="AA169" s="3375"/>
      <c r="AB169" s="3372"/>
      <c r="AC169" s="3372"/>
      <c r="AD169" s="3372"/>
      <c r="AE169" s="3372"/>
      <c r="AF169" s="3372"/>
      <c r="AG169" s="3372"/>
      <c r="AH169" s="3372"/>
      <c r="AI169" s="3372"/>
      <c r="AJ169" s="3372"/>
      <c r="AK169" s="3372"/>
      <c r="AL169" s="3372"/>
      <c r="AM169" s="3372"/>
      <c r="AN169" s="3372"/>
      <c r="AO169" s="3372"/>
      <c r="AP169" s="3372"/>
      <c r="AQ169" s="3018"/>
      <c r="AR169" s="3018"/>
      <c r="AS169" s="2522"/>
    </row>
    <row r="170" spans="1:45" x14ac:dyDescent="0.25">
      <c r="A170" s="1640"/>
      <c r="B170" s="33"/>
      <c r="C170" s="1549"/>
      <c r="D170" s="1541"/>
      <c r="G170" s="3343"/>
      <c r="H170" s="3346"/>
      <c r="I170" s="3343"/>
      <c r="J170" s="3346"/>
      <c r="K170" s="3343"/>
      <c r="L170" s="3349"/>
      <c r="M170" s="3343"/>
      <c r="N170" s="3349"/>
      <c r="O170" s="3342"/>
      <c r="P170" s="2165"/>
      <c r="Q170" s="2661"/>
      <c r="R170" s="3352"/>
      <c r="S170" s="3357"/>
      <c r="T170" s="2281"/>
      <c r="U170" s="2518"/>
      <c r="V170" s="2168"/>
      <c r="W170" s="1753">
        <v>6543000000</v>
      </c>
      <c r="X170" s="1576" t="s">
        <v>2949</v>
      </c>
      <c r="Y170" s="3354">
        <v>26</v>
      </c>
      <c r="Z170" s="2460" t="s">
        <v>2950</v>
      </c>
      <c r="AA170" s="3375"/>
      <c r="AB170" s="3372"/>
      <c r="AC170" s="3372"/>
      <c r="AD170" s="3372"/>
      <c r="AE170" s="3372"/>
      <c r="AF170" s="3372"/>
      <c r="AG170" s="3372"/>
      <c r="AH170" s="3372"/>
      <c r="AI170" s="3372"/>
      <c r="AJ170" s="3372"/>
      <c r="AK170" s="3372"/>
      <c r="AL170" s="3372"/>
      <c r="AM170" s="3372"/>
      <c r="AN170" s="3372"/>
      <c r="AO170" s="3372"/>
      <c r="AP170" s="3372"/>
      <c r="AQ170" s="3018"/>
      <c r="AR170" s="3018"/>
      <c r="AS170" s="2522"/>
    </row>
    <row r="171" spans="1:45" x14ac:dyDescent="0.25">
      <c r="A171" s="1640"/>
      <c r="B171" s="33"/>
      <c r="C171" s="1549"/>
      <c r="D171" s="1541"/>
      <c r="G171" s="3343"/>
      <c r="H171" s="3346"/>
      <c r="I171" s="3343"/>
      <c r="J171" s="3346"/>
      <c r="K171" s="3343"/>
      <c r="L171" s="3349"/>
      <c r="M171" s="3343"/>
      <c r="N171" s="3349"/>
      <c r="O171" s="3342"/>
      <c r="P171" s="2165"/>
      <c r="Q171" s="2661"/>
      <c r="R171" s="3352"/>
      <c r="S171" s="3357"/>
      <c r="T171" s="2281"/>
      <c r="U171" s="2518"/>
      <c r="V171" s="2168"/>
      <c r="W171" s="1753">
        <v>3923333334</v>
      </c>
      <c r="X171" s="1576" t="s">
        <v>2951</v>
      </c>
      <c r="Y171" s="3354"/>
      <c r="Z171" s="2330"/>
      <c r="AA171" s="3375"/>
      <c r="AB171" s="3372"/>
      <c r="AC171" s="3372"/>
      <c r="AD171" s="3372"/>
      <c r="AE171" s="3372"/>
      <c r="AF171" s="3372"/>
      <c r="AG171" s="3372"/>
      <c r="AH171" s="3372"/>
      <c r="AI171" s="3372"/>
      <c r="AJ171" s="3372"/>
      <c r="AK171" s="3372"/>
      <c r="AL171" s="3372"/>
      <c r="AM171" s="3372"/>
      <c r="AN171" s="3372"/>
      <c r="AO171" s="3372"/>
      <c r="AP171" s="3372"/>
      <c r="AQ171" s="3018"/>
      <c r="AR171" s="3018"/>
      <c r="AS171" s="2522"/>
    </row>
    <row r="172" spans="1:45" x14ac:dyDescent="0.25">
      <c r="A172" s="1640"/>
      <c r="B172" s="33"/>
      <c r="C172" s="1549"/>
      <c r="D172" s="1541"/>
      <c r="G172" s="3343"/>
      <c r="H172" s="3346"/>
      <c r="I172" s="3343"/>
      <c r="J172" s="3346"/>
      <c r="K172" s="3343"/>
      <c r="L172" s="3349"/>
      <c r="M172" s="3343"/>
      <c r="N172" s="3349"/>
      <c r="O172" s="3342"/>
      <c r="P172" s="2165"/>
      <c r="Q172" s="2661"/>
      <c r="R172" s="3352"/>
      <c r="S172" s="3357"/>
      <c r="T172" s="2281"/>
      <c r="U172" s="2518"/>
      <c r="V172" s="2168"/>
      <c r="W172" s="1753">
        <v>3923333333</v>
      </c>
      <c r="X172" s="1576" t="s">
        <v>2952</v>
      </c>
      <c r="Y172" s="3354"/>
      <c r="Z172" s="2330"/>
      <c r="AA172" s="3375"/>
      <c r="AB172" s="3372"/>
      <c r="AC172" s="3372"/>
      <c r="AD172" s="3372"/>
      <c r="AE172" s="3372"/>
      <c r="AF172" s="3372"/>
      <c r="AG172" s="3372"/>
      <c r="AH172" s="3372"/>
      <c r="AI172" s="3372"/>
      <c r="AJ172" s="3372"/>
      <c r="AK172" s="3372"/>
      <c r="AL172" s="3372"/>
      <c r="AM172" s="3372"/>
      <c r="AN172" s="3372"/>
      <c r="AO172" s="3372"/>
      <c r="AP172" s="3372"/>
      <c r="AQ172" s="3018"/>
      <c r="AR172" s="3018"/>
      <c r="AS172" s="2522"/>
    </row>
    <row r="173" spans="1:45" x14ac:dyDescent="0.25">
      <c r="A173" s="1640"/>
      <c r="B173" s="33"/>
      <c r="C173" s="1549"/>
      <c r="D173" s="1541"/>
      <c r="G173" s="3343"/>
      <c r="H173" s="3346"/>
      <c r="I173" s="3343"/>
      <c r="J173" s="3346"/>
      <c r="K173" s="3343"/>
      <c r="L173" s="3349"/>
      <c r="M173" s="3343"/>
      <c r="N173" s="3349"/>
      <c r="O173" s="3342"/>
      <c r="P173" s="2165"/>
      <c r="Q173" s="2661"/>
      <c r="R173" s="3352"/>
      <c r="S173" s="3357"/>
      <c r="T173" s="2281"/>
      <c r="U173" s="2518"/>
      <c r="V173" s="2168"/>
      <c r="W173" s="1753">
        <v>7689733333</v>
      </c>
      <c r="X173" s="1576" t="s">
        <v>2953</v>
      </c>
      <c r="Y173" s="3354"/>
      <c r="Z173" s="2330"/>
      <c r="AA173" s="3375"/>
      <c r="AB173" s="3372"/>
      <c r="AC173" s="3372"/>
      <c r="AD173" s="3372"/>
      <c r="AE173" s="3372"/>
      <c r="AF173" s="3372"/>
      <c r="AG173" s="3372"/>
      <c r="AH173" s="3372"/>
      <c r="AI173" s="3372"/>
      <c r="AJ173" s="3372"/>
      <c r="AK173" s="3372"/>
      <c r="AL173" s="3372"/>
      <c r="AM173" s="3372"/>
      <c r="AN173" s="3372"/>
      <c r="AO173" s="3372"/>
      <c r="AP173" s="3372"/>
      <c r="AQ173" s="3018"/>
      <c r="AR173" s="3018"/>
      <c r="AS173" s="2522"/>
    </row>
    <row r="174" spans="1:45" x14ac:dyDescent="0.25">
      <c r="A174" s="1640"/>
      <c r="B174" s="33"/>
      <c r="C174" s="1549"/>
      <c r="D174" s="1541"/>
      <c r="G174" s="3343"/>
      <c r="H174" s="3346"/>
      <c r="I174" s="3343"/>
      <c r="J174" s="3346"/>
      <c r="K174" s="3343"/>
      <c r="L174" s="3349"/>
      <c r="M174" s="3343"/>
      <c r="N174" s="3349"/>
      <c r="O174" s="3342"/>
      <c r="P174" s="2165"/>
      <c r="Q174" s="2661"/>
      <c r="R174" s="3352"/>
      <c r="S174" s="3357"/>
      <c r="T174" s="2281"/>
      <c r="U174" s="2518"/>
      <c r="V174" s="2168"/>
      <c r="W174" s="1753">
        <v>947000000</v>
      </c>
      <c r="X174" s="1576" t="s">
        <v>2954</v>
      </c>
      <c r="Y174" s="3354"/>
      <c r="Z174" s="2330"/>
      <c r="AA174" s="3375"/>
      <c r="AB174" s="3372"/>
      <c r="AC174" s="3372"/>
      <c r="AD174" s="3372"/>
      <c r="AE174" s="3372"/>
      <c r="AF174" s="3372"/>
      <c r="AG174" s="3372"/>
      <c r="AH174" s="3372"/>
      <c r="AI174" s="3372"/>
      <c r="AJ174" s="3372"/>
      <c r="AK174" s="3372"/>
      <c r="AL174" s="3372"/>
      <c r="AM174" s="3372"/>
      <c r="AN174" s="3372"/>
      <c r="AO174" s="3372"/>
      <c r="AP174" s="3372"/>
      <c r="AQ174" s="3018"/>
      <c r="AR174" s="3018"/>
      <c r="AS174" s="2522"/>
    </row>
    <row r="175" spans="1:45" x14ac:dyDescent="0.25">
      <c r="A175" s="1640"/>
      <c r="B175" s="33"/>
      <c r="C175" s="1549"/>
      <c r="D175" s="1541"/>
      <c r="G175" s="3343"/>
      <c r="H175" s="3346"/>
      <c r="I175" s="3343"/>
      <c r="J175" s="3346"/>
      <c r="K175" s="3343"/>
      <c r="L175" s="3349"/>
      <c r="M175" s="3343"/>
      <c r="N175" s="3349"/>
      <c r="O175" s="3342"/>
      <c r="P175" s="2165"/>
      <c r="Q175" s="2661"/>
      <c r="R175" s="3352"/>
      <c r="S175" s="3357"/>
      <c r="T175" s="2281"/>
      <c r="U175" s="2518"/>
      <c r="V175" s="2168"/>
      <c r="W175" s="1753">
        <v>535000000</v>
      </c>
      <c r="X175" s="1576" t="s">
        <v>2955</v>
      </c>
      <c r="Y175" s="3354"/>
      <c r="Z175" s="2330"/>
      <c r="AA175" s="3375"/>
      <c r="AB175" s="3372"/>
      <c r="AC175" s="3372"/>
      <c r="AD175" s="3372"/>
      <c r="AE175" s="3372"/>
      <c r="AF175" s="3372"/>
      <c r="AG175" s="3372"/>
      <c r="AH175" s="3372"/>
      <c r="AI175" s="3372"/>
      <c r="AJ175" s="3372"/>
      <c r="AK175" s="3372"/>
      <c r="AL175" s="3372"/>
      <c r="AM175" s="3372"/>
      <c r="AN175" s="3372"/>
      <c r="AO175" s="3372"/>
      <c r="AP175" s="3372"/>
      <c r="AQ175" s="3018"/>
      <c r="AR175" s="3018"/>
      <c r="AS175" s="2522"/>
    </row>
    <row r="176" spans="1:45" x14ac:dyDescent="0.25">
      <c r="A176" s="1640"/>
      <c r="B176" s="33"/>
      <c r="C176" s="1549"/>
      <c r="D176" s="1541"/>
      <c r="G176" s="3343"/>
      <c r="H176" s="3346"/>
      <c r="I176" s="3343"/>
      <c r="J176" s="3346"/>
      <c r="K176" s="3343"/>
      <c r="L176" s="3349"/>
      <c r="M176" s="3343"/>
      <c r="N176" s="3349"/>
      <c r="O176" s="3342"/>
      <c r="P176" s="2165"/>
      <c r="Q176" s="2661"/>
      <c r="R176" s="3352"/>
      <c r="S176" s="3357"/>
      <c r="T176" s="2281"/>
      <c r="U176" s="2518"/>
      <c r="V176" s="2168"/>
      <c r="W176" s="1753">
        <v>535000000</v>
      </c>
      <c r="X176" s="1576" t="s">
        <v>2956</v>
      </c>
      <c r="Y176" s="3354"/>
      <c r="Z176" s="2330"/>
      <c r="AA176" s="3375"/>
      <c r="AB176" s="3372"/>
      <c r="AC176" s="3372"/>
      <c r="AD176" s="3372"/>
      <c r="AE176" s="3372"/>
      <c r="AF176" s="3372"/>
      <c r="AG176" s="3372"/>
      <c r="AH176" s="3372"/>
      <c r="AI176" s="3372"/>
      <c r="AJ176" s="3372"/>
      <c r="AK176" s="3372"/>
      <c r="AL176" s="3372"/>
      <c r="AM176" s="3372"/>
      <c r="AN176" s="3372"/>
      <c r="AO176" s="3372"/>
      <c r="AP176" s="3372"/>
      <c r="AQ176" s="3018"/>
      <c r="AR176" s="3018"/>
      <c r="AS176" s="2522"/>
    </row>
    <row r="177" spans="1:45" x14ac:dyDescent="0.25">
      <c r="A177" s="1640"/>
      <c r="B177" s="33"/>
      <c r="C177" s="1549"/>
      <c r="D177" s="1541"/>
      <c r="G177" s="3343"/>
      <c r="H177" s="3346"/>
      <c r="I177" s="3343"/>
      <c r="J177" s="3346"/>
      <c r="K177" s="3343"/>
      <c r="L177" s="3349"/>
      <c r="M177" s="3343"/>
      <c r="N177" s="3349"/>
      <c r="O177" s="3342"/>
      <c r="P177" s="2165"/>
      <c r="Q177" s="2661"/>
      <c r="R177" s="3352"/>
      <c r="S177" s="3357"/>
      <c r="T177" s="2281"/>
      <c r="U177" s="2518"/>
      <c r="V177" s="2168"/>
      <c r="W177" s="1753">
        <v>1048600000</v>
      </c>
      <c r="X177" s="1576" t="s">
        <v>2957</v>
      </c>
      <c r="Y177" s="3354"/>
      <c r="Z177" s="2330"/>
      <c r="AA177" s="3375"/>
      <c r="AB177" s="3372"/>
      <c r="AC177" s="3372"/>
      <c r="AD177" s="3372"/>
      <c r="AE177" s="3372"/>
      <c r="AF177" s="3372"/>
      <c r="AG177" s="3372"/>
      <c r="AH177" s="3372"/>
      <c r="AI177" s="3372"/>
      <c r="AJ177" s="3372"/>
      <c r="AK177" s="3372"/>
      <c r="AL177" s="3372"/>
      <c r="AM177" s="3372"/>
      <c r="AN177" s="3372"/>
      <c r="AO177" s="3372"/>
      <c r="AP177" s="3372"/>
      <c r="AQ177" s="3018"/>
      <c r="AR177" s="3018"/>
      <c r="AS177" s="2522"/>
    </row>
    <row r="178" spans="1:45" ht="38.25" customHeight="1" x14ac:dyDescent="0.25">
      <c r="A178" s="1640"/>
      <c r="B178" s="33"/>
      <c r="C178" s="1549"/>
      <c r="D178" s="1541"/>
      <c r="G178" s="3343"/>
      <c r="H178" s="3346"/>
      <c r="I178" s="3343"/>
      <c r="J178" s="3346"/>
      <c r="K178" s="3343"/>
      <c r="L178" s="3349"/>
      <c r="M178" s="3343"/>
      <c r="N178" s="3349"/>
      <c r="O178" s="3342"/>
      <c r="P178" s="2165"/>
      <c r="Q178" s="2661"/>
      <c r="R178" s="3352"/>
      <c r="S178" s="3357"/>
      <c r="T178" s="2281"/>
      <c r="U178" s="2518"/>
      <c r="V178" s="2168"/>
      <c r="W178" s="1755">
        <f>80000000+207017358.94</f>
        <v>287017358.94</v>
      </c>
      <c r="X178" s="1576" t="s">
        <v>2958</v>
      </c>
      <c r="Y178" s="1752">
        <v>9</v>
      </c>
      <c r="Z178" s="1558" t="s">
        <v>2959</v>
      </c>
      <c r="AA178" s="3375"/>
      <c r="AB178" s="3372"/>
      <c r="AC178" s="3372"/>
      <c r="AD178" s="3372"/>
      <c r="AE178" s="3372"/>
      <c r="AF178" s="3372"/>
      <c r="AG178" s="3372"/>
      <c r="AH178" s="3372"/>
      <c r="AI178" s="3372"/>
      <c r="AJ178" s="3372"/>
      <c r="AK178" s="3372"/>
      <c r="AL178" s="3372"/>
      <c r="AM178" s="3372"/>
      <c r="AN178" s="3372"/>
      <c r="AO178" s="3372"/>
      <c r="AP178" s="3372"/>
      <c r="AQ178" s="3018"/>
      <c r="AR178" s="3018"/>
      <c r="AS178" s="2522"/>
    </row>
    <row r="179" spans="1:45" ht="42.75" customHeight="1" x14ac:dyDescent="0.25">
      <c r="A179" s="1640"/>
      <c r="B179" s="33"/>
      <c r="C179" s="1549"/>
      <c r="D179" s="1541"/>
      <c r="G179" s="3343"/>
      <c r="H179" s="3346"/>
      <c r="I179" s="3343"/>
      <c r="J179" s="3346"/>
      <c r="K179" s="3343"/>
      <c r="L179" s="3349"/>
      <c r="M179" s="3343"/>
      <c r="N179" s="3349"/>
      <c r="O179" s="3342"/>
      <c r="P179" s="2165"/>
      <c r="Q179" s="2661"/>
      <c r="R179" s="3352"/>
      <c r="S179" s="3357"/>
      <c r="T179" s="2281"/>
      <c r="U179" s="2518"/>
      <c r="V179" s="2168"/>
      <c r="W179" s="1755">
        <v>188164805.88</v>
      </c>
      <c r="X179" s="1576" t="s">
        <v>2960</v>
      </c>
      <c r="Y179" s="1752">
        <v>91</v>
      </c>
      <c r="Z179" s="1552" t="s">
        <v>2961</v>
      </c>
      <c r="AA179" s="3375"/>
      <c r="AB179" s="3372"/>
      <c r="AC179" s="3372"/>
      <c r="AD179" s="3372"/>
      <c r="AE179" s="3372"/>
      <c r="AF179" s="3372"/>
      <c r="AG179" s="3372"/>
      <c r="AH179" s="3372"/>
      <c r="AI179" s="3372"/>
      <c r="AJ179" s="3372"/>
      <c r="AK179" s="3372"/>
      <c r="AL179" s="3372"/>
      <c r="AM179" s="3372"/>
      <c r="AN179" s="3372"/>
      <c r="AO179" s="3372"/>
      <c r="AP179" s="3372"/>
      <c r="AQ179" s="3018"/>
      <c r="AR179" s="3018"/>
      <c r="AS179" s="2522"/>
    </row>
    <row r="180" spans="1:45" ht="42.75" customHeight="1" x14ac:dyDescent="0.25">
      <c r="A180" s="1640"/>
      <c r="B180" s="33"/>
      <c r="C180" s="1549"/>
      <c r="D180" s="1541"/>
      <c r="G180" s="3343"/>
      <c r="H180" s="3346"/>
      <c r="I180" s="3343"/>
      <c r="J180" s="3346"/>
      <c r="K180" s="3343"/>
      <c r="L180" s="3349"/>
      <c r="M180" s="3343"/>
      <c r="N180" s="3349"/>
      <c r="O180" s="3342"/>
      <c r="P180" s="2165"/>
      <c r="Q180" s="2661"/>
      <c r="R180" s="3352"/>
      <c r="S180" s="3357"/>
      <c r="T180" s="2281"/>
      <c r="U180" s="2518"/>
      <c r="V180" s="2168"/>
      <c r="W180" s="1755">
        <v>10000000</v>
      </c>
      <c r="X180" s="1576" t="s">
        <v>2962</v>
      </c>
      <c r="Y180" s="1752">
        <v>20</v>
      </c>
      <c r="Z180" s="1756" t="s">
        <v>73</v>
      </c>
      <c r="AA180" s="3375"/>
      <c r="AB180" s="3372"/>
      <c r="AC180" s="3372"/>
      <c r="AD180" s="3372"/>
      <c r="AE180" s="3372"/>
      <c r="AF180" s="3372"/>
      <c r="AG180" s="3372"/>
      <c r="AH180" s="3372"/>
      <c r="AI180" s="3372"/>
      <c r="AJ180" s="3372"/>
      <c r="AK180" s="3372"/>
      <c r="AL180" s="3372"/>
      <c r="AM180" s="3372"/>
      <c r="AN180" s="3372"/>
      <c r="AO180" s="3372"/>
      <c r="AP180" s="3372"/>
      <c r="AQ180" s="3018"/>
      <c r="AR180" s="3018"/>
      <c r="AS180" s="2522"/>
    </row>
    <row r="181" spans="1:45" ht="99.75" customHeight="1" x14ac:dyDescent="0.25">
      <c r="A181" s="1640"/>
      <c r="B181" s="33"/>
      <c r="C181" s="1549"/>
      <c r="D181" s="1541"/>
      <c r="G181" s="3343"/>
      <c r="H181" s="3346"/>
      <c r="I181" s="3343"/>
      <c r="J181" s="3346"/>
      <c r="K181" s="3343"/>
      <c r="L181" s="3349"/>
      <c r="M181" s="3343"/>
      <c r="N181" s="3349"/>
      <c r="O181" s="3342"/>
      <c r="P181" s="2165"/>
      <c r="Q181" s="2661"/>
      <c r="R181" s="3352"/>
      <c r="S181" s="3357"/>
      <c r="T181" s="2281"/>
      <c r="U181" s="2284"/>
      <c r="V181" s="3162" t="s">
        <v>2963</v>
      </c>
      <c r="W181" s="1757">
        <v>1923000000</v>
      </c>
      <c r="X181" s="1576" t="s">
        <v>2964</v>
      </c>
      <c r="Y181" s="3354">
        <v>25</v>
      </c>
      <c r="Z181" s="2330" t="s">
        <v>2648</v>
      </c>
      <c r="AA181" s="3375"/>
      <c r="AB181" s="3372"/>
      <c r="AC181" s="3372"/>
      <c r="AD181" s="3372"/>
      <c r="AE181" s="3372"/>
      <c r="AF181" s="3372"/>
      <c r="AG181" s="3372"/>
      <c r="AH181" s="3372"/>
      <c r="AI181" s="3372"/>
      <c r="AJ181" s="3372"/>
      <c r="AK181" s="3372"/>
      <c r="AL181" s="3372"/>
      <c r="AM181" s="3372"/>
      <c r="AN181" s="3372"/>
      <c r="AO181" s="3372"/>
      <c r="AP181" s="3372"/>
      <c r="AQ181" s="3018"/>
      <c r="AR181" s="3018"/>
      <c r="AS181" s="2522"/>
    </row>
    <row r="182" spans="1:45" ht="15" customHeight="1" x14ac:dyDescent="0.25">
      <c r="A182" s="1640"/>
      <c r="B182" s="33"/>
      <c r="C182" s="1549"/>
      <c r="D182" s="1541"/>
      <c r="G182" s="3343"/>
      <c r="H182" s="3346"/>
      <c r="I182" s="3343"/>
      <c r="J182" s="3346"/>
      <c r="K182" s="3343"/>
      <c r="L182" s="3349"/>
      <c r="M182" s="3343"/>
      <c r="N182" s="3349"/>
      <c r="O182" s="3342"/>
      <c r="P182" s="2165"/>
      <c r="Q182" s="2661"/>
      <c r="R182" s="3352"/>
      <c r="S182" s="3357"/>
      <c r="T182" s="2281"/>
      <c r="U182" s="2284"/>
      <c r="V182" s="3162"/>
      <c r="W182" s="1757">
        <v>70000000</v>
      </c>
      <c r="X182" s="1576" t="s">
        <v>2965</v>
      </c>
      <c r="Y182" s="3354"/>
      <c r="Z182" s="2330"/>
      <c r="AA182" s="3375"/>
      <c r="AB182" s="3372"/>
      <c r="AC182" s="3372"/>
      <c r="AD182" s="3372"/>
      <c r="AE182" s="3372"/>
      <c r="AF182" s="3372"/>
      <c r="AG182" s="3372"/>
      <c r="AH182" s="3372"/>
      <c r="AI182" s="3372"/>
      <c r="AJ182" s="3372"/>
      <c r="AK182" s="3372"/>
      <c r="AL182" s="3372"/>
      <c r="AM182" s="3372"/>
      <c r="AN182" s="3372"/>
      <c r="AO182" s="3372"/>
      <c r="AP182" s="3372"/>
      <c r="AQ182" s="3018"/>
      <c r="AR182" s="3018"/>
      <c r="AS182" s="2522"/>
    </row>
    <row r="183" spans="1:45" ht="15" customHeight="1" x14ac:dyDescent="0.25">
      <c r="A183" s="1640"/>
      <c r="B183" s="33"/>
      <c r="C183" s="1549"/>
      <c r="D183" s="1541"/>
      <c r="G183" s="3343"/>
      <c r="H183" s="3346"/>
      <c r="I183" s="3343"/>
      <c r="J183" s="3346"/>
      <c r="K183" s="3343"/>
      <c r="L183" s="3349"/>
      <c r="M183" s="3343"/>
      <c r="N183" s="3349"/>
      <c r="O183" s="3342"/>
      <c r="P183" s="2165"/>
      <c r="Q183" s="2661"/>
      <c r="R183" s="3352"/>
      <c r="S183" s="3357"/>
      <c r="T183" s="2281"/>
      <c r="U183" s="2284"/>
      <c r="V183" s="3162"/>
      <c r="W183" s="1757">
        <v>49000000</v>
      </c>
      <c r="X183" s="1576" t="s">
        <v>2966</v>
      </c>
      <c r="Y183" s="3354"/>
      <c r="Z183" s="2330"/>
      <c r="AA183" s="3375"/>
      <c r="AB183" s="3372"/>
      <c r="AC183" s="3372"/>
      <c r="AD183" s="3372"/>
      <c r="AE183" s="3372"/>
      <c r="AF183" s="3372"/>
      <c r="AG183" s="3372"/>
      <c r="AH183" s="3372"/>
      <c r="AI183" s="3372"/>
      <c r="AJ183" s="3372"/>
      <c r="AK183" s="3372"/>
      <c r="AL183" s="3372"/>
      <c r="AM183" s="3372"/>
      <c r="AN183" s="3372"/>
      <c r="AO183" s="3372"/>
      <c r="AP183" s="3372"/>
      <c r="AQ183" s="3018"/>
      <c r="AR183" s="3018"/>
      <c r="AS183" s="2522"/>
    </row>
    <row r="184" spans="1:45" ht="15" customHeight="1" x14ac:dyDescent="0.25">
      <c r="A184" s="1640"/>
      <c r="B184" s="33"/>
      <c r="C184" s="1549"/>
      <c r="D184" s="1541"/>
      <c r="G184" s="3343"/>
      <c r="H184" s="3346"/>
      <c r="I184" s="3343"/>
      <c r="J184" s="3346"/>
      <c r="K184" s="3343"/>
      <c r="L184" s="3349"/>
      <c r="M184" s="3343"/>
      <c r="N184" s="3349"/>
      <c r="O184" s="3342"/>
      <c r="P184" s="2165"/>
      <c r="Q184" s="2661"/>
      <c r="R184" s="3352"/>
      <c r="S184" s="3357"/>
      <c r="T184" s="2281"/>
      <c r="U184" s="2284"/>
      <c r="V184" s="3162"/>
      <c r="W184" s="1757">
        <v>155000000</v>
      </c>
      <c r="X184" s="1576" t="s">
        <v>2967</v>
      </c>
      <c r="Y184" s="3354"/>
      <c r="Z184" s="2330"/>
      <c r="AA184" s="3375"/>
      <c r="AB184" s="3372"/>
      <c r="AC184" s="3372"/>
      <c r="AD184" s="3372"/>
      <c r="AE184" s="3372"/>
      <c r="AF184" s="3372"/>
      <c r="AG184" s="3372"/>
      <c r="AH184" s="3372"/>
      <c r="AI184" s="3372"/>
      <c r="AJ184" s="3372"/>
      <c r="AK184" s="3372"/>
      <c r="AL184" s="3372"/>
      <c r="AM184" s="3372"/>
      <c r="AN184" s="3372"/>
      <c r="AO184" s="3372"/>
      <c r="AP184" s="3372"/>
      <c r="AQ184" s="3018"/>
      <c r="AR184" s="3018"/>
      <c r="AS184" s="2522"/>
    </row>
    <row r="185" spans="1:45" ht="15" customHeight="1" x14ac:dyDescent="0.25">
      <c r="A185" s="1640"/>
      <c r="B185" s="33"/>
      <c r="C185" s="1549"/>
      <c r="D185" s="1541"/>
      <c r="G185" s="3343"/>
      <c r="H185" s="3346"/>
      <c r="I185" s="3343"/>
      <c r="J185" s="3346"/>
      <c r="K185" s="3343"/>
      <c r="L185" s="3349"/>
      <c r="M185" s="3343"/>
      <c r="N185" s="3349"/>
      <c r="O185" s="3342"/>
      <c r="P185" s="2165"/>
      <c r="Q185" s="2661"/>
      <c r="R185" s="3352"/>
      <c r="S185" s="3357"/>
      <c r="T185" s="2281"/>
      <c r="U185" s="2284"/>
      <c r="V185" s="3162"/>
      <c r="W185" s="1757">
        <v>79000000</v>
      </c>
      <c r="X185" s="1576" t="s">
        <v>2968</v>
      </c>
      <c r="Y185" s="3354"/>
      <c r="Z185" s="2330"/>
      <c r="AA185" s="3375"/>
      <c r="AB185" s="3372"/>
      <c r="AC185" s="3372"/>
      <c r="AD185" s="3372"/>
      <c r="AE185" s="3372"/>
      <c r="AF185" s="3372"/>
      <c r="AG185" s="3372"/>
      <c r="AH185" s="3372"/>
      <c r="AI185" s="3372"/>
      <c r="AJ185" s="3372"/>
      <c r="AK185" s="3372"/>
      <c r="AL185" s="3372"/>
      <c r="AM185" s="3372"/>
      <c r="AN185" s="3372"/>
      <c r="AO185" s="3372"/>
      <c r="AP185" s="3372"/>
      <c r="AQ185" s="3018"/>
      <c r="AR185" s="3018"/>
      <c r="AS185" s="2522"/>
    </row>
    <row r="186" spans="1:45" ht="15" customHeight="1" x14ac:dyDescent="0.25">
      <c r="A186" s="1640"/>
      <c r="B186" s="33"/>
      <c r="C186" s="1549"/>
      <c r="D186" s="1541"/>
      <c r="G186" s="3343"/>
      <c r="H186" s="3346"/>
      <c r="I186" s="3343"/>
      <c r="J186" s="3346"/>
      <c r="K186" s="3343"/>
      <c r="L186" s="3349"/>
      <c r="M186" s="3343"/>
      <c r="N186" s="3349"/>
      <c r="O186" s="3342"/>
      <c r="P186" s="2165"/>
      <c r="Q186" s="2661"/>
      <c r="R186" s="3352"/>
      <c r="S186" s="3357"/>
      <c r="T186" s="2281"/>
      <c r="U186" s="2284"/>
      <c r="V186" s="3162"/>
      <c r="W186" s="1757">
        <v>20000000</v>
      </c>
      <c r="X186" s="1576" t="s">
        <v>2969</v>
      </c>
      <c r="Y186" s="3354"/>
      <c r="Z186" s="2330"/>
      <c r="AA186" s="3375"/>
      <c r="AB186" s="3372"/>
      <c r="AC186" s="3372"/>
      <c r="AD186" s="3372"/>
      <c r="AE186" s="3372"/>
      <c r="AF186" s="3372"/>
      <c r="AG186" s="3372"/>
      <c r="AH186" s="3372"/>
      <c r="AI186" s="3372"/>
      <c r="AJ186" s="3372"/>
      <c r="AK186" s="3372"/>
      <c r="AL186" s="3372"/>
      <c r="AM186" s="3372"/>
      <c r="AN186" s="3372"/>
      <c r="AO186" s="3372"/>
      <c r="AP186" s="3372"/>
      <c r="AQ186" s="3018"/>
      <c r="AR186" s="3018"/>
      <c r="AS186" s="2522"/>
    </row>
    <row r="187" spans="1:45" ht="15" customHeight="1" x14ac:dyDescent="0.25">
      <c r="A187" s="1640"/>
      <c r="B187" s="33"/>
      <c r="C187" s="1549"/>
      <c r="D187" s="1541"/>
      <c r="G187" s="3343"/>
      <c r="H187" s="3346"/>
      <c r="I187" s="3343"/>
      <c r="J187" s="3346"/>
      <c r="K187" s="3343"/>
      <c r="L187" s="3349"/>
      <c r="M187" s="3343"/>
      <c r="N187" s="3349"/>
      <c r="O187" s="3342"/>
      <c r="P187" s="2165"/>
      <c r="Q187" s="2661"/>
      <c r="R187" s="3352"/>
      <c r="S187" s="3357"/>
      <c r="T187" s="2281"/>
      <c r="U187" s="2284"/>
      <c r="V187" s="3162"/>
      <c r="W187" s="1757">
        <v>208000000</v>
      </c>
      <c r="X187" s="1576" t="s">
        <v>2970</v>
      </c>
      <c r="Y187" s="3354"/>
      <c r="Z187" s="2330"/>
      <c r="AA187" s="3375"/>
      <c r="AB187" s="3372"/>
      <c r="AC187" s="3372"/>
      <c r="AD187" s="3372"/>
      <c r="AE187" s="3372"/>
      <c r="AF187" s="3372"/>
      <c r="AG187" s="3372"/>
      <c r="AH187" s="3372"/>
      <c r="AI187" s="3372"/>
      <c r="AJ187" s="3372"/>
      <c r="AK187" s="3372"/>
      <c r="AL187" s="3372"/>
      <c r="AM187" s="3372"/>
      <c r="AN187" s="3372"/>
      <c r="AO187" s="3372"/>
      <c r="AP187" s="3372"/>
      <c r="AQ187" s="3018"/>
      <c r="AR187" s="3018"/>
      <c r="AS187" s="2522"/>
    </row>
    <row r="188" spans="1:45" ht="15" customHeight="1" x14ac:dyDescent="0.25">
      <c r="A188" s="1640"/>
      <c r="B188" s="33"/>
      <c r="C188" s="1549"/>
      <c r="D188" s="1541"/>
      <c r="G188" s="3343"/>
      <c r="H188" s="3346"/>
      <c r="I188" s="3343"/>
      <c r="J188" s="3346"/>
      <c r="K188" s="3343"/>
      <c r="L188" s="3349"/>
      <c r="M188" s="3343"/>
      <c r="N188" s="3349"/>
      <c r="O188" s="3342"/>
      <c r="P188" s="2165"/>
      <c r="Q188" s="2661"/>
      <c r="R188" s="3352"/>
      <c r="S188" s="3357"/>
      <c r="T188" s="2281"/>
      <c r="U188" s="2284"/>
      <c r="V188" s="3162"/>
      <c r="W188" s="1757">
        <v>148000000</v>
      </c>
      <c r="X188" s="1576" t="s">
        <v>2971</v>
      </c>
      <c r="Y188" s="3354"/>
      <c r="Z188" s="2330"/>
      <c r="AA188" s="3375"/>
      <c r="AB188" s="3372"/>
      <c r="AC188" s="3372"/>
      <c r="AD188" s="3372"/>
      <c r="AE188" s="3372"/>
      <c r="AF188" s="3372"/>
      <c r="AG188" s="3372"/>
      <c r="AH188" s="3372"/>
      <c r="AI188" s="3372"/>
      <c r="AJ188" s="3372"/>
      <c r="AK188" s="3372"/>
      <c r="AL188" s="3372"/>
      <c r="AM188" s="3372"/>
      <c r="AN188" s="3372"/>
      <c r="AO188" s="3372"/>
      <c r="AP188" s="3372"/>
      <c r="AQ188" s="3018"/>
      <c r="AR188" s="3018"/>
      <c r="AS188" s="2522"/>
    </row>
    <row r="189" spans="1:45" ht="15" customHeight="1" x14ac:dyDescent="0.25">
      <c r="A189" s="1640"/>
      <c r="B189" s="33"/>
      <c r="C189" s="1549"/>
      <c r="D189" s="1541"/>
      <c r="G189" s="3343"/>
      <c r="H189" s="3346"/>
      <c r="I189" s="3343"/>
      <c r="J189" s="3346"/>
      <c r="K189" s="3343"/>
      <c r="L189" s="3349"/>
      <c r="M189" s="3343"/>
      <c r="N189" s="3349"/>
      <c r="O189" s="3342"/>
      <c r="P189" s="2165"/>
      <c r="Q189" s="2661"/>
      <c r="R189" s="3352"/>
      <c r="S189" s="3357"/>
      <c r="T189" s="2281"/>
      <c r="U189" s="2284"/>
      <c r="V189" s="3162"/>
      <c r="W189" s="1757">
        <v>371000000</v>
      </c>
      <c r="X189" s="1576" t="s">
        <v>2972</v>
      </c>
      <c r="Y189" s="3354"/>
      <c r="Z189" s="2330"/>
      <c r="AA189" s="3375"/>
      <c r="AB189" s="3372"/>
      <c r="AC189" s="3372"/>
      <c r="AD189" s="3372"/>
      <c r="AE189" s="3372"/>
      <c r="AF189" s="3372"/>
      <c r="AG189" s="3372"/>
      <c r="AH189" s="3372"/>
      <c r="AI189" s="3372"/>
      <c r="AJ189" s="3372"/>
      <c r="AK189" s="3372"/>
      <c r="AL189" s="3372"/>
      <c r="AM189" s="3372"/>
      <c r="AN189" s="3372"/>
      <c r="AO189" s="3372"/>
      <c r="AP189" s="3372"/>
      <c r="AQ189" s="3018"/>
      <c r="AR189" s="3018"/>
      <c r="AS189" s="2522"/>
    </row>
    <row r="190" spans="1:45" ht="15" customHeight="1" x14ac:dyDescent="0.25">
      <c r="A190" s="1640"/>
      <c r="B190" s="33"/>
      <c r="C190" s="1549"/>
      <c r="D190" s="1541"/>
      <c r="G190" s="3343"/>
      <c r="H190" s="3346"/>
      <c r="I190" s="3343"/>
      <c r="J190" s="3346"/>
      <c r="K190" s="3343"/>
      <c r="L190" s="3349"/>
      <c r="M190" s="3343"/>
      <c r="N190" s="3349"/>
      <c r="O190" s="3342"/>
      <c r="P190" s="2165"/>
      <c r="Q190" s="2661"/>
      <c r="R190" s="3352"/>
      <c r="S190" s="3357"/>
      <c r="T190" s="2281"/>
      <c r="U190" s="2284"/>
      <c r="V190" s="3162"/>
      <c r="W190" s="1757">
        <v>75000000</v>
      </c>
      <c r="X190" s="1576" t="s">
        <v>2973</v>
      </c>
      <c r="Y190" s="3354"/>
      <c r="Z190" s="2330"/>
      <c r="AA190" s="3375"/>
      <c r="AB190" s="3372"/>
      <c r="AC190" s="3372"/>
      <c r="AD190" s="3372"/>
      <c r="AE190" s="3372"/>
      <c r="AF190" s="3372"/>
      <c r="AG190" s="3372"/>
      <c r="AH190" s="3372"/>
      <c r="AI190" s="3372"/>
      <c r="AJ190" s="3372"/>
      <c r="AK190" s="3372"/>
      <c r="AL190" s="3372"/>
      <c r="AM190" s="3372"/>
      <c r="AN190" s="3372"/>
      <c r="AO190" s="3372"/>
      <c r="AP190" s="3372"/>
      <c r="AQ190" s="3018"/>
      <c r="AR190" s="3018"/>
      <c r="AS190" s="2522"/>
    </row>
    <row r="191" spans="1:45" ht="15" customHeight="1" x14ac:dyDescent="0.25">
      <c r="A191" s="1640"/>
      <c r="B191" s="33"/>
      <c r="C191" s="1549"/>
      <c r="D191" s="1541"/>
      <c r="G191" s="3343"/>
      <c r="H191" s="3346"/>
      <c r="I191" s="3343"/>
      <c r="J191" s="3346"/>
      <c r="K191" s="3343"/>
      <c r="L191" s="3349"/>
      <c r="M191" s="3343"/>
      <c r="N191" s="3349"/>
      <c r="O191" s="3342"/>
      <c r="P191" s="2165"/>
      <c r="Q191" s="2661"/>
      <c r="R191" s="3352"/>
      <c r="S191" s="3357"/>
      <c r="T191" s="2281"/>
      <c r="U191" s="2284"/>
      <c r="V191" s="3162"/>
      <c r="W191" s="1757">
        <v>10000000</v>
      </c>
      <c r="X191" s="1576" t="s">
        <v>2974</v>
      </c>
      <c r="Y191" s="3354"/>
      <c r="Z191" s="2330"/>
      <c r="AA191" s="3375"/>
      <c r="AB191" s="3372"/>
      <c r="AC191" s="3372"/>
      <c r="AD191" s="3372"/>
      <c r="AE191" s="3372"/>
      <c r="AF191" s="3372"/>
      <c r="AG191" s="3372"/>
      <c r="AH191" s="3372"/>
      <c r="AI191" s="3372"/>
      <c r="AJ191" s="3372"/>
      <c r="AK191" s="3372"/>
      <c r="AL191" s="3372"/>
      <c r="AM191" s="3372"/>
      <c r="AN191" s="3372"/>
      <c r="AO191" s="3372"/>
      <c r="AP191" s="3372"/>
      <c r="AQ191" s="3018"/>
      <c r="AR191" s="3018"/>
      <c r="AS191" s="2522"/>
    </row>
    <row r="192" spans="1:45" ht="15" customHeight="1" x14ac:dyDescent="0.25">
      <c r="A192" s="1640"/>
      <c r="B192" s="33"/>
      <c r="C192" s="1549"/>
      <c r="D192" s="1541"/>
      <c r="G192" s="3343"/>
      <c r="H192" s="3346"/>
      <c r="I192" s="3343"/>
      <c r="J192" s="3346"/>
      <c r="K192" s="3343"/>
      <c r="L192" s="3349"/>
      <c r="M192" s="3343"/>
      <c r="N192" s="3349"/>
      <c r="O192" s="3342"/>
      <c r="P192" s="2165"/>
      <c r="Q192" s="2661"/>
      <c r="R192" s="3352"/>
      <c r="S192" s="3357"/>
      <c r="T192" s="2281"/>
      <c r="U192" s="2284"/>
      <c r="V192" s="3162"/>
      <c r="W192" s="1757">
        <v>57000000</v>
      </c>
      <c r="X192" s="1576" t="s">
        <v>2975</v>
      </c>
      <c r="Y192" s="3354"/>
      <c r="Z192" s="2330"/>
      <c r="AA192" s="3375"/>
      <c r="AB192" s="3372"/>
      <c r="AC192" s="3372"/>
      <c r="AD192" s="3372"/>
      <c r="AE192" s="3372"/>
      <c r="AF192" s="3372"/>
      <c r="AG192" s="3372"/>
      <c r="AH192" s="3372"/>
      <c r="AI192" s="3372"/>
      <c r="AJ192" s="3372"/>
      <c r="AK192" s="3372"/>
      <c r="AL192" s="3372"/>
      <c r="AM192" s="3372"/>
      <c r="AN192" s="3372"/>
      <c r="AO192" s="3372"/>
      <c r="AP192" s="3372"/>
      <c r="AQ192" s="3018"/>
      <c r="AR192" s="3018"/>
      <c r="AS192" s="2522"/>
    </row>
    <row r="193" spans="1:45" ht="15" customHeight="1" x14ac:dyDescent="0.25">
      <c r="A193" s="1640"/>
      <c r="B193" s="33"/>
      <c r="C193" s="1549"/>
      <c r="D193" s="1541"/>
      <c r="G193" s="3343"/>
      <c r="H193" s="3346"/>
      <c r="I193" s="3343"/>
      <c r="J193" s="3346"/>
      <c r="K193" s="3343"/>
      <c r="L193" s="3349"/>
      <c r="M193" s="3343"/>
      <c r="N193" s="3349"/>
      <c r="O193" s="3342"/>
      <c r="P193" s="2165"/>
      <c r="Q193" s="2661"/>
      <c r="R193" s="3352"/>
      <c r="S193" s="3357"/>
      <c r="T193" s="2281"/>
      <c r="U193" s="2284"/>
      <c r="V193" s="3162"/>
      <c r="W193" s="1757">
        <v>10000000</v>
      </c>
      <c r="X193" s="1576" t="s">
        <v>2976</v>
      </c>
      <c r="Y193" s="3354"/>
      <c r="Z193" s="2330"/>
      <c r="AA193" s="3375"/>
      <c r="AB193" s="3372"/>
      <c r="AC193" s="3372"/>
      <c r="AD193" s="3372"/>
      <c r="AE193" s="3372"/>
      <c r="AF193" s="3372"/>
      <c r="AG193" s="3372"/>
      <c r="AH193" s="3372"/>
      <c r="AI193" s="3372"/>
      <c r="AJ193" s="3372"/>
      <c r="AK193" s="3372"/>
      <c r="AL193" s="3372"/>
      <c r="AM193" s="3372"/>
      <c r="AN193" s="3372"/>
      <c r="AO193" s="3372"/>
      <c r="AP193" s="3372"/>
      <c r="AQ193" s="3018"/>
      <c r="AR193" s="3018"/>
      <c r="AS193" s="2522"/>
    </row>
    <row r="194" spans="1:45" ht="15" customHeight="1" x14ac:dyDescent="0.25">
      <c r="A194" s="1640"/>
      <c r="B194" s="33"/>
      <c r="C194" s="1549"/>
      <c r="D194" s="1541"/>
      <c r="G194" s="3343"/>
      <c r="H194" s="3346"/>
      <c r="I194" s="3343"/>
      <c r="J194" s="3346"/>
      <c r="K194" s="3343"/>
      <c r="L194" s="3349"/>
      <c r="M194" s="3343"/>
      <c r="N194" s="3349"/>
      <c r="O194" s="3342"/>
      <c r="P194" s="2165"/>
      <c r="Q194" s="2661"/>
      <c r="R194" s="3352"/>
      <c r="S194" s="3357"/>
      <c r="T194" s="2281"/>
      <c r="U194" s="2284"/>
      <c r="V194" s="3162"/>
      <c r="W194" s="1757">
        <v>10000000</v>
      </c>
      <c r="X194" s="1576" t="s">
        <v>2977</v>
      </c>
      <c r="Y194" s="3354"/>
      <c r="Z194" s="2330"/>
      <c r="AA194" s="3375"/>
      <c r="AB194" s="3372"/>
      <c r="AC194" s="3372"/>
      <c r="AD194" s="3372"/>
      <c r="AE194" s="3372"/>
      <c r="AF194" s="3372"/>
      <c r="AG194" s="3372"/>
      <c r="AH194" s="3372"/>
      <c r="AI194" s="3372"/>
      <c r="AJ194" s="3372"/>
      <c r="AK194" s="3372"/>
      <c r="AL194" s="3372"/>
      <c r="AM194" s="3372"/>
      <c r="AN194" s="3372"/>
      <c r="AO194" s="3372"/>
      <c r="AP194" s="3372"/>
      <c r="AQ194" s="3018"/>
      <c r="AR194" s="3018"/>
      <c r="AS194" s="2522"/>
    </row>
    <row r="195" spans="1:45" ht="15" customHeight="1" x14ac:dyDescent="0.25">
      <c r="A195" s="1640"/>
      <c r="B195" s="33"/>
      <c r="C195" s="1549"/>
      <c r="D195" s="1541"/>
      <c r="G195" s="3343"/>
      <c r="H195" s="3346"/>
      <c r="I195" s="3343"/>
      <c r="J195" s="3346"/>
      <c r="K195" s="3343"/>
      <c r="L195" s="3349"/>
      <c r="M195" s="3343"/>
      <c r="N195" s="3349"/>
      <c r="O195" s="3342"/>
      <c r="P195" s="2165"/>
      <c r="Q195" s="2661"/>
      <c r="R195" s="3352"/>
      <c r="S195" s="3357"/>
      <c r="T195" s="2281"/>
      <c r="U195" s="2284"/>
      <c r="V195" s="3162"/>
      <c r="W195" s="1757">
        <v>19000000</v>
      </c>
      <c r="X195" s="1576" t="s">
        <v>2978</v>
      </c>
      <c r="Y195" s="3354"/>
      <c r="Z195" s="2330"/>
      <c r="AA195" s="3375"/>
      <c r="AB195" s="3372"/>
      <c r="AC195" s="3372"/>
      <c r="AD195" s="3372"/>
      <c r="AE195" s="3372"/>
      <c r="AF195" s="3372"/>
      <c r="AG195" s="3372"/>
      <c r="AH195" s="3372"/>
      <c r="AI195" s="3372"/>
      <c r="AJ195" s="3372"/>
      <c r="AK195" s="3372"/>
      <c r="AL195" s="3372"/>
      <c r="AM195" s="3372"/>
      <c r="AN195" s="3372"/>
      <c r="AO195" s="3372"/>
      <c r="AP195" s="3372"/>
      <c r="AQ195" s="3018"/>
      <c r="AR195" s="3018"/>
      <c r="AS195" s="2522"/>
    </row>
    <row r="196" spans="1:45" ht="15" customHeight="1" x14ac:dyDescent="0.25">
      <c r="A196" s="1640"/>
      <c r="B196" s="33"/>
      <c r="C196" s="1549"/>
      <c r="D196" s="1541"/>
      <c r="G196" s="3343"/>
      <c r="H196" s="3346"/>
      <c r="I196" s="3343"/>
      <c r="J196" s="3346"/>
      <c r="K196" s="3343"/>
      <c r="L196" s="3349"/>
      <c r="M196" s="3343"/>
      <c r="N196" s="3349"/>
      <c r="O196" s="3342"/>
      <c r="P196" s="2165"/>
      <c r="Q196" s="2661"/>
      <c r="R196" s="3352"/>
      <c r="S196" s="3357"/>
      <c r="T196" s="2281"/>
      <c r="U196" s="2284"/>
      <c r="V196" s="3162"/>
      <c r="W196" s="1757">
        <v>16000000</v>
      </c>
      <c r="X196" s="1576" t="s">
        <v>2979</v>
      </c>
      <c r="Y196" s="3354"/>
      <c r="Z196" s="2330"/>
      <c r="AA196" s="3375"/>
      <c r="AB196" s="3372"/>
      <c r="AC196" s="3372"/>
      <c r="AD196" s="3372"/>
      <c r="AE196" s="3372"/>
      <c r="AF196" s="3372"/>
      <c r="AG196" s="3372"/>
      <c r="AH196" s="3372"/>
      <c r="AI196" s="3372"/>
      <c r="AJ196" s="3372"/>
      <c r="AK196" s="3372"/>
      <c r="AL196" s="3372"/>
      <c r="AM196" s="3372"/>
      <c r="AN196" s="3372"/>
      <c r="AO196" s="3372"/>
      <c r="AP196" s="3372"/>
      <c r="AQ196" s="3018"/>
      <c r="AR196" s="3018"/>
      <c r="AS196" s="2522"/>
    </row>
    <row r="197" spans="1:45" ht="15" customHeight="1" x14ac:dyDescent="0.25">
      <c r="A197" s="1640"/>
      <c r="B197" s="33"/>
      <c r="C197" s="1549"/>
      <c r="D197" s="1541"/>
      <c r="G197" s="3343"/>
      <c r="H197" s="3346"/>
      <c r="I197" s="3343"/>
      <c r="J197" s="3346"/>
      <c r="K197" s="3343"/>
      <c r="L197" s="3349"/>
      <c r="M197" s="3343"/>
      <c r="N197" s="3349"/>
      <c r="O197" s="3342"/>
      <c r="P197" s="2165"/>
      <c r="Q197" s="2661"/>
      <c r="R197" s="3352"/>
      <c r="S197" s="3357"/>
      <c r="T197" s="2281"/>
      <c r="U197" s="2284"/>
      <c r="V197" s="3162"/>
      <c r="W197" s="1757">
        <v>10000000</v>
      </c>
      <c r="X197" s="1576" t="s">
        <v>2980</v>
      </c>
      <c r="Y197" s="3354"/>
      <c r="Z197" s="2330"/>
      <c r="AA197" s="3375"/>
      <c r="AB197" s="3372"/>
      <c r="AC197" s="3372"/>
      <c r="AD197" s="3372"/>
      <c r="AE197" s="3372"/>
      <c r="AF197" s="3372"/>
      <c r="AG197" s="3372"/>
      <c r="AH197" s="3372"/>
      <c r="AI197" s="3372"/>
      <c r="AJ197" s="3372"/>
      <c r="AK197" s="3372"/>
      <c r="AL197" s="3372"/>
      <c r="AM197" s="3372"/>
      <c r="AN197" s="3372"/>
      <c r="AO197" s="3372"/>
      <c r="AP197" s="3372"/>
      <c r="AQ197" s="3018"/>
      <c r="AR197" s="3018"/>
      <c r="AS197" s="2522"/>
    </row>
    <row r="198" spans="1:45" ht="15" customHeight="1" x14ac:dyDescent="0.25">
      <c r="A198" s="1640"/>
      <c r="B198" s="33"/>
      <c r="C198" s="1549"/>
      <c r="D198" s="1541"/>
      <c r="G198" s="3343"/>
      <c r="H198" s="3346"/>
      <c r="I198" s="3343"/>
      <c r="J198" s="3346"/>
      <c r="K198" s="3343"/>
      <c r="L198" s="3349"/>
      <c r="M198" s="3343"/>
      <c r="N198" s="3349"/>
      <c r="O198" s="3342"/>
      <c r="P198" s="2165"/>
      <c r="Q198" s="2661"/>
      <c r="R198" s="3352"/>
      <c r="S198" s="3357"/>
      <c r="T198" s="2281"/>
      <c r="U198" s="2284"/>
      <c r="V198" s="3162"/>
      <c r="W198" s="1757">
        <v>100000000</v>
      </c>
      <c r="X198" s="1576" t="s">
        <v>2981</v>
      </c>
      <c r="Y198" s="3354"/>
      <c r="Z198" s="2330"/>
      <c r="AA198" s="3375"/>
      <c r="AB198" s="3372"/>
      <c r="AC198" s="3372"/>
      <c r="AD198" s="3372"/>
      <c r="AE198" s="3372"/>
      <c r="AF198" s="3372"/>
      <c r="AG198" s="3372"/>
      <c r="AH198" s="3372"/>
      <c r="AI198" s="3372"/>
      <c r="AJ198" s="3372"/>
      <c r="AK198" s="3372"/>
      <c r="AL198" s="3372"/>
      <c r="AM198" s="3372"/>
      <c r="AN198" s="3372"/>
      <c r="AO198" s="3372"/>
      <c r="AP198" s="3372"/>
      <c r="AQ198" s="3018"/>
      <c r="AR198" s="3018"/>
      <c r="AS198" s="2522"/>
    </row>
    <row r="199" spans="1:45" ht="15" customHeight="1" x14ac:dyDescent="0.25">
      <c r="A199" s="1640"/>
      <c r="B199" s="33"/>
      <c r="C199" s="1549"/>
      <c r="D199" s="1541"/>
      <c r="G199" s="3343"/>
      <c r="H199" s="3346"/>
      <c r="I199" s="3343"/>
      <c r="J199" s="3346"/>
      <c r="K199" s="3343"/>
      <c r="L199" s="3349"/>
      <c r="M199" s="3343"/>
      <c r="N199" s="3349"/>
      <c r="O199" s="3342"/>
      <c r="P199" s="2165"/>
      <c r="Q199" s="2661"/>
      <c r="R199" s="3352"/>
      <c r="S199" s="3357"/>
      <c r="T199" s="2281"/>
      <c r="U199" s="2284"/>
      <c r="V199" s="3162"/>
      <c r="W199" s="1757">
        <v>70000000</v>
      </c>
      <c r="X199" s="1576" t="s">
        <v>2982</v>
      </c>
      <c r="Y199" s="3354"/>
      <c r="Z199" s="2330"/>
      <c r="AA199" s="3375"/>
      <c r="AB199" s="3372"/>
      <c r="AC199" s="3372"/>
      <c r="AD199" s="3372"/>
      <c r="AE199" s="3372"/>
      <c r="AF199" s="3372"/>
      <c r="AG199" s="3372"/>
      <c r="AH199" s="3372"/>
      <c r="AI199" s="3372"/>
      <c r="AJ199" s="3372"/>
      <c r="AK199" s="3372"/>
      <c r="AL199" s="3372"/>
      <c r="AM199" s="3372"/>
      <c r="AN199" s="3372"/>
      <c r="AO199" s="3372"/>
      <c r="AP199" s="3372"/>
      <c r="AQ199" s="3018"/>
      <c r="AR199" s="3018"/>
      <c r="AS199" s="2522"/>
    </row>
    <row r="200" spans="1:45" ht="15" customHeight="1" x14ac:dyDescent="0.25">
      <c r="A200" s="1640"/>
      <c r="B200" s="33"/>
      <c r="C200" s="1549"/>
      <c r="D200" s="1541"/>
      <c r="G200" s="3343"/>
      <c r="H200" s="3346"/>
      <c r="I200" s="3343"/>
      <c r="J200" s="3346"/>
      <c r="K200" s="3343"/>
      <c r="L200" s="3349"/>
      <c r="M200" s="3343"/>
      <c r="N200" s="3349"/>
      <c r="O200" s="3342"/>
      <c r="P200" s="2165"/>
      <c r="Q200" s="2661"/>
      <c r="R200" s="3352"/>
      <c r="S200" s="3357"/>
      <c r="T200" s="2281"/>
      <c r="U200" s="2284"/>
      <c r="V200" s="3162"/>
      <c r="W200" s="1757">
        <v>177000000</v>
      </c>
      <c r="X200" s="1576" t="s">
        <v>2983</v>
      </c>
      <c r="Y200" s="3354"/>
      <c r="Z200" s="2330"/>
      <c r="AA200" s="3375"/>
      <c r="AB200" s="3372"/>
      <c r="AC200" s="3372"/>
      <c r="AD200" s="3372"/>
      <c r="AE200" s="3372"/>
      <c r="AF200" s="3372"/>
      <c r="AG200" s="3372"/>
      <c r="AH200" s="3372"/>
      <c r="AI200" s="3372"/>
      <c r="AJ200" s="3372"/>
      <c r="AK200" s="3372"/>
      <c r="AL200" s="3372"/>
      <c r="AM200" s="3372"/>
      <c r="AN200" s="3372"/>
      <c r="AO200" s="3372"/>
      <c r="AP200" s="3372"/>
      <c r="AQ200" s="3018"/>
      <c r="AR200" s="3018"/>
      <c r="AS200" s="2522"/>
    </row>
    <row r="201" spans="1:45" ht="15" customHeight="1" x14ac:dyDescent="0.25">
      <c r="A201" s="1640"/>
      <c r="B201" s="33"/>
      <c r="C201" s="1549"/>
      <c r="D201" s="1541"/>
      <c r="G201" s="3343"/>
      <c r="H201" s="3346"/>
      <c r="I201" s="3343"/>
      <c r="J201" s="3346"/>
      <c r="K201" s="3343"/>
      <c r="L201" s="3349"/>
      <c r="M201" s="3343"/>
      <c r="N201" s="3349"/>
      <c r="O201" s="3342"/>
      <c r="P201" s="2165"/>
      <c r="Q201" s="2661"/>
      <c r="R201" s="3352"/>
      <c r="S201" s="3357"/>
      <c r="T201" s="2281"/>
      <c r="U201" s="2284"/>
      <c r="V201" s="3162"/>
      <c r="W201" s="1757">
        <v>50000000</v>
      </c>
      <c r="X201" s="1576" t="s">
        <v>2984</v>
      </c>
      <c r="Y201" s="3354"/>
      <c r="Z201" s="2330"/>
      <c r="AA201" s="3375"/>
      <c r="AB201" s="3372"/>
      <c r="AC201" s="3372"/>
      <c r="AD201" s="3372"/>
      <c r="AE201" s="3372"/>
      <c r="AF201" s="3372"/>
      <c r="AG201" s="3372"/>
      <c r="AH201" s="3372"/>
      <c r="AI201" s="3372"/>
      <c r="AJ201" s="3372"/>
      <c r="AK201" s="3372"/>
      <c r="AL201" s="3372"/>
      <c r="AM201" s="3372"/>
      <c r="AN201" s="3372"/>
      <c r="AO201" s="3372"/>
      <c r="AP201" s="3372"/>
      <c r="AQ201" s="3018"/>
      <c r="AR201" s="3018"/>
      <c r="AS201" s="2522"/>
    </row>
    <row r="202" spans="1:45" ht="30" customHeight="1" x14ac:dyDescent="0.25">
      <c r="A202" s="1640"/>
      <c r="B202" s="33"/>
      <c r="C202" s="1549"/>
      <c r="D202" s="1541"/>
      <c r="G202" s="3343"/>
      <c r="H202" s="3346"/>
      <c r="I202" s="3343"/>
      <c r="J202" s="3346"/>
      <c r="K202" s="3343"/>
      <c r="L202" s="3349"/>
      <c r="M202" s="3343"/>
      <c r="N202" s="3349"/>
      <c r="O202" s="3342"/>
      <c r="P202" s="2165"/>
      <c r="Q202" s="2661"/>
      <c r="R202" s="3352"/>
      <c r="S202" s="3357"/>
      <c r="T202" s="2281"/>
      <c r="U202" s="2284"/>
      <c r="V202" s="3163"/>
      <c r="W202" s="1758">
        <v>3120000</v>
      </c>
      <c r="X202" s="1576" t="s">
        <v>2985</v>
      </c>
      <c r="Y202" s="1759">
        <v>188</v>
      </c>
      <c r="Z202" s="1552" t="s">
        <v>2986</v>
      </c>
      <c r="AA202" s="3375"/>
      <c r="AB202" s="3372"/>
      <c r="AC202" s="3372"/>
      <c r="AD202" s="3372"/>
      <c r="AE202" s="3372"/>
      <c r="AF202" s="3372"/>
      <c r="AG202" s="3372"/>
      <c r="AH202" s="3372"/>
      <c r="AI202" s="3372"/>
      <c r="AJ202" s="3372"/>
      <c r="AK202" s="3372"/>
      <c r="AL202" s="3372"/>
      <c r="AM202" s="3372"/>
      <c r="AN202" s="3372"/>
      <c r="AO202" s="3372"/>
      <c r="AP202" s="3372"/>
      <c r="AQ202" s="3018"/>
      <c r="AR202" s="3018"/>
      <c r="AS202" s="2522"/>
    </row>
    <row r="203" spans="1:45" ht="24" customHeight="1" x14ac:dyDescent="0.25">
      <c r="A203" s="1640"/>
      <c r="B203" s="33"/>
      <c r="C203" s="1549"/>
      <c r="D203" s="1541"/>
      <c r="G203" s="3343"/>
      <c r="H203" s="3346"/>
      <c r="I203" s="3343"/>
      <c r="J203" s="3346"/>
      <c r="K203" s="3343"/>
      <c r="L203" s="3349"/>
      <c r="M203" s="3343"/>
      <c r="N203" s="3349"/>
      <c r="O203" s="3342"/>
      <c r="P203" s="2165"/>
      <c r="Q203" s="2661"/>
      <c r="R203" s="3352"/>
      <c r="S203" s="3357"/>
      <c r="T203" s="2281"/>
      <c r="U203" s="2284"/>
      <c r="V203" s="2196" t="s">
        <v>2987</v>
      </c>
      <c r="W203" s="1760">
        <v>86709124.420000002</v>
      </c>
      <c r="X203" s="1576" t="s">
        <v>2988</v>
      </c>
      <c r="Y203" s="3362">
        <v>35</v>
      </c>
      <c r="Z203" s="2459" t="s">
        <v>2989</v>
      </c>
      <c r="AA203" s="3375"/>
      <c r="AB203" s="3372"/>
      <c r="AC203" s="3372"/>
      <c r="AD203" s="3372"/>
      <c r="AE203" s="3372"/>
      <c r="AF203" s="3372"/>
      <c r="AG203" s="3372"/>
      <c r="AH203" s="3372"/>
      <c r="AI203" s="3372"/>
      <c r="AJ203" s="3372"/>
      <c r="AK203" s="3372"/>
      <c r="AL203" s="3372"/>
      <c r="AM203" s="3372"/>
      <c r="AN203" s="3372"/>
      <c r="AO203" s="3372"/>
      <c r="AP203" s="3372"/>
      <c r="AQ203" s="3018"/>
      <c r="AR203" s="3018"/>
      <c r="AS203" s="2522"/>
    </row>
    <row r="204" spans="1:45" ht="16.5" customHeight="1" x14ac:dyDescent="0.25">
      <c r="A204" s="1640"/>
      <c r="B204" s="33"/>
      <c r="C204" s="1549"/>
      <c r="D204" s="1541"/>
      <c r="G204" s="3343"/>
      <c r="H204" s="3346"/>
      <c r="I204" s="3343"/>
      <c r="J204" s="3346"/>
      <c r="K204" s="3343"/>
      <c r="L204" s="3349"/>
      <c r="M204" s="3343"/>
      <c r="N204" s="3349"/>
      <c r="O204" s="3342"/>
      <c r="P204" s="2165"/>
      <c r="Q204" s="2661"/>
      <c r="R204" s="3352"/>
      <c r="S204" s="3357"/>
      <c r="T204" s="2281"/>
      <c r="U204" s="2284"/>
      <c r="V204" s="3162"/>
      <c r="W204" s="1739">
        <v>538444026.51999998</v>
      </c>
      <c r="X204" s="1576" t="s">
        <v>2990</v>
      </c>
      <c r="Y204" s="3362"/>
      <c r="Z204" s="2459"/>
      <c r="AA204" s="3375"/>
      <c r="AB204" s="3372"/>
      <c r="AC204" s="3372"/>
      <c r="AD204" s="3372"/>
      <c r="AE204" s="3372"/>
      <c r="AF204" s="3372"/>
      <c r="AG204" s="3372"/>
      <c r="AH204" s="3372"/>
      <c r="AI204" s="3372"/>
      <c r="AJ204" s="3372"/>
      <c r="AK204" s="3372"/>
      <c r="AL204" s="3372"/>
      <c r="AM204" s="3372"/>
      <c r="AN204" s="3372"/>
      <c r="AO204" s="3372"/>
      <c r="AP204" s="3372"/>
      <c r="AQ204" s="3018"/>
      <c r="AR204" s="3018"/>
      <c r="AS204" s="2522"/>
    </row>
    <row r="205" spans="1:45" ht="16.5" customHeight="1" x14ac:dyDescent="0.25">
      <c r="A205" s="1640"/>
      <c r="B205" s="33"/>
      <c r="C205" s="1549"/>
      <c r="D205" s="1541"/>
      <c r="G205" s="3343"/>
      <c r="H205" s="3346"/>
      <c r="I205" s="3343"/>
      <c r="J205" s="3346"/>
      <c r="K205" s="3343"/>
      <c r="L205" s="3349"/>
      <c r="M205" s="3343"/>
      <c r="N205" s="3349"/>
      <c r="O205" s="3342"/>
      <c r="P205" s="2165"/>
      <c r="Q205" s="2661"/>
      <c r="R205" s="3352"/>
      <c r="S205" s="3357"/>
      <c r="T205" s="2281"/>
      <c r="U205" s="2284"/>
      <c r="V205" s="3162"/>
      <c r="W205" s="1739">
        <v>489456988.42000002</v>
      </c>
      <c r="X205" s="1576" t="s">
        <v>2991</v>
      </c>
      <c r="Y205" s="3362"/>
      <c r="Z205" s="2459"/>
      <c r="AA205" s="3375"/>
      <c r="AB205" s="3372"/>
      <c r="AC205" s="3372"/>
      <c r="AD205" s="3372"/>
      <c r="AE205" s="3372"/>
      <c r="AF205" s="3372"/>
      <c r="AG205" s="3372"/>
      <c r="AH205" s="3372"/>
      <c r="AI205" s="3372"/>
      <c r="AJ205" s="3372"/>
      <c r="AK205" s="3372"/>
      <c r="AL205" s="3372"/>
      <c r="AM205" s="3372"/>
      <c r="AN205" s="3372"/>
      <c r="AO205" s="3372"/>
      <c r="AP205" s="3372"/>
      <c r="AQ205" s="3018"/>
      <c r="AR205" s="3018"/>
      <c r="AS205" s="2522"/>
    </row>
    <row r="206" spans="1:45" ht="16.5" customHeight="1" x14ac:dyDescent="0.25">
      <c r="A206" s="1640"/>
      <c r="B206" s="33"/>
      <c r="C206" s="1549"/>
      <c r="D206" s="1541"/>
      <c r="G206" s="3343"/>
      <c r="H206" s="3346"/>
      <c r="I206" s="3343"/>
      <c r="J206" s="3346"/>
      <c r="K206" s="3343"/>
      <c r="L206" s="3349"/>
      <c r="M206" s="3343"/>
      <c r="N206" s="3349"/>
      <c r="O206" s="3342"/>
      <c r="P206" s="2165"/>
      <c r="Q206" s="2661"/>
      <c r="R206" s="3352"/>
      <c r="S206" s="3357"/>
      <c r="T206" s="2281"/>
      <c r="U206" s="2284"/>
      <c r="V206" s="3162"/>
      <c r="W206" s="1739">
        <v>190367350.63999999</v>
      </c>
      <c r="X206" s="1576" t="s">
        <v>2992</v>
      </c>
      <c r="Y206" s="3362"/>
      <c r="Z206" s="2459"/>
      <c r="AA206" s="3375"/>
      <c r="AB206" s="3372"/>
      <c r="AC206" s="3372"/>
      <c r="AD206" s="3372"/>
      <c r="AE206" s="3372"/>
      <c r="AF206" s="3372"/>
      <c r="AG206" s="3372"/>
      <c r="AH206" s="3372"/>
      <c r="AI206" s="3372"/>
      <c r="AJ206" s="3372"/>
      <c r="AK206" s="3372"/>
      <c r="AL206" s="3372"/>
      <c r="AM206" s="3372"/>
      <c r="AN206" s="3372"/>
      <c r="AO206" s="3372"/>
      <c r="AP206" s="3372"/>
      <c r="AQ206" s="3018"/>
      <c r="AR206" s="3018"/>
      <c r="AS206" s="2522"/>
    </row>
    <row r="207" spans="1:45" ht="31.5" customHeight="1" x14ac:dyDescent="0.25">
      <c r="A207" s="1640"/>
      <c r="B207" s="33"/>
      <c r="C207" s="1549"/>
      <c r="D207" s="1541"/>
      <c r="G207" s="3343"/>
      <c r="H207" s="3346"/>
      <c r="I207" s="3343"/>
      <c r="J207" s="3346"/>
      <c r="K207" s="3343"/>
      <c r="L207" s="3349"/>
      <c r="M207" s="3343"/>
      <c r="N207" s="3349"/>
      <c r="O207" s="3342"/>
      <c r="P207" s="2165"/>
      <c r="Q207" s="2661"/>
      <c r="R207" s="3352"/>
      <c r="S207" s="3357"/>
      <c r="T207" s="2281"/>
      <c r="U207" s="2284"/>
      <c r="V207" s="3162"/>
      <c r="W207" s="1739">
        <v>80777982.780000001</v>
      </c>
      <c r="X207" s="1576" t="s">
        <v>2993</v>
      </c>
      <c r="Y207" s="1761">
        <v>91</v>
      </c>
      <c r="Z207" s="1578" t="s">
        <v>2961</v>
      </c>
      <c r="AA207" s="3375"/>
      <c r="AB207" s="3372"/>
      <c r="AC207" s="3372"/>
      <c r="AD207" s="3372"/>
      <c r="AE207" s="3372"/>
      <c r="AF207" s="3372"/>
      <c r="AG207" s="3372"/>
      <c r="AH207" s="3372"/>
      <c r="AI207" s="3372"/>
      <c r="AJ207" s="3372"/>
      <c r="AK207" s="3372"/>
      <c r="AL207" s="3372"/>
      <c r="AM207" s="3372"/>
      <c r="AN207" s="3372"/>
      <c r="AO207" s="3372"/>
      <c r="AP207" s="3372"/>
      <c r="AQ207" s="3018"/>
      <c r="AR207" s="3018"/>
      <c r="AS207" s="2522"/>
    </row>
    <row r="208" spans="1:45" ht="16.5" customHeight="1" x14ac:dyDescent="0.25">
      <c r="A208" s="1640"/>
      <c r="B208" s="33"/>
      <c r="C208" s="1549"/>
      <c r="D208" s="1541"/>
      <c r="G208" s="3343"/>
      <c r="H208" s="3346"/>
      <c r="I208" s="3343"/>
      <c r="J208" s="3346"/>
      <c r="K208" s="3343"/>
      <c r="L208" s="3349"/>
      <c r="M208" s="3343"/>
      <c r="N208" s="3349"/>
      <c r="O208" s="3342"/>
      <c r="P208" s="2165"/>
      <c r="Q208" s="2661"/>
      <c r="R208" s="3352"/>
      <c r="S208" s="3357"/>
      <c r="T208" s="2281"/>
      <c r="U208" s="2284"/>
      <c r="V208" s="3162"/>
      <c r="W208" s="1739">
        <f>258513743.251604-49287773.25</f>
        <v>209225970.00160399</v>
      </c>
      <c r="X208" s="739" t="s">
        <v>2994</v>
      </c>
      <c r="Y208" s="3220">
        <v>20</v>
      </c>
      <c r="Z208" s="3355" t="s">
        <v>73</v>
      </c>
      <c r="AA208" s="3375"/>
      <c r="AB208" s="3372"/>
      <c r="AC208" s="3372"/>
      <c r="AD208" s="3372"/>
      <c r="AE208" s="3372"/>
      <c r="AF208" s="3372"/>
      <c r="AG208" s="3372"/>
      <c r="AH208" s="3372"/>
      <c r="AI208" s="3372"/>
      <c r="AJ208" s="3372"/>
      <c r="AK208" s="3372"/>
      <c r="AL208" s="3372"/>
      <c r="AM208" s="3372"/>
      <c r="AN208" s="3372"/>
      <c r="AO208" s="3372"/>
      <c r="AP208" s="3372"/>
      <c r="AQ208" s="3018"/>
      <c r="AR208" s="3018"/>
      <c r="AS208" s="2522"/>
    </row>
    <row r="209" spans="1:45" ht="16.5" customHeight="1" x14ac:dyDescent="0.25">
      <c r="A209" s="1640"/>
      <c r="B209" s="33"/>
      <c r="C209" s="1549"/>
      <c r="D209" s="1541"/>
      <c r="G209" s="3343"/>
      <c r="H209" s="3346"/>
      <c r="I209" s="3343"/>
      <c r="J209" s="3346"/>
      <c r="K209" s="3343"/>
      <c r="L209" s="3349"/>
      <c r="M209" s="3343"/>
      <c r="N209" s="3349"/>
      <c r="O209" s="3342"/>
      <c r="P209" s="2165"/>
      <c r="Q209" s="2661"/>
      <c r="R209" s="3352"/>
      <c r="S209" s="3357"/>
      <c r="T209" s="2281"/>
      <c r="U209" s="2284"/>
      <c r="V209" s="3162"/>
      <c r="W209" s="1739">
        <f>1605311802.55168-86525649.55</f>
        <v>1518786153.0016801</v>
      </c>
      <c r="X209" s="739" t="s">
        <v>2995</v>
      </c>
      <c r="Y209" s="3220"/>
      <c r="Z209" s="3355"/>
      <c r="AA209" s="3375"/>
      <c r="AB209" s="3372"/>
      <c r="AC209" s="3372"/>
      <c r="AD209" s="3372"/>
      <c r="AE209" s="3372"/>
      <c r="AF209" s="3372"/>
      <c r="AG209" s="3372"/>
      <c r="AH209" s="3372"/>
      <c r="AI209" s="3372"/>
      <c r="AJ209" s="3372"/>
      <c r="AK209" s="3372"/>
      <c r="AL209" s="3372"/>
      <c r="AM209" s="3372"/>
      <c r="AN209" s="3372"/>
      <c r="AO209" s="3372"/>
      <c r="AP209" s="3372"/>
      <c r="AQ209" s="3018"/>
      <c r="AR209" s="3018"/>
      <c r="AS209" s="2522"/>
    </row>
    <row r="210" spans="1:45" ht="16.5" customHeight="1" x14ac:dyDescent="0.25">
      <c r="A210" s="1640"/>
      <c r="B210" s="33"/>
      <c r="C210" s="1549"/>
      <c r="D210" s="1541"/>
      <c r="G210" s="3343"/>
      <c r="H210" s="3346"/>
      <c r="I210" s="3343"/>
      <c r="J210" s="3346"/>
      <c r="K210" s="3343"/>
      <c r="L210" s="3349"/>
      <c r="M210" s="3343"/>
      <c r="N210" s="3349"/>
      <c r="O210" s="3342"/>
      <c r="P210" s="2165"/>
      <c r="Q210" s="2661"/>
      <c r="R210" s="3352"/>
      <c r="S210" s="3357"/>
      <c r="T210" s="2281"/>
      <c r="U210" s="2284"/>
      <c r="V210" s="3162"/>
      <c r="W210" s="1739">
        <f>1459262321.86-44186577.2</f>
        <v>1415075744.6599998</v>
      </c>
      <c r="X210" s="739" t="s">
        <v>2996</v>
      </c>
      <c r="Y210" s="3220"/>
      <c r="Z210" s="3355"/>
      <c r="AA210" s="3375"/>
      <c r="AB210" s="3372"/>
      <c r="AC210" s="3372"/>
      <c r="AD210" s="3372"/>
      <c r="AE210" s="3372"/>
      <c r="AF210" s="3372"/>
      <c r="AG210" s="3372"/>
      <c r="AH210" s="3372"/>
      <c r="AI210" s="3372"/>
      <c r="AJ210" s="3372"/>
      <c r="AK210" s="3372"/>
      <c r="AL210" s="3372"/>
      <c r="AM210" s="3372"/>
      <c r="AN210" s="3372"/>
      <c r="AO210" s="3372"/>
      <c r="AP210" s="3372"/>
      <c r="AQ210" s="3018"/>
      <c r="AR210" s="3018"/>
      <c r="AS210" s="2522"/>
    </row>
    <row r="211" spans="1:45" ht="16.5" customHeight="1" x14ac:dyDescent="0.25">
      <c r="A211" s="1640"/>
      <c r="B211" s="33"/>
      <c r="C211" s="1549"/>
      <c r="D211" s="1541"/>
      <c r="G211" s="3343"/>
      <c r="H211" s="3346"/>
      <c r="I211" s="3343"/>
      <c r="J211" s="3346"/>
      <c r="K211" s="3343"/>
      <c r="L211" s="3349"/>
      <c r="M211" s="3343"/>
      <c r="N211" s="3349"/>
      <c r="O211" s="3342"/>
      <c r="P211" s="2165"/>
      <c r="Q211" s="2661"/>
      <c r="R211" s="3352"/>
      <c r="S211" s="3357"/>
      <c r="T211" s="2281"/>
      <c r="U211" s="2284"/>
      <c r="V211" s="3162"/>
      <c r="W211" s="1762">
        <v>567559374.34000003</v>
      </c>
      <c r="X211" s="739" t="s">
        <v>2997</v>
      </c>
      <c r="Y211" s="3365"/>
      <c r="Z211" s="3366"/>
      <c r="AA211" s="3375"/>
      <c r="AB211" s="3372"/>
      <c r="AC211" s="3372"/>
      <c r="AD211" s="3372"/>
      <c r="AE211" s="3372"/>
      <c r="AF211" s="3372"/>
      <c r="AG211" s="3372"/>
      <c r="AH211" s="3372"/>
      <c r="AI211" s="3372"/>
      <c r="AJ211" s="3372"/>
      <c r="AK211" s="3372"/>
      <c r="AL211" s="3372"/>
      <c r="AM211" s="3372"/>
      <c r="AN211" s="3372"/>
      <c r="AO211" s="3372"/>
      <c r="AP211" s="3372"/>
      <c r="AQ211" s="3018"/>
      <c r="AR211" s="3018"/>
      <c r="AS211" s="2522"/>
    </row>
    <row r="212" spans="1:45" ht="16.5" customHeight="1" x14ac:dyDescent="0.25">
      <c r="A212" s="1640"/>
      <c r="B212" s="33"/>
      <c r="C212" s="1549"/>
      <c r="D212" s="1541"/>
      <c r="G212" s="3343"/>
      <c r="H212" s="3346"/>
      <c r="I212" s="3343"/>
      <c r="J212" s="3346"/>
      <c r="K212" s="3343"/>
      <c r="L212" s="3349"/>
      <c r="M212" s="3343"/>
      <c r="N212" s="3349"/>
      <c r="O212" s="3342"/>
      <c r="P212" s="2165"/>
      <c r="Q212" s="2661"/>
      <c r="R212" s="3352"/>
      <c r="S212" s="3357"/>
      <c r="T212" s="2281"/>
      <c r="U212" s="2284"/>
      <c r="V212" s="3162"/>
      <c r="W212" s="1739">
        <f>209925998.22+511986240-30000000</f>
        <v>691912238.22000003</v>
      </c>
      <c r="X212" s="739" t="s">
        <v>2998</v>
      </c>
      <c r="Y212" s="3220">
        <v>88</v>
      </c>
      <c r="Z212" s="3355" t="s">
        <v>77</v>
      </c>
      <c r="AA212" s="3375"/>
      <c r="AB212" s="3372"/>
      <c r="AC212" s="3372"/>
      <c r="AD212" s="3372"/>
      <c r="AE212" s="3372"/>
      <c r="AF212" s="3372"/>
      <c r="AG212" s="3372"/>
      <c r="AH212" s="3372"/>
      <c r="AI212" s="3372"/>
      <c r="AJ212" s="3372"/>
      <c r="AK212" s="3372"/>
      <c r="AL212" s="3372"/>
      <c r="AM212" s="3372"/>
      <c r="AN212" s="3372"/>
      <c r="AO212" s="3372"/>
      <c r="AP212" s="3372"/>
      <c r="AQ212" s="3018"/>
      <c r="AR212" s="3018"/>
      <c r="AS212" s="2522"/>
    </row>
    <row r="213" spans="1:45" ht="16.5" customHeight="1" x14ac:dyDescent="0.25">
      <c r="A213" s="1640"/>
      <c r="B213" s="33"/>
      <c r="C213" s="1549"/>
      <c r="D213" s="1541"/>
      <c r="G213" s="3343"/>
      <c r="H213" s="3346"/>
      <c r="I213" s="3343"/>
      <c r="J213" s="3346"/>
      <c r="K213" s="3343"/>
      <c r="L213" s="3349"/>
      <c r="M213" s="3343"/>
      <c r="N213" s="3349"/>
      <c r="O213" s="3342"/>
      <c r="P213" s="2165"/>
      <c r="Q213" s="2661"/>
      <c r="R213" s="3352"/>
      <c r="S213" s="3357"/>
      <c r="T213" s="2281"/>
      <c r="U213" s="2284"/>
      <c r="V213" s="3162"/>
      <c r="W213" s="1762">
        <f>511986240-30000000</f>
        <v>481986240</v>
      </c>
      <c r="X213" s="739" t="s">
        <v>2999</v>
      </c>
      <c r="Y213" s="3220"/>
      <c r="Z213" s="3355"/>
      <c r="AA213" s="3375"/>
      <c r="AB213" s="3372"/>
      <c r="AC213" s="3372"/>
      <c r="AD213" s="3372"/>
      <c r="AE213" s="3372"/>
      <c r="AF213" s="3372"/>
      <c r="AG213" s="3372"/>
      <c r="AH213" s="3372"/>
      <c r="AI213" s="3372"/>
      <c r="AJ213" s="3372"/>
      <c r="AK213" s="3372"/>
      <c r="AL213" s="3372"/>
      <c r="AM213" s="3372"/>
      <c r="AN213" s="3372"/>
      <c r="AO213" s="3372"/>
      <c r="AP213" s="3372"/>
      <c r="AQ213" s="3018"/>
      <c r="AR213" s="3018"/>
      <c r="AS213" s="2522"/>
    </row>
    <row r="214" spans="1:45" ht="16.5" customHeight="1" x14ac:dyDescent="0.25">
      <c r="A214" s="1640"/>
      <c r="B214" s="33"/>
      <c r="C214" s="1549"/>
      <c r="D214" s="1541"/>
      <c r="G214" s="3343"/>
      <c r="H214" s="3346"/>
      <c r="I214" s="3343"/>
      <c r="J214" s="3346"/>
      <c r="K214" s="3343"/>
      <c r="L214" s="3349"/>
      <c r="M214" s="3343"/>
      <c r="N214" s="3349"/>
      <c r="O214" s="3342"/>
      <c r="P214" s="2165"/>
      <c r="Q214" s="2661"/>
      <c r="R214" s="3352"/>
      <c r="S214" s="3357"/>
      <c r="T214" s="2281"/>
      <c r="U214" s="2284"/>
      <c r="V214" s="3162"/>
      <c r="W214" s="1762">
        <f>511986239-30000000</f>
        <v>481986239</v>
      </c>
      <c r="X214" s="739" t="s">
        <v>3000</v>
      </c>
      <c r="Y214" s="3220"/>
      <c r="Z214" s="3355"/>
      <c r="AA214" s="3375"/>
      <c r="AB214" s="3372"/>
      <c r="AC214" s="3372"/>
      <c r="AD214" s="3372"/>
      <c r="AE214" s="3372"/>
      <c r="AF214" s="3372"/>
      <c r="AG214" s="3372"/>
      <c r="AH214" s="3372"/>
      <c r="AI214" s="3372"/>
      <c r="AJ214" s="3372"/>
      <c r="AK214" s="3372"/>
      <c r="AL214" s="3372"/>
      <c r="AM214" s="3372"/>
      <c r="AN214" s="3372"/>
      <c r="AO214" s="3372"/>
      <c r="AP214" s="3372"/>
      <c r="AQ214" s="3018"/>
      <c r="AR214" s="3018"/>
      <c r="AS214" s="2522"/>
    </row>
    <row r="215" spans="1:45" ht="16.5" customHeight="1" x14ac:dyDescent="0.25">
      <c r="A215" s="1640"/>
      <c r="B215" s="33"/>
      <c r="C215" s="1549"/>
      <c r="D215" s="1541"/>
      <c r="G215" s="3343"/>
      <c r="H215" s="3346"/>
      <c r="I215" s="3343"/>
      <c r="J215" s="3346"/>
      <c r="K215" s="3343"/>
      <c r="L215" s="3349"/>
      <c r="M215" s="3343"/>
      <c r="N215" s="3349"/>
      <c r="O215" s="3342"/>
      <c r="P215" s="2165"/>
      <c r="Q215" s="2661"/>
      <c r="R215" s="3352"/>
      <c r="S215" s="3357"/>
      <c r="T215" s="2281"/>
      <c r="U215" s="2284"/>
      <c r="V215" s="3163"/>
      <c r="W215" s="1762">
        <f>511986239-30000000</f>
        <v>481986239</v>
      </c>
      <c r="X215" s="739" t="s">
        <v>3001</v>
      </c>
      <c r="Y215" s="3220"/>
      <c r="Z215" s="3355"/>
      <c r="AA215" s="3375"/>
      <c r="AB215" s="3372"/>
      <c r="AC215" s="3372"/>
      <c r="AD215" s="3372"/>
      <c r="AE215" s="3372"/>
      <c r="AF215" s="3372"/>
      <c r="AG215" s="3372"/>
      <c r="AH215" s="3372"/>
      <c r="AI215" s="3372"/>
      <c r="AJ215" s="3372"/>
      <c r="AK215" s="3372"/>
      <c r="AL215" s="3372"/>
      <c r="AM215" s="3372"/>
      <c r="AN215" s="3372"/>
      <c r="AO215" s="3372"/>
      <c r="AP215" s="3372"/>
      <c r="AQ215" s="3018"/>
      <c r="AR215" s="3018"/>
      <c r="AS215" s="2522"/>
    </row>
    <row r="216" spans="1:45" ht="66.75" customHeight="1" x14ac:dyDescent="0.25">
      <c r="A216" s="1640"/>
      <c r="B216" s="33"/>
      <c r="C216" s="1549"/>
      <c r="D216" s="1541"/>
      <c r="G216" s="3343"/>
      <c r="H216" s="3346"/>
      <c r="I216" s="3343"/>
      <c r="J216" s="3346"/>
      <c r="K216" s="3343"/>
      <c r="L216" s="3349"/>
      <c r="M216" s="3343"/>
      <c r="N216" s="3349"/>
      <c r="O216" s="3342"/>
      <c r="P216" s="2165"/>
      <c r="Q216" s="2661"/>
      <c r="R216" s="3352"/>
      <c r="S216" s="3357"/>
      <c r="T216" s="2281"/>
      <c r="U216" s="2284"/>
      <c r="V216" s="2320" t="s">
        <v>3002</v>
      </c>
      <c r="W216" s="1763">
        <v>119071453.84999999</v>
      </c>
      <c r="X216" s="1576" t="s">
        <v>3003</v>
      </c>
      <c r="Y216" s="1764">
        <v>187</v>
      </c>
      <c r="Z216" s="1577" t="s">
        <v>3004</v>
      </c>
      <c r="AA216" s="3375"/>
      <c r="AB216" s="3372"/>
      <c r="AC216" s="3372"/>
      <c r="AD216" s="3372"/>
      <c r="AE216" s="3372"/>
      <c r="AF216" s="3372"/>
      <c r="AG216" s="3372"/>
      <c r="AH216" s="3372"/>
      <c r="AI216" s="3372"/>
      <c r="AJ216" s="3372"/>
      <c r="AK216" s="3372"/>
      <c r="AL216" s="3372"/>
      <c r="AM216" s="3372"/>
      <c r="AN216" s="3372"/>
      <c r="AO216" s="3372"/>
      <c r="AP216" s="3372"/>
      <c r="AQ216" s="3018"/>
      <c r="AR216" s="3018"/>
      <c r="AS216" s="2522"/>
    </row>
    <row r="217" spans="1:45" ht="66.75" customHeight="1" x14ac:dyDescent="0.25">
      <c r="A217" s="1640"/>
      <c r="B217" s="33"/>
      <c r="C217" s="1549"/>
      <c r="D217" s="1541"/>
      <c r="G217" s="3343"/>
      <c r="H217" s="3346"/>
      <c r="I217" s="3343"/>
      <c r="J217" s="3346"/>
      <c r="K217" s="3343"/>
      <c r="L217" s="3349"/>
      <c r="M217" s="3343"/>
      <c r="N217" s="3349"/>
      <c r="O217" s="3342"/>
      <c r="P217" s="2165"/>
      <c r="Q217" s="2661"/>
      <c r="R217" s="3352"/>
      <c r="S217" s="3357"/>
      <c r="T217" s="2281"/>
      <c r="U217" s="2284"/>
      <c r="V217" s="3164"/>
      <c r="W217" s="1763">
        <v>739406762</v>
      </c>
      <c r="X217" s="1576" t="s">
        <v>3005</v>
      </c>
      <c r="Y217" s="1765">
        <v>187</v>
      </c>
      <c r="Z217" s="1578" t="s">
        <v>3004</v>
      </c>
      <c r="AA217" s="3375"/>
      <c r="AB217" s="3372"/>
      <c r="AC217" s="3372"/>
      <c r="AD217" s="3372"/>
      <c r="AE217" s="3372"/>
      <c r="AF217" s="3372"/>
      <c r="AG217" s="3372"/>
      <c r="AH217" s="3372"/>
      <c r="AI217" s="3372"/>
      <c r="AJ217" s="3372"/>
      <c r="AK217" s="3372"/>
      <c r="AL217" s="3372"/>
      <c r="AM217" s="3372"/>
      <c r="AN217" s="3372"/>
      <c r="AO217" s="3372"/>
      <c r="AP217" s="3372"/>
      <c r="AQ217" s="3018"/>
      <c r="AR217" s="3018"/>
      <c r="AS217" s="2522"/>
    </row>
    <row r="218" spans="1:45" ht="58.5" customHeight="1" x14ac:dyDescent="0.25">
      <c r="A218" s="1640"/>
      <c r="B218" s="33"/>
      <c r="C218" s="1549"/>
      <c r="D218" s="1541"/>
      <c r="G218" s="3343"/>
      <c r="H218" s="3346"/>
      <c r="I218" s="3343"/>
      <c r="J218" s="3346"/>
      <c r="K218" s="3343"/>
      <c r="L218" s="3349"/>
      <c r="M218" s="3343"/>
      <c r="N218" s="3349"/>
      <c r="O218" s="3342"/>
      <c r="P218" s="2165"/>
      <c r="Q218" s="2661"/>
      <c r="R218" s="3352"/>
      <c r="S218" s="3357"/>
      <c r="T218" s="2281"/>
      <c r="U218" s="2284"/>
      <c r="V218" s="3164"/>
      <c r="W218" s="1763">
        <v>672136357</v>
      </c>
      <c r="X218" s="1576" t="s">
        <v>3006</v>
      </c>
      <c r="Y218" s="1765">
        <v>187</v>
      </c>
      <c r="Z218" s="1578" t="s">
        <v>3004</v>
      </c>
      <c r="AA218" s="3375"/>
      <c r="AB218" s="3372"/>
      <c r="AC218" s="3372"/>
      <c r="AD218" s="3372"/>
      <c r="AE218" s="3372"/>
      <c r="AF218" s="3372"/>
      <c r="AG218" s="3372"/>
      <c r="AH218" s="3372"/>
      <c r="AI218" s="3372"/>
      <c r="AJ218" s="3372"/>
      <c r="AK218" s="3372"/>
      <c r="AL218" s="3372"/>
      <c r="AM218" s="3372"/>
      <c r="AN218" s="3372"/>
      <c r="AO218" s="3372"/>
      <c r="AP218" s="3372"/>
      <c r="AQ218" s="3018"/>
      <c r="AR218" s="3018"/>
      <c r="AS218" s="2522"/>
    </row>
    <row r="219" spans="1:45" ht="38.25" customHeight="1" x14ac:dyDescent="0.25">
      <c r="A219" s="1640"/>
      <c r="B219" s="33"/>
      <c r="C219" s="1549"/>
      <c r="D219" s="1541"/>
      <c r="G219" s="3343"/>
      <c r="H219" s="3346"/>
      <c r="I219" s="3343"/>
      <c r="J219" s="3346"/>
      <c r="K219" s="3343"/>
      <c r="L219" s="3349"/>
      <c r="M219" s="3343"/>
      <c r="N219" s="3349"/>
      <c r="O219" s="3342"/>
      <c r="P219" s="2165"/>
      <c r="Q219" s="2661"/>
      <c r="R219" s="3352"/>
      <c r="S219" s="3357"/>
      <c r="T219" s="2281"/>
      <c r="U219" s="2284"/>
      <c r="V219" s="3164"/>
      <c r="W219" s="1766">
        <v>261417900</v>
      </c>
      <c r="X219" s="1576" t="s">
        <v>3007</v>
      </c>
      <c r="Y219" s="1767">
        <v>187</v>
      </c>
      <c r="Z219" s="1580" t="s">
        <v>3004</v>
      </c>
      <c r="AA219" s="3375"/>
      <c r="AB219" s="3372"/>
      <c r="AC219" s="3372"/>
      <c r="AD219" s="3372"/>
      <c r="AE219" s="3372"/>
      <c r="AF219" s="3372"/>
      <c r="AG219" s="3372"/>
      <c r="AH219" s="3372"/>
      <c r="AI219" s="3372"/>
      <c r="AJ219" s="3372"/>
      <c r="AK219" s="3372"/>
      <c r="AL219" s="3372"/>
      <c r="AM219" s="3372"/>
      <c r="AN219" s="3372"/>
      <c r="AO219" s="3372"/>
      <c r="AP219" s="3372"/>
      <c r="AQ219" s="3018"/>
      <c r="AR219" s="3018"/>
      <c r="AS219" s="2522"/>
    </row>
    <row r="220" spans="1:45" ht="38.25" customHeight="1" x14ac:dyDescent="0.25">
      <c r="A220" s="1640"/>
      <c r="B220" s="33"/>
      <c r="C220" s="1549"/>
      <c r="D220" s="1541"/>
      <c r="G220" s="3343"/>
      <c r="H220" s="3346"/>
      <c r="I220" s="3343"/>
      <c r="J220" s="3346"/>
      <c r="K220" s="3343"/>
      <c r="L220" s="3349"/>
      <c r="M220" s="3343"/>
      <c r="N220" s="3349"/>
      <c r="O220" s="3342"/>
      <c r="P220" s="2165"/>
      <c r="Q220" s="2661"/>
      <c r="R220" s="3352"/>
      <c r="S220" s="3357"/>
      <c r="T220" s="2281"/>
      <c r="U220" s="2284"/>
      <c r="V220" s="3164"/>
      <c r="W220" s="1766">
        <v>101181032</v>
      </c>
      <c r="X220" s="1576" t="s">
        <v>3003</v>
      </c>
      <c r="Y220" s="1767">
        <v>173</v>
      </c>
      <c r="Z220" s="1580" t="s">
        <v>3008</v>
      </c>
      <c r="AA220" s="3375"/>
      <c r="AB220" s="3372"/>
      <c r="AC220" s="3372"/>
      <c r="AD220" s="3372"/>
      <c r="AE220" s="3372"/>
      <c r="AF220" s="3372"/>
      <c r="AG220" s="3372"/>
      <c r="AH220" s="3372"/>
      <c r="AI220" s="3372"/>
      <c r="AJ220" s="3372"/>
      <c r="AK220" s="3372"/>
      <c r="AL220" s="3372"/>
      <c r="AM220" s="3372"/>
      <c r="AN220" s="3372"/>
      <c r="AO220" s="3372"/>
      <c r="AP220" s="3372"/>
      <c r="AQ220" s="3018"/>
      <c r="AR220" s="3018"/>
      <c r="AS220" s="2522"/>
    </row>
    <row r="221" spans="1:45" ht="38.25" customHeight="1" x14ac:dyDescent="0.25">
      <c r="A221" s="1640"/>
      <c r="B221" s="33"/>
      <c r="C221" s="1549"/>
      <c r="D221" s="1541"/>
      <c r="G221" s="3343"/>
      <c r="H221" s="3346"/>
      <c r="I221" s="3343"/>
      <c r="J221" s="3346"/>
      <c r="K221" s="3343"/>
      <c r="L221" s="3349"/>
      <c r="M221" s="3343"/>
      <c r="N221" s="3349"/>
      <c r="O221" s="3342"/>
      <c r="P221" s="2165"/>
      <c r="Q221" s="2661"/>
      <c r="R221" s="3352"/>
      <c r="S221" s="3357"/>
      <c r="T221" s="2281"/>
      <c r="U221" s="2284"/>
      <c r="V221" s="3164"/>
      <c r="W221" s="1766">
        <v>628311291</v>
      </c>
      <c r="X221" s="1576" t="s">
        <v>3005</v>
      </c>
      <c r="Y221" s="1767">
        <v>173</v>
      </c>
      <c r="Z221" s="1580" t="s">
        <v>3008</v>
      </c>
      <c r="AA221" s="3375"/>
      <c r="AB221" s="3372"/>
      <c r="AC221" s="3372"/>
      <c r="AD221" s="3372"/>
      <c r="AE221" s="3372"/>
      <c r="AF221" s="3372"/>
      <c r="AG221" s="3372"/>
      <c r="AH221" s="3372"/>
      <c r="AI221" s="3372"/>
      <c r="AJ221" s="3372"/>
      <c r="AK221" s="3372"/>
      <c r="AL221" s="3372"/>
      <c r="AM221" s="3372"/>
      <c r="AN221" s="3372"/>
      <c r="AO221" s="3372"/>
      <c r="AP221" s="3372"/>
      <c r="AQ221" s="3018"/>
      <c r="AR221" s="3018"/>
      <c r="AS221" s="2522"/>
    </row>
    <row r="222" spans="1:45" ht="38.25" customHeight="1" x14ac:dyDescent="0.25">
      <c r="A222" s="1640"/>
      <c r="B222" s="33"/>
      <c r="C222" s="1549"/>
      <c r="D222" s="1541"/>
      <c r="G222" s="3343"/>
      <c r="H222" s="3346"/>
      <c r="I222" s="3343"/>
      <c r="J222" s="3346"/>
      <c r="K222" s="3343"/>
      <c r="L222" s="3349"/>
      <c r="M222" s="3343"/>
      <c r="N222" s="3349"/>
      <c r="O222" s="3342"/>
      <c r="P222" s="2165"/>
      <c r="Q222" s="2661"/>
      <c r="R222" s="3352"/>
      <c r="S222" s="3357"/>
      <c r="T222" s="2281"/>
      <c r="U222" s="2284"/>
      <c r="V222" s="3164"/>
      <c r="W222" s="1766">
        <v>571148228</v>
      </c>
      <c r="X222" s="1576" t="s">
        <v>3006</v>
      </c>
      <c r="Y222" s="1767">
        <v>173</v>
      </c>
      <c r="Z222" s="1580" t="s">
        <v>3008</v>
      </c>
      <c r="AA222" s="3375"/>
      <c r="AB222" s="3372"/>
      <c r="AC222" s="3372"/>
      <c r="AD222" s="3372"/>
      <c r="AE222" s="3372"/>
      <c r="AF222" s="3372"/>
      <c r="AG222" s="3372"/>
      <c r="AH222" s="3372"/>
      <c r="AI222" s="3372"/>
      <c r="AJ222" s="3372"/>
      <c r="AK222" s="3372"/>
      <c r="AL222" s="3372"/>
      <c r="AM222" s="3372"/>
      <c r="AN222" s="3372"/>
      <c r="AO222" s="3372"/>
      <c r="AP222" s="3372"/>
      <c r="AQ222" s="3018"/>
      <c r="AR222" s="3018"/>
      <c r="AS222" s="2522"/>
    </row>
    <row r="223" spans="1:45" ht="39.75" customHeight="1" x14ac:dyDescent="0.25">
      <c r="A223" s="1640"/>
      <c r="B223" s="33"/>
      <c r="C223" s="1549"/>
      <c r="D223" s="1541"/>
      <c r="G223" s="3344"/>
      <c r="H223" s="3347"/>
      <c r="I223" s="3344"/>
      <c r="J223" s="3347"/>
      <c r="K223" s="3344"/>
      <c r="L223" s="3350"/>
      <c r="M223" s="3344"/>
      <c r="N223" s="3350"/>
      <c r="O223" s="3342"/>
      <c r="P223" s="2165"/>
      <c r="Q223" s="2777"/>
      <c r="R223" s="3352"/>
      <c r="S223" s="3357"/>
      <c r="T223" s="2281"/>
      <c r="U223" s="2284"/>
      <c r="V223" s="3164"/>
      <c r="W223" s="1766">
        <v>222140000</v>
      </c>
      <c r="X223" s="1576" t="s">
        <v>3007</v>
      </c>
      <c r="Y223" s="1767">
        <v>173</v>
      </c>
      <c r="Z223" s="1580" t="s">
        <v>3008</v>
      </c>
      <c r="AA223" s="3375"/>
      <c r="AB223" s="3372"/>
      <c r="AC223" s="3372"/>
      <c r="AD223" s="3372"/>
      <c r="AE223" s="3372"/>
      <c r="AF223" s="3372"/>
      <c r="AG223" s="3372"/>
      <c r="AH223" s="3372"/>
      <c r="AI223" s="3372"/>
      <c r="AJ223" s="3372"/>
      <c r="AK223" s="3372"/>
      <c r="AL223" s="3372"/>
      <c r="AM223" s="3372"/>
      <c r="AN223" s="3372"/>
      <c r="AO223" s="3372"/>
      <c r="AP223" s="3372"/>
      <c r="AQ223" s="3018"/>
      <c r="AR223" s="3018"/>
      <c r="AS223" s="3367"/>
    </row>
    <row r="224" spans="1:45" ht="15.75" x14ac:dyDescent="0.25">
      <c r="A224" s="1640"/>
      <c r="B224" s="33"/>
      <c r="C224" s="1549"/>
      <c r="D224" s="1541"/>
      <c r="E224" s="709">
        <v>2202</v>
      </c>
      <c r="F224" s="2970" t="s">
        <v>3009</v>
      </c>
      <c r="G224" s="3341"/>
      <c r="H224" s="3341"/>
      <c r="I224" s="3341"/>
      <c r="J224" s="3341"/>
      <c r="K224" s="3341"/>
      <c r="L224" s="3341"/>
      <c r="M224" s="3341"/>
      <c r="N224" s="3341"/>
      <c r="O224" s="3341"/>
      <c r="P224" s="3341"/>
      <c r="Q224" s="1768"/>
      <c r="R224" s="62"/>
      <c r="S224" s="62"/>
      <c r="T224" s="1769"/>
      <c r="U224" s="1769"/>
      <c r="V224" s="1769"/>
      <c r="W224" s="62"/>
      <c r="X224" s="962"/>
      <c r="Y224" s="62"/>
      <c r="Z224" s="1769"/>
      <c r="AA224" s="1770"/>
      <c r="AB224" s="1770"/>
      <c r="AC224" s="1770"/>
      <c r="AD224" s="1770"/>
      <c r="AE224" s="1770"/>
      <c r="AF224" s="1770"/>
      <c r="AG224" s="1770"/>
      <c r="AH224" s="1770"/>
      <c r="AI224" s="1770"/>
      <c r="AJ224" s="1770"/>
      <c r="AK224" s="1770"/>
      <c r="AL224" s="1770"/>
      <c r="AM224" s="1770"/>
      <c r="AN224" s="1770"/>
      <c r="AO224" s="1770"/>
      <c r="AP224" s="1770"/>
      <c r="AQ224" s="62"/>
      <c r="AR224" s="62"/>
      <c r="AS224" s="65"/>
    </row>
    <row r="225" spans="1:45" ht="131.25" customHeight="1" x14ac:dyDescent="0.25">
      <c r="A225" s="1640"/>
      <c r="B225" s="33"/>
      <c r="C225" s="1549"/>
      <c r="D225" s="1541"/>
      <c r="G225" s="3342" t="s">
        <v>62</v>
      </c>
      <c r="H225" s="2793" t="s">
        <v>3010</v>
      </c>
      <c r="I225" s="3342" t="s">
        <v>3011</v>
      </c>
      <c r="J225" s="2793" t="s">
        <v>3010</v>
      </c>
      <c r="K225" s="2165" t="s">
        <v>62</v>
      </c>
      <c r="L225" s="2793" t="s">
        <v>3012</v>
      </c>
      <c r="M225" s="2165">
        <v>220200604</v>
      </c>
      <c r="N225" s="2793" t="s">
        <v>3010</v>
      </c>
      <c r="O225" s="3338">
        <v>2</v>
      </c>
      <c r="P225" s="2165" t="s">
        <v>3013</v>
      </c>
      <c r="Q225" s="2793" t="s">
        <v>3014</v>
      </c>
      <c r="R225" s="3339">
        <f>SUM(W225:W227)/S225</f>
        <v>1</v>
      </c>
      <c r="S225" s="3340">
        <f>SUM(W225:W227)</f>
        <v>404217269</v>
      </c>
      <c r="T225" s="2793" t="s">
        <v>3015</v>
      </c>
      <c r="U225" s="2993" t="s">
        <v>3016</v>
      </c>
      <c r="V225" s="3053" t="s">
        <v>3017</v>
      </c>
      <c r="W225" s="1568">
        <v>100000000</v>
      </c>
      <c r="X225" s="1585" t="s">
        <v>3018</v>
      </c>
      <c r="Y225" s="1771">
        <v>20</v>
      </c>
      <c r="Z225" s="1566" t="s">
        <v>73</v>
      </c>
      <c r="AA225" s="3337">
        <v>3994</v>
      </c>
      <c r="AB225" s="3337">
        <v>3934</v>
      </c>
      <c r="AC225" s="3337">
        <v>1474</v>
      </c>
      <c r="AD225" s="3337">
        <v>6425</v>
      </c>
      <c r="AE225" s="3337">
        <v>29</v>
      </c>
      <c r="AF225" s="3337">
        <v>0</v>
      </c>
      <c r="AG225" s="3337">
        <v>23</v>
      </c>
      <c r="AH225" s="3337">
        <v>101</v>
      </c>
      <c r="AI225" s="3337">
        <v>0</v>
      </c>
      <c r="AJ225" s="3337">
        <v>0</v>
      </c>
      <c r="AK225" s="3337">
        <v>0</v>
      </c>
      <c r="AL225" s="3337">
        <v>0</v>
      </c>
      <c r="AM225" s="3337">
        <v>664</v>
      </c>
      <c r="AN225" s="3337">
        <v>425</v>
      </c>
      <c r="AO225" s="3337">
        <v>13</v>
      </c>
      <c r="AP225" s="3337">
        <f>SUM(AA225:AB225)</f>
        <v>7928</v>
      </c>
      <c r="AQ225" s="3038">
        <v>44198</v>
      </c>
      <c r="AR225" s="3038">
        <v>44560</v>
      </c>
      <c r="AS225" s="3330" t="s">
        <v>2649</v>
      </c>
    </row>
    <row r="226" spans="1:45" ht="131.25" customHeight="1" x14ac:dyDescent="0.25">
      <c r="A226" s="1640"/>
      <c r="B226" s="33"/>
      <c r="C226" s="1549"/>
      <c r="D226" s="1541"/>
      <c r="G226" s="3342"/>
      <c r="H226" s="2793"/>
      <c r="I226" s="3342"/>
      <c r="J226" s="2793"/>
      <c r="K226" s="2165"/>
      <c r="L226" s="2793"/>
      <c r="M226" s="2165"/>
      <c r="N226" s="2793"/>
      <c r="O226" s="3338"/>
      <c r="P226" s="2165"/>
      <c r="Q226" s="2793"/>
      <c r="R226" s="3339"/>
      <c r="S226" s="3340"/>
      <c r="T226" s="2793"/>
      <c r="U226" s="2993"/>
      <c r="V226" s="3053"/>
      <c r="W226" s="1772">
        <v>1818304</v>
      </c>
      <c r="X226" s="1576" t="s">
        <v>3019</v>
      </c>
      <c r="Y226" s="1638">
        <v>91</v>
      </c>
      <c r="Z226" s="1578" t="s">
        <v>3020</v>
      </c>
      <c r="AA226" s="3337"/>
      <c r="AB226" s="3337"/>
      <c r="AC226" s="3337"/>
      <c r="AD226" s="3337"/>
      <c r="AE226" s="3337"/>
      <c r="AF226" s="3337"/>
      <c r="AG226" s="3337"/>
      <c r="AH226" s="3337"/>
      <c r="AI226" s="3337"/>
      <c r="AJ226" s="3337"/>
      <c r="AK226" s="3337"/>
      <c r="AL226" s="3337"/>
      <c r="AM226" s="3337"/>
      <c r="AN226" s="3337"/>
      <c r="AO226" s="3337"/>
      <c r="AP226" s="3337"/>
      <c r="AQ226" s="3038"/>
      <c r="AR226" s="3038"/>
      <c r="AS226" s="3330"/>
    </row>
    <row r="227" spans="1:45" ht="131.25" customHeight="1" x14ac:dyDescent="0.25">
      <c r="A227" s="1644"/>
      <c r="B227" s="222"/>
      <c r="C227" s="1550"/>
      <c r="D227" s="1563"/>
      <c r="G227" s="3342"/>
      <c r="H227" s="2793"/>
      <c r="I227" s="3342"/>
      <c r="J227" s="2793"/>
      <c r="K227" s="2165"/>
      <c r="L227" s="2793"/>
      <c r="M227" s="2165"/>
      <c r="N227" s="2793"/>
      <c r="O227" s="3338"/>
      <c r="P227" s="2165"/>
      <c r="Q227" s="2793"/>
      <c r="R227" s="3339"/>
      <c r="S227" s="3340"/>
      <c r="T227" s="2793"/>
      <c r="U227" s="2993"/>
      <c r="V227" s="3053"/>
      <c r="W227" s="1772">
        <f>2398965+300000000</f>
        <v>302398965</v>
      </c>
      <c r="X227" s="1576" t="s">
        <v>3021</v>
      </c>
      <c r="Y227" s="1638">
        <v>88</v>
      </c>
      <c r="Z227" s="1578" t="s">
        <v>77</v>
      </c>
      <c r="AA227" s="3337"/>
      <c r="AB227" s="3337"/>
      <c r="AC227" s="3337"/>
      <c r="AD227" s="3337"/>
      <c r="AE227" s="3337"/>
      <c r="AF227" s="3337"/>
      <c r="AG227" s="3337"/>
      <c r="AH227" s="3337"/>
      <c r="AI227" s="3337"/>
      <c r="AJ227" s="3337"/>
      <c r="AK227" s="3337"/>
      <c r="AL227" s="3337"/>
      <c r="AM227" s="3337"/>
      <c r="AN227" s="3337"/>
      <c r="AO227" s="3337"/>
      <c r="AP227" s="3337"/>
      <c r="AQ227" s="3038"/>
      <c r="AR227" s="3038"/>
      <c r="AS227" s="3330"/>
    </row>
    <row r="228" spans="1:45" ht="17.25" customHeight="1" x14ac:dyDescent="0.25">
      <c r="A228" s="1773">
        <v>2</v>
      </c>
      <c r="B228" s="3331" t="s">
        <v>1278</v>
      </c>
      <c r="C228" s="3332"/>
      <c r="D228" s="3332"/>
      <c r="E228" s="3333"/>
      <c r="F228" s="3333"/>
      <c r="G228" s="3334"/>
      <c r="H228" s="3334"/>
      <c r="I228" s="1774"/>
      <c r="J228" s="1775"/>
      <c r="K228" s="1774"/>
      <c r="L228" s="1775"/>
      <c r="M228" s="1774"/>
      <c r="N228" s="1775"/>
      <c r="O228" s="1774"/>
      <c r="P228" s="1774"/>
      <c r="Q228" s="1775"/>
      <c r="R228" s="1774"/>
      <c r="S228" s="1774"/>
      <c r="T228" s="1775"/>
      <c r="U228" s="1775"/>
      <c r="V228" s="1775"/>
      <c r="W228" s="1774"/>
      <c r="X228" s="1774"/>
      <c r="Y228" s="1774"/>
      <c r="Z228" s="1775"/>
      <c r="AA228" s="1774"/>
      <c r="AB228" s="1774"/>
      <c r="AC228" s="1774"/>
      <c r="AD228" s="1774"/>
      <c r="AE228" s="1774"/>
      <c r="AF228" s="1774"/>
      <c r="AG228" s="1774"/>
      <c r="AH228" s="1774"/>
      <c r="AI228" s="1774"/>
      <c r="AJ228" s="1774"/>
      <c r="AK228" s="1774"/>
      <c r="AL228" s="1774"/>
      <c r="AM228" s="1774"/>
      <c r="AN228" s="1774"/>
      <c r="AO228" s="1774"/>
      <c r="AP228" s="1774"/>
      <c r="AQ228" s="1774"/>
      <c r="AR228" s="1774"/>
      <c r="AS228" s="1776"/>
    </row>
    <row r="229" spans="1:45" ht="17.25" customHeight="1" x14ac:dyDescent="0.25">
      <c r="A229" s="823"/>
      <c r="B229" s="1777"/>
      <c r="C229" s="1778">
        <v>39</v>
      </c>
      <c r="D229" s="3335" t="s">
        <v>1279</v>
      </c>
      <c r="E229" s="3336"/>
      <c r="F229" s="3336"/>
      <c r="G229" s="3336"/>
      <c r="H229" s="1779"/>
      <c r="I229" s="729"/>
      <c r="J229" s="1779"/>
      <c r="K229" s="729"/>
      <c r="L229" s="1779"/>
      <c r="M229" s="729"/>
      <c r="N229" s="1779"/>
      <c r="O229" s="729"/>
      <c r="P229" s="729"/>
      <c r="Q229" s="1779"/>
      <c r="R229" s="729"/>
      <c r="S229" s="729"/>
      <c r="T229" s="1779"/>
      <c r="U229" s="1779"/>
      <c r="V229" s="1779"/>
      <c r="W229" s="729"/>
      <c r="X229" s="729"/>
      <c r="Y229" s="729"/>
      <c r="Z229" s="1779"/>
      <c r="AA229" s="729"/>
      <c r="AB229" s="729"/>
      <c r="AC229" s="729"/>
      <c r="AD229" s="729"/>
      <c r="AE229" s="729"/>
      <c r="AF229" s="729"/>
      <c r="AG229" s="729"/>
      <c r="AH229" s="729"/>
      <c r="AI229" s="729"/>
      <c r="AJ229" s="729"/>
      <c r="AK229" s="729"/>
      <c r="AL229" s="729"/>
      <c r="AM229" s="729"/>
      <c r="AN229" s="729"/>
      <c r="AO229" s="729"/>
      <c r="AP229" s="729"/>
      <c r="AQ229" s="729"/>
      <c r="AR229" s="729"/>
      <c r="AS229" s="833"/>
    </row>
    <row r="230" spans="1:45" ht="15.75" x14ac:dyDescent="0.25">
      <c r="A230" s="1640"/>
      <c r="B230" s="1541"/>
      <c r="C230" s="1561"/>
      <c r="D230" s="1562"/>
      <c r="E230" s="65">
        <v>3904</v>
      </c>
      <c r="F230" s="2571" t="s">
        <v>3022</v>
      </c>
      <c r="G230" s="2572"/>
      <c r="H230" s="2572"/>
      <c r="I230" s="2572"/>
      <c r="J230" s="2572"/>
      <c r="K230" s="2572"/>
      <c r="L230" s="2572"/>
      <c r="M230" s="2572"/>
      <c r="N230" s="2572"/>
      <c r="O230" s="2572"/>
      <c r="P230" s="2572"/>
      <c r="Q230" s="59"/>
      <c r="R230" s="709"/>
      <c r="S230" s="709"/>
      <c r="T230" s="59"/>
      <c r="U230" s="59"/>
      <c r="V230" s="59"/>
      <c r="W230" s="709"/>
      <c r="X230" s="1723"/>
      <c r="Y230" s="709"/>
      <c r="Z230" s="59"/>
      <c r="AA230" s="1173"/>
      <c r="AB230" s="1173"/>
      <c r="AC230" s="1173"/>
      <c r="AD230" s="1173"/>
      <c r="AE230" s="1173"/>
      <c r="AF230" s="1173"/>
      <c r="AG230" s="1173"/>
      <c r="AH230" s="1173"/>
      <c r="AI230" s="1173"/>
      <c r="AJ230" s="1173"/>
      <c r="AK230" s="1173"/>
      <c r="AL230" s="1173"/>
      <c r="AM230" s="1173"/>
      <c r="AN230" s="1173"/>
      <c r="AO230" s="1173"/>
      <c r="AP230" s="1173"/>
      <c r="AQ230" s="709"/>
      <c r="AR230" s="709"/>
      <c r="AS230" s="714"/>
    </row>
    <row r="231" spans="1:45" ht="110.25" customHeight="1" x14ac:dyDescent="0.25">
      <c r="A231" s="1640"/>
      <c r="B231" s="1541"/>
      <c r="C231" s="1549"/>
      <c r="D231" s="1541"/>
      <c r="E231" s="1561"/>
      <c r="F231" s="1562"/>
      <c r="G231" s="3328">
        <v>3904006</v>
      </c>
      <c r="H231" s="2282" t="s">
        <v>3023</v>
      </c>
      <c r="I231" s="3328">
        <v>3904006</v>
      </c>
      <c r="J231" s="2282" t="s">
        <v>3023</v>
      </c>
      <c r="K231" s="2738">
        <v>390400604</v>
      </c>
      <c r="L231" s="2744" t="s">
        <v>3024</v>
      </c>
      <c r="M231" s="2738">
        <v>390400604</v>
      </c>
      <c r="N231" s="2744" t="s">
        <v>3024</v>
      </c>
      <c r="O231" s="3324">
        <v>18</v>
      </c>
      <c r="P231" s="3326" t="s">
        <v>3025</v>
      </c>
      <c r="Q231" s="2281" t="s">
        <v>3026</v>
      </c>
      <c r="R231" s="2289">
        <f>SUM(W231:W232)/S231</f>
        <v>1</v>
      </c>
      <c r="S231" s="3321">
        <f>SUM(W231:W232)</f>
        <v>7500000</v>
      </c>
      <c r="T231" s="2281" t="s">
        <v>3027</v>
      </c>
      <c r="U231" s="2284" t="s">
        <v>3028</v>
      </c>
      <c r="V231" s="2284" t="s">
        <v>3029</v>
      </c>
      <c r="W231" s="1572">
        <v>5400000</v>
      </c>
      <c r="X231" s="1585" t="s">
        <v>3030</v>
      </c>
      <c r="Y231" s="3322">
        <v>20</v>
      </c>
      <c r="Z231" s="2285" t="s">
        <v>73</v>
      </c>
      <c r="AA231" s="3319">
        <v>3994</v>
      </c>
      <c r="AB231" s="3319">
        <v>3934</v>
      </c>
      <c r="AC231" s="3319">
        <v>1474</v>
      </c>
      <c r="AD231" s="3319">
        <v>6425</v>
      </c>
      <c r="AE231" s="3319">
        <v>29</v>
      </c>
      <c r="AF231" s="3319">
        <v>0</v>
      </c>
      <c r="AG231" s="3319">
        <v>23</v>
      </c>
      <c r="AH231" s="3319">
        <v>101</v>
      </c>
      <c r="AI231" s="3319">
        <v>0</v>
      </c>
      <c r="AJ231" s="3319">
        <v>0</v>
      </c>
      <c r="AK231" s="3319">
        <v>0</v>
      </c>
      <c r="AL231" s="3319">
        <v>0</v>
      </c>
      <c r="AM231" s="3319">
        <v>664</v>
      </c>
      <c r="AN231" s="3319">
        <v>425</v>
      </c>
      <c r="AO231" s="3319">
        <v>13</v>
      </c>
      <c r="AP231" s="3319">
        <f>SUM(AA231:AB231)</f>
        <v>7928</v>
      </c>
      <c r="AQ231" s="3057">
        <v>44198</v>
      </c>
      <c r="AR231" s="3057">
        <v>44560</v>
      </c>
      <c r="AS231" s="2523" t="s">
        <v>2649</v>
      </c>
    </row>
    <row r="232" spans="1:45" ht="110.25" customHeight="1" x14ac:dyDescent="0.25">
      <c r="A232" s="1640"/>
      <c r="B232" s="1541"/>
      <c r="C232" s="1549"/>
      <c r="D232" s="1541"/>
      <c r="E232" s="1549"/>
      <c r="F232" s="1541"/>
      <c r="G232" s="3329"/>
      <c r="H232" s="2280"/>
      <c r="I232" s="3329"/>
      <c r="J232" s="2280"/>
      <c r="K232" s="2740"/>
      <c r="L232" s="2732"/>
      <c r="M232" s="2740"/>
      <c r="N232" s="2732"/>
      <c r="O232" s="3325"/>
      <c r="P232" s="3327"/>
      <c r="Q232" s="2281"/>
      <c r="R232" s="2289"/>
      <c r="S232" s="3321"/>
      <c r="T232" s="2281"/>
      <c r="U232" s="2284"/>
      <c r="V232" s="2284"/>
      <c r="W232" s="1780">
        <v>2100000</v>
      </c>
      <c r="X232" s="1584" t="s">
        <v>3031</v>
      </c>
      <c r="Y232" s="3323"/>
      <c r="Z232" s="2283"/>
      <c r="AA232" s="3320"/>
      <c r="AB232" s="3320"/>
      <c r="AC232" s="3320"/>
      <c r="AD232" s="3320"/>
      <c r="AE232" s="3320"/>
      <c r="AF232" s="3320"/>
      <c r="AG232" s="3320"/>
      <c r="AH232" s="3320"/>
      <c r="AI232" s="3320"/>
      <c r="AJ232" s="3320"/>
      <c r="AK232" s="3320"/>
      <c r="AL232" s="3320"/>
      <c r="AM232" s="3320"/>
      <c r="AN232" s="3320"/>
      <c r="AO232" s="3320"/>
      <c r="AP232" s="3320"/>
      <c r="AQ232" s="3017"/>
      <c r="AR232" s="3017"/>
      <c r="AS232" s="2521"/>
    </row>
    <row r="233" spans="1:45" ht="23.25" customHeight="1" x14ac:dyDescent="0.25">
      <c r="A233" s="1019"/>
      <c r="B233" s="1020"/>
      <c r="C233" s="1020"/>
      <c r="D233" s="1020"/>
      <c r="E233" s="1020"/>
      <c r="F233" s="1020"/>
      <c r="G233" s="1020"/>
      <c r="H233" s="1781"/>
      <c r="I233" s="1020"/>
      <c r="J233" s="1021"/>
      <c r="K233" s="1020"/>
      <c r="L233" s="1021"/>
      <c r="M233" s="1020"/>
      <c r="N233" s="1021"/>
      <c r="O233" s="1020"/>
      <c r="P233" s="1020"/>
      <c r="Q233" s="1020"/>
      <c r="R233" s="1699"/>
      <c r="S233" s="1179">
        <f>SUM(S9:S232)</f>
        <v>195488624347.70334</v>
      </c>
      <c r="T233" s="1020"/>
      <c r="U233" s="1020"/>
      <c r="V233" s="1782" t="s">
        <v>118</v>
      </c>
      <c r="W233" s="1179">
        <f>SUM(W9:W232)</f>
        <v>195488624347.70334</v>
      </c>
      <c r="X233" s="1783"/>
      <c r="Y233" s="1027"/>
      <c r="Z233" s="1021"/>
      <c r="AA233" s="1020"/>
      <c r="AB233" s="1020"/>
      <c r="AC233" s="1020"/>
      <c r="AD233" s="1020"/>
      <c r="AE233" s="1020"/>
      <c r="AF233" s="1020"/>
      <c r="AG233" s="1020"/>
      <c r="AH233" s="1020"/>
      <c r="AI233" s="1020"/>
      <c r="AJ233" s="1020"/>
      <c r="AK233" s="1020"/>
      <c r="AL233" s="1020"/>
      <c r="AM233" s="1020"/>
      <c r="AN233" s="1020"/>
      <c r="AO233" s="1020"/>
      <c r="AP233" s="1020"/>
      <c r="AQ233" s="1028"/>
      <c r="AR233" s="1028"/>
      <c r="AS233" s="1029"/>
    </row>
    <row r="246" spans="6:16" ht="15.75" x14ac:dyDescent="0.25">
      <c r="F246" s="1784"/>
      <c r="L246" s="1570"/>
      <c r="N246" s="1570"/>
      <c r="O246" s="1582"/>
      <c r="P246" s="1582"/>
    </row>
    <row r="247" spans="6:16" ht="15.75" x14ac:dyDescent="0.25">
      <c r="F247" s="1564"/>
      <c r="L247" s="1570"/>
      <c r="N247" s="1570"/>
      <c r="O247" s="1582"/>
      <c r="P247" s="1582"/>
    </row>
    <row r="248" spans="6:16" x14ac:dyDescent="0.25">
      <c r="L248" s="1570"/>
      <c r="N248" s="1570"/>
      <c r="O248" s="1582"/>
      <c r="P248" s="1582"/>
    </row>
    <row r="249" spans="6:16" x14ac:dyDescent="0.25">
      <c r="L249" s="1570"/>
      <c r="N249" s="1570"/>
      <c r="O249" s="1582"/>
      <c r="P249" s="1582"/>
    </row>
    <row r="250" spans="6:16" x14ac:dyDescent="0.25">
      <c r="L250" s="1570"/>
      <c r="N250" s="1570"/>
      <c r="O250" s="1582"/>
      <c r="P250" s="1582"/>
    </row>
  </sheetData>
  <sheetProtection algorithmName="SHA-512" hashValue="19fMqJMLuDnfukA7OeJMomymWCHIw9u2tEHKziZvIt+udJwQse1wIOib5z73TmbDkc2cr1DCN268yGinStcFMw==" saltValue="WB6EDnv+Tro8Lla5L9cTOQ==" spinCount="100000" sheet="1" objects="1" scenarios="1"/>
  <mergeCells count="654">
    <mergeCell ref="A1:AQ4"/>
    <mergeCell ref="A5:O6"/>
    <mergeCell ref="P5:AS5"/>
    <mergeCell ref="AA6:AO6"/>
    <mergeCell ref="A7:B7"/>
    <mergeCell ref="C7:D7"/>
    <mergeCell ref="E7:F7"/>
    <mergeCell ref="G7:J7"/>
    <mergeCell ref="K7:N7"/>
    <mergeCell ref="O7:W7"/>
    <mergeCell ref="AQ7:AQ8"/>
    <mergeCell ref="AR7:AR8"/>
    <mergeCell ref="AS7:AS8"/>
    <mergeCell ref="B9:G9"/>
    <mergeCell ref="AA9:AP9"/>
    <mergeCell ref="A11:B42"/>
    <mergeCell ref="F11:R11"/>
    <mergeCell ref="G12:G15"/>
    <mergeCell ref="H12:H15"/>
    <mergeCell ref="I12:I15"/>
    <mergeCell ref="X7:Z7"/>
    <mergeCell ref="AA7:AB7"/>
    <mergeCell ref="AC7:AF7"/>
    <mergeCell ref="AG7:AL7"/>
    <mergeCell ref="AM7:AO7"/>
    <mergeCell ref="AP7:AP8"/>
    <mergeCell ref="K37:K38"/>
    <mergeCell ref="L37:L38"/>
    <mergeCell ref="M37:M38"/>
    <mergeCell ref="N37:N38"/>
    <mergeCell ref="O37:O38"/>
    <mergeCell ref="R37:R38"/>
    <mergeCell ref="V37:V38"/>
    <mergeCell ref="U39:U42"/>
    <mergeCell ref="M41:M42"/>
    <mergeCell ref="N41:N42"/>
    <mergeCell ref="O41:O42"/>
    <mergeCell ref="AS12:AS44"/>
    <mergeCell ref="G16:G19"/>
    <mergeCell ref="H16:H19"/>
    <mergeCell ref="I16:I19"/>
    <mergeCell ref="J16:J19"/>
    <mergeCell ref="K16:K19"/>
    <mergeCell ref="L16:L19"/>
    <mergeCell ref="AJ12:AJ42"/>
    <mergeCell ref="AK12:AK42"/>
    <mergeCell ref="AL12:AL42"/>
    <mergeCell ref="AM12:AM42"/>
    <mergeCell ref="AN12:AN42"/>
    <mergeCell ref="AO12:AO42"/>
    <mergeCell ref="AD12:AD42"/>
    <mergeCell ref="AE12:AE42"/>
    <mergeCell ref="AF12:AF42"/>
    <mergeCell ref="AG12:AG42"/>
    <mergeCell ref="AH12:AH42"/>
    <mergeCell ref="AI12:AI42"/>
    <mergeCell ref="V12:V15"/>
    <mergeCell ref="Y12:Y15"/>
    <mergeCell ref="Z12:Z15"/>
    <mergeCell ref="AA12:AA42"/>
    <mergeCell ref="AB12:AB42"/>
    <mergeCell ref="AQ16:AQ19"/>
    <mergeCell ref="AR16:AR19"/>
    <mergeCell ref="G20:G23"/>
    <mergeCell ref="H20:H23"/>
    <mergeCell ref="I20:I23"/>
    <mergeCell ref="J20:J23"/>
    <mergeCell ref="K20:K23"/>
    <mergeCell ref="L20:L23"/>
    <mergeCell ref="M20:M23"/>
    <mergeCell ref="N20:N23"/>
    <mergeCell ref="M16:M19"/>
    <mergeCell ref="N16:N19"/>
    <mergeCell ref="O16:O19"/>
    <mergeCell ref="R16:R19"/>
    <mergeCell ref="U16:U19"/>
    <mergeCell ref="V16:V19"/>
    <mergeCell ref="AP12:AP42"/>
    <mergeCell ref="AQ12:AQ15"/>
    <mergeCell ref="AR12:AR15"/>
    <mergeCell ref="AC12:AC42"/>
    <mergeCell ref="Y16:Y19"/>
    <mergeCell ref="Z16:Z19"/>
    <mergeCell ref="Z24:Z26"/>
    <mergeCell ref="V31:V36"/>
    <mergeCell ref="AQ20:AQ23"/>
    <mergeCell ref="AR20:AR23"/>
    <mergeCell ref="G24:G26"/>
    <mergeCell ref="H24:H26"/>
    <mergeCell ref="I24:I26"/>
    <mergeCell ref="J24:J26"/>
    <mergeCell ref="K24:K26"/>
    <mergeCell ref="L24:L26"/>
    <mergeCell ref="M24:M26"/>
    <mergeCell ref="N24:N26"/>
    <mergeCell ref="O20:O23"/>
    <mergeCell ref="R20:R23"/>
    <mergeCell ref="U20:U30"/>
    <mergeCell ref="V20:V23"/>
    <mergeCell ref="Y20:Y23"/>
    <mergeCell ref="Z20:Z23"/>
    <mergeCell ref="O24:O26"/>
    <mergeCell ref="R24:R26"/>
    <mergeCell ref="V24:V26"/>
    <mergeCell ref="Y24:Y26"/>
    <mergeCell ref="P12:P42"/>
    <mergeCell ref="Q12:Q42"/>
    <mergeCell ref="R12:R15"/>
    <mergeCell ref="S12:S42"/>
    <mergeCell ref="AQ24:AQ26"/>
    <mergeCell ref="AR24:AR26"/>
    <mergeCell ref="G27:G30"/>
    <mergeCell ref="H27:H30"/>
    <mergeCell ref="I27:I30"/>
    <mergeCell ref="J27:J30"/>
    <mergeCell ref="K27:K30"/>
    <mergeCell ref="L27:L30"/>
    <mergeCell ref="M27:M30"/>
    <mergeCell ref="N27:N30"/>
    <mergeCell ref="T12:T42"/>
    <mergeCell ref="U12:U15"/>
    <mergeCell ref="R31:R36"/>
    <mergeCell ref="U31:U38"/>
    <mergeCell ref="J12:J15"/>
    <mergeCell ref="K12:K15"/>
    <mergeCell ref="L12:L15"/>
    <mergeCell ref="M12:M15"/>
    <mergeCell ref="N12:N15"/>
    <mergeCell ref="O12:O15"/>
    <mergeCell ref="G37:G38"/>
    <mergeCell ref="H37:H38"/>
    <mergeCell ref="I37:I38"/>
    <mergeCell ref="J37:J38"/>
    <mergeCell ref="AR27:AR30"/>
    <mergeCell ref="G31:G36"/>
    <mergeCell ref="H31:H36"/>
    <mergeCell ref="I31:I36"/>
    <mergeCell ref="J31:J36"/>
    <mergeCell ref="K31:K36"/>
    <mergeCell ref="L31:L36"/>
    <mergeCell ref="M31:M36"/>
    <mergeCell ref="N31:N36"/>
    <mergeCell ref="O31:O36"/>
    <mergeCell ref="O27:O30"/>
    <mergeCell ref="R27:R30"/>
    <mergeCell ref="V27:V30"/>
    <mergeCell ref="Y27:Y30"/>
    <mergeCell ref="Z27:Z30"/>
    <mergeCell ref="AQ27:AQ30"/>
    <mergeCell ref="R41:R42"/>
    <mergeCell ref="V41:V42"/>
    <mergeCell ref="P43:P44"/>
    <mergeCell ref="Q43:Q44"/>
    <mergeCell ref="S43:S44"/>
    <mergeCell ref="T43:T44"/>
    <mergeCell ref="AA43:AA44"/>
    <mergeCell ref="G41:G42"/>
    <mergeCell ref="H41:H42"/>
    <mergeCell ref="I41:I42"/>
    <mergeCell ref="J41:J42"/>
    <mergeCell ref="K41:K42"/>
    <mergeCell ref="L41:L42"/>
    <mergeCell ref="AN43:AN44"/>
    <mergeCell ref="AO43:AO44"/>
    <mergeCell ref="AP43:AP44"/>
    <mergeCell ref="G45:G49"/>
    <mergeCell ref="H45:H49"/>
    <mergeCell ref="I45:I49"/>
    <mergeCell ref="J45:J49"/>
    <mergeCell ref="K45:K49"/>
    <mergeCell ref="L45:L49"/>
    <mergeCell ref="M45:M49"/>
    <mergeCell ref="AH43:AH44"/>
    <mergeCell ref="AI43:AI44"/>
    <mergeCell ref="AJ43:AJ44"/>
    <mergeCell ref="AK43:AK44"/>
    <mergeCell ref="AL43:AL44"/>
    <mergeCell ref="AM43:AM44"/>
    <mergeCell ref="AB43:AB44"/>
    <mergeCell ref="AC43:AC44"/>
    <mergeCell ref="AD43:AD44"/>
    <mergeCell ref="AE43:AE44"/>
    <mergeCell ref="AF43:AF44"/>
    <mergeCell ref="AG43:AG44"/>
    <mergeCell ref="AB45:AB77"/>
    <mergeCell ref="AC45:AC77"/>
    <mergeCell ref="V62:V65"/>
    <mergeCell ref="N45:N49"/>
    <mergeCell ref="O45:O49"/>
    <mergeCell ref="P45:P77"/>
    <mergeCell ref="Q45:Q77"/>
    <mergeCell ref="R45:R49"/>
    <mergeCell ref="S45:S77"/>
    <mergeCell ref="O62:O65"/>
    <mergeCell ref="R62:R65"/>
    <mergeCell ref="N68:N71"/>
    <mergeCell ref="O68:O71"/>
    <mergeCell ref="R50:R53"/>
    <mergeCell ref="V50:V53"/>
    <mergeCell ref="U67:U71"/>
    <mergeCell ref="R72:R75"/>
    <mergeCell ref="U72:U75"/>
    <mergeCell ref="V72:V75"/>
    <mergeCell ref="AS45:AS77"/>
    <mergeCell ref="AQ50:AQ53"/>
    <mergeCell ref="AR50:AR53"/>
    <mergeCell ref="AQ54:AQ57"/>
    <mergeCell ref="AR54:AR57"/>
    <mergeCell ref="AH45:AH77"/>
    <mergeCell ref="AI45:AI77"/>
    <mergeCell ref="AJ45:AJ77"/>
    <mergeCell ref="AK45:AK77"/>
    <mergeCell ref="AL45:AL77"/>
    <mergeCell ref="AM45:AM77"/>
    <mergeCell ref="AQ62:AQ65"/>
    <mergeCell ref="AR62:AR65"/>
    <mergeCell ref="AN45:AN77"/>
    <mergeCell ref="AO45:AO77"/>
    <mergeCell ref="AP45:AP77"/>
    <mergeCell ref="AQ45:AQ49"/>
    <mergeCell ref="AR45:AR49"/>
    <mergeCell ref="AQ72:AQ75"/>
    <mergeCell ref="AR72:AR75"/>
    <mergeCell ref="G50:G53"/>
    <mergeCell ref="H50:H53"/>
    <mergeCell ref="I50:I53"/>
    <mergeCell ref="J50:J53"/>
    <mergeCell ref="K50:K53"/>
    <mergeCell ref="L50:L53"/>
    <mergeCell ref="T45:T77"/>
    <mergeCell ref="U45:U66"/>
    <mergeCell ref="V45:V49"/>
    <mergeCell ref="G54:G61"/>
    <mergeCell ref="H54:H61"/>
    <mergeCell ref="I54:I61"/>
    <mergeCell ref="J54:J61"/>
    <mergeCell ref="K54:K61"/>
    <mergeCell ref="L54:L61"/>
    <mergeCell ref="M50:M53"/>
    <mergeCell ref="N50:N53"/>
    <mergeCell ref="O50:O53"/>
    <mergeCell ref="G68:G71"/>
    <mergeCell ref="H68:H71"/>
    <mergeCell ref="I68:I71"/>
    <mergeCell ref="J68:J71"/>
    <mergeCell ref="K68:K71"/>
    <mergeCell ref="L68:L71"/>
    <mergeCell ref="M68:M71"/>
    <mergeCell ref="AQ58:AQ61"/>
    <mergeCell ref="AR58:AR61"/>
    <mergeCell ref="G62:G65"/>
    <mergeCell ref="H62:H65"/>
    <mergeCell ref="I62:I65"/>
    <mergeCell ref="J62:J65"/>
    <mergeCell ref="K62:K65"/>
    <mergeCell ref="L62:L65"/>
    <mergeCell ref="M62:M65"/>
    <mergeCell ref="N62:N65"/>
    <mergeCell ref="M54:M61"/>
    <mergeCell ref="N54:N61"/>
    <mergeCell ref="O54:O61"/>
    <mergeCell ref="R54:R61"/>
    <mergeCell ref="V54:V61"/>
    <mergeCell ref="Y54:Y57"/>
    <mergeCell ref="Y58:Y61"/>
    <mergeCell ref="R68:R71"/>
    <mergeCell ref="V68:V71"/>
    <mergeCell ref="Y68:Y71"/>
    <mergeCell ref="Z68:Z71"/>
    <mergeCell ref="AQ68:AQ71"/>
    <mergeCell ref="AR68:AR71"/>
    <mergeCell ref="AD45:AD77"/>
    <mergeCell ref="AE45:AE77"/>
    <mergeCell ref="AF45:AF77"/>
    <mergeCell ref="AG45:AG77"/>
    <mergeCell ref="Z45:Z48"/>
    <mergeCell ref="AA45:AA77"/>
    <mergeCell ref="Z50:Z53"/>
    <mergeCell ref="Z54:Z57"/>
    <mergeCell ref="Y72:Y75"/>
    <mergeCell ref="Z72:Z75"/>
    <mergeCell ref="Z58:Z61"/>
    <mergeCell ref="Y50:Y53"/>
    <mergeCell ref="Y45:Y48"/>
    <mergeCell ref="M72:M75"/>
    <mergeCell ref="N72:N75"/>
    <mergeCell ref="O72:O75"/>
    <mergeCell ref="G72:G75"/>
    <mergeCell ref="H72:H75"/>
    <mergeCell ref="I72:I75"/>
    <mergeCell ref="J72:J75"/>
    <mergeCell ref="K72:K75"/>
    <mergeCell ref="L72:L75"/>
    <mergeCell ref="U86:U89"/>
    <mergeCell ref="V86:V89"/>
    <mergeCell ref="Y86:Y89"/>
    <mergeCell ref="Z86:Z89"/>
    <mergeCell ref="G78:G81"/>
    <mergeCell ref="H78:H81"/>
    <mergeCell ref="I78:I81"/>
    <mergeCell ref="J78:J81"/>
    <mergeCell ref="K78:K81"/>
    <mergeCell ref="L78:L81"/>
    <mergeCell ref="N78:N81"/>
    <mergeCell ref="O78:O81"/>
    <mergeCell ref="P78:P89"/>
    <mergeCell ref="Q78:Q89"/>
    <mergeCell ref="R78:R81"/>
    <mergeCell ref="R82:R85"/>
    <mergeCell ref="M86:M89"/>
    <mergeCell ref="N86:N89"/>
    <mergeCell ref="O86:O89"/>
    <mergeCell ref="R86:R89"/>
    <mergeCell ref="AS78:AS89"/>
    <mergeCell ref="G82:G85"/>
    <mergeCell ref="H82:H85"/>
    <mergeCell ref="I82:I85"/>
    <mergeCell ref="J82:J85"/>
    <mergeCell ref="K82:K85"/>
    <mergeCell ref="L82:L85"/>
    <mergeCell ref="M82:M85"/>
    <mergeCell ref="N82:N85"/>
    <mergeCell ref="O82:O85"/>
    <mergeCell ref="AM78:AM89"/>
    <mergeCell ref="AN78:AN89"/>
    <mergeCell ref="AO78:AO89"/>
    <mergeCell ref="AP78:AP89"/>
    <mergeCell ref="AQ78:AQ81"/>
    <mergeCell ref="AR78:AR81"/>
    <mergeCell ref="AQ82:AQ85"/>
    <mergeCell ref="AR82:AR85"/>
    <mergeCell ref="AR86:AR89"/>
    <mergeCell ref="AG78:AG89"/>
    <mergeCell ref="AH78:AH89"/>
    <mergeCell ref="AI78:AI89"/>
    <mergeCell ref="AJ78:AJ89"/>
    <mergeCell ref="AK78:AK89"/>
    <mergeCell ref="AQ86:AQ89"/>
    <mergeCell ref="G86:G89"/>
    <mergeCell ref="H86:H89"/>
    <mergeCell ref="I86:I89"/>
    <mergeCell ref="J86:J89"/>
    <mergeCell ref="K86:K89"/>
    <mergeCell ref="L86:L89"/>
    <mergeCell ref="AL78:AL89"/>
    <mergeCell ref="AA78:AA89"/>
    <mergeCell ref="AB78:AB89"/>
    <mergeCell ref="AC78:AC89"/>
    <mergeCell ref="AD78:AD89"/>
    <mergeCell ref="AE78:AE89"/>
    <mergeCell ref="AF78:AF89"/>
    <mergeCell ref="S78:S89"/>
    <mergeCell ref="T78:T89"/>
    <mergeCell ref="U78:U85"/>
    <mergeCell ref="V78:V81"/>
    <mergeCell ref="Y78:Y81"/>
    <mergeCell ref="Z78:Z81"/>
    <mergeCell ref="V82:V85"/>
    <mergeCell ref="Y82:Y85"/>
    <mergeCell ref="Z82:Z85"/>
    <mergeCell ref="M78:M81"/>
    <mergeCell ref="M90:M93"/>
    <mergeCell ref="N90:N93"/>
    <mergeCell ref="O90:O93"/>
    <mergeCell ref="P90:P97"/>
    <mergeCell ref="Q90:Q97"/>
    <mergeCell ref="R90:R93"/>
    <mergeCell ref="R94:R97"/>
    <mergeCell ref="G90:G93"/>
    <mergeCell ref="H90:H93"/>
    <mergeCell ref="I90:I93"/>
    <mergeCell ref="J90:J93"/>
    <mergeCell ref="K90:K93"/>
    <mergeCell ref="L90:L93"/>
    <mergeCell ref="S90:S97"/>
    <mergeCell ref="T90:T97"/>
    <mergeCell ref="U90:U93"/>
    <mergeCell ref="V90:V93"/>
    <mergeCell ref="Y90:Y93"/>
    <mergeCell ref="Z90:Z93"/>
    <mergeCell ref="U94:U97"/>
    <mergeCell ref="V94:V97"/>
    <mergeCell ref="Y94:Y97"/>
    <mergeCell ref="Z94:Z97"/>
    <mergeCell ref="AG90:AG97"/>
    <mergeCell ref="AH90:AH97"/>
    <mergeCell ref="AI90:AI97"/>
    <mergeCell ref="AJ90:AJ97"/>
    <mergeCell ref="AK90:AK97"/>
    <mergeCell ref="AL90:AL97"/>
    <mergeCell ref="AA90:AA97"/>
    <mergeCell ref="AB90:AB97"/>
    <mergeCell ref="AC90:AC97"/>
    <mergeCell ref="AD90:AD97"/>
    <mergeCell ref="AE90:AE97"/>
    <mergeCell ref="AF90:AF97"/>
    <mergeCell ref="G98:G101"/>
    <mergeCell ref="H98:H101"/>
    <mergeCell ref="I98:I101"/>
    <mergeCell ref="J98:J101"/>
    <mergeCell ref="K98:K101"/>
    <mergeCell ref="L98:L101"/>
    <mergeCell ref="AS90:AS97"/>
    <mergeCell ref="G94:G97"/>
    <mergeCell ref="H94:H97"/>
    <mergeCell ref="I94:I97"/>
    <mergeCell ref="J94:J97"/>
    <mergeCell ref="K94:K97"/>
    <mergeCell ref="L94:L97"/>
    <mergeCell ref="M94:M97"/>
    <mergeCell ref="N94:N97"/>
    <mergeCell ref="O94:O97"/>
    <mergeCell ref="AM90:AM97"/>
    <mergeCell ref="AN90:AN97"/>
    <mergeCell ref="AO90:AO97"/>
    <mergeCell ref="AP90:AP97"/>
    <mergeCell ref="AQ90:AQ93"/>
    <mergeCell ref="AR90:AR93"/>
    <mergeCell ref="AQ94:AQ97"/>
    <mergeCell ref="AR94:AR97"/>
    <mergeCell ref="M98:M101"/>
    <mergeCell ref="N98:N101"/>
    <mergeCell ref="O98:O101"/>
    <mergeCell ref="P98:P109"/>
    <mergeCell ref="Q98:Q109"/>
    <mergeCell ref="R98:R101"/>
    <mergeCell ref="R102:R105"/>
    <mergeCell ref="M106:M109"/>
    <mergeCell ref="N106:N109"/>
    <mergeCell ref="O106:O109"/>
    <mergeCell ref="AS98:AS109"/>
    <mergeCell ref="G102:G105"/>
    <mergeCell ref="H102:H105"/>
    <mergeCell ref="I102:I105"/>
    <mergeCell ref="J102:J105"/>
    <mergeCell ref="K102:K105"/>
    <mergeCell ref="L102:L105"/>
    <mergeCell ref="M102:M105"/>
    <mergeCell ref="N102:N105"/>
    <mergeCell ref="O102:O105"/>
    <mergeCell ref="AM98:AM109"/>
    <mergeCell ref="AN98:AN109"/>
    <mergeCell ref="AO98:AO109"/>
    <mergeCell ref="AP98:AP109"/>
    <mergeCell ref="AQ98:AQ101"/>
    <mergeCell ref="AR98:AR101"/>
    <mergeCell ref="AQ102:AQ105"/>
    <mergeCell ref="AR102:AR105"/>
    <mergeCell ref="AG98:AG109"/>
    <mergeCell ref="AH98:AH109"/>
    <mergeCell ref="AI98:AI109"/>
    <mergeCell ref="AJ98:AJ109"/>
    <mergeCell ref="AK98:AK109"/>
    <mergeCell ref="AL98:AL109"/>
    <mergeCell ref="Z106:Z109"/>
    <mergeCell ref="AQ106:AQ109"/>
    <mergeCell ref="AR106:AR109"/>
    <mergeCell ref="G106:G109"/>
    <mergeCell ref="H106:H109"/>
    <mergeCell ref="I106:I109"/>
    <mergeCell ref="J106:J109"/>
    <mergeCell ref="K106:K109"/>
    <mergeCell ref="L106:L109"/>
    <mergeCell ref="AA98:AA109"/>
    <mergeCell ref="AB98:AB109"/>
    <mergeCell ref="AC98:AC109"/>
    <mergeCell ref="AD98:AD109"/>
    <mergeCell ref="AE98:AE109"/>
    <mergeCell ref="AF98:AF109"/>
    <mergeCell ref="S98:S109"/>
    <mergeCell ref="T98:T109"/>
    <mergeCell ref="U98:U109"/>
    <mergeCell ref="V98:V101"/>
    <mergeCell ref="Y98:Y101"/>
    <mergeCell ref="Z98:Z101"/>
    <mergeCell ref="V102:V105"/>
    <mergeCell ref="Y102:Y105"/>
    <mergeCell ref="Z102:Z105"/>
    <mergeCell ref="G110:G113"/>
    <mergeCell ref="H110:H113"/>
    <mergeCell ref="I110:I113"/>
    <mergeCell ref="J110:J113"/>
    <mergeCell ref="K110:K113"/>
    <mergeCell ref="L110:L113"/>
    <mergeCell ref="R106:R109"/>
    <mergeCell ref="V106:V109"/>
    <mergeCell ref="Y106:Y109"/>
    <mergeCell ref="M110:M113"/>
    <mergeCell ref="N110:N113"/>
    <mergeCell ref="O110:O113"/>
    <mergeCell ref="P110:P223"/>
    <mergeCell ref="Q110:Q223"/>
    <mergeCell ref="R110:R113"/>
    <mergeCell ref="R114:R117"/>
    <mergeCell ref="M118:M121"/>
    <mergeCell ref="N118:N121"/>
    <mergeCell ref="O118:O121"/>
    <mergeCell ref="G118:G121"/>
    <mergeCell ref="H118:H121"/>
    <mergeCell ref="I118:I121"/>
    <mergeCell ref="J118:J121"/>
    <mergeCell ref="K118:K121"/>
    <mergeCell ref="AR118:AR121"/>
    <mergeCell ref="AR122:AR223"/>
    <mergeCell ref="AG110:AG223"/>
    <mergeCell ref="AH110:AH223"/>
    <mergeCell ref="AI110:AI223"/>
    <mergeCell ref="AJ110:AJ223"/>
    <mergeCell ref="AK110:AK223"/>
    <mergeCell ref="AL110:AL223"/>
    <mergeCell ref="AA110:AA223"/>
    <mergeCell ref="AB110:AB223"/>
    <mergeCell ref="AC110:AC223"/>
    <mergeCell ref="AD110:AD223"/>
    <mergeCell ref="AE110:AE223"/>
    <mergeCell ref="AF110:AF223"/>
    <mergeCell ref="AQ118:AQ121"/>
    <mergeCell ref="L118:L121"/>
    <mergeCell ref="AS110:AS223"/>
    <mergeCell ref="G114:G117"/>
    <mergeCell ref="H114:H117"/>
    <mergeCell ref="I114:I117"/>
    <mergeCell ref="J114:J117"/>
    <mergeCell ref="K114:K117"/>
    <mergeCell ref="L114:L117"/>
    <mergeCell ref="M114:M117"/>
    <mergeCell ref="N114:N117"/>
    <mergeCell ref="O114:O117"/>
    <mergeCell ref="AM110:AM223"/>
    <mergeCell ref="AN110:AN223"/>
    <mergeCell ref="AO110:AO223"/>
    <mergeCell ref="AP110:AP223"/>
    <mergeCell ref="AQ110:AQ113"/>
    <mergeCell ref="AR110:AR113"/>
    <mergeCell ref="AQ114:AQ117"/>
    <mergeCell ref="AR114:AR117"/>
    <mergeCell ref="R118:R121"/>
    <mergeCell ref="U118:U223"/>
    <mergeCell ref="V118:V121"/>
    <mergeCell ref="Y118:Y121"/>
    <mergeCell ref="Z118:Z121"/>
    <mergeCell ref="AQ122:AQ223"/>
    <mergeCell ref="Z170:Z177"/>
    <mergeCell ref="Z181:Z201"/>
    <mergeCell ref="S110:S223"/>
    <mergeCell ref="T110:T223"/>
    <mergeCell ref="U110:U113"/>
    <mergeCell ref="V110:V113"/>
    <mergeCell ref="Y110:Y113"/>
    <mergeCell ref="Z110:Z113"/>
    <mergeCell ref="U114:U117"/>
    <mergeCell ref="V114:V117"/>
    <mergeCell ref="Y114:Y117"/>
    <mergeCell ref="Z114:Z117"/>
    <mergeCell ref="Y203:Y206"/>
    <mergeCell ref="Z203:Z206"/>
    <mergeCell ref="Y208:Y211"/>
    <mergeCell ref="Z208:Z211"/>
    <mergeCell ref="Y212:Y215"/>
    <mergeCell ref="Z212:Z215"/>
    <mergeCell ref="O122:O223"/>
    <mergeCell ref="R122:R223"/>
    <mergeCell ref="V122:V180"/>
    <mergeCell ref="Y122:Y169"/>
    <mergeCell ref="Y170:Y177"/>
    <mergeCell ref="V181:V202"/>
    <mergeCell ref="Y181:Y201"/>
    <mergeCell ref="V203:V215"/>
    <mergeCell ref="Z122:Z169"/>
    <mergeCell ref="O225:O227"/>
    <mergeCell ref="P225:P227"/>
    <mergeCell ref="Q225:Q227"/>
    <mergeCell ref="R225:R227"/>
    <mergeCell ref="S225:S227"/>
    <mergeCell ref="T225:T227"/>
    <mergeCell ref="V216:V223"/>
    <mergeCell ref="F224:P224"/>
    <mergeCell ref="G225:G227"/>
    <mergeCell ref="H225:H227"/>
    <mergeCell ref="I225:I227"/>
    <mergeCell ref="J225:J227"/>
    <mergeCell ref="K225:K227"/>
    <mergeCell ref="L225:L227"/>
    <mergeCell ref="M225:M227"/>
    <mergeCell ref="N225:N227"/>
    <mergeCell ref="G122:G223"/>
    <mergeCell ref="H122:H223"/>
    <mergeCell ref="I122:I223"/>
    <mergeCell ref="J122:J223"/>
    <mergeCell ref="K122:K223"/>
    <mergeCell ref="L122:L223"/>
    <mergeCell ref="M122:M223"/>
    <mergeCell ref="N122:N223"/>
    <mergeCell ref="AQ225:AQ227"/>
    <mergeCell ref="AR225:AR227"/>
    <mergeCell ref="AS225:AS227"/>
    <mergeCell ref="B228:H228"/>
    <mergeCell ref="D229:G229"/>
    <mergeCell ref="F230:P230"/>
    <mergeCell ref="AK225:AK227"/>
    <mergeCell ref="AL225:AL227"/>
    <mergeCell ref="AM225:AM227"/>
    <mergeCell ref="AN225:AN227"/>
    <mergeCell ref="AO225:AO227"/>
    <mergeCell ref="AP225:AP227"/>
    <mergeCell ref="AE225:AE227"/>
    <mergeCell ref="AF225:AF227"/>
    <mergeCell ref="AG225:AG227"/>
    <mergeCell ref="AH225:AH227"/>
    <mergeCell ref="AI225:AI227"/>
    <mergeCell ref="AJ225:AJ227"/>
    <mergeCell ref="U225:U227"/>
    <mergeCell ref="V225:V227"/>
    <mergeCell ref="AA225:AA227"/>
    <mergeCell ref="AB225:AB227"/>
    <mergeCell ref="AC225:AC227"/>
    <mergeCell ref="AD225:AD227"/>
    <mergeCell ref="M231:M232"/>
    <mergeCell ref="N231:N232"/>
    <mergeCell ref="O231:O232"/>
    <mergeCell ref="P231:P232"/>
    <mergeCell ref="Q231:Q232"/>
    <mergeCell ref="R231:R232"/>
    <mergeCell ref="G231:G232"/>
    <mergeCell ref="H231:H232"/>
    <mergeCell ref="I231:I232"/>
    <mergeCell ref="J231:J232"/>
    <mergeCell ref="K231:K232"/>
    <mergeCell ref="L231:L232"/>
    <mergeCell ref="AA231:AA232"/>
    <mergeCell ref="AB231:AB232"/>
    <mergeCell ref="AC231:AC232"/>
    <mergeCell ref="AD231:AD232"/>
    <mergeCell ref="AE231:AE232"/>
    <mergeCell ref="AF231:AF232"/>
    <mergeCell ref="S231:S232"/>
    <mergeCell ref="T231:T232"/>
    <mergeCell ref="U231:U232"/>
    <mergeCell ref="V231:V232"/>
    <mergeCell ref="Y231:Y232"/>
    <mergeCell ref="Z231:Z232"/>
    <mergeCell ref="AS231:AS232"/>
    <mergeCell ref="AM231:AM232"/>
    <mergeCell ref="AN231:AN232"/>
    <mergeCell ref="AO231:AO232"/>
    <mergeCell ref="AP231:AP232"/>
    <mergeCell ref="AQ231:AQ232"/>
    <mergeCell ref="AR231:AR232"/>
    <mergeCell ref="AG231:AG232"/>
    <mergeCell ref="AH231:AH232"/>
    <mergeCell ref="AI231:AI232"/>
    <mergeCell ref="AJ231:AJ232"/>
    <mergeCell ref="AK231:AK232"/>
    <mergeCell ref="AL231:AL232"/>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201"/>
  <sheetViews>
    <sheetView showGridLines="0" zoomScale="70" zoomScaleNormal="70" workbookViewId="0">
      <selection activeCell="A5" sqref="A5:O6"/>
    </sheetView>
  </sheetViews>
  <sheetFormatPr baseColWidth="10" defaultColWidth="9.140625" defaultRowHeight="27" customHeight="1" x14ac:dyDescent="0.25"/>
  <cols>
    <col min="1" max="1" width="13.5703125" style="132" customWidth="1"/>
    <col min="2" max="2" width="13.5703125" style="4" customWidth="1"/>
    <col min="3" max="4" width="14" style="4" customWidth="1"/>
    <col min="5" max="6" width="15.140625" style="4" customWidth="1"/>
    <col min="7" max="7" width="16.140625" style="4" customWidth="1"/>
    <col min="8" max="8" width="21.85546875" style="3" customWidth="1"/>
    <col min="9" max="9" width="20.42578125" style="3" customWidth="1"/>
    <col min="10" max="10" width="23.85546875" style="3" customWidth="1"/>
    <col min="11" max="11" width="17.28515625" style="3" customWidth="1"/>
    <col min="12" max="12" width="26.28515625" style="3" customWidth="1"/>
    <col min="13" max="13" width="23.85546875" style="3" customWidth="1"/>
    <col min="14" max="14" width="23.42578125" style="3" customWidth="1"/>
    <col min="15" max="15" width="23.85546875" style="3" customWidth="1"/>
    <col min="16" max="16" width="28.42578125" style="3" customWidth="1"/>
    <col min="17" max="17" width="30.85546875" style="3" customWidth="1"/>
    <col min="18" max="18" width="21.5703125" style="121" customWidth="1"/>
    <col min="19" max="19" width="29.28515625" style="128" customWidth="1"/>
    <col min="20" max="20" width="41" style="3" customWidth="1"/>
    <col min="21" max="21" width="37.28515625" style="3" customWidth="1"/>
    <col min="22" max="22" width="48.85546875" style="3" customWidth="1"/>
    <col min="23" max="23" width="31.7109375" style="128" customWidth="1"/>
    <col min="24" max="24" width="58.7109375" style="128" customWidth="1"/>
    <col min="25" max="25" width="16" style="124" customWidth="1"/>
    <col min="26" max="26" width="14" style="3" customWidth="1"/>
    <col min="27" max="41" width="11.42578125" style="4" customWidth="1"/>
    <col min="42" max="42" width="14" style="4" customWidth="1"/>
    <col min="43" max="43" width="22.5703125" style="134" customWidth="1"/>
    <col min="44" max="44" width="20.85546875" style="134" customWidth="1"/>
    <col min="45" max="45" width="26.85546875" style="4" customWidth="1"/>
    <col min="46" max="16384" width="9.140625" style="4"/>
  </cols>
  <sheetData>
    <row r="1" spans="1:65" ht="22.5" customHeight="1" x14ac:dyDescent="0.25">
      <c r="A1" s="3625" t="s">
        <v>691</v>
      </c>
      <c r="B1" s="3625"/>
      <c r="C1" s="3625"/>
      <c r="D1" s="3625"/>
      <c r="E1" s="3625"/>
      <c r="F1" s="3625"/>
      <c r="G1" s="3625"/>
      <c r="H1" s="3625"/>
      <c r="I1" s="3625"/>
      <c r="J1" s="3625"/>
      <c r="K1" s="3625"/>
      <c r="L1" s="3625"/>
      <c r="M1" s="3625"/>
      <c r="N1" s="3625"/>
      <c r="O1" s="3625"/>
      <c r="P1" s="3625"/>
      <c r="Q1" s="3625"/>
      <c r="R1" s="3625"/>
      <c r="S1" s="3625"/>
      <c r="T1" s="3625"/>
      <c r="U1" s="3625"/>
      <c r="V1" s="3625"/>
      <c r="W1" s="3625"/>
      <c r="X1" s="3625"/>
      <c r="Y1" s="3625"/>
      <c r="Z1" s="3625"/>
      <c r="AA1" s="3625"/>
      <c r="AB1" s="3625"/>
      <c r="AC1" s="3625"/>
      <c r="AD1" s="3625"/>
      <c r="AE1" s="3625"/>
      <c r="AF1" s="3625"/>
      <c r="AG1" s="3625"/>
      <c r="AH1" s="3625"/>
      <c r="AI1" s="3625"/>
      <c r="AJ1" s="3625"/>
      <c r="AK1" s="3625"/>
      <c r="AL1" s="3625"/>
      <c r="AM1" s="3625"/>
      <c r="AN1" s="3625"/>
      <c r="AO1" s="3625"/>
      <c r="AP1" s="3625"/>
      <c r="AQ1" s="3625"/>
      <c r="AR1" s="572" t="s">
        <v>1</v>
      </c>
      <c r="AS1" s="572" t="s">
        <v>2</v>
      </c>
      <c r="AT1" s="3"/>
      <c r="AU1" s="3"/>
      <c r="AV1" s="3"/>
      <c r="AW1" s="3"/>
      <c r="AX1" s="3"/>
      <c r="AY1" s="3"/>
      <c r="AZ1" s="3"/>
      <c r="BA1" s="3"/>
      <c r="BB1" s="3"/>
      <c r="BC1" s="3"/>
      <c r="BD1" s="3"/>
      <c r="BE1" s="3"/>
      <c r="BF1" s="3"/>
      <c r="BG1" s="3"/>
      <c r="BH1" s="3"/>
      <c r="BI1" s="3"/>
      <c r="BJ1" s="3"/>
      <c r="BK1" s="3"/>
      <c r="BL1" s="3"/>
      <c r="BM1" s="3"/>
    </row>
    <row r="2" spans="1:65" ht="27" customHeight="1" x14ac:dyDescent="0.25">
      <c r="A2" s="3626" t="s">
        <v>692</v>
      </c>
      <c r="B2" s="3627"/>
      <c r="C2" s="3627"/>
      <c r="D2" s="3627"/>
      <c r="E2" s="3627"/>
      <c r="F2" s="3627"/>
      <c r="G2" s="3627"/>
      <c r="H2" s="3627"/>
      <c r="I2" s="3627"/>
      <c r="J2" s="3627"/>
      <c r="K2" s="3627"/>
      <c r="L2" s="3627"/>
      <c r="M2" s="3627"/>
      <c r="N2" s="3627"/>
      <c r="O2" s="3627"/>
      <c r="P2" s="3627"/>
      <c r="Q2" s="3627"/>
      <c r="R2" s="3627"/>
      <c r="S2" s="3627"/>
      <c r="T2" s="3627"/>
      <c r="U2" s="3627"/>
      <c r="V2" s="3627"/>
      <c r="W2" s="3627"/>
      <c r="X2" s="3627"/>
      <c r="Y2" s="3627"/>
      <c r="Z2" s="3627"/>
      <c r="AA2" s="3627"/>
      <c r="AB2" s="3627"/>
      <c r="AC2" s="3627"/>
      <c r="AD2" s="3627"/>
      <c r="AE2" s="3627"/>
      <c r="AF2" s="3627"/>
      <c r="AG2" s="3627"/>
      <c r="AH2" s="3627"/>
      <c r="AI2" s="3627"/>
      <c r="AJ2" s="3627"/>
      <c r="AK2" s="3627"/>
      <c r="AL2" s="3627"/>
      <c r="AM2" s="3627"/>
      <c r="AN2" s="3627"/>
      <c r="AO2" s="3627"/>
      <c r="AP2" s="3627"/>
      <c r="AQ2" s="3628"/>
      <c r="AR2" s="572" t="s">
        <v>3</v>
      </c>
      <c r="AS2" s="657" t="s">
        <v>693</v>
      </c>
      <c r="AT2" s="3"/>
      <c r="AU2" s="3"/>
      <c r="AV2" s="3"/>
      <c r="AW2" s="3"/>
      <c r="AX2" s="3"/>
      <c r="AY2" s="3"/>
      <c r="AZ2" s="3"/>
      <c r="BA2" s="3"/>
      <c r="BB2" s="3"/>
      <c r="BC2" s="3"/>
      <c r="BD2" s="3"/>
      <c r="BE2" s="3"/>
      <c r="BF2" s="3"/>
      <c r="BG2" s="3"/>
      <c r="BH2" s="3"/>
      <c r="BI2" s="3"/>
      <c r="BJ2" s="3"/>
      <c r="BK2" s="3"/>
      <c r="BL2" s="3"/>
      <c r="BM2" s="3"/>
    </row>
    <row r="3" spans="1:65" ht="22.5" customHeight="1" x14ac:dyDescent="0.25">
      <c r="A3" s="3629"/>
      <c r="B3" s="3630"/>
      <c r="C3" s="3630"/>
      <c r="D3" s="3630"/>
      <c r="E3" s="3630"/>
      <c r="F3" s="3630"/>
      <c r="G3" s="3630"/>
      <c r="H3" s="3630"/>
      <c r="I3" s="3630"/>
      <c r="J3" s="3630"/>
      <c r="K3" s="3630"/>
      <c r="L3" s="3630"/>
      <c r="M3" s="3630"/>
      <c r="N3" s="3630"/>
      <c r="O3" s="3630"/>
      <c r="P3" s="3630"/>
      <c r="Q3" s="3630"/>
      <c r="R3" s="3630"/>
      <c r="S3" s="3630"/>
      <c r="T3" s="3630"/>
      <c r="U3" s="3630"/>
      <c r="V3" s="3630"/>
      <c r="W3" s="3630"/>
      <c r="X3" s="3630"/>
      <c r="Y3" s="3630"/>
      <c r="Z3" s="3630"/>
      <c r="AA3" s="3630"/>
      <c r="AB3" s="3630"/>
      <c r="AC3" s="3630"/>
      <c r="AD3" s="3630"/>
      <c r="AE3" s="3630"/>
      <c r="AF3" s="3630"/>
      <c r="AG3" s="3630"/>
      <c r="AH3" s="3630"/>
      <c r="AI3" s="3630"/>
      <c r="AJ3" s="3630"/>
      <c r="AK3" s="3630"/>
      <c r="AL3" s="3630"/>
      <c r="AM3" s="3630"/>
      <c r="AN3" s="3630"/>
      <c r="AO3" s="3630"/>
      <c r="AP3" s="3630"/>
      <c r="AQ3" s="3631"/>
      <c r="AR3" s="572" t="s">
        <v>4</v>
      </c>
      <c r="AS3" s="658">
        <v>44266</v>
      </c>
      <c r="AT3" s="3"/>
      <c r="AU3" s="3"/>
      <c r="AV3" s="3"/>
      <c r="AW3" s="3"/>
      <c r="AX3" s="3"/>
      <c r="AY3" s="3"/>
      <c r="AZ3" s="3"/>
      <c r="BA3" s="3"/>
      <c r="BB3" s="3"/>
      <c r="BC3" s="3"/>
      <c r="BD3" s="3"/>
      <c r="BE3" s="3"/>
      <c r="BF3" s="3"/>
      <c r="BG3" s="3"/>
      <c r="BH3" s="3"/>
      <c r="BI3" s="3"/>
      <c r="BJ3" s="3"/>
      <c r="BK3" s="3"/>
      <c r="BL3" s="3"/>
      <c r="BM3" s="3"/>
    </row>
    <row r="4" spans="1:65" ht="24.75" customHeight="1" x14ac:dyDescent="0.25">
      <c r="A4" s="3632"/>
      <c r="B4" s="3633"/>
      <c r="C4" s="3633"/>
      <c r="D4" s="3633"/>
      <c r="E4" s="3633"/>
      <c r="F4" s="3633"/>
      <c r="G4" s="3633"/>
      <c r="H4" s="3633"/>
      <c r="I4" s="3633"/>
      <c r="J4" s="3633"/>
      <c r="K4" s="3633"/>
      <c r="L4" s="3633"/>
      <c r="M4" s="3633"/>
      <c r="N4" s="3633"/>
      <c r="O4" s="3633"/>
      <c r="P4" s="3633"/>
      <c r="Q4" s="3633"/>
      <c r="R4" s="3633"/>
      <c r="S4" s="3633"/>
      <c r="T4" s="3633"/>
      <c r="U4" s="3633"/>
      <c r="V4" s="3633"/>
      <c r="W4" s="3633"/>
      <c r="X4" s="3633"/>
      <c r="Y4" s="3633"/>
      <c r="Z4" s="3633"/>
      <c r="AA4" s="3633"/>
      <c r="AB4" s="3633"/>
      <c r="AC4" s="3633"/>
      <c r="AD4" s="3633"/>
      <c r="AE4" s="3633"/>
      <c r="AF4" s="3633"/>
      <c r="AG4" s="3633"/>
      <c r="AH4" s="3633"/>
      <c r="AI4" s="3633"/>
      <c r="AJ4" s="3633"/>
      <c r="AK4" s="3633"/>
      <c r="AL4" s="3633"/>
      <c r="AM4" s="3633"/>
      <c r="AN4" s="3633"/>
      <c r="AO4" s="3633"/>
      <c r="AP4" s="3633"/>
      <c r="AQ4" s="3634"/>
      <c r="AR4" s="572" t="s">
        <v>5</v>
      </c>
      <c r="AS4" s="659" t="s">
        <v>120</v>
      </c>
      <c r="AT4" s="3"/>
      <c r="AU4" s="3"/>
      <c r="AV4" s="3"/>
      <c r="AW4" s="3"/>
      <c r="AX4" s="3"/>
      <c r="AY4" s="3"/>
      <c r="AZ4" s="3"/>
      <c r="BA4" s="3"/>
      <c r="BB4" s="3"/>
      <c r="BC4" s="3"/>
      <c r="BD4" s="3"/>
      <c r="BE4" s="3"/>
      <c r="BF4" s="3"/>
      <c r="BG4" s="3"/>
      <c r="BH4" s="3"/>
      <c r="BI4" s="3"/>
      <c r="BJ4" s="3"/>
      <c r="BK4" s="3"/>
      <c r="BL4" s="3"/>
      <c r="BM4" s="3"/>
    </row>
    <row r="5" spans="1:65" ht="22.5" customHeight="1" x14ac:dyDescent="0.25">
      <c r="A5" s="2240" t="s">
        <v>121</v>
      </c>
      <c r="B5" s="2241"/>
      <c r="C5" s="2241"/>
      <c r="D5" s="2241"/>
      <c r="E5" s="2241"/>
      <c r="F5" s="2241"/>
      <c r="G5" s="2241"/>
      <c r="H5" s="2241"/>
      <c r="I5" s="2241"/>
      <c r="J5" s="2241"/>
      <c r="K5" s="2241"/>
      <c r="L5" s="2241"/>
      <c r="M5" s="2241"/>
      <c r="N5" s="2241"/>
      <c r="O5" s="2241"/>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3"/>
      <c r="AU5" s="3"/>
      <c r="AV5" s="3"/>
      <c r="AW5" s="3"/>
      <c r="AX5" s="3"/>
      <c r="AY5" s="3"/>
      <c r="AZ5" s="3"/>
      <c r="BA5" s="3"/>
      <c r="BB5" s="3"/>
      <c r="BC5" s="3"/>
      <c r="BD5" s="3"/>
      <c r="BE5" s="3"/>
      <c r="BF5" s="3"/>
      <c r="BG5" s="3"/>
      <c r="BH5" s="3"/>
      <c r="BI5" s="3"/>
      <c r="BJ5" s="3"/>
      <c r="BK5" s="3"/>
      <c r="BL5" s="3"/>
      <c r="BM5" s="3"/>
    </row>
    <row r="6" spans="1:65" ht="18.75" customHeight="1" x14ac:dyDescent="0.25">
      <c r="A6" s="2243"/>
      <c r="B6" s="2238"/>
      <c r="C6" s="2238"/>
      <c r="D6" s="2238"/>
      <c r="E6" s="2238"/>
      <c r="F6" s="2238"/>
      <c r="G6" s="2238"/>
      <c r="H6" s="2238"/>
      <c r="I6" s="2238"/>
      <c r="J6" s="2238"/>
      <c r="K6" s="2238"/>
      <c r="L6" s="2238"/>
      <c r="M6" s="2238"/>
      <c r="N6" s="2238"/>
      <c r="O6" s="2238"/>
      <c r="P6" s="569"/>
      <c r="Q6" s="569"/>
      <c r="R6" s="569"/>
      <c r="S6" s="569"/>
      <c r="T6" s="569"/>
      <c r="U6" s="569"/>
      <c r="V6" s="569"/>
      <c r="W6" s="569"/>
      <c r="X6" s="570"/>
      <c r="Y6" s="570"/>
      <c r="Z6" s="570"/>
      <c r="AA6" s="2243" t="s">
        <v>8</v>
      </c>
      <c r="AB6" s="2238"/>
      <c r="AC6" s="2238"/>
      <c r="AD6" s="2238"/>
      <c r="AE6" s="2238"/>
      <c r="AF6" s="2238"/>
      <c r="AG6" s="2238"/>
      <c r="AH6" s="2238"/>
      <c r="AI6" s="2238"/>
      <c r="AJ6" s="2238"/>
      <c r="AK6" s="2238"/>
      <c r="AL6" s="2238"/>
      <c r="AM6" s="2238"/>
      <c r="AN6" s="2238"/>
      <c r="AO6" s="2239"/>
      <c r="AP6" s="570"/>
      <c r="AQ6" s="570"/>
      <c r="AR6" s="570"/>
      <c r="AS6" s="571"/>
      <c r="AT6" s="3"/>
      <c r="AU6" s="3"/>
      <c r="AV6" s="3"/>
      <c r="AW6" s="3"/>
      <c r="AX6" s="3"/>
      <c r="AY6" s="3"/>
      <c r="AZ6" s="3"/>
      <c r="BA6" s="3"/>
      <c r="BB6" s="3"/>
      <c r="BC6" s="3"/>
      <c r="BD6" s="3"/>
      <c r="BE6" s="3"/>
      <c r="BF6" s="3"/>
      <c r="BG6" s="3"/>
      <c r="BH6" s="3"/>
      <c r="BI6" s="3"/>
      <c r="BJ6" s="3"/>
      <c r="BK6" s="3"/>
      <c r="BL6" s="3"/>
      <c r="BM6" s="3"/>
    </row>
    <row r="7" spans="1:65" ht="28.5" customHeight="1" x14ac:dyDescent="0.25">
      <c r="A7" s="2958" t="s">
        <v>9</v>
      </c>
      <c r="B7" s="2959"/>
      <c r="C7" s="2353" t="s">
        <v>10</v>
      </c>
      <c r="D7" s="2958"/>
      <c r="E7" s="2958" t="s">
        <v>11</v>
      </c>
      <c r="F7" s="2959"/>
      <c r="G7" s="2962" t="s">
        <v>12</v>
      </c>
      <c r="H7" s="2958"/>
      <c r="I7" s="2958"/>
      <c r="J7" s="2958"/>
      <c r="K7" s="2353" t="s">
        <v>13</v>
      </c>
      <c r="L7" s="2958"/>
      <c r="M7" s="2958"/>
      <c r="N7" s="2958"/>
      <c r="O7" s="3144" t="s">
        <v>694</v>
      </c>
      <c r="P7" s="3145"/>
      <c r="Q7" s="3145"/>
      <c r="R7" s="3145"/>
      <c r="S7" s="3145"/>
      <c r="T7" s="3145"/>
      <c r="U7" s="3145"/>
      <c r="V7" s="3145"/>
      <c r="W7" s="3145"/>
      <c r="X7" s="3138" t="s">
        <v>15</v>
      </c>
      <c r="Y7" s="3138"/>
      <c r="Z7" s="3139"/>
      <c r="AA7" s="2213" t="s">
        <v>16</v>
      </c>
      <c r="AB7" s="2214"/>
      <c r="AC7" s="2215" t="s">
        <v>17</v>
      </c>
      <c r="AD7" s="2216"/>
      <c r="AE7" s="2216"/>
      <c r="AF7" s="2216"/>
      <c r="AG7" s="2359" t="s">
        <v>18</v>
      </c>
      <c r="AH7" s="2360"/>
      <c r="AI7" s="2360"/>
      <c r="AJ7" s="2360"/>
      <c r="AK7" s="2360"/>
      <c r="AL7" s="2360"/>
      <c r="AM7" s="2361" t="s">
        <v>19</v>
      </c>
      <c r="AN7" s="2362"/>
      <c r="AO7" s="2362"/>
      <c r="AP7" s="2354" t="s">
        <v>20</v>
      </c>
      <c r="AQ7" s="3636" t="s">
        <v>695</v>
      </c>
      <c r="AR7" s="3637" t="s">
        <v>696</v>
      </c>
      <c r="AS7" s="2357" t="s">
        <v>23</v>
      </c>
      <c r="AT7" s="3"/>
      <c r="AU7" s="3"/>
      <c r="AV7" s="3"/>
      <c r="AW7" s="3"/>
      <c r="AX7" s="3"/>
      <c r="AY7" s="3"/>
      <c r="AZ7" s="3"/>
      <c r="BA7" s="3"/>
      <c r="BB7" s="3"/>
      <c r="BC7" s="3"/>
      <c r="BD7" s="3"/>
      <c r="BE7" s="3"/>
      <c r="BF7" s="3"/>
      <c r="BG7" s="3"/>
      <c r="BH7" s="3"/>
      <c r="BI7" s="3"/>
      <c r="BJ7" s="3"/>
      <c r="BK7" s="3"/>
      <c r="BL7" s="3"/>
      <c r="BM7" s="3"/>
    </row>
    <row r="8" spans="1:65" ht="138.75" customHeight="1" x14ac:dyDescent="0.25">
      <c r="A8" s="3639" t="s">
        <v>24</v>
      </c>
      <c r="B8" s="3616" t="s">
        <v>697</v>
      </c>
      <c r="C8" s="3616" t="s">
        <v>24</v>
      </c>
      <c r="D8" s="3616" t="s">
        <v>25</v>
      </c>
      <c r="E8" s="3616" t="s">
        <v>24</v>
      </c>
      <c r="F8" s="3616" t="s">
        <v>697</v>
      </c>
      <c r="G8" s="3616" t="s">
        <v>26</v>
      </c>
      <c r="H8" s="3616" t="s">
        <v>27</v>
      </c>
      <c r="I8" s="3616" t="s">
        <v>28</v>
      </c>
      <c r="J8" s="3616" t="s">
        <v>122</v>
      </c>
      <c r="K8" s="3616" t="s">
        <v>26</v>
      </c>
      <c r="L8" s="3616" t="s">
        <v>30</v>
      </c>
      <c r="M8" s="3616" t="s">
        <v>31</v>
      </c>
      <c r="N8" s="3616" t="s">
        <v>32</v>
      </c>
      <c r="O8" s="3624" t="s">
        <v>698</v>
      </c>
      <c r="P8" s="3623" t="s">
        <v>34</v>
      </c>
      <c r="Q8" s="3623" t="s">
        <v>35</v>
      </c>
      <c r="R8" s="3623" t="s">
        <v>699</v>
      </c>
      <c r="S8" s="3623" t="s">
        <v>700</v>
      </c>
      <c r="T8" s="3623" t="s">
        <v>38</v>
      </c>
      <c r="U8" s="3623" t="s">
        <v>39</v>
      </c>
      <c r="V8" s="3616" t="s">
        <v>40</v>
      </c>
      <c r="W8" s="660" t="s">
        <v>701</v>
      </c>
      <c r="X8" s="3616" t="s">
        <v>702</v>
      </c>
      <c r="Y8" s="3616" t="s">
        <v>24</v>
      </c>
      <c r="Z8" s="3616" t="s">
        <v>25</v>
      </c>
      <c r="AA8" s="19" t="s">
        <v>44</v>
      </c>
      <c r="AB8" s="20" t="s">
        <v>45</v>
      </c>
      <c r="AC8" s="19" t="s">
        <v>46</v>
      </c>
      <c r="AD8" s="19" t="s">
        <v>703</v>
      </c>
      <c r="AE8" s="19" t="s">
        <v>48</v>
      </c>
      <c r="AF8" s="19" t="s">
        <v>49</v>
      </c>
      <c r="AG8" s="19" t="s">
        <v>50</v>
      </c>
      <c r="AH8" s="19" t="s">
        <v>51</v>
      </c>
      <c r="AI8" s="19" t="s">
        <v>52</v>
      </c>
      <c r="AJ8" s="19" t="s">
        <v>53</v>
      </c>
      <c r="AK8" s="19" t="s">
        <v>54</v>
      </c>
      <c r="AL8" s="19" t="s">
        <v>55</v>
      </c>
      <c r="AM8" s="19" t="s">
        <v>56</v>
      </c>
      <c r="AN8" s="19" t="s">
        <v>57</v>
      </c>
      <c r="AO8" s="142" t="s">
        <v>58</v>
      </c>
      <c r="AP8" s="3635"/>
      <c r="AQ8" s="3636"/>
      <c r="AR8" s="3638"/>
      <c r="AS8" s="2358"/>
      <c r="AT8" s="3"/>
      <c r="AU8" s="3"/>
      <c r="AV8" s="3"/>
      <c r="AW8" s="3"/>
      <c r="AX8" s="3"/>
      <c r="AY8" s="3"/>
      <c r="AZ8" s="3"/>
      <c r="BA8" s="3"/>
      <c r="BB8" s="3"/>
      <c r="BC8" s="3"/>
      <c r="BD8" s="3"/>
      <c r="BE8" s="3"/>
      <c r="BF8" s="3"/>
      <c r="BG8" s="3"/>
      <c r="BH8" s="3"/>
      <c r="BI8" s="3"/>
      <c r="BJ8" s="3"/>
      <c r="BK8" s="3"/>
      <c r="BL8" s="3"/>
      <c r="BM8" s="3"/>
    </row>
    <row r="9" spans="1:65" ht="39" customHeight="1" x14ac:dyDescent="0.25">
      <c r="A9" s="3640"/>
      <c r="B9" s="3617"/>
      <c r="C9" s="3617"/>
      <c r="D9" s="3617"/>
      <c r="E9" s="3617"/>
      <c r="F9" s="3617"/>
      <c r="G9" s="3617"/>
      <c r="H9" s="3617"/>
      <c r="I9" s="3617"/>
      <c r="J9" s="3617"/>
      <c r="K9" s="3617"/>
      <c r="L9" s="3617"/>
      <c r="M9" s="3617"/>
      <c r="N9" s="3617"/>
      <c r="O9" s="3617"/>
      <c r="P9" s="3617"/>
      <c r="Q9" s="3617"/>
      <c r="R9" s="3617"/>
      <c r="S9" s="3617"/>
      <c r="T9" s="3617"/>
      <c r="U9" s="3617"/>
      <c r="V9" s="3617"/>
      <c r="W9" s="661" t="s">
        <v>704</v>
      </c>
      <c r="X9" s="3617"/>
      <c r="Y9" s="3617"/>
      <c r="Z9" s="3617"/>
      <c r="AA9" s="661" t="s">
        <v>705</v>
      </c>
      <c r="AB9" s="662" t="s">
        <v>705</v>
      </c>
      <c r="AC9" s="662" t="s">
        <v>705</v>
      </c>
      <c r="AD9" s="662" t="s">
        <v>705</v>
      </c>
      <c r="AE9" s="662" t="s">
        <v>705</v>
      </c>
      <c r="AF9" s="662" t="s">
        <v>705</v>
      </c>
      <c r="AG9" s="662" t="s">
        <v>705</v>
      </c>
      <c r="AH9" s="662" t="s">
        <v>705</v>
      </c>
      <c r="AI9" s="662" t="s">
        <v>705</v>
      </c>
      <c r="AJ9" s="662" t="s">
        <v>705</v>
      </c>
      <c r="AK9" s="662" t="s">
        <v>705</v>
      </c>
      <c r="AL9" s="662" t="s">
        <v>705</v>
      </c>
      <c r="AM9" s="662" t="s">
        <v>705</v>
      </c>
      <c r="AN9" s="662" t="s">
        <v>705</v>
      </c>
      <c r="AO9" s="662" t="s">
        <v>705</v>
      </c>
      <c r="AP9" s="662" t="s">
        <v>705</v>
      </c>
      <c r="AQ9" s="663" t="s">
        <v>705</v>
      </c>
      <c r="AR9" s="664" t="s">
        <v>705</v>
      </c>
      <c r="AS9" s="3282"/>
      <c r="AT9" s="3"/>
      <c r="AU9" s="3"/>
      <c r="AV9" s="3"/>
      <c r="AW9" s="3"/>
      <c r="AX9" s="3"/>
      <c r="AY9" s="3"/>
      <c r="AZ9" s="3"/>
      <c r="BA9" s="3"/>
      <c r="BB9" s="3"/>
      <c r="BC9" s="3"/>
      <c r="BD9" s="3"/>
      <c r="BE9" s="3"/>
      <c r="BF9" s="3"/>
      <c r="BG9" s="3"/>
      <c r="BH9" s="3"/>
      <c r="BI9" s="3"/>
      <c r="BJ9" s="3"/>
      <c r="BK9" s="3"/>
      <c r="BL9" s="3"/>
      <c r="BM9" s="3"/>
    </row>
    <row r="10" spans="1:65" ht="27" customHeight="1" x14ac:dyDescent="0.25">
      <c r="A10" s="456">
        <v>1</v>
      </c>
      <c r="B10" s="3618" t="s">
        <v>706</v>
      </c>
      <c r="C10" s="3148"/>
      <c r="D10" s="3148"/>
      <c r="E10" s="3148"/>
      <c r="F10" s="3148"/>
      <c r="G10" s="3148"/>
      <c r="H10" s="665"/>
      <c r="I10" s="665"/>
      <c r="J10" s="665"/>
      <c r="K10" s="665"/>
      <c r="L10" s="665"/>
      <c r="M10" s="665"/>
      <c r="N10" s="665"/>
      <c r="O10" s="665"/>
      <c r="P10" s="665"/>
      <c r="Q10" s="665"/>
      <c r="R10" s="666"/>
      <c r="S10" s="667"/>
      <c r="T10" s="665"/>
      <c r="U10" s="665"/>
      <c r="V10" s="665"/>
      <c r="W10" s="667"/>
      <c r="X10" s="665"/>
      <c r="Y10" s="668"/>
      <c r="Z10" s="665"/>
      <c r="AA10" s="665"/>
      <c r="AB10" s="665"/>
      <c r="AC10" s="665"/>
      <c r="AD10" s="665"/>
      <c r="AE10" s="665"/>
      <c r="AF10" s="665"/>
      <c r="AG10" s="665"/>
      <c r="AH10" s="665"/>
      <c r="AI10" s="665"/>
      <c r="AJ10" s="665"/>
      <c r="AK10" s="665"/>
      <c r="AL10" s="665"/>
      <c r="AM10" s="665"/>
      <c r="AN10" s="665"/>
      <c r="AO10" s="665"/>
      <c r="AP10" s="665"/>
      <c r="AQ10" s="669"/>
      <c r="AR10" s="669"/>
      <c r="AS10" s="670"/>
      <c r="AT10" s="3"/>
      <c r="AU10" s="3"/>
      <c r="AV10" s="3"/>
      <c r="AW10" s="3"/>
      <c r="AX10" s="3"/>
      <c r="AY10" s="3"/>
      <c r="AZ10" s="3"/>
      <c r="BA10" s="3"/>
      <c r="BB10" s="3"/>
      <c r="BC10" s="3"/>
      <c r="BD10" s="3"/>
      <c r="BE10" s="3"/>
      <c r="BF10" s="3"/>
      <c r="BG10" s="3"/>
      <c r="BH10" s="3"/>
      <c r="BI10" s="3"/>
      <c r="BJ10" s="3"/>
      <c r="BK10" s="3"/>
      <c r="BL10" s="3"/>
      <c r="BM10" s="3"/>
    </row>
    <row r="11" spans="1:65" s="74" customFormat="1" ht="27" customHeight="1" x14ac:dyDescent="0.25">
      <c r="A11" s="601"/>
      <c r="B11" s="602"/>
      <c r="C11" s="36">
        <v>19</v>
      </c>
      <c r="D11" s="3609" t="s">
        <v>408</v>
      </c>
      <c r="E11" s="2531"/>
      <c r="F11" s="2531"/>
      <c r="G11" s="2531"/>
      <c r="H11" s="2531"/>
      <c r="I11" s="2531"/>
      <c r="J11" s="38"/>
      <c r="K11" s="38"/>
      <c r="L11" s="38"/>
      <c r="M11" s="671"/>
      <c r="N11" s="671"/>
      <c r="O11" s="671"/>
      <c r="P11" s="671"/>
      <c r="Q11" s="671"/>
      <c r="R11" s="672"/>
      <c r="S11" s="673"/>
      <c r="T11" s="671"/>
      <c r="U11" s="671"/>
      <c r="V11" s="671"/>
      <c r="W11" s="673"/>
      <c r="X11" s="671"/>
      <c r="Y11" s="674"/>
      <c r="Z11" s="671"/>
      <c r="AA11" s="671"/>
      <c r="AB11" s="671"/>
      <c r="AC11" s="671"/>
      <c r="AD11" s="671"/>
      <c r="AE11" s="671"/>
      <c r="AF11" s="671"/>
      <c r="AG11" s="671"/>
      <c r="AH11" s="671"/>
      <c r="AI11" s="671"/>
      <c r="AJ11" s="671"/>
      <c r="AK11" s="671"/>
      <c r="AL11" s="671"/>
      <c r="AM11" s="671"/>
      <c r="AN11" s="671"/>
      <c r="AO11" s="671"/>
      <c r="AP11" s="671"/>
      <c r="AQ11" s="675"/>
      <c r="AR11" s="675"/>
      <c r="AS11" s="676"/>
    </row>
    <row r="12" spans="1:65" s="3" customFormat="1" ht="15.75" x14ac:dyDescent="0.25">
      <c r="A12" s="2438"/>
      <c r="B12" s="2439"/>
      <c r="C12" s="583"/>
      <c r="D12" s="586"/>
      <c r="E12" s="677">
        <v>1905</v>
      </c>
      <c r="F12" s="3619" t="s">
        <v>707</v>
      </c>
      <c r="G12" s="3620"/>
      <c r="H12" s="3620"/>
      <c r="I12" s="3620"/>
      <c r="J12" s="3621"/>
      <c r="K12" s="3621"/>
      <c r="L12" s="3621"/>
      <c r="M12" s="549"/>
      <c r="N12" s="549"/>
      <c r="O12" s="549"/>
      <c r="P12" s="549"/>
      <c r="Q12" s="549"/>
      <c r="R12" s="678"/>
      <c r="S12" s="679"/>
      <c r="T12" s="549"/>
      <c r="U12" s="549"/>
      <c r="V12" s="680"/>
      <c r="W12" s="681"/>
      <c r="X12" s="549"/>
      <c r="Y12" s="682"/>
      <c r="Z12" s="549"/>
      <c r="AA12" s="549"/>
      <c r="AB12" s="549"/>
      <c r="AC12" s="549"/>
      <c r="AD12" s="549"/>
      <c r="AE12" s="549"/>
      <c r="AF12" s="549"/>
      <c r="AG12" s="549"/>
      <c r="AH12" s="549"/>
      <c r="AI12" s="549"/>
      <c r="AJ12" s="549"/>
      <c r="AK12" s="549"/>
      <c r="AL12" s="549"/>
      <c r="AM12" s="549"/>
      <c r="AN12" s="549"/>
      <c r="AO12" s="549"/>
      <c r="AP12" s="549"/>
      <c r="AQ12" s="683"/>
      <c r="AR12" s="683"/>
      <c r="AS12" s="684"/>
    </row>
    <row r="13" spans="1:65" s="74" customFormat="1" ht="65.25" customHeight="1" x14ac:dyDescent="0.25">
      <c r="A13" s="2438"/>
      <c r="B13" s="2439"/>
      <c r="C13" s="579"/>
      <c r="D13" s="580"/>
      <c r="E13" s="3622"/>
      <c r="F13" s="3622"/>
      <c r="G13" s="3492">
        <v>1905021</v>
      </c>
      <c r="H13" s="3355" t="s">
        <v>708</v>
      </c>
      <c r="I13" s="3492">
        <v>1905021</v>
      </c>
      <c r="J13" s="3355" t="s">
        <v>708</v>
      </c>
      <c r="K13" s="3492">
        <v>190502100</v>
      </c>
      <c r="L13" s="3355" t="s">
        <v>709</v>
      </c>
      <c r="M13" s="3492">
        <v>190502100</v>
      </c>
      <c r="N13" s="3355" t="s">
        <v>709</v>
      </c>
      <c r="O13" s="3492">
        <v>12</v>
      </c>
      <c r="P13" s="3492" t="s">
        <v>710</v>
      </c>
      <c r="Q13" s="3355" t="s">
        <v>711</v>
      </c>
      <c r="R13" s="3495">
        <f>SUM(W13:W15)/S13</f>
        <v>0.67874117647058818</v>
      </c>
      <c r="S13" s="2630">
        <f>SUM(W13:W21)</f>
        <v>170000000</v>
      </c>
      <c r="T13" s="2993" t="s">
        <v>712</v>
      </c>
      <c r="U13" s="3107" t="s">
        <v>713</v>
      </c>
      <c r="V13" s="685" t="s">
        <v>714</v>
      </c>
      <c r="W13" s="686">
        <v>80386000</v>
      </c>
      <c r="X13" s="287" t="s">
        <v>715</v>
      </c>
      <c r="Y13" s="3490">
        <v>20</v>
      </c>
      <c r="Z13" s="3187" t="s">
        <v>403</v>
      </c>
      <c r="AA13" s="2150">
        <v>2360</v>
      </c>
      <c r="AB13" s="3567">
        <v>2360</v>
      </c>
      <c r="AC13" s="3496">
        <v>480</v>
      </c>
      <c r="AD13" s="3484">
        <v>1400</v>
      </c>
      <c r="AE13" s="3496">
        <v>1440</v>
      </c>
      <c r="AF13" s="3484">
        <v>1200</v>
      </c>
      <c r="AG13" s="3496">
        <v>50</v>
      </c>
      <c r="AH13" s="3484">
        <v>50</v>
      </c>
      <c r="AI13" s="3496" t="s">
        <v>134</v>
      </c>
      <c r="AJ13" s="3484" t="s">
        <v>134</v>
      </c>
      <c r="AK13" s="3496" t="s">
        <v>134</v>
      </c>
      <c r="AL13" s="3484" t="s">
        <v>134</v>
      </c>
      <c r="AM13" s="3496">
        <v>50</v>
      </c>
      <c r="AN13" s="3484">
        <v>50</v>
      </c>
      <c r="AO13" s="3496" t="s">
        <v>134</v>
      </c>
      <c r="AP13" s="3226">
        <f>SUM(AA13+AB13)</f>
        <v>4720</v>
      </c>
      <c r="AQ13" s="2425">
        <v>44197</v>
      </c>
      <c r="AR13" s="3612">
        <v>44561</v>
      </c>
      <c r="AS13" s="3613" t="s">
        <v>716</v>
      </c>
    </row>
    <row r="14" spans="1:65" s="74" customFormat="1" ht="65.25" customHeight="1" x14ac:dyDescent="0.25">
      <c r="A14" s="2438"/>
      <c r="B14" s="2439"/>
      <c r="C14" s="579"/>
      <c r="D14" s="580"/>
      <c r="E14" s="3622"/>
      <c r="F14" s="3622"/>
      <c r="G14" s="3492"/>
      <c r="H14" s="3355"/>
      <c r="I14" s="3492"/>
      <c r="J14" s="3355"/>
      <c r="K14" s="3492"/>
      <c r="L14" s="3355"/>
      <c r="M14" s="3492"/>
      <c r="N14" s="3355"/>
      <c r="O14" s="3492"/>
      <c r="P14" s="3492"/>
      <c r="Q14" s="3355"/>
      <c r="R14" s="3495"/>
      <c r="S14" s="2630"/>
      <c r="T14" s="2993"/>
      <c r="U14" s="3107"/>
      <c r="V14" s="685" t="s">
        <v>717</v>
      </c>
      <c r="W14" s="686">
        <v>24345000</v>
      </c>
      <c r="X14" s="287" t="s">
        <v>715</v>
      </c>
      <c r="Y14" s="3490"/>
      <c r="Z14" s="3187"/>
      <c r="AA14" s="2150"/>
      <c r="AB14" s="3567"/>
      <c r="AC14" s="3496"/>
      <c r="AD14" s="3484"/>
      <c r="AE14" s="3496"/>
      <c r="AF14" s="3484"/>
      <c r="AG14" s="3496"/>
      <c r="AH14" s="3484"/>
      <c r="AI14" s="3496"/>
      <c r="AJ14" s="3484"/>
      <c r="AK14" s="3496"/>
      <c r="AL14" s="3484"/>
      <c r="AM14" s="3496"/>
      <c r="AN14" s="3484"/>
      <c r="AO14" s="3496"/>
      <c r="AP14" s="3226"/>
      <c r="AQ14" s="2425"/>
      <c r="AR14" s="3612"/>
      <c r="AS14" s="3613"/>
    </row>
    <row r="15" spans="1:65" s="74" customFormat="1" ht="65.25" customHeight="1" x14ac:dyDescent="0.25">
      <c r="A15" s="2438"/>
      <c r="B15" s="2439"/>
      <c r="C15" s="579"/>
      <c r="D15" s="580"/>
      <c r="E15" s="3622"/>
      <c r="F15" s="3622"/>
      <c r="G15" s="3492"/>
      <c r="H15" s="3355"/>
      <c r="I15" s="3492"/>
      <c r="J15" s="3355"/>
      <c r="K15" s="3492"/>
      <c r="L15" s="3355"/>
      <c r="M15" s="3492"/>
      <c r="N15" s="3355"/>
      <c r="O15" s="3492"/>
      <c r="P15" s="3492"/>
      <c r="Q15" s="3355"/>
      <c r="R15" s="3495"/>
      <c r="S15" s="2630"/>
      <c r="T15" s="2993"/>
      <c r="U15" s="3107"/>
      <c r="V15" s="685" t="s">
        <v>718</v>
      </c>
      <c r="W15" s="686">
        <v>10655000</v>
      </c>
      <c r="X15" s="287" t="s">
        <v>715</v>
      </c>
      <c r="Y15" s="3490"/>
      <c r="Z15" s="3187"/>
      <c r="AA15" s="2150"/>
      <c r="AB15" s="3567"/>
      <c r="AC15" s="3496"/>
      <c r="AD15" s="3484"/>
      <c r="AE15" s="3496"/>
      <c r="AF15" s="3484"/>
      <c r="AG15" s="3496"/>
      <c r="AH15" s="3484"/>
      <c r="AI15" s="3496"/>
      <c r="AJ15" s="3484"/>
      <c r="AK15" s="3496"/>
      <c r="AL15" s="3484"/>
      <c r="AM15" s="3496"/>
      <c r="AN15" s="3484"/>
      <c r="AO15" s="3496"/>
      <c r="AP15" s="3226"/>
      <c r="AQ15" s="2425"/>
      <c r="AR15" s="3612"/>
      <c r="AS15" s="3613"/>
    </row>
    <row r="16" spans="1:65" s="74" customFormat="1" ht="65.25" customHeight="1" x14ac:dyDescent="0.25">
      <c r="A16" s="2438"/>
      <c r="B16" s="2439"/>
      <c r="C16" s="579"/>
      <c r="D16" s="580"/>
      <c r="E16" s="498"/>
      <c r="F16" s="498"/>
      <c r="G16" s="3492">
        <v>1905022</v>
      </c>
      <c r="H16" s="3355" t="s">
        <v>719</v>
      </c>
      <c r="I16" s="3492">
        <v>1905022</v>
      </c>
      <c r="J16" s="3355" t="s">
        <v>719</v>
      </c>
      <c r="K16" s="3492">
        <v>190502200</v>
      </c>
      <c r="L16" s="3355" t="s">
        <v>720</v>
      </c>
      <c r="M16" s="3492">
        <v>190502200</v>
      </c>
      <c r="N16" s="3355" t="s">
        <v>720</v>
      </c>
      <c r="O16" s="3492">
        <v>12</v>
      </c>
      <c r="P16" s="3492"/>
      <c r="Q16" s="3355"/>
      <c r="R16" s="3615">
        <f>SUM(W16:W21)/S13</f>
        <v>0.32125882352941176</v>
      </c>
      <c r="S16" s="2630"/>
      <c r="T16" s="2993"/>
      <c r="U16" s="3107"/>
      <c r="V16" s="689" t="s">
        <v>721</v>
      </c>
      <c r="W16" s="686">
        <v>22540000</v>
      </c>
      <c r="X16" s="287" t="s">
        <v>722</v>
      </c>
      <c r="Y16" s="3490"/>
      <c r="Z16" s="3187"/>
      <c r="AA16" s="2150"/>
      <c r="AB16" s="3567"/>
      <c r="AC16" s="3496"/>
      <c r="AD16" s="3484"/>
      <c r="AE16" s="3496"/>
      <c r="AF16" s="3484"/>
      <c r="AG16" s="3496"/>
      <c r="AH16" s="3484"/>
      <c r="AI16" s="3496"/>
      <c r="AJ16" s="3484"/>
      <c r="AK16" s="3496"/>
      <c r="AL16" s="3484"/>
      <c r="AM16" s="3496"/>
      <c r="AN16" s="3484"/>
      <c r="AO16" s="3496"/>
      <c r="AP16" s="3226"/>
      <c r="AQ16" s="2425"/>
      <c r="AR16" s="3612"/>
      <c r="AS16" s="3613"/>
    </row>
    <row r="17" spans="1:45" s="74" customFormat="1" ht="65.25" customHeight="1" x14ac:dyDescent="0.25">
      <c r="A17" s="2438"/>
      <c r="B17" s="2439"/>
      <c r="C17" s="579"/>
      <c r="D17" s="580"/>
      <c r="E17" s="498"/>
      <c r="F17" s="498"/>
      <c r="G17" s="3492"/>
      <c r="H17" s="3355"/>
      <c r="I17" s="3492"/>
      <c r="J17" s="3355"/>
      <c r="K17" s="3492"/>
      <c r="L17" s="3355"/>
      <c r="M17" s="3492"/>
      <c r="N17" s="3355"/>
      <c r="O17" s="3492"/>
      <c r="P17" s="3492"/>
      <c r="Q17" s="3355"/>
      <c r="R17" s="3615"/>
      <c r="S17" s="2630"/>
      <c r="T17" s="2993"/>
      <c r="U17" s="3107"/>
      <c r="V17" s="689" t="s">
        <v>723</v>
      </c>
      <c r="W17" s="686">
        <v>17774000</v>
      </c>
      <c r="X17" s="287" t="s">
        <v>722</v>
      </c>
      <c r="Y17" s="3490"/>
      <c r="Z17" s="3187"/>
      <c r="AA17" s="2150"/>
      <c r="AB17" s="3567"/>
      <c r="AC17" s="3496"/>
      <c r="AD17" s="3484"/>
      <c r="AE17" s="3496"/>
      <c r="AF17" s="3484"/>
      <c r="AG17" s="3496"/>
      <c r="AH17" s="3484"/>
      <c r="AI17" s="3496"/>
      <c r="AJ17" s="3484"/>
      <c r="AK17" s="3496"/>
      <c r="AL17" s="3484"/>
      <c r="AM17" s="3496"/>
      <c r="AN17" s="3484"/>
      <c r="AO17" s="3496"/>
      <c r="AP17" s="3226"/>
      <c r="AQ17" s="2425"/>
      <c r="AR17" s="3612"/>
      <c r="AS17" s="3613"/>
    </row>
    <row r="18" spans="1:45" s="74" customFormat="1" ht="65.25" customHeight="1" x14ac:dyDescent="0.25">
      <c r="A18" s="2438"/>
      <c r="B18" s="2439"/>
      <c r="C18" s="579"/>
      <c r="D18" s="580"/>
      <c r="E18" s="498"/>
      <c r="F18" s="498"/>
      <c r="G18" s="3492"/>
      <c r="H18" s="3355"/>
      <c r="I18" s="3492"/>
      <c r="J18" s="3355"/>
      <c r="K18" s="3492"/>
      <c r="L18" s="3355"/>
      <c r="M18" s="3492"/>
      <c r="N18" s="3355"/>
      <c r="O18" s="3492"/>
      <c r="P18" s="3492"/>
      <c r="Q18" s="3355"/>
      <c r="R18" s="3615"/>
      <c r="S18" s="2630"/>
      <c r="T18" s="2993"/>
      <c r="U18" s="3107"/>
      <c r="V18" s="690" t="s">
        <v>724</v>
      </c>
      <c r="W18" s="691">
        <v>9300000</v>
      </c>
      <c r="X18" s="289" t="s">
        <v>725</v>
      </c>
      <c r="Y18" s="3490"/>
      <c r="Z18" s="3187"/>
      <c r="AA18" s="2150"/>
      <c r="AB18" s="3567"/>
      <c r="AC18" s="3496"/>
      <c r="AD18" s="3484"/>
      <c r="AE18" s="3496"/>
      <c r="AF18" s="3484"/>
      <c r="AG18" s="3496"/>
      <c r="AH18" s="3484"/>
      <c r="AI18" s="3496"/>
      <c r="AJ18" s="3484"/>
      <c r="AK18" s="3496"/>
      <c r="AL18" s="3484"/>
      <c r="AM18" s="3496"/>
      <c r="AN18" s="3484"/>
      <c r="AO18" s="3496"/>
      <c r="AP18" s="3226"/>
      <c r="AQ18" s="2425"/>
      <c r="AR18" s="3612"/>
      <c r="AS18" s="3613"/>
    </row>
    <row r="19" spans="1:45" s="74" customFormat="1" ht="49.5" customHeight="1" x14ac:dyDescent="0.25">
      <c r="A19" s="2438"/>
      <c r="B19" s="2439"/>
      <c r="C19" s="579"/>
      <c r="D19" s="580"/>
      <c r="E19" s="498"/>
      <c r="F19" s="498"/>
      <c r="G19" s="3492"/>
      <c r="H19" s="3355"/>
      <c r="I19" s="3492"/>
      <c r="J19" s="3355"/>
      <c r="K19" s="3492"/>
      <c r="L19" s="3355"/>
      <c r="M19" s="3492"/>
      <c r="N19" s="3355"/>
      <c r="O19" s="3492"/>
      <c r="P19" s="3492"/>
      <c r="Q19" s="3355"/>
      <c r="R19" s="3615"/>
      <c r="S19" s="2630"/>
      <c r="T19" s="2993"/>
      <c r="U19" s="3614"/>
      <c r="V19" s="692" t="s">
        <v>726</v>
      </c>
      <c r="W19" s="693">
        <v>0</v>
      </c>
      <c r="X19" s="565" t="s">
        <v>727</v>
      </c>
      <c r="Y19" s="3490"/>
      <c r="Z19" s="3187"/>
      <c r="AA19" s="2150"/>
      <c r="AB19" s="3567"/>
      <c r="AC19" s="3496"/>
      <c r="AD19" s="3484"/>
      <c r="AE19" s="3496"/>
      <c r="AF19" s="3484"/>
      <c r="AG19" s="3496"/>
      <c r="AH19" s="3484"/>
      <c r="AI19" s="3496"/>
      <c r="AJ19" s="3484"/>
      <c r="AK19" s="3496"/>
      <c r="AL19" s="3484"/>
      <c r="AM19" s="3496"/>
      <c r="AN19" s="3484"/>
      <c r="AO19" s="3496"/>
      <c r="AP19" s="3226"/>
      <c r="AQ19" s="2425"/>
      <c r="AR19" s="3612"/>
      <c r="AS19" s="3613"/>
    </row>
    <row r="20" spans="1:45" s="74" customFormat="1" ht="39" customHeight="1" x14ac:dyDescent="0.25">
      <c r="A20" s="2438"/>
      <c r="B20" s="2439"/>
      <c r="C20" s="579"/>
      <c r="D20" s="580"/>
      <c r="E20" s="498"/>
      <c r="F20" s="498"/>
      <c r="G20" s="3492"/>
      <c r="H20" s="3355"/>
      <c r="I20" s="3492"/>
      <c r="J20" s="3355"/>
      <c r="K20" s="3492"/>
      <c r="L20" s="3355"/>
      <c r="M20" s="3492"/>
      <c r="N20" s="3355"/>
      <c r="O20" s="3492"/>
      <c r="P20" s="3492"/>
      <c r="Q20" s="3355"/>
      <c r="R20" s="3615"/>
      <c r="S20" s="2630"/>
      <c r="T20" s="2993"/>
      <c r="U20" s="3614"/>
      <c r="V20" s="694" t="s">
        <v>728</v>
      </c>
      <c r="W20" s="695">
        <v>0</v>
      </c>
      <c r="X20" s="696" t="s">
        <v>729</v>
      </c>
      <c r="Y20" s="3490"/>
      <c r="Z20" s="3187"/>
      <c r="AA20" s="2150"/>
      <c r="AB20" s="3567"/>
      <c r="AC20" s="3496"/>
      <c r="AD20" s="3484"/>
      <c r="AE20" s="3496"/>
      <c r="AF20" s="3484"/>
      <c r="AG20" s="3496"/>
      <c r="AH20" s="3484"/>
      <c r="AI20" s="3496"/>
      <c r="AJ20" s="3484"/>
      <c r="AK20" s="3496"/>
      <c r="AL20" s="3484"/>
      <c r="AM20" s="3496"/>
      <c r="AN20" s="3484"/>
      <c r="AO20" s="3496"/>
      <c r="AP20" s="3226"/>
      <c r="AQ20" s="2425"/>
      <c r="AR20" s="3612"/>
      <c r="AS20" s="3613"/>
    </row>
    <row r="21" spans="1:45" s="74" customFormat="1" ht="39" customHeight="1" x14ac:dyDescent="0.25">
      <c r="A21" s="2438"/>
      <c r="B21" s="2439"/>
      <c r="C21" s="581"/>
      <c r="D21" s="582"/>
      <c r="E21" s="498"/>
      <c r="F21" s="498"/>
      <c r="G21" s="3492"/>
      <c r="H21" s="3355"/>
      <c r="I21" s="3492"/>
      <c r="J21" s="3355"/>
      <c r="K21" s="3492"/>
      <c r="L21" s="3355"/>
      <c r="M21" s="3492"/>
      <c r="N21" s="3355"/>
      <c r="O21" s="3492"/>
      <c r="P21" s="3492"/>
      <c r="Q21" s="3355"/>
      <c r="R21" s="3615"/>
      <c r="S21" s="2630"/>
      <c r="T21" s="2993"/>
      <c r="U21" s="3614"/>
      <c r="V21" s="697" t="s">
        <v>730</v>
      </c>
      <c r="W21" s="698">
        <v>5000000</v>
      </c>
      <c r="X21" s="287" t="s">
        <v>731</v>
      </c>
      <c r="Y21" s="3490"/>
      <c r="Z21" s="3187"/>
      <c r="AA21" s="2150"/>
      <c r="AB21" s="3567"/>
      <c r="AC21" s="3496"/>
      <c r="AD21" s="3484"/>
      <c r="AE21" s="3496"/>
      <c r="AF21" s="3484"/>
      <c r="AG21" s="3496"/>
      <c r="AH21" s="3484"/>
      <c r="AI21" s="3496"/>
      <c r="AJ21" s="3484"/>
      <c r="AK21" s="3496"/>
      <c r="AL21" s="3484"/>
      <c r="AM21" s="3496"/>
      <c r="AN21" s="3484"/>
      <c r="AO21" s="3496"/>
      <c r="AP21" s="3226"/>
      <c r="AQ21" s="2425"/>
      <c r="AR21" s="3612"/>
      <c r="AS21" s="3613"/>
    </row>
    <row r="22" spans="1:45" s="3" customFormat="1" ht="27.75" customHeight="1" x14ac:dyDescent="0.25">
      <c r="A22" s="2438"/>
      <c r="B22" s="2439"/>
      <c r="C22" s="155">
        <v>33</v>
      </c>
      <c r="D22" s="699" t="s">
        <v>453</v>
      </c>
      <c r="E22" s="700"/>
      <c r="F22" s="548"/>
      <c r="G22" s="479"/>
      <c r="H22" s="479"/>
      <c r="I22" s="479"/>
      <c r="J22" s="479"/>
      <c r="K22" s="479"/>
      <c r="L22" s="479"/>
      <c r="M22" s="479"/>
      <c r="N22" s="479"/>
      <c r="O22" s="479"/>
      <c r="P22" s="479"/>
      <c r="Q22" s="479"/>
      <c r="R22" s="701"/>
      <c r="S22" s="702"/>
      <c r="T22" s="479"/>
      <c r="U22" s="703"/>
      <c r="V22" s="704"/>
      <c r="W22" s="702"/>
      <c r="X22" s="705"/>
      <c r="Y22" s="706"/>
      <c r="Z22" s="472"/>
      <c r="AA22" s="705"/>
      <c r="AB22" s="705"/>
      <c r="AC22" s="705"/>
      <c r="AD22" s="705"/>
      <c r="AE22" s="705"/>
      <c r="AF22" s="705"/>
      <c r="AG22" s="705"/>
      <c r="AH22" s="705"/>
      <c r="AI22" s="705"/>
      <c r="AJ22" s="705"/>
      <c r="AK22" s="705"/>
      <c r="AL22" s="705"/>
      <c r="AM22" s="705"/>
      <c r="AN22" s="705"/>
      <c r="AO22" s="705"/>
      <c r="AP22" s="706"/>
      <c r="AQ22" s="707"/>
      <c r="AR22" s="707"/>
      <c r="AS22" s="708"/>
    </row>
    <row r="23" spans="1:45" s="3" customFormat="1" ht="27" customHeight="1" x14ac:dyDescent="0.25">
      <c r="A23" s="2438"/>
      <c r="B23" s="2439"/>
      <c r="C23" s="583"/>
      <c r="D23" s="584"/>
      <c r="E23" s="426">
        <v>3301</v>
      </c>
      <c r="F23" s="2671" t="s">
        <v>454</v>
      </c>
      <c r="G23" s="2672"/>
      <c r="H23" s="2672"/>
      <c r="I23" s="2672"/>
      <c r="J23" s="2672"/>
      <c r="K23" s="2672"/>
      <c r="L23" s="2672"/>
      <c r="M23" s="709"/>
      <c r="N23" s="709"/>
      <c r="O23" s="709"/>
      <c r="P23" s="709"/>
      <c r="Q23" s="709"/>
      <c r="R23" s="710"/>
      <c r="S23" s="711"/>
      <c r="T23" s="709"/>
      <c r="U23" s="709"/>
      <c r="V23" s="709"/>
      <c r="W23" s="711"/>
      <c r="X23" s="62"/>
      <c r="Y23" s="712"/>
      <c r="Z23" s="169"/>
      <c r="AA23" s="709"/>
      <c r="AB23" s="709"/>
      <c r="AC23" s="709"/>
      <c r="AD23" s="709"/>
      <c r="AE23" s="709"/>
      <c r="AF23" s="709"/>
      <c r="AG23" s="709"/>
      <c r="AH23" s="709"/>
      <c r="AI23" s="709"/>
      <c r="AJ23" s="709"/>
      <c r="AK23" s="709"/>
      <c r="AL23" s="709"/>
      <c r="AM23" s="709"/>
      <c r="AN23" s="709"/>
      <c r="AO23" s="709"/>
      <c r="AP23" s="709"/>
      <c r="AQ23" s="713"/>
      <c r="AR23" s="713"/>
      <c r="AS23" s="714"/>
    </row>
    <row r="24" spans="1:45" s="3" customFormat="1" ht="201.75" customHeight="1" x14ac:dyDescent="0.25">
      <c r="A24" s="2438"/>
      <c r="B24" s="2439"/>
      <c r="C24" s="587"/>
      <c r="D24" s="586"/>
      <c r="E24" s="715"/>
      <c r="F24" s="715"/>
      <c r="G24" s="716">
        <v>3301051</v>
      </c>
      <c r="H24" s="717" t="s">
        <v>732</v>
      </c>
      <c r="I24" s="716">
        <v>3301051</v>
      </c>
      <c r="J24" s="717" t="s">
        <v>732</v>
      </c>
      <c r="K24" s="573">
        <v>330105110</v>
      </c>
      <c r="L24" s="576" t="s">
        <v>733</v>
      </c>
      <c r="M24" s="573">
        <v>330105110</v>
      </c>
      <c r="N24" s="576" t="s">
        <v>733</v>
      </c>
      <c r="O24" s="573">
        <v>250</v>
      </c>
      <c r="P24" s="573" t="s">
        <v>734</v>
      </c>
      <c r="Q24" s="576" t="s">
        <v>735</v>
      </c>
      <c r="R24" s="718">
        <f>W24/S24</f>
        <v>1</v>
      </c>
      <c r="S24" s="719">
        <f>W24</f>
        <v>14250000</v>
      </c>
      <c r="T24" s="576" t="s">
        <v>736</v>
      </c>
      <c r="U24" s="600" t="s">
        <v>737</v>
      </c>
      <c r="V24" s="597" t="s">
        <v>738</v>
      </c>
      <c r="W24" s="691">
        <v>14250000</v>
      </c>
      <c r="X24" s="287" t="s">
        <v>739</v>
      </c>
      <c r="Y24" s="720">
        <v>20</v>
      </c>
      <c r="Z24" s="574" t="s">
        <v>403</v>
      </c>
      <c r="AA24" s="721">
        <v>100</v>
      </c>
      <c r="AB24" s="722">
        <v>150</v>
      </c>
      <c r="AC24" s="722" t="s">
        <v>134</v>
      </c>
      <c r="AD24" s="722"/>
      <c r="AE24" s="722">
        <v>30</v>
      </c>
      <c r="AF24" s="722" t="s">
        <v>134</v>
      </c>
      <c r="AG24" s="722" t="s">
        <v>134</v>
      </c>
      <c r="AH24" s="722">
        <v>2</v>
      </c>
      <c r="AI24" s="722" t="s">
        <v>134</v>
      </c>
      <c r="AJ24" s="722" t="s">
        <v>134</v>
      </c>
      <c r="AK24" s="722" t="s">
        <v>134</v>
      </c>
      <c r="AL24" s="722" t="s">
        <v>134</v>
      </c>
      <c r="AM24" s="722" t="s">
        <v>134</v>
      </c>
      <c r="AN24" s="722">
        <v>1</v>
      </c>
      <c r="AO24" s="722">
        <v>3</v>
      </c>
      <c r="AP24" s="723">
        <f>AA24+AB24</f>
        <v>250</v>
      </c>
      <c r="AQ24" s="724">
        <v>44197</v>
      </c>
      <c r="AR24" s="724">
        <v>44561</v>
      </c>
      <c r="AS24" s="725" t="s">
        <v>740</v>
      </c>
    </row>
    <row r="25" spans="1:45" s="3" customFormat="1" ht="20.25" customHeight="1" x14ac:dyDescent="0.25">
      <c r="A25" s="2438"/>
      <c r="B25" s="2439"/>
      <c r="C25" s="155">
        <v>41</v>
      </c>
      <c r="D25" s="3609" t="s">
        <v>741</v>
      </c>
      <c r="E25" s="2531"/>
      <c r="F25" s="3284"/>
      <c r="G25" s="3284"/>
      <c r="H25" s="3284"/>
      <c r="I25" s="3284"/>
      <c r="J25" s="3284"/>
      <c r="K25" s="548"/>
      <c r="L25" s="548"/>
      <c r="M25" s="548"/>
      <c r="N25" s="548"/>
      <c r="O25" s="548"/>
      <c r="P25" s="548"/>
      <c r="Q25" s="548"/>
      <c r="R25" s="726"/>
      <c r="S25" s="727"/>
      <c r="T25" s="548"/>
      <c r="U25" s="728"/>
      <c r="V25" s="548"/>
      <c r="W25" s="727"/>
      <c r="X25" s="479"/>
      <c r="Y25" s="729"/>
      <c r="Z25" s="472"/>
      <c r="AA25" s="730"/>
      <c r="AB25" s="730"/>
      <c r="AC25" s="730"/>
      <c r="AD25" s="730"/>
      <c r="AE25" s="730"/>
      <c r="AF25" s="730"/>
      <c r="AG25" s="730"/>
      <c r="AH25" s="730"/>
      <c r="AI25" s="730"/>
      <c r="AJ25" s="730"/>
      <c r="AK25" s="730"/>
      <c r="AL25" s="730"/>
      <c r="AM25" s="730"/>
      <c r="AN25" s="730"/>
      <c r="AO25" s="730"/>
      <c r="AP25" s="729"/>
      <c r="AQ25" s="731"/>
      <c r="AR25" s="731"/>
      <c r="AS25" s="732"/>
    </row>
    <row r="26" spans="1:45" s="3" customFormat="1" ht="27" customHeight="1" x14ac:dyDescent="0.25">
      <c r="A26" s="2438"/>
      <c r="B26" s="2439"/>
      <c r="C26" s="583"/>
      <c r="D26" s="586"/>
      <c r="E26" s="733">
        <v>4102</v>
      </c>
      <c r="F26" s="734" t="s">
        <v>742</v>
      </c>
      <c r="G26" s="735"/>
      <c r="H26" s="735"/>
      <c r="I26" s="735"/>
      <c r="J26" s="735"/>
      <c r="K26" s="735"/>
      <c r="L26" s="735"/>
      <c r="M26" s="736"/>
      <c r="N26" s="736"/>
      <c r="O26" s="709"/>
      <c r="P26" s="709"/>
      <c r="Q26" s="709"/>
      <c r="R26" s="710"/>
      <c r="S26" s="711"/>
      <c r="T26" s="709"/>
      <c r="U26" s="709"/>
      <c r="V26" s="62"/>
      <c r="W26" s="711"/>
      <c r="X26" s="62"/>
      <c r="Y26" s="712"/>
      <c r="Z26" s="169"/>
      <c r="AA26" s="709"/>
      <c r="AB26" s="709"/>
      <c r="AC26" s="709"/>
      <c r="AD26" s="709"/>
      <c r="AE26" s="709"/>
      <c r="AF26" s="709"/>
      <c r="AG26" s="709"/>
      <c r="AH26" s="709"/>
      <c r="AI26" s="709"/>
      <c r="AJ26" s="709"/>
      <c r="AK26" s="709"/>
      <c r="AL26" s="709"/>
      <c r="AM26" s="709"/>
      <c r="AN26" s="709"/>
      <c r="AO26" s="709"/>
      <c r="AP26" s="709"/>
      <c r="AQ26" s="713"/>
      <c r="AR26" s="713"/>
      <c r="AS26" s="714"/>
    </row>
    <row r="27" spans="1:45" s="74" customFormat="1" ht="158.25" customHeight="1" x14ac:dyDescent="0.25">
      <c r="A27" s="2438"/>
      <c r="B27" s="2439"/>
      <c r="C27" s="579"/>
      <c r="D27" s="737"/>
      <c r="E27" s="2973"/>
      <c r="F27" s="2973"/>
      <c r="G27" s="3513" t="s">
        <v>62</v>
      </c>
      <c r="H27" s="3610" t="s">
        <v>743</v>
      </c>
      <c r="I27" s="3524">
        <v>4102035</v>
      </c>
      <c r="J27" s="2701" t="s">
        <v>242</v>
      </c>
      <c r="K27" s="738" t="s">
        <v>62</v>
      </c>
      <c r="L27" s="3470" t="s">
        <v>744</v>
      </c>
      <c r="M27" s="3604">
        <v>410203500</v>
      </c>
      <c r="N27" s="3605" t="s">
        <v>244</v>
      </c>
      <c r="O27" s="3604">
        <v>1</v>
      </c>
      <c r="P27" s="3174" t="s">
        <v>745</v>
      </c>
      <c r="Q27" s="2459" t="s">
        <v>746</v>
      </c>
      <c r="R27" s="3606">
        <f>SUM(W27:W28)/S27</f>
        <v>0.49053271853232611</v>
      </c>
      <c r="S27" s="3472">
        <f>SUM(W27:W32)</f>
        <v>101930000</v>
      </c>
      <c r="T27" s="2284" t="s">
        <v>747</v>
      </c>
      <c r="U27" s="2528" t="s">
        <v>748</v>
      </c>
      <c r="V27" s="3583" t="s">
        <v>749</v>
      </c>
      <c r="W27" s="686">
        <v>20000000</v>
      </c>
      <c r="X27" s="739" t="s">
        <v>750</v>
      </c>
      <c r="Y27" s="740">
        <v>20</v>
      </c>
      <c r="Z27" s="594" t="s">
        <v>403</v>
      </c>
      <c r="AA27" s="2222">
        <v>104</v>
      </c>
      <c r="AB27" s="2222">
        <v>96</v>
      </c>
      <c r="AC27" s="2222">
        <v>125</v>
      </c>
      <c r="AD27" s="2222" t="s">
        <v>134</v>
      </c>
      <c r="AE27" s="2222">
        <v>75</v>
      </c>
      <c r="AF27" s="2222" t="s">
        <v>134</v>
      </c>
      <c r="AG27" s="2222" t="s">
        <v>134</v>
      </c>
      <c r="AH27" s="2222" t="s">
        <v>134</v>
      </c>
      <c r="AI27" s="2222" t="s">
        <v>134</v>
      </c>
      <c r="AJ27" s="2222" t="s">
        <v>134</v>
      </c>
      <c r="AK27" s="2222" t="s">
        <v>134</v>
      </c>
      <c r="AL27" s="2222" t="s">
        <v>134</v>
      </c>
      <c r="AM27" s="2222" t="s">
        <v>134</v>
      </c>
      <c r="AN27" s="2222" t="s">
        <v>134</v>
      </c>
      <c r="AO27" s="2222" t="s">
        <v>134</v>
      </c>
      <c r="AP27" s="3254">
        <f>SUM(AA27+AB27)</f>
        <v>200</v>
      </c>
      <c r="AQ27" s="3466">
        <v>44197</v>
      </c>
      <c r="AR27" s="3466">
        <v>44561</v>
      </c>
      <c r="AS27" s="3254" t="s">
        <v>751</v>
      </c>
    </row>
    <row r="28" spans="1:45" s="74" customFormat="1" ht="158.25" customHeight="1" x14ac:dyDescent="0.25">
      <c r="A28" s="2438"/>
      <c r="B28" s="2439"/>
      <c r="C28" s="579"/>
      <c r="D28" s="737"/>
      <c r="E28" s="2973"/>
      <c r="F28" s="2973"/>
      <c r="G28" s="3491"/>
      <c r="H28" s="3265"/>
      <c r="I28" s="3526"/>
      <c r="J28" s="3611"/>
      <c r="K28" s="738"/>
      <c r="L28" s="2460"/>
      <c r="M28" s="3175"/>
      <c r="N28" s="3160"/>
      <c r="O28" s="3175"/>
      <c r="P28" s="3174"/>
      <c r="Q28" s="2459"/>
      <c r="R28" s="3210"/>
      <c r="S28" s="3472"/>
      <c r="T28" s="2284"/>
      <c r="U28" s="2528"/>
      <c r="V28" s="3505"/>
      <c r="W28" s="686">
        <v>30000000</v>
      </c>
      <c r="X28" s="739" t="s">
        <v>752</v>
      </c>
      <c r="Y28" s="740">
        <v>88</v>
      </c>
      <c r="Z28" s="594" t="s">
        <v>753</v>
      </c>
      <c r="AA28" s="2222"/>
      <c r="AB28" s="2222"/>
      <c r="AC28" s="2222"/>
      <c r="AD28" s="2222"/>
      <c r="AE28" s="2222"/>
      <c r="AF28" s="2222"/>
      <c r="AG28" s="2222"/>
      <c r="AH28" s="2222"/>
      <c r="AI28" s="2222"/>
      <c r="AJ28" s="2222"/>
      <c r="AK28" s="2222"/>
      <c r="AL28" s="2222"/>
      <c r="AM28" s="2222"/>
      <c r="AN28" s="2222"/>
      <c r="AO28" s="2222"/>
      <c r="AP28" s="3254"/>
      <c r="AQ28" s="3466"/>
      <c r="AR28" s="3466"/>
      <c r="AS28" s="3254"/>
    </row>
    <row r="29" spans="1:45" s="74" customFormat="1" ht="104.25" customHeight="1" x14ac:dyDescent="0.25">
      <c r="A29" s="2438"/>
      <c r="B29" s="2439"/>
      <c r="C29" s="579"/>
      <c r="D29" s="737"/>
      <c r="E29" s="2973"/>
      <c r="F29" s="2973"/>
      <c r="G29" s="3550" t="s">
        <v>62</v>
      </c>
      <c r="H29" s="3510" t="s">
        <v>754</v>
      </c>
      <c r="I29" s="3492">
        <v>4102001</v>
      </c>
      <c r="J29" s="3510" t="s">
        <v>755</v>
      </c>
      <c r="K29" s="3173" t="s">
        <v>62</v>
      </c>
      <c r="L29" s="2458" t="s">
        <v>756</v>
      </c>
      <c r="M29" s="3173">
        <v>410200100</v>
      </c>
      <c r="N29" s="2458" t="s">
        <v>757</v>
      </c>
      <c r="O29" s="3173">
        <v>12</v>
      </c>
      <c r="P29" s="3174"/>
      <c r="Q29" s="2459"/>
      <c r="R29" s="3209">
        <f>SUM(W29:W32)/S27</f>
        <v>0.50946728146767395</v>
      </c>
      <c r="S29" s="3472"/>
      <c r="T29" s="2284"/>
      <c r="U29" s="2528"/>
      <c r="V29" s="598" t="s">
        <v>758</v>
      </c>
      <c r="W29" s="686">
        <v>20000000</v>
      </c>
      <c r="X29" s="739" t="s">
        <v>759</v>
      </c>
      <c r="Y29" s="740">
        <v>20</v>
      </c>
      <c r="Z29" s="594" t="s">
        <v>403</v>
      </c>
      <c r="AA29" s="2222"/>
      <c r="AB29" s="2222"/>
      <c r="AC29" s="2222"/>
      <c r="AD29" s="2222"/>
      <c r="AE29" s="2222"/>
      <c r="AF29" s="2222"/>
      <c r="AG29" s="2222"/>
      <c r="AH29" s="2222"/>
      <c r="AI29" s="2222"/>
      <c r="AJ29" s="2222"/>
      <c r="AK29" s="2222"/>
      <c r="AL29" s="2222"/>
      <c r="AM29" s="2222"/>
      <c r="AN29" s="2222"/>
      <c r="AO29" s="2222"/>
      <c r="AP29" s="3254"/>
      <c r="AQ29" s="3466"/>
      <c r="AR29" s="3466"/>
      <c r="AS29" s="3254"/>
    </row>
    <row r="30" spans="1:45" s="74" customFormat="1" ht="105" customHeight="1" x14ac:dyDescent="0.25">
      <c r="A30" s="2438"/>
      <c r="B30" s="2439"/>
      <c r="C30" s="579"/>
      <c r="D30" s="737"/>
      <c r="E30" s="2973"/>
      <c r="F30" s="2973"/>
      <c r="G30" s="3550"/>
      <c r="H30" s="3511"/>
      <c r="I30" s="3492"/>
      <c r="J30" s="3511"/>
      <c r="K30" s="3174"/>
      <c r="L30" s="2459"/>
      <c r="M30" s="3174"/>
      <c r="N30" s="2459"/>
      <c r="O30" s="3174"/>
      <c r="P30" s="3174"/>
      <c r="Q30" s="2459"/>
      <c r="R30" s="3247"/>
      <c r="S30" s="3472"/>
      <c r="T30" s="2284"/>
      <c r="U30" s="2528"/>
      <c r="V30" s="3601" t="s">
        <v>760</v>
      </c>
      <c r="W30" s="686">
        <v>20000000</v>
      </c>
      <c r="X30" s="739" t="s">
        <v>759</v>
      </c>
      <c r="Y30" s="740">
        <v>20</v>
      </c>
      <c r="Z30" s="594" t="s">
        <v>403</v>
      </c>
      <c r="AA30" s="2222"/>
      <c r="AB30" s="2222"/>
      <c r="AC30" s="2222"/>
      <c r="AD30" s="2222"/>
      <c r="AE30" s="2222"/>
      <c r="AF30" s="2222"/>
      <c r="AG30" s="2222"/>
      <c r="AH30" s="2222"/>
      <c r="AI30" s="2222"/>
      <c r="AJ30" s="2222"/>
      <c r="AK30" s="2222"/>
      <c r="AL30" s="2222"/>
      <c r="AM30" s="2222"/>
      <c r="AN30" s="2222"/>
      <c r="AO30" s="2222"/>
      <c r="AP30" s="3254"/>
      <c r="AQ30" s="3466"/>
      <c r="AR30" s="3466"/>
      <c r="AS30" s="3254"/>
    </row>
    <row r="31" spans="1:45" s="74" customFormat="1" ht="105" customHeight="1" x14ac:dyDescent="0.25">
      <c r="A31" s="2438"/>
      <c r="B31" s="2439"/>
      <c r="C31" s="579"/>
      <c r="D31" s="737"/>
      <c r="E31" s="2973"/>
      <c r="F31" s="2973"/>
      <c r="G31" s="3589"/>
      <c r="H31" s="3511"/>
      <c r="I31" s="3513"/>
      <c r="J31" s="3511"/>
      <c r="K31" s="3174"/>
      <c r="L31" s="2459"/>
      <c r="M31" s="3174"/>
      <c r="N31" s="2459"/>
      <c r="O31" s="3174"/>
      <c r="P31" s="3174"/>
      <c r="Q31" s="2459"/>
      <c r="R31" s="3247"/>
      <c r="S31" s="3472"/>
      <c r="T31" s="2284"/>
      <c r="U31" s="2528"/>
      <c r="V31" s="3601"/>
      <c r="W31" s="686">
        <v>1930000</v>
      </c>
      <c r="X31" s="739" t="s">
        <v>761</v>
      </c>
      <c r="Y31" s="740">
        <v>88</v>
      </c>
      <c r="Z31" s="594" t="s">
        <v>753</v>
      </c>
      <c r="AA31" s="2222"/>
      <c r="AB31" s="2222"/>
      <c r="AC31" s="2222"/>
      <c r="AD31" s="2222"/>
      <c r="AE31" s="2222"/>
      <c r="AF31" s="2222"/>
      <c r="AG31" s="2222"/>
      <c r="AH31" s="2222"/>
      <c r="AI31" s="2222"/>
      <c r="AJ31" s="2222"/>
      <c r="AK31" s="2222"/>
      <c r="AL31" s="2222"/>
      <c r="AM31" s="2222"/>
      <c r="AN31" s="2222"/>
      <c r="AO31" s="2222"/>
      <c r="AP31" s="3254"/>
      <c r="AQ31" s="3466"/>
      <c r="AR31" s="3466"/>
      <c r="AS31" s="3254"/>
    </row>
    <row r="32" spans="1:45" s="74" customFormat="1" ht="72.75" customHeight="1" x14ac:dyDescent="0.25">
      <c r="A32" s="2438"/>
      <c r="B32" s="2439"/>
      <c r="C32" s="579"/>
      <c r="D32" s="737"/>
      <c r="E32" s="2973"/>
      <c r="F32" s="2973"/>
      <c r="G32" s="3589"/>
      <c r="H32" s="3511"/>
      <c r="I32" s="3513"/>
      <c r="J32" s="3511"/>
      <c r="K32" s="3174"/>
      <c r="L32" s="2459"/>
      <c r="M32" s="3174"/>
      <c r="N32" s="2459"/>
      <c r="O32" s="3174"/>
      <c r="P32" s="3174"/>
      <c r="Q32" s="2459"/>
      <c r="R32" s="3247"/>
      <c r="S32" s="3472"/>
      <c r="T32" s="2284"/>
      <c r="U32" s="2528"/>
      <c r="V32" s="597" t="s">
        <v>762</v>
      </c>
      <c r="W32" s="686">
        <v>10000000</v>
      </c>
      <c r="X32" s="739" t="s">
        <v>759</v>
      </c>
      <c r="Y32" s="740">
        <v>20</v>
      </c>
      <c r="Z32" s="594" t="s">
        <v>403</v>
      </c>
      <c r="AA32" s="2222"/>
      <c r="AB32" s="2222"/>
      <c r="AC32" s="2222"/>
      <c r="AD32" s="2222"/>
      <c r="AE32" s="2222"/>
      <c r="AF32" s="2222"/>
      <c r="AG32" s="2222"/>
      <c r="AH32" s="2222"/>
      <c r="AI32" s="2222"/>
      <c r="AJ32" s="2222"/>
      <c r="AK32" s="2222"/>
      <c r="AL32" s="2222"/>
      <c r="AM32" s="2222"/>
      <c r="AN32" s="2222"/>
      <c r="AO32" s="2222"/>
      <c r="AP32" s="3254"/>
      <c r="AQ32" s="3466"/>
      <c r="AR32" s="3466"/>
      <c r="AS32" s="3254"/>
    </row>
    <row r="33" spans="1:45" s="74" customFormat="1" ht="33.75" customHeight="1" x14ac:dyDescent="0.25">
      <c r="A33" s="2438"/>
      <c r="B33" s="2439"/>
      <c r="C33" s="579"/>
      <c r="D33" s="737"/>
      <c r="E33" s="2973"/>
      <c r="F33" s="2973"/>
      <c r="G33" s="3550" t="s">
        <v>62</v>
      </c>
      <c r="H33" s="3531" t="s">
        <v>763</v>
      </c>
      <c r="I33" s="3492">
        <v>4102043</v>
      </c>
      <c r="J33" s="3355" t="s">
        <v>764</v>
      </c>
      <c r="K33" s="3492" t="s">
        <v>62</v>
      </c>
      <c r="L33" s="3355" t="s">
        <v>765</v>
      </c>
      <c r="M33" s="3492" t="s">
        <v>766</v>
      </c>
      <c r="N33" s="3355" t="s">
        <v>767</v>
      </c>
      <c r="O33" s="3492">
        <v>1</v>
      </c>
      <c r="P33" s="3492" t="s">
        <v>768</v>
      </c>
      <c r="Q33" s="3355" t="s">
        <v>769</v>
      </c>
      <c r="R33" s="3495">
        <f>SUM(W33:W37)/S33</f>
        <v>1</v>
      </c>
      <c r="S33" s="2630">
        <f>SUM(W33:W37)</f>
        <v>132000000</v>
      </c>
      <c r="T33" s="2993" t="s">
        <v>770</v>
      </c>
      <c r="U33" s="3107" t="s">
        <v>771</v>
      </c>
      <c r="V33" s="741" t="s">
        <v>772</v>
      </c>
      <c r="W33" s="742">
        <v>9600000</v>
      </c>
      <c r="X33" s="287" t="s">
        <v>773</v>
      </c>
      <c r="Y33" s="3607">
        <v>20</v>
      </c>
      <c r="Z33" s="3187" t="s">
        <v>403</v>
      </c>
      <c r="AA33" s="3484">
        <v>650</v>
      </c>
      <c r="AB33" s="3484">
        <v>600</v>
      </c>
      <c r="AC33" s="3484">
        <v>125</v>
      </c>
      <c r="AD33" s="3484">
        <v>250</v>
      </c>
      <c r="AE33" s="3484">
        <v>625</v>
      </c>
      <c r="AF33" s="3484">
        <v>250</v>
      </c>
      <c r="AG33" s="3484" t="s">
        <v>134</v>
      </c>
      <c r="AH33" s="3484" t="s">
        <v>134</v>
      </c>
      <c r="AI33" s="3484" t="s">
        <v>134</v>
      </c>
      <c r="AJ33" s="3484" t="s">
        <v>134</v>
      </c>
      <c r="AK33" s="3484" t="s">
        <v>134</v>
      </c>
      <c r="AL33" s="3484" t="s">
        <v>134</v>
      </c>
      <c r="AM33" s="3484" t="s">
        <v>134</v>
      </c>
      <c r="AN33" s="3484" t="s">
        <v>134</v>
      </c>
      <c r="AO33" s="3484" t="s">
        <v>134</v>
      </c>
      <c r="AP33" s="3226">
        <f>SUM(AA33+AB33)</f>
        <v>1250</v>
      </c>
      <c r="AQ33" s="3482">
        <v>44197</v>
      </c>
      <c r="AR33" s="3482">
        <v>44561</v>
      </c>
      <c r="AS33" s="3226" t="s">
        <v>751</v>
      </c>
    </row>
    <row r="34" spans="1:45" s="74" customFormat="1" ht="51" customHeight="1" x14ac:dyDescent="0.25">
      <c r="A34" s="2438"/>
      <c r="B34" s="2439"/>
      <c r="C34" s="579"/>
      <c r="D34" s="737"/>
      <c r="E34" s="2973"/>
      <c r="F34" s="2973"/>
      <c r="G34" s="3550"/>
      <c r="H34" s="3531"/>
      <c r="I34" s="3492"/>
      <c r="J34" s="3355"/>
      <c r="K34" s="3492"/>
      <c r="L34" s="3355"/>
      <c r="M34" s="3492"/>
      <c r="N34" s="3355"/>
      <c r="O34" s="3492"/>
      <c r="P34" s="3492"/>
      <c r="Q34" s="3355"/>
      <c r="R34" s="3495"/>
      <c r="S34" s="2630"/>
      <c r="T34" s="2993"/>
      <c r="U34" s="3107"/>
      <c r="V34" s="741" t="s">
        <v>774</v>
      </c>
      <c r="W34" s="742">
        <v>11000000</v>
      </c>
      <c r="X34" s="287" t="s">
        <v>773</v>
      </c>
      <c r="Y34" s="3607"/>
      <c r="Z34" s="3187"/>
      <c r="AA34" s="3484"/>
      <c r="AB34" s="3484"/>
      <c r="AC34" s="3484"/>
      <c r="AD34" s="3484"/>
      <c r="AE34" s="3484"/>
      <c r="AF34" s="3484"/>
      <c r="AG34" s="3484"/>
      <c r="AH34" s="3484"/>
      <c r="AI34" s="3484"/>
      <c r="AJ34" s="3484"/>
      <c r="AK34" s="3484"/>
      <c r="AL34" s="3484"/>
      <c r="AM34" s="3484"/>
      <c r="AN34" s="3484"/>
      <c r="AO34" s="3484"/>
      <c r="AP34" s="3226"/>
      <c r="AQ34" s="3482"/>
      <c r="AR34" s="3482"/>
      <c r="AS34" s="3226"/>
    </row>
    <row r="35" spans="1:45" s="74" customFormat="1" ht="58.5" customHeight="1" x14ac:dyDescent="0.25">
      <c r="A35" s="2438"/>
      <c r="B35" s="2439"/>
      <c r="C35" s="579"/>
      <c r="D35" s="737"/>
      <c r="E35" s="2973"/>
      <c r="F35" s="2973"/>
      <c r="G35" s="3550"/>
      <c r="H35" s="3531"/>
      <c r="I35" s="3492"/>
      <c r="J35" s="3355"/>
      <c r="K35" s="3492"/>
      <c r="L35" s="3355"/>
      <c r="M35" s="3492"/>
      <c r="N35" s="3355"/>
      <c r="O35" s="3492"/>
      <c r="P35" s="3492"/>
      <c r="Q35" s="3355"/>
      <c r="R35" s="3495"/>
      <c r="S35" s="2630"/>
      <c r="T35" s="2993"/>
      <c r="U35" s="3107"/>
      <c r="V35" s="741" t="s">
        <v>775</v>
      </c>
      <c r="W35" s="742">
        <v>104400000</v>
      </c>
      <c r="X35" s="287" t="s">
        <v>773</v>
      </c>
      <c r="Y35" s="3607"/>
      <c r="Z35" s="3187"/>
      <c r="AA35" s="3484"/>
      <c r="AB35" s="3484"/>
      <c r="AC35" s="3484"/>
      <c r="AD35" s="3484"/>
      <c r="AE35" s="3484"/>
      <c r="AF35" s="3484"/>
      <c r="AG35" s="3484"/>
      <c r="AH35" s="3484"/>
      <c r="AI35" s="3484"/>
      <c r="AJ35" s="3484"/>
      <c r="AK35" s="3484"/>
      <c r="AL35" s="3484"/>
      <c r="AM35" s="3484"/>
      <c r="AN35" s="3484"/>
      <c r="AO35" s="3484"/>
      <c r="AP35" s="3226"/>
      <c r="AQ35" s="3482"/>
      <c r="AR35" s="3482"/>
      <c r="AS35" s="3226"/>
    </row>
    <row r="36" spans="1:45" s="74" customFormat="1" ht="33.75" customHeight="1" x14ac:dyDescent="0.25">
      <c r="A36" s="2438"/>
      <c r="B36" s="2439"/>
      <c r="C36" s="579"/>
      <c r="D36" s="737"/>
      <c r="E36" s="2973"/>
      <c r="F36" s="2973"/>
      <c r="G36" s="3550"/>
      <c r="H36" s="3531"/>
      <c r="I36" s="3492"/>
      <c r="J36" s="3355"/>
      <c r="K36" s="3492"/>
      <c r="L36" s="3355"/>
      <c r="M36" s="3492"/>
      <c r="N36" s="3355"/>
      <c r="O36" s="3492"/>
      <c r="P36" s="3492"/>
      <c r="Q36" s="3355"/>
      <c r="R36" s="3495"/>
      <c r="S36" s="2630"/>
      <c r="T36" s="2993"/>
      <c r="U36" s="3107"/>
      <c r="V36" s="743" t="s">
        <v>776</v>
      </c>
      <c r="W36" s="742">
        <v>4000000</v>
      </c>
      <c r="X36" s="287" t="s">
        <v>777</v>
      </c>
      <c r="Y36" s="3607"/>
      <c r="Z36" s="3187"/>
      <c r="AA36" s="3484"/>
      <c r="AB36" s="3484"/>
      <c r="AC36" s="3484"/>
      <c r="AD36" s="3484"/>
      <c r="AE36" s="3484"/>
      <c r="AF36" s="3484"/>
      <c r="AG36" s="3484"/>
      <c r="AH36" s="3484"/>
      <c r="AI36" s="3484"/>
      <c r="AJ36" s="3484"/>
      <c r="AK36" s="3484"/>
      <c r="AL36" s="3484"/>
      <c r="AM36" s="3484"/>
      <c r="AN36" s="3484"/>
      <c r="AO36" s="3484"/>
      <c r="AP36" s="3226"/>
      <c r="AQ36" s="3482"/>
      <c r="AR36" s="3482"/>
      <c r="AS36" s="3226"/>
    </row>
    <row r="37" spans="1:45" s="74" customFormat="1" ht="33.75" customHeight="1" x14ac:dyDescent="0.25">
      <c r="A37" s="2438"/>
      <c r="B37" s="2439"/>
      <c r="C37" s="579"/>
      <c r="D37" s="737"/>
      <c r="E37" s="2973"/>
      <c r="F37" s="2973"/>
      <c r="G37" s="3550"/>
      <c r="H37" s="3531"/>
      <c r="I37" s="3492"/>
      <c r="J37" s="3355"/>
      <c r="K37" s="3492"/>
      <c r="L37" s="3355"/>
      <c r="M37" s="3492"/>
      <c r="N37" s="3355"/>
      <c r="O37" s="3492"/>
      <c r="P37" s="3492"/>
      <c r="Q37" s="3355"/>
      <c r="R37" s="3495"/>
      <c r="S37" s="2630"/>
      <c r="T37" s="2993"/>
      <c r="U37" s="3107"/>
      <c r="V37" s="744" t="s">
        <v>778</v>
      </c>
      <c r="W37" s="742">
        <v>3000000</v>
      </c>
      <c r="X37" s="287" t="s">
        <v>779</v>
      </c>
      <c r="Y37" s="3607"/>
      <c r="Z37" s="3187"/>
      <c r="AA37" s="3608"/>
      <c r="AB37" s="3484"/>
      <c r="AC37" s="3484"/>
      <c r="AD37" s="3484"/>
      <c r="AE37" s="3484"/>
      <c r="AF37" s="3484"/>
      <c r="AG37" s="3484"/>
      <c r="AH37" s="3484"/>
      <c r="AI37" s="3484"/>
      <c r="AJ37" s="3484"/>
      <c r="AK37" s="3484"/>
      <c r="AL37" s="3484"/>
      <c r="AM37" s="3484"/>
      <c r="AN37" s="3484"/>
      <c r="AO37" s="3484"/>
      <c r="AP37" s="3226"/>
      <c r="AQ37" s="3599"/>
      <c r="AR37" s="3599"/>
      <c r="AS37" s="3600"/>
    </row>
    <row r="38" spans="1:45" s="74" customFormat="1" ht="130.5" customHeight="1" x14ac:dyDescent="0.25">
      <c r="A38" s="2438"/>
      <c r="B38" s="2439"/>
      <c r="C38" s="579"/>
      <c r="D38" s="737"/>
      <c r="E38" s="2973"/>
      <c r="F38" s="2973"/>
      <c r="G38" s="746" t="s">
        <v>62</v>
      </c>
      <c r="H38" s="747" t="s">
        <v>780</v>
      </c>
      <c r="I38" s="748">
        <v>4102035</v>
      </c>
      <c r="J38" s="749" t="s">
        <v>242</v>
      </c>
      <c r="K38" s="738" t="s">
        <v>781</v>
      </c>
      <c r="L38" s="750" t="s">
        <v>782</v>
      </c>
      <c r="M38" s="738" t="s">
        <v>783</v>
      </c>
      <c r="N38" s="750" t="s">
        <v>784</v>
      </c>
      <c r="O38" s="751">
        <v>1</v>
      </c>
      <c r="P38" s="3045" t="s">
        <v>785</v>
      </c>
      <c r="Q38" s="3507" t="s">
        <v>786</v>
      </c>
      <c r="R38" s="752">
        <f>SUM(W38)/S38</f>
        <v>5.066201861082812E-2</v>
      </c>
      <c r="S38" s="3602">
        <f>SUM(W38:W46)</f>
        <v>464647889</v>
      </c>
      <c r="T38" s="3014" t="s">
        <v>787</v>
      </c>
      <c r="U38" s="3603" t="s">
        <v>788</v>
      </c>
      <c r="V38" s="588" t="s">
        <v>789</v>
      </c>
      <c r="W38" s="686">
        <v>23540000</v>
      </c>
      <c r="X38" s="739" t="s">
        <v>790</v>
      </c>
      <c r="Y38" s="740">
        <v>20</v>
      </c>
      <c r="Z38" s="589" t="s">
        <v>403</v>
      </c>
      <c r="AA38" s="2152">
        <v>15600</v>
      </c>
      <c r="AB38" s="3595">
        <v>14400</v>
      </c>
      <c r="AC38" s="3593">
        <v>25000</v>
      </c>
      <c r="AD38" s="3595">
        <v>3750</v>
      </c>
      <c r="AE38" s="3593">
        <v>1250</v>
      </c>
      <c r="AF38" s="3595" t="s">
        <v>134</v>
      </c>
      <c r="AG38" s="3593" t="s">
        <v>134</v>
      </c>
      <c r="AH38" s="3595" t="s">
        <v>134</v>
      </c>
      <c r="AI38" s="3593" t="s">
        <v>134</v>
      </c>
      <c r="AJ38" s="3595" t="s">
        <v>134</v>
      </c>
      <c r="AK38" s="3593" t="s">
        <v>134</v>
      </c>
      <c r="AL38" s="3595" t="s">
        <v>134</v>
      </c>
      <c r="AM38" s="3593" t="s">
        <v>134</v>
      </c>
      <c r="AN38" s="3595" t="s">
        <v>134</v>
      </c>
      <c r="AO38" s="3593" t="s">
        <v>134</v>
      </c>
      <c r="AP38" s="3597">
        <f>SUM(AC38:AO44)</f>
        <v>30000</v>
      </c>
      <c r="AQ38" s="3463">
        <v>44197</v>
      </c>
      <c r="AR38" s="3463">
        <v>44561</v>
      </c>
      <c r="AS38" s="2463" t="s">
        <v>751</v>
      </c>
    </row>
    <row r="39" spans="1:45" s="74" customFormat="1" ht="69" customHeight="1" x14ac:dyDescent="0.25">
      <c r="A39" s="2438"/>
      <c r="B39" s="2439"/>
      <c r="C39" s="579"/>
      <c r="D39" s="737"/>
      <c r="E39" s="2973"/>
      <c r="F39" s="2973"/>
      <c r="G39" s="3550" t="s">
        <v>62</v>
      </c>
      <c r="H39" s="3531" t="s">
        <v>791</v>
      </c>
      <c r="I39" s="3551" t="s">
        <v>792</v>
      </c>
      <c r="J39" s="3355" t="s">
        <v>793</v>
      </c>
      <c r="K39" s="3553">
        <v>410204301</v>
      </c>
      <c r="L39" s="3355" t="s">
        <v>794</v>
      </c>
      <c r="M39" s="3553">
        <v>410204301</v>
      </c>
      <c r="N39" s="3534" t="s">
        <v>795</v>
      </c>
      <c r="O39" s="3187">
        <v>1</v>
      </c>
      <c r="P39" s="2973"/>
      <c r="Q39" s="3563"/>
      <c r="R39" s="3032">
        <f>SUM(W39:W46)/S38</f>
        <v>0.94933798138917191</v>
      </c>
      <c r="S39" s="3539"/>
      <c r="T39" s="3107"/>
      <c r="U39" s="3540"/>
      <c r="V39" s="588" t="s">
        <v>796</v>
      </c>
      <c r="W39" s="686">
        <v>19813334</v>
      </c>
      <c r="X39" s="739" t="s">
        <v>797</v>
      </c>
      <c r="Y39" s="740">
        <v>20</v>
      </c>
      <c r="Z39" s="589" t="s">
        <v>403</v>
      </c>
      <c r="AA39" s="2152"/>
      <c r="AB39" s="3596"/>
      <c r="AC39" s="3593"/>
      <c r="AD39" s="3596"/>
      <c r="AE39" s="3593"/>
      <c r="AF39" s="3596"/>
      <c r="AG39" s="3593"/>
      <c r="AH39" s="3596"/>
      <c r="AI39" s="3593"/>
      <c r="AJ39" s="3596"/>
      <c r="AK39" s="3593"/>
      <c r="AL39" s="3596"/>
      <c r="AM39" s="3593"/>
      <c r="AN39" s="3596"/>
      <c r="AO39" s="3593"/>
      <c r="AP39" s="3598"/>
      <c r="AQ39" s="3463"/>
      <c r="AR39" s="3463"/>
      <c r="AS39" s="2463"/>
    </row>
    <row r="40" spans="1:45" s="74" customFormat="1" ht="97.5" customHeight="1" x14ac:dyDescent="0.25">
      <c r="A40" s="2438"/>
      <c r="B40" s="2439"/>
      <c r="C40" s="579"/>
      <c r="D40" s="737"/>
      <c r="E40" s="2973"/>
      <c r="F40" s="2973"/>
      <c r="G40" s="3550"/>
      <c r="H40" s="3531"/>
      <c r="I40" s="3551"/>
      <c r="J40" s="3355"/>
      <c r="K40" s="3553"/>
      <c r="L40" s="3355"/>
      <c r="M40" s="3553"/>
      <c r="N40" s="3534"/>
      <c r="O40" s="3187"/>
      <c r="P40" s="2973"/>
      <c r="Q40" s="3563"/>
      <c r="R40" s="3032"/>
      <c r="S40" s="3539"/>
      <c r="T40" s="3107"/>
      <c r="U40" s="3540"/>
      <c r="V40" s="588" t="s">
        <v>798</v>
      </c>
      <c r="W40" s="686">
        <v>28006666</v>
      </c>
      <c r="X40" s="739" t="s">
        <v>797</v>
      </c>
      <c r="Y40" s="740">
        <v>20</v>
      </c>
      <c r="Z40" s="589" t="s">
        <v>403</v>
      </c>
      <c r="AA40" s="2152"/>
      <c r="AB40" s="3596"/>
      <c r="AC40" s="3593"/>
      <c r="AD40" s="3596"/>
      <c r="AE40" s="3593"/>
      <c r="AF40" s="3596"/>
      <c r="AG40" s="3593"/>
      <c r="AH40" s="3596"/>
      <c r="AI40" s="3593"/>
      <c r="AJ40" s="3596"/>
      <c r="AK40" s="3593"/>
      <c r="AL40" s="3596"/>
      <c r="AM40" s="3593"/>
      <c r="AN40" s="3596"/>
      <c r="AO40" s="3593"/>
      <c r="AP40" s="3598"/>
      <c r="AQ40" s="3463"/>
      <c r="AR40" s="3463"/>
      <c r="AS40" s="2463"/>
    </row>
    <row r="41" spans="1:45" s="74" customFormat="1" ht="71.25" customHeight="1" x14ac:dyDescent="0.25">
      <c r="A41" s="2438"/>
      <c r="B41" s="2439"/>
      <c r="C41" s="579"/>
      <c r="D41" s="737"/>
      <c r="E41" s="2973"/>
      <c r="F41" s="2973"/>
      <c r="G41" s="3550"/>
      <c r="H41" s="3531"/>
      <c r="I41" s="3551"/>
      <c r="J41" s="3355"/>
      <c r="K41" s="3553"/>
      <c r="L41" s="3355"/>
      <c r="M41" s="3553"/>
      <c r="N41" s="3534"/>
      <c r="O41" s="3187"/>
      <c r="P41" s="2973"/>
      <c r="Q41" s="3563"/>
      <c r="R41" s="3032"/>
      <c r="S41" s="3539"/>
      <c r="T41" s="3107"/>
      <c r="U41" s="3540"/>
      <c r="V41" s="3601" t="s">
        <v>799</v>
      </c>
      <c r="W41" s="686">
        <v>124840000</v>
      </c>
      <c r="X41" s="739" t="s">
        <v>797</v>
      </c>
      <c r="Y41" s="740">
        <v>20</v>
      </c>
      <c r="Z41" s="589" t="s">
        <v>403</v>
      </c>
      <c r="AA41" s="2152"/>
      <c r="AB41" s="3596"/>
      <c r="AC41" s="3593"/>
      <c r="AD41" s="3596"/>
      <c r="AE41" s="3593"/>
      <c r="AF41" s="3596"/>
      <c r="AG41" s="3593"/>
      <c r="AH41" s="3596"/>
      <c r="AI41" s="3593"/>
      <c r="AJ41" s="3596"/>
      <c r="AK41" s="3593"/>
      <c r="AL41" s="3596"/>
      <c r="AM41" s="3593"/>
      <c r="AN41" s="3596"/>
      <c r="AO41" s="3593"/>
      <c r="AP41" s="3598"/>
      <c r="AQ41" s="3463"/>
      <c r="AR41" s="3463"/>
      <c r="AS41" s="2463"/>
    </row>
    <row r="42" spans="1:45" s="74" customFormat="1" ht="71.25" customHeight="1" x14ac:dyDescent="0.25">
      <c r="A42" s="2438"/>
      <c r="B42" s="2439"/>
      <c r="C42" s="579"/>
      <c r="D42" s="737"/>
      <c r="E42" s="2973"/>
      <c r="F42" s="2973"/>
      <c r="G42" s="3550"/>
      <c r="H42" s="3531"/>
      <c r="I42" s="3551"/>
      <c r="J42" s="3355"/>
      <c r="K42" s="3553"/>
      <c r="L42" s="3355"/>
      <c r="M42" s="3553"/>
      <c r="N42" s="3534"/>
      <c r="O42" s="3187"/>
      <c r="P42" s="2973"/>
      <c r="Q42" s="3563"/>
      <c r="R42" s="3032"/>
      <c r="S42" s="3539"/>
      <c r="T42" s="3107"/>
      <c r="U42" s="3540"/>
      <c r="V42" s="3601"/>
      <c r="W42" s="686">
        <v>224647889</v>
      </c>
      <c r="X42" s="739" t="s">
        <v>800</v>
      </c>
      <c r="Y42" s="740">
        <v>88</v>
      </c>
      <c r="Z42" s="589" t="s">
        <v>753</v>
      </c>
      <c r="AA42" s="2152"/>
      <c r="AB42" s="3596"/>
      <c r="AC42" s="3593"/>
      <c r="AD42" s="3596"/>
      <c r="AE42" s="3593"/>
      <c r="AF42" s="3596"/>
      <c r="AG42" s="3593"/>
      <c r="AH42" s="3596"/>
      <c r="AI42" s="3593"/>
      <c r="AJ42" s="3596"/>
      <c r="AK42" s="3593"/>
      <c r="AL42" s="3596"/>
      <c r="AM42" s="3593"/>
      <c r="AN42" s="3596"/>
      <c r="AO42" s="3593"/>
      <c r="AP42" s="3598"/>
      <c r="AQ42" s="3463"/>
      <c r="AR42" s="3463"/>
      <c r="AS42" s="2463"/>
    </row>
    <row r="43" spans="1:45" s="74" customFormat="1" ht="87.75" customHeight="1" x14ac:dyDescent="0.25">
      <c r="A43" s="2438"/>
      <c r="B43" s="2439"/>
      <c r="C43" s="579"/>
      <c r="D43" s="737"/>
      <c r="E43" s="2973"/>
      <c r="F43" s="2973"/>
      <c r="G43" s="3550"/>
      <c r="H43" s="3531"/>
      <c r="I43" s="3551"/>
      <c r="J43" s="3355"/>
      <c r="K43" s="3553"/>
      <c r="L43" s="3355"/>
      <c r="M43" s="3553"/>
      <c r="N43" s="3534"/>
      <c r="O43" s="3187"/>
      <c r="P43" s="2973"/>
      <c r="Q43" s="3563"/>
      <c r="R43" s="3032"/>
      <c r="S43" s="3539"/>
      <c r="T43" s="3107"/>
      <c r="U43" s="3540"/>
      <c r="V43" s="588" t="s">
        <v>801</v>
      </c>
      <c r="W43" s="686">
        <v>30800000</v>
      </c>
      <c r="X43" s="739" t="s">
        <v>797</v>
      </c>
      <c r="Y43" s="740">
        <v>20</v>
      </c>
      <c r="Z43" s="589" t="s">
        <v>403</v>
      </c>
      <c r="AA43" s="2152"/>
      <c r="AB43" s="3596"/>
      <c r="AC43" s="3593"/>
      <c r="AD43" s="3596"/>
      <c r="AE43" s="3593"/>
      <c r="AF43" s="3596"/>
      <c r="AG43" s="3593"/>
      <c r="AH43" s="3596"/>
      <c r="AI43" s="3593"/>
      <c r="AJ43" s="3596"/>
      <c r="AK43" s="3593"/>
      <c r="AL43" s="3596"/>
      <c r="AM43" s="3593"/>
      <c r="AN43" s="3596"/>
      <c r="AO43" s="3593"/>
      <c r="AP43" s="3598"/>
      <c r="AQ43" s="3463"/>
      <c r="AR43" s="3463"/>
      <c r="AS43" s="2463"/>
    </row>
    <row r="44" spans="1:45" s="74" customFormat="1" ht="48" customHeight="1" x14ac:dyDescent="0.25">
      <c r="A44" s="2438"/>
      <c r="B44" s="2439"/>
      <c r="C44" s="579"/>
      <c r="D44" s="737"/>
      <c r="E44" s="2973"/>
      <c r="F44" s="2973"/>
      <c r="G44" s="3550"/>
      <c r="H44" s="3531"/>
      <c r="I44" s="3551"/>
      <c r="J44" s="3355"/>
      <c r="K44" s="3553"/>
      <c r="L44" s="3355"/>
      <c r="M44" s="3553"/>
      <c r="N44" s="3534"/>
      <c r="O44" s="3187"/>
      <c r="P44" s="2973"/>
      <c r="Q44" s="3563"/>
      <c r="R44" s="3032"/>
      <c r="S44" s="3539"/>
      <c r="T44" s="3107"/>
      <c r="U44" s="3540"/>
      <c r="V44" s="753" t="s">
        <v>802</v>
      </c>
      <c r="W44" s="686">
        <v>5000000</v>
      </c>
      <c r="X44" s="739" t="s">
        <v>797</v>
      </c>
      <c r="Y44" s="740">
        <v>20</v>
      </c>
      <c r="Z44" s="589" t="s">
        <v>403</v>
      </c>
      <c r="AA44" s="2152"/>
      <c r="AB44" s="3596"/>
      <c r="AC44" s="3593"/>
      <c r="AD44" s="3596"/>
      <c r="AE44" s="3593"/>
      <c r="AF44" s="3596"/>
      <c r="AG44" s="3593"/>
      <c r="AH44" s="3596"/>
      <c r="AI44" s="3593"/>
      <c r="AJ44" s="3596"/>
      <c r="AK44" s="3593"/>
      <c r="AL44" s="3596"/>
      <c r="AM44" s="3593"/>
      <c r="AN44" s="3596"/>
      <c r="AO44" s="3593"/>
      <c r="AP44" s="3598"/>
      <c r="AQ44" s="3463"/>
      <c r="AR44" s="3463"/>
      <c r="AS44" s="2463"/>
    </row>
    <row r="45" spans="1:45" s="74" customFormat="1" ht="44.25" customHeight="1" x14ac:dyDescent="0.25">
      <c r="A45" s="2438"/>
      <c r="B45" s="2439"/>
      <c r="C45" s="579"/>
      <c r="D45" s="737"/>
      <c r="E45" s="2973"/>
      <c r="F45" s="2973"/>
      <c r="G45" s="3550"/>
      <c r="H45" s="3531"/>
      <c r="I45" s="3551"/>
      <c r="J45" s="3355"/>
      <c r="K45" s="3553"/>
      <c r="L45" s="3355"/>
      <c r="M45" s="3553"/>
      <c r="N45" s="3534"/>
      <c r="O45" s="3187"/>
      <c r="P45" s="2973"/>
      <c r="Q45" s="3563"/>
      <c r="R45" s="3032"/>
      <c r="S45" s="3539"/>
      <c r="T45" s="3107"/>
      <c r="U45" s="3540"/>
      <c r="V45" s="557" t="s">
        <v>730</v>
      </c>
      <c r="W45" s="754">
        <v>8000000</v>
      </c>
      <c r="X45" s="739" t="s">
        <v>803</v>
      </c>
      <c r="Y45" s="740">
        <v>20</v>
      </c>
      <c r="Z45" s="589" t="s">
        <v>403</v>
      </c>
      <c r="AA45" s="2152"/>
      <c r="AB45" s="3596"/>
      <c r="AC45" s="3593"/>
      <c r="AD45" s="3596"/>
      <c r="AE45" s="3593"/>
      <c r="AF45" s="3596"/>
      <c r="AG45" s="3593"/>
      <c r="AH45" s="3596"/>
      <c r="AI45" s="3593"/>
      <c r="AJ45" s="3596"/>
      <c r="AK45" s="3593"/>
      <c r="AL45" s="3596"/>
      <c r="AM45" s="3593"/>
      <c r="AN45" s="3596"/>
      <c r="AO45" s="3593"/>
      <c r="AP45" s="3598"/>
      <c r="AQ45" s="3463"/>
      <c r="AR45" s="3463"/>
      <c r="AS45" s="2463"/>
    </row>
    <row r="46" spans="1:45" s="74" customFormat="1" ht="44.25" customHeight="1" x14ac:dyDescent="0.25">
      <c r="A46" s="2438"/>
      <c r="B46" s="2439"/>
      <c r="C46" s="579"/>
      <c r="D46" s="737"/>
      <c r="E46" s="2973"/>
      <c r="F46" s="2973"/>
      <c r="G46" s="3550"/>
      <c r="H46" s="3531"/>
      <c r="I46" s="3551"/>
      <c r="J46" s="3355"/>
      <c r="K46" s="3553"/>
      <c r="L46" s="3355"/>
      <c r="M46" s="3553"/>
      <c r="N46" s="3534"/>
      <c r="O46" s="3187"/>
      <c r="P46" s="2973"/>
      <c r="Q46" s="3563"/>
      <c r="R46" s="3032"/>
      <c r="S46" s="3539"/>
      <c r="T46" s="3107"/>
      <c r="U46" s="3540"/>
      <c r="V46" s="557" t="s">
        <v>804</v>
      </c>
      <c r="W46" s="754">
        <v>0</v>
      </c>
      <c r="X46" s="739" t="s">
        <v>805</v>
      </c>
      <c r="Y46" s="740">
        <v>20</v>
      </c>
      <c r="Z46" s="589" t="s">
        <v>403</v>
      </c>
      <c r="AA46" s="2152"/>
      <c r="AB46" s="3596"/>
      <c r="AC46" s="3594"/>
      <c r="AD46" s="3596"/>
      <c r="AE46" s="3594"/>
      <c r="AF46" s="3596"/>
      <c r="AG46" s="3594"/>
      <c r="AH46" s="3596"/>
      <c r="AI46" s="3594"/>
      <c r="AJ46" s="3596"/>
      <c r="AK46" s="3594"/>
      <c r="AL46" s="3596"/>
      <c r="AM46" s="3594"/>
      <c r="AN46" s="3596"/>
      <c r="AO46" s="3594"/>
      <c r="AP46" s="3598"/>
      <c r="AQ46" s="3463"/>
      <c r="AR46" s="3463"/>
      <c r="AS46" s="2463"/>
    </row>
    <row r="47" spans="1:45" s="74" customFormat="1" ht="48.75" customHeight="1" x14ac:dyDescent="0.25">
      <c r="A47" s="2438"/>
      <c r="B47" s="2439"/>
      <c r="C47" s="579"/>
      <c r="D47" s="737"/>
      <c r="E47" s="2973"/>
      <c r="F47" s="2973"/>
      <c r="G47" s="3550" t="s">
        <v>62</v>
      </c>
      <c r="H47" s="3511" t="s">
        <v>806</v>
      </c>
      <c r="I47" s="3491">
        <v>4102038</v>
      </c>
      <c r="J47" s="3511" t="s">
        <v>807</v>
      </c>
      <c r="K47" s="3174" t="s">
        <v>62</v>
      </c>
      <c r="L47" s="2459" t="s">
        <v>808</v>
      </c>
      <c r="M47" s="3174">
        <v>410203800</v>
      </c>
      <c r="N47" s="2459" t="s">
        <v>809</v>
      </c>
      <c r="O47" s="3174">
        <v>1</v>
      </c>
      <c r="P47" s="3175" t="s">
        <v>810</v>
      </c>
      <c r="Q47" s="2460" t="s">
        <v>811</v>
      </c>
      <c r="R47" s="3247">
        <f>SUM(W47:W54)/S47</f>
        <v>1</v>
      </c>
      <c r="S47" s="3472">
        <f>SUM(W47:W54)</f>
        <v>200000000</v>
      </c>
      <c r="T47" s="2284" t="s">
        <v>812</v>
      </c>
      <c r="U47" s="2528" t="s">
        <v>737</v>
      </c>
      <c r="V47" s="598" t="s">
        <v>813</v>
      </c>
      <c r="W47" s="686">
        <v>91460000</v>
      </c>
      <c r="X47" s="287" t="s">
        <v>814</v>
      </c>
      <c r="Y47" s="3585">
        <v>20</v>
      </c>
      <c r="Z47" s="2495" t="s">
        <v>403</v>
      </c>
      <c r="AA47" s="2221">
        <v>550</v>
      </c>
      <c r="AB47" s="2222">
        <v>450</v>
      </c>
      <c r="AC47" s="2221" t="s">
        <v>134</v>
      </c>
      <c r="AD47" s="2222">
        <v>950</v>
      </c>
      <c r="AE47" s="2221">
        <v>50</v>
      </c>
      <c r="AF47" s="2222" t="s">
        <v>134</v>
      </c>
      <c r="AG47" s="2221" t="s">
        <v>134</v>
      </c>
      <c r="AH47" s="2222"/>
      <c r="AI47" s="2221"/>
      <c r="AJ47" s="2222"/>
      <c r="AK47" s="2221"/>
      <c r="AL47" s="2222"/>
      <c r="AM47" s="2221"/>
      <c r="AN47" s="2222"/>
      <c r="AO47" s="2221"/>
      <c r="AP47" s="3591">
        <f>SUM(AC47:AO54)</f>
        <v>1000</v>
      </c>
      <c r="AQ47" s="3466">
        <v>44197</v>
      </c>
      <c r="AR47" s="3466">
        <v>44561</v>
      </c>
      <c r="AS47" s="3254" t="s">
        <v>815</v>
      </c>
    </row>
    <row r="48" spans="1:45" s="74" customFormat="1" ht="48.75" customHeight="1" x14ac:dyDescent="0.25">
      <c r="A48" s="2438"/>
      <c r="B48" s="2439"/>
      <c r="C48" s="579"/>
      <c r="D48" s="737"/>
      <c r="E48" s="2973"/>
      <c r="F48" s="2973"/>
      <c r="G48" s="3550"/>
      <c r="H48" s="3511"/>
      <c r="I48" s="3492"/>
      <c r="J48" s="3511"/>
      <c r="K48" s="3174"/>
      <c r="L48" s="2459"/>
      <c r="M48" s="3174"/>
      <c r="N48" s="2459"/>
      <c r="O48" s="3174"/>
      <c r="P48" s="3187"/>
      <c r="Q48" s="2330"/>
      <c r="R48" s="3247"/>
      <c r="S48" s="3472"/>
      <c r="T48" s="2284"/>
      <c r="U48" s="2528"/>
      <c r="V48" s="598" t="s">
        <v>816</v>
      </c>
      <c r="W48" s="686">
        <v>22540000</v>
      </c>
      <c r="X48" s="287" t="s">
        <v>814</v>
      </c>
      <c r="Y48" s="3478"/>
      <c r="Z48" s="2495"/>
      <c r="AA48" s="2222"/>
      <c r="AB48" s="2222"/>
      <c r="AC48" s="2222"/>
      <c r="AD48" s="2222"/>
      <c r="AE48" s="2222"/>
      <c r="AF48" s="2222"/>
      <c r="AG48" s="2222"/>
      <c r="AH48" s="2222"/>
      <c r="AI48" s="2222"/>
      <c r="AJ48" s="2222"/>
      <c r="AK48" s="2222"/>
      <c r="AL48" s="2222"/>
      <c r="AM48" s="2222"/>
      <c r="AN48" s="2222"/>
      <c r="AO48" s="2222"/>
      <c r="AP48" s="3591"/>
      <c r="AQ48" s="3466"/>
      <c r="AR48" s="3466"/>
      <c r="AS48" s="3254"/>
    </row>
    <row r="49" spans="1:45" s="74" customFormat="1" ht="48.75" customHeight="1" x14ac:dyDescent="0.25">
      <c r="A49" s="2438"/>
      <c r="B49" s="2439"/>
      <c r="C49" s="579"/>
      <c r="D49" s="737"/>
      <c r="E49" s="2973"/>
      <c r="F49" s="2973"/>
      <c r="G49" s="3550"/>
      <c r="H49" s="3511"/>
      <c r="I49" s="3492"/>
      <c r="J49" s="3511"/>
      <c r="K49" s="3174"/>
      <c r="L49" s="2459"/>
      <c r="M49" s="3174"/>
      <c r="N49" s="2459"/>
      <c r="O49" s="3174"/>
      <c r="P49" s="3187"/>
      <c r="Q49" s="2330"/>
      <c r="R49" s="3247"/>
      <c r="S49" s="3472"/>
      <c r="T49" s="2284"/>
      <c r="U49" s="2528"/>
      <c r="V49" s="598" t="s">
        <v>817</v>
      </c>
      <c r="W49" s="686">
        <v>23575000</v>
      </c>
      <c r="X49" s="287" t="s">
        <v>814</v>
      </c>
      <c r="Y49" s="3478"/>
      <c r="Z49" s="2495"/>
      <c r="AA49" s="2222"/>
      <c r="AB49" s="2222"/>
      <c r="AC49" s="2222"/>
      <c r="AD49" s="2222"/>
      <c r="AE49" s="2222"/>
      <c r="AF49" s="2222"/>
      <c r="AG49" s="2222"/>
      <c r="AH49" s="2222"/>
      <c r="AI49" s="2222"/>
      <c r="AJ49" s="2222"/>
      <c r="AK49" s="2222"/>
      <c r="AL49" s="2222"/>
      <c r="AM49" s="2222"/>
      <c r="AN49" s="2222"/>
      <c r="AO49" s="2222"/>
      <c r="AP49" s="3591"/>
      <c r="AQ49" s="3466"/>
      <c r="AR49" s="3466"/>
      <c r="AS49" s="3254"/>
    </row>
    <row r="50" spans="1:45" s="74" customFormat="1" ht="48.75" customHeight="1" x14ac:dyDescent="0.25">
      <c r="A50" s="2438"/>
      <c r="B50" s="2439"/>
      <c r="C50" s="579"/>
      <c r="D50" s="737"/>
      <c r="E50" s="2973"/>
      <c r="F50" s="2973"/>
      <c r="G50" s="3550"/>
      <c r="H50" s="3511"/>
      <c r="I50" s="3492"/>
      <c r="J50" s="3511"/>
      <c r="K50" s="3174"/>
      <c r="L50" s="2459"/>
      <c r="M50" s="3174"/>
      <c r="N50" s="2459"/>
      <c r="O50" s="3174"/>
      <c r="P50" s="3187"/>
      <c r="Q50" s="2330"/>
      <c r="R50" s="3247"/>
      <c r="S50" s="3472"/>
      <c r="T50" s="2284"/>
      <c r="U50" s="2528"/>
      <c r="V50" s="598" t="s">
        <v>818</v>
      </c>
      <c r="W50" s="686">
        <v>22425000</v>
      </c>
      <c r="X50" s="289" t="s">
        <v>814</v>
      </c>
      <c r="Y50" s="3478"/>
      <c r="Z50" s="2495"/>
      <c r="AA50" s="2222"/>
      <c r="AB50" s="2222"/>
      <c r="AC50" s="2222"/>
      <c r="AD50" s="2222"/>
      <c r="AE50" s="2222"/>
      <c r="AF50" s="2222"/>
      <c r="AG50" s="2222"/>
      <c r="AH50" s="2222"/>
      <c r="AI50" s="2222"/>
      <c r="AJ50" s="2222"/>
      <c r="AK50" s="2222"/>
      <c r="AL50" s="2222"/>
      <c r="AM50" s="2222"/>
      <c r="AN50" s="2222"/>
      <c r="AO50" s="2222"/>
      <c r="AP50" s="3591"/>
      <c r="AQ50" s="3466"/>
      <c r="AR50" s="3466"/>
      <c r="AS50" s="3254"/>
    </row>
    <row r="51" spans="1:45" s="74" customFormat="1" ht="32.25" customHeight="1" x14ac:dyDescent="0.25">
      <c r="A51" s="2438"/>
      <c r="B51" s="2439"/>
      <c r="C51" s="579"/>
      <c r="D51" s="737"/>
      <c r="E51" s="2973"/>
      <c r="F51" s="2973"/>
      <c r="G51" s="3550"/>
      <c r="H51" s="3511"/>
      <c r="I51" s="3492"/>
      <c r="J51" s="3511"/>
      <c r="K51" s="3174"/>
      <c r="L51" s="2459"/>
      <c r="M51" s="3174"/>
      <c r="N51" s="2459"/>
      <c r="O51" s="3174"/>
      <c r="P51" s="3187"/>
      <c r="Q51" s="2330"/>
      <c r="R51" s="3247"/>
      <c r="S51" s="3472"/>
      <c r="T51" s="2284"/>
      <c r="U51" s="2528"/>
      <c r="V51" s="598" t="s">
        <v>730</v>
      </c>
      <c r="W51" s="754">
        <v>10000000</v>
      </c>
      <c r="X51" s="696" t="s">
        <v>819</v>
      </c>
      <c r="Y51" s="3478"/>
      <c r="Z51" s="2495"/>
      <c r="AA51" s="2222"/>
      <c r="AB51" s="2222"/>
      <c r="AC51" s="2222"/>
      <c r="AD51" s="2222"/>
      <c r="AE51" s="2222"/>
      <c r="AF51" s="2222"/>
      <c r="AG51" s="2222"/>
      <c r="AH51" s="2222"/>
      <c r="AI51" s="2222"/>
      <c r="AJ51" s="2222"/>
      <c r="AK51" s="2222"/>
      <c r="AL51" s="2222"/>
      <c r="AM51" s="2222"/>
      <c r="AN51" s="2222"/>
      <c r="AO51" s="2222"/>
      <c r="AP51" s="3591"/>
      <c r="AQ51" s="3466"/>
      <c r="AR51" s="3466"/>
      <c r="AS51" s="3254"/>
    </row>
    <row r="52" spans="1:45" s="74" customFormat="1" ht="32.25" customHeight="1" x14ac:dyDescent="0.25">
      <c r="A52" s="2438"/>
      <c r="B52" s="2439"/>
      <c r="C52" s="579"/>
      <c r="D52" s="737"/>
      <c r="E52" s="2973"/>
      <c r="F52" s="2973"/>
      <c r="G52" s="3550"/>
      <c r="H52" s="3511"/>
      <c r="I52" s="3492"/>
      <c r="J52" s="3511"/>
      <c r="K52" s="3174"/>
      <c r="L52" s="2459"/>
      <c r="M52" s="3174"/>
      <c r="N52" s="2459"/>
      <c r="O52" s="3174"/>
      <c r="P52" s="3187"/>
      <c r="Q52" s="2330"/>
      <c r="R52" s="3247"/>
      <c r="S52" s="3472"/>
      <c r="T52" s="2284"/>
      <c r="U52" s="2528"/>
      <c r="V52" s="598" t="s">
        <v>804</v>
      </c>
      <c r="W52" s="754">
        <v>0</v>
      </c>
      <c r="X52" s="287" t="s">
        <v>820</v>
      </c>
      <c r="Y52" s="3478"/>
      <c r="Z52" s="2495"/>
      <c r="AA52" s="2222"/>
      <c r="AB52" s="2222"/>
      <c r="AC52" s="2222"/>
      <c r="AD52" s="2222"/>
      <c r="AE52" s="2222"/>
      <c r="AF52" s="2222"/>
      <c r="AG52" s="2222"/>
      <c r="AH52" s="2222"/>
      <c r="AI52" s="2222"/>
      <c r="AJ52" s="2222"/>
      <c r="AK52" s="2222"/>
      <c r="AL52" s="2222"/>
      <c r="AM52" s="2222"/>
      <c r="AN52" s="2222"/>
      <c r="AO52" s="2222"/>
      <c r="AP52" s="3591"/>
      <c r="AQ52" s="3466"/>
      <c r="AR52" s="3466"/>
      <c r="AS52" s="3254"/>
    </row>
    <row r="53" spans="1:45" s="74" customFormat="1" ht="32.25" customHeight="1" x14ac:dyDescent="0.25">
      <c r="A53" s="2438"/>
      <c r="B53" s="2439"/>
      <c r="C53" s="579"/>
      <c r="D53" s="737"/>
      <c r="E53" s="2973"/>
      <c r="F53" s="2973"/>
      <c r="G53" s="3550"/>
      <c r="H53" s="3511"/>
      <c r="I53" s="3492"/>
      <c r="J53" s="3511"/>
      <c r="K53" s="3174"/>
      <c r="L53" s="2459"/>
      <c r="M53" s="3174"/>
      <c r="N53" s="2459"/>
      <c r="O53" s="3174"/>
      <c r="P53" s="3187"/>
      <c r="Q53" s="2330"/>
      <c r="R53" s="3247"/>
      <c r="S53" s="3472"/>
      <c r="T53" s="2284"/>
      <c r="U53" s="2528"/>
      <c r="V53" s="598" t="s">
        <v>821</v>
      </c>
      <c r="W53" s="754">
        <v>10000000</v>
      </c>
      <c r="X53" s="289" t="s">
        <v>822</v>
      </c>
      <c r="Y53" s="3478"/>
      <c r="Z53" s="2495"/>
      <c r="AA53" s="2222"/>
      <c r="AB53" s="2222"/>
      <c r="AC53" s="2222"/>
      <c r="AD53" s="2222"/>
      <c r="AE53" s="2222"/>
      <c r="AF53" s="2222"/>
      <c r="AG53" s="2222"/>
      <c r="AH53" s="2222"/>
      <c r="AI53" s="2222"/>
      <c r="AJ53" s="2222"/>
      <c r="AK53" s="2222"/>
      <c r="AL53" s="2222"/>
      <c r="AM53" s="2222"/>
      <c r="AN53" s="2222"/>
      <c r="AO53" s="2222"/>
      <c r="AP53" s="3591"/>
      <c r="AQ53" s="3466"/>
      <c r="AR53" s="3466"/>
      <c r="AS53" s="3254"/>
    </row>
    <row r="54" spans="1:45" s="74" customFormat="1" ht="32.25" customHeight="1" x14ac:dyDescent="0.25">
      <c r="A54" s="2438"/>
      <c r="B54" s="2439"/>
      <c r="C54" s="579"/>
      <c r="D54" s="737"/>
      <c r="E54" s="2973"/>
      <c r="F54" s="2973"/>
      <c r="G54" s="3550"/>
      <c r="H54" s="3512"/>
      <c r="I54" s="3492"/>
      <c r="J54" s="3512"/>
      <c r="K54" s="3175"/>
      <c r="L54" s="2460"/>
      <c r="M54" s="3175"/>
      <c r="N54" s="2460"/>
      <c r="O54" s="3175"/>
      <c r="P54" s="3187"/>
      <c r="Q54" s="2330"/>
      <c r="R54" s="3210"/>
      <c r="S54" s="3587"/>
      <c r="T54" s="2285"/>
      <c r="U54" s="2529"/>
      <c r="V54" s="598" t="s">
        <v>823</v>
      </c>
      <c r="W54" s="686">
        <v>20000000</v>
      </c>
      <c r="X54" s="287" t="s">
        <v>824</v>
      </c>
      <c r="Y54" s="3479"/>
      <c r="Z54" s="2495"/>
      <c r="AA54" s="3476"/>
      <c r="AB54" s="3476"/>
      <c r="AC54" s="3476"/>
      <c r="AD54" s="3476"/>
      <c r="AE54" s="3476"/>
      <c r="AF54" s="3476"/>
      <c r="AG54" s="3476"/>
      <c r="AH54" s="3476"/>
      <c r="AI54" s="3476"/>
      <c r="AJ54" s="3476"/>
      <c r="AK54" s="3476"/>
      <c r="AL54" s="3476"/>
      <c r="AM54" s="3476"/>
      <c r="AN54" s="3476"/>
      <c r="AO54" s="3476"/>
      <c r="AP54" s="3592"/>
      <c r="AQ54" s="3475"/>
      <c r="AR54" s="3475"/>
      <c r="AS54" s="3208"/>
    </row>
    <row r="55" spans="1:45" s="74" customFormat="1" ht="129" customHeight="1" x14ac:dyDescent="0.25">
      <c r="A55" s="2438"/>
      <c r="B55" s="2439"/>
      <c r="C55" s="579"/>
      <c r="D55" s="737"/>
      <c r="E55" s="2973"/>
      <c r="F55" s="2973"/>
      <c r="G55" s="3550" t="s">
        <v>62</v>
      </c>
      <c r="H55" s="3510" t="s">
        <v>825</v>
      </c>
      <c r="I55" s="3492">
        <v>4102042</v>
      </c>
      <c r="J55" s="3510" t="s">
        <v>826</v>
      </c>
      <c r="K55" s="3173" t="s">
        <v>62</v>
      </c>
      <c r="L55" s="2458" t="s">
        <v>827</v>
      </c>
      <c r="M55" s="3173">
        <v>410204200</v>
      </c>
      <c r="N55" s="2458" t="s">
        <v>828</v>
      </c>
      <c r="O55" s="3173">
        <v>12</v>
      </c>
      <c r="P55" s="3187" t="s">
        <v>829</v>
      </c>
      <c r="Q55" s="2330" t="s">
        <v>830</v>
      </c>
      <c r="R55" s="3209">
        <f>SUM(W55:W57)/S55</f>
        <v>1</v>
      </c>
      <c r="S55" s="3471">
        <f>SUM(W55:W57)</f>
        <v>28000000</v>
      </c>
      <c r="T55" s="2527" t="s">
        <v>831</v>
      </c>
      <c r="U55" s="2527" t="s">
        <v>832</v>
      </c>
      <c r="V55" s="598" t="s">
        <v>833</v>
      </c>
      <c r="W55" s="686">
        <v>5000000</v>
      </c>
      <c r="X55" s="696" t="s">
        <v>834</v>
      </c>
      <c r="Y55" s="3585">
        <v>20</v>
      </c>
      <c r="Z55" s="3187" t="s">
        <v>403</v>
      </c>
      <c r="AA55" s="2221">
        <v>2360</v>
      </c>
      <c r="AB55" s="2221">
        <v>2360</v>
      </c>
      <c r="AC55" s="2221">
        <v>480</v>
      </c>
      <c r="AD55" s="2221">
        <v>1500</v>
      </c>
      <c r="AE55" s="2221">
        <v>1540</v>
      </c>
      <c r="AF55" s="2221">
        <v>1000</v>
      </c>
      <c r="AG55" s="2221">
        <v>50</v>
      </c>
      <c r="AH55" s="2221">
        <v>50</v>
      </c>
      <c r="AI55" s="2221" t="s">
        <v>134</v>
      </c>
      <c r="AJ55" s="2221" t="s">
        <v>134</v>
      </c>
      <c r="AK55" s="2221" t="s">
        <v>134</v>
      </c>
      <c r="AL55" s="2221" t="s">
        <v>134</v>
      </c>
      <c r="AM55" s="2221">
        <v>50</v>
      </c>
      <c r="AN55" s="2221">
        <v>50</v>
      </c>
      <c r="AO55" s="2221" t="s">
        <v>134</v>
      </c>
      <c r="AP55" s="3207">
        <f>SUM(AC55:AO57)</f>
        <v>4720</v>
      </c>
      <c r="AQ55" s="3582">
        <v>44197</v>
      </c>
      <c r="AR55" s="3582">
        <v>44561</v>
      </c>
      <c r="AS55" s="3207" t="s">
        <v>716</v>
      </c>
    </row>
    <row r="56" spans="1:45" s="74" customFormat="1" ht="86.25" customHeight="1" x14ac:dyDescent="0.25">
      <c r="A56" s="2438"/>
      <c r="B56" s="2439"/>
      <c r="C56" s="579"/>
      <c r="D56" s="737"/>
      <c r="E56" s="2973"/>
      <c r="F56" s="2973"/>
      <c r="G56" s="3550"/>
      <c r="H56" s="3511"/>
      <c r="I56" s="3492"/>
      <c r="J56" s="3511"/>
      <c r="K56" s="3174"/>
      <c r="L56" s="2459"/>
      <c r="M56" s="3174"/>
      <c r="N56" s="2459"/>
      <c r="O56" s="3174"/>
      <c r="P56" s="3187"/>
      <c r="Q56" s="2330"/>
      <c r="R56" s="3247"/>
      <c r="S56" s="3472"/>
      <c r="T56" s="2528"/>
      <c r="U56" s="2528"/>
      <c r="V56" s="598" t="s">
        <v>835</v>
      </c>
      <c r="W56" s="686">
        <v>15000000</v>
      </c>
      <c r="X56" s="287" t="s">
        <v>834</v>
      </c>
      <c r="Y56" s="3478"/>
      <c r="Z56" s="3187"/>
      <c r="AA56" s="2222"/>
      <c r="AB56" s="2222"/>
      <c r="AC56" s="2222"/>
      <c r="AD56" s="2222"/>
      <c r="AE56" s="2222"/>
      <c r="AF56" s="2222"/>
      <c r="AG56" s="2222"/>
      <c r="AH56" s="2222"/>
      <c r="AI56" s="2222"/>
      <c r="AJ56" s="2222"/>
      <c r="AK56" s="2222"/>
      <c r="AL56" s="2222"/>
      <c r="AM56" s="2222"/>
      <c r="AN56" s="2222"/>
      <c r="AO56" s="2222"/>
      <c r="AP56" s="3254"/>
      <c r="AQ56" s="3466"/>
      <c r="AR56" s="3466"/>
      <c r="AS56" s="3254"/>
    </row>
    <row r="57" spans="1:45" s="74" customFormat="1" ht="61.5" customHeight="1" x14ac:dyDescent="0.25">
      <c r="A57" s="2438"/>
      <c r="B57" s="2439"/>
      <c r="C57" s="579"/>
      <c r="D57" s="737"/>
      <c r="E57" s="2973"/>
      <c r="F57" s="2973"/>
      <c r="G57" s="3550"/>
      <c r="H57" s="3512"/>
      <c r="I57" s="3492"/>
      <c r="J57" s="3512"/>
      <c r="K57" s="3175"/>
      <c r="L57" s="2460"/>
      <c r="M57" s="3175"/>
      <c r="N57" s="2460"/>
      <c r="O57" s="3175"/>
      <c r="P57" s="3187"/>
      <c r="Q57" s="2330"/>
      <c r="R57" s="3210"/>
      <c r="S57" s="3587"/>
      <c r="T57" s="2529"/>
      <c r="U57" s="2529"/>
      <c r="V57" s="598" t="s">
        <v>724</v>
      </c>
      <c r="W57" s="686">
        <v>8000000</v>
      </c>
      <c r="X57" s="287" t="s">
        <v>836</v>
      </c>
      <c r="Y57" s="3479"/>
      <c r="Z57" s="3187"/>
      <c r="AA57" s="3476"/>
      <c r="AB57" s="3476"/>
      <c r="AC57" s="3476"/>
      <c r="AD57" s="3476"/>
      <c r="AE57" s="3476"/>
      <c r="AF57" s="3476"/>
      <c r="AG57" s="3476"/>
      <c r="AH57" s="3476"/>
      <c r="AI57" s="3476"/>
      <c r="AJ57" s="3476"/>
      <c r="AK57" s="3476"/>
      <c r="AL57" s="3476"/>
      <c r="AM57" s="3476"/>
      <c r="AN57" s="3476"/>
      <c r="AO57" s="3476"/>
      <c r="AP57" s="3208"/>
      <c r="AQ57" s="3475"/>
      <c r="AR57" s="3475"/>
      <c r="AS57" s="3208"/>
    </row>
    <row r="58" spans="1:45" s="74" customFormat="1" ht="53.25" customHeight="1" x14ac:dyDescent="0.25">
      <c r="A58" s="2438"/>
      <c r="B58" s="2439"/>
      <c r="C58" s="579"/>
      <c r="D58" s="737"/>
      <c r="E58" s="2973"/>
      <c r="F58" s="2973"/>
      <c r="G58" s="3513" t="s">
        <v>62</v>
      </c>
      <c r="H58" s="3263" t="s">
        <v>837</v>
      </c>
      <c r="I58" s="3524">
        <v>4102001</v>
      </c>
      <c r="J58" s="3263" t="s">
        <v>838</v>
      </c>
      <c r="K58" s="3173" t="s">
        <v>62</v>
      </c>
      <c r="L58" s="2458" t="s">
        <v>839</v>
      </c>
      <c r="M58" s="3173">
        <v>410200100</v>
      </c>
      <c r="N58" s="2458" t="s">
        <v>757</v>
      </c>
      <c r="O58" s="3173">
        <v>1</v>
      </c>
      <c r="P58" s="3187" t="s">
        <v>840</v>
      </c>
      <c r="Q58" s="2330" t="s">
        <v>841</v>
      </c>
      <c r="R58" s="3209">
        <f>SUM(W58:W61)/S58</f>
        <v>0.64695498676081198</v>
      </c>
      <c r="S58" s="3471">
        <f>SUM(W58:W62)</f>
        <v>50985000</v>
      </c>
      <c r="T58" s="2283" t="s">
        <v>842</v>
      </c>
      <c r="U58" s="2527" t="s">
        <v>843</v>
      </c>
      <c r="V58" s="598" t="s">
        <v>844</v>
      </c>
      <c r="W58" s="686">
        <f>5000000-2000000</f>
        <v>3000000</v>
      </c>
      <c r="X58" s="739" t="s">
        <v>845</v>
      </c>
      <c r="Y58" s="755">
        <v>20</v>
      </c>
      <c r="Z58" s="594" t="s">
        <v>403</v>
      </c>
      <c r="AA58" s="2221">
        <v>260</v>
      </c>
      <c r="AB58" s="2221">
        <v>240</v>
      </c>
      <c r="AC58" s="2221">
        <v>125</v>
      </c>
      <c r="AD58" s="2221">
        <v>250</v>
      </c>
      <c r="AE58" s="2221">
        <v>125</v>
      </c>
      <c r="AF58" s="2221" t="s">
        <v>134</v>
      </c>
      <c r="AG58" s="2221" t="s">
        <v>134</v>
      </c>
      <c r="AH58" s="2221" t="s">
        <v>134</v>
      </c>
      <c r="AI58" s="2221" t="s">
        <v>134</v>
      </c>
      <c r="AJ58" s="2221" t="s">
        <v>134</v>
      </c>
      <c r="AK58" s="2221" t="s">
        <v>134</v>
      </c>
      <c r="AL58" s="2221" t="s">
        <v>134</v>
      </c>
      <c r="AM58" s="2221" t="s">
        <v>134</v>
      </c>
      <c r="AN58" s="2221" t="s">
        <v>134</v>
      </c>
      <c r="AO58" s="2221" t="s">
        <v>134</v>
      </c>
      <c r="AP58" s="3207">
        <f>SUM(AA58+AB58)</f>
        <v>500</v>
      </c>
      <c r="AQ58" s="3582">
        <v>44197</v>
      </c>
      <c r="AR58" s="3582">
        <v>44561</v>
      </c>
      <c r="AS58" s="3207" t="s">
        <v>751</v>
      </c>
    </row>
    <row r="59" spans="1:45" s="74" customFormat="1" ht="81" customHeight="1" x14ac:dyDescent="0.25">
      <c r="A59" s="2438"/>
      <c r="B59" s="2439"/>
      <c r="C59" s="579"/>
      <c r="D59" s="737"/>
      <c r="E59" s="2973"/>
      <c r="F59" s="2973"/>
      <c r="G59" s="3579"/>
      <c r="H59" s="3264"/>
      <c r="I59" s="3525"/>
      <c r="J59" s="3264"/>
      <c r="K59" s="3174"/>
      <c r="L59" s="2459"/>
      <c r="M59" s="3174"/>
      <c r="N59" s="2459"/>
      <c r="O59" s="3174"/>
      <c r="P59" s="3187"/>
      <c r="Q59" s="2330"/>
      <c r="R59" s="3247"/>
      <c r="S59" s="3472"/>
      <c r="T59" s="2284"/>
      <c r="U59" s="2528"/>
      <c r="V59" s="598" t="s">
        <v>846</v>
      </c>
      <c r="W59" s="686">
        <f>5000000-2343000</f>
        <v>2657000</v>
      </c>
      <c r="X59" s="739" t="s">
        <v>845</v>
      </c>
      <c r="Y59" s="755">
        <v>20</v>
      </c>
      <c r="Z59" s="594" t="s">
        <v>403</v>
      </c>
      <c r="AA59" s="2222"/>
      <c r="AB59" s="2222"/>
      <c r="AC59" s="2222"/>
      <c r="AD59" s="2222"/>
      <c r="AE59" s="2222"/>
      <c r="AF59" s="2222"/>
      <c r="AG59" s="2222"/>
      <c r="AH59" s="2222"/>
      <c r="AI59" s="2222"/>
      <c r="AJ59" s="2222"/>
      <c r="AK59" s="2222"/>
      <c r="AL59" s="2222"/>
      <c r="AM59" s="2222"/>
      <c r="AN59" s="2222"/>
      <c r="AO59" s="2222"/>
      <c r="AP59" s="3254"/>
      <c r="AQ59" s="3466"/>
      <c r="AR59" s="3466"/>
      <c r="AS59" s="3254"/>
    </row>
    <row r="60" spans="1:45" s="74" customFormat="1" ht="63" customHeight="1" x14ac:dyDescent="0.25">
      <c r="A60" s="2438"/>
      <c r="B60" s="2439"/>
      <c r="C60" s="579"/>
      <c r="D60" s="737"/>
      <c r="E60" s="2973"/>
      <c r="F60" s="2973"/>
      <c r="G60" s="3579"/>
      <c r="H60" s="3264"/>
      <c r="I60" s="3525"/>
      <c r="J60" s="3264"/>
      <c r="K60" s="3174"/>
      <c r="L60" s="2459"/>
      <c r="M60" s="3174"/>
      <c r="N60" s="2459"/>
      <c r="O60" s="3174"/>
      <c r="P60" s="3187"/>
      <c r="Q60" s="2330"/>
      <c r="R60" s="3247"/>
      <c r="S60" s="3472"/>
      <c r="T60" s="2284"/>
      <c r="U60" s="2528"/>
      <c r="V60" s="3583" t="s">
        <v>847</v>
      </c>
      <c r="W60" s="686">
        <f>10000000+4343000</f>
        <v>14343000</v>
      </c>
      <c r="X60" s="739" t="s">
        <v>845</v>
      </c>
      <c r="Y60" s="755">
        <v>20</v>
      </c>
      <c r="Z60" s="594" t="s">
        <v>403</v>
      </c>
      <c r="AA60" s="2222"/>
      <c r="AB60" s="2222"/>
      <c r="AC60" s="2222"/>
      <c r="AD60" s="2222"/>
      <c r="AE60" s="2222"/>
      <c r="AF60" s="2222"/>
      <c r="AG60" s="2222"/>
      <c r="AH60" s="2222"/>
      <c r="AI60" s="2222"/>
      <c r="AJ60" s="2222"/>
      <c r="AK60" s="2222"/>
      <c r="AL60" s="2222"/>
      <c r="AM60" s="2222"/>
      <c r="AN60" s="2222"/>
      <c r="AO60" s="2222"/>
      <c r="AP60" s="3254"/>
      <c r="AQ60" s="3466"/>
      <c r="AR60" s="3466"/>
      <c r="AS60" s="3254"/>
    </row>
    <row r="61" spans="1:45" s="74" customFormat="1" ht="63" customHeight="1" x14ac:dyDescent="0.25">
      <c r="A61" s="2438"/>
      <c r="B61" s="2439"/>
      <c r="C61" s="579"/>
      <c r="D61" s="737"/>
      <c r="E61" s="2973"/>
      <c r="F61" s="2973"/>
      <c r="G61" s="3491"/>
      <c r="H61" s="3265"/>
      <c r="I61" s="3526"/>
      <c r="J61" s="3590"/>
      <c r="K61" s="3175"/>
      <c r="L61" s="2460"/>
      <c r="M61" s="3175"/>
      <c r="N61" s="3588"/>
      <c r="O61" s="3175"/>
      <c r="P61" s="3187"/>
      <c r="Q61" s="2330"/>
      <c r="R61" s="3210"/>
      <c r="S61" s="3472"/>
      <c r="T61" s="2284"/>
      <c r="U61" s="2528"/>
      <c r="V61" s="3505"/>
      <c r="W61" s="686">
        <v>12985000</v>
      </c>
      <c r="X61" s="739" t="s">
        <v>848</v>
      </c>
      <c r="Y61" s="755">
        <v>88</v>
      </c>
      <c r="Z61" s="594" t="s">
        <v>753</v>
      </c>
      <c r="AA61" s="2222"/>
      <c r="AB61" s="2222"/>
      <c r="AC61" s="2222"/>
      <c r="AD61" s="2222"/>
      <c r="AE61" s="2222"/>
      <c r="AF61" s="2222"/>
      <c r="AG61" s="2222"/>
      <c r="AH61" s="2222"/>
      <c r="AI61" s="2222"/>
      <c r="AJ61" s="2222"/>
      <c r="AK61" s="2222"/>
      <c r="AL61" s="2222"/>
      <c r="AM61" s="2222"/>
      <c r="AN61" s="2222"/>
      <c r="AO61" s="2222"/>
      <c r="AP61" s="3254"/>
      <c r="AQ61" s="3466"/>
      <c r="AR61" s="3466"/>
      <c r="AS61" s="3254"/>
    </row>
    <row r="62" spans="1:45" s="74" customFormat="1" ht="154.5" customHeight="1" x14ac:dyDescent="0.25">
      <c r="A62" s="2438"/>
      <c r="B62" s="2439"/>
      <c r="C62" s="579"/>
      <c r="D62" s="737"/>
      <c r="E62" s="2973"/>
      <c r="F62" s="2973"/>
      <c r="G62" s="756">
        <v>4102022</v>
      </c>
      <c r="H62" s="757" t="s">
        <v>849</v>
      </c>
      <c r="I62" s="758">
        <v>4102046</v>
      </c>
      <c r="J62" s="759" t="s">
        <v>850</v>
      </c>
      <c r="K62" s="760">
        <v>410204600</v>
      </c>
      <c r="L62" s="591" t="s">
        <v>851</v>
      </c>
      <c r="M62" s="760">
        <v>410204600</v>
      </c>
      <c r="N62" s="759" t="s">
        <v>852</v>
      </c>
      <c r="O62" s="760">
        <v>16</v>
      </c>
      <c r="P62" s="3187"/>
      <c r="Q62" s="2330"/>
      <c r="R62" s="761">
        <f>SUM(W62)/S58</f>
        <v>0.35304501323918802</v>
      </c>
      <c r="S62" s="3587"/>
      <c r="T62" s="2285"/>
      <c r="U62" s="2529"/>
      <c r="V62" s="598" t="s">
        <v>853</v>
      </c>
      <c r="W62" s="686">
        <v>18000000</v>
      </c>
      <c r="X62" s="739" t="s">
        <v>854</v>
      </c>
      <c r="Y62" s="755">
        <v>20</v>
      </c>
      <c r="Z62" s="594" t="s">
        <v>403</v>
      </c>
      <c r="AA62" s="3476"/>
      <c r="AB62" s="3476"/>
      <c r="AC62" s="3476"/>
      <c r="AD62" s="3476"/>
      <c r="AE62" s="3476"/>
      <c r="AF62" s="3476"/>
      <c r="AG62" s="3476"/>
      <c r="AH62" s="3476"/>
      <c r="AI62" s="3476"/>
      <c r="AJ62" s="3476"/>
      <c r="AK62" s="3476"/>
      <c r="AL62" s="3476"/>
      <c r="AM62" s="3476"/>
      <c r="AN62" s="3476"/>
      <c r="AO62" s="3476"/>
      <c r="AP62" s="3208"/>
      <c r="AQ62" s="3475"/>
      <c r="AR62" s="3475"/>
      <c r="AS62" s="3208"/>
    </row>
    <row r="63" spans="1:45" s="74" customFormat="1" ht="66" customHeight="1" x14ac:dyDescent="0.25">
      <c r="A63" s="2438"/>
      <c r="B63" s="2439"/>
      <c r="C63" s="579"/>
      <c r="D63" s="737"/>
      <c r="E63" s="2973"/>
      <c r="F63" s="2973"/>
      <c r="G63" s="3550">
        <v>4102038</v>
      </c>
      <c r="H63" s="3510" t="s">
        <v>855</v>
      </c>
      <c r="I63" s="3492">
        <v>4102038</v>
      </c>
      <c r="J63" s="3510" t="s">
        <v>855</v>
      </c>
      <c r="K63" s="3173">
        <v>410203800</v>
      </c>
      <c r="L63" s="2458" t="s">
        <v>809</v>
      </c>
      <c r="M63" s="3173">
        <v>410203800</v>
      </c>
      <c r="N63" s="2458" t="s">
        <v>809</v>
      </c>
      <c r="O63" s="3173">
        <v>10</v>
      </c>
      <c r="P63" s="3173" t="s">
        <v>856</v>
      </c>
      <c r="Q63" s="2458" t="s">
        <v>857</v>
      </c>
      <c r="R63" s="3209">
        <f>SUM(W63:W67)/S63</f>
        <v>1</v>
      </c>
      <c r="S63" s="3471">
        <f>SUM(W63:W67)</f>
        <v>37000000</v>
      </c>
      <c r="T63" s="2527" t="s">
        <v>858</v>
      </c>
      <c r="U63" s="2527" t="s">
        <v>859</v>
      </c>
      <c r="V63" s="762" t="s">
        <v>860</v>
      </c>
      <c r="W63" s="763">
        <v>18000000</v>
      </c>
      <c r="X63" s="287" t="s">
        <v>861</v>
      </c>
      <c r="Y63" s="3585">
        <v>20</v>
      </c>
      <c r="Z63" s="2495" t="s">
        <v>403</v>
      </c>
      <c r="AA63" s="3207"/>
      <c r="AB63" s="3207">
        <v>10</v>
      </c>
      <c r="AC63" s="3207"/>
      <c r="AD63" s="3207">
        <v>10</v>
      </c>
      <c r="AE63" s="3207"/>
      <c r="AF63" s="3207"/>
      <c r="AG63" s="3207"/>
      <c r="AH63" s="3207"/>
      <c r="AI63" s="3207"/>
      <c r="AJ63" s="3207"/>
      <c r="AK63" s="3207"/>
      <c r="AL63" s="3207"/>
      <c r="AM63" s="3207"/>
      <c r="AN63" s="3207"/>
      <c r="AO63" s="3207"/>
      <c r="AP63" s="3207">
        <f>AB63</f>
        <v>10</v>
      </c>
      <c r="AQ63" s="3582">
        <v>44197</v>
      </c>
      <c r="AR63" s="3582">
        <v>44561</v>
      </c>
      <c r="AS63" s="3207" t="s">
        <v>740</v>
      </c>
    </row>
    <row r="64" spans="1:45" s="74" customFormat="1" ht="71.25" customHeight="1" x14ac:dyDescent="0.25">
      <c r="A64" s="2438"/>
      <c r="B64" s="2439"/>
      <c r="C64" s="579"/>
      <c r="D64" s="737"/>
      <c r="E64" s="2973"/>
      <c r="F64" s="2973"/>
      <c r="G64" s="3550"/>
      <c r="H64" s="3511"/>
      <c r="I64" s="3492"/>
      <c r="J64" s="3511"/>
      <c r="K64" s="3174"/>
      <c r="L64" s="2459"/>
      <c r="M64" s="3174"/>
      <c r="N64" s="2459"/>
      <c r="O64" s="3174"/>
      <c r="P64" s="3174"/>
      <c r="Q64" s="2459"/>
      <c r="R64" s="3247"/>
      <c r="S64" s="3472"/>
      <c r="T64" s="2528"/>
      <c r="U64" s="2528"/>
      <c r="V64" s="762" t="s">
        <v>862</v>
      </c>
      <c r="W64" s="763">
        <v>4000000</v>
      </c>
      <c r="X64" s="287" t="s">
        <v>861</v>
      </c>
      <c r="Y64" s="3478"/>
      <c r="Z64" s="2495"/>
      <c r="AA64" s="3254"/>
      <c r="AB64" s="3254"/>
      <c r="AC64" s="3254"/>
      <c r="AD64" s="3254"/>
      <c r="AE64" s="3254"/>
      <c r="AF64" s="3254"/>
      <c r="AG64" s="3254"/>
      <c r="AH64" s="3254"/>
      <c r="AI64" s="3254"/>
      <c r="AJ64" s="3254"/>
      <c r="AK64" s="3254"/>
      <c r="AL64" s="3254"/>
      <c r="AM64" s="3254"/>
      <c r="AN64" s="3254"/>
      <c r="AO64" s="3254"/>
      <c r="AP64" s="3254"/>
      <c r="AQ64" s="3466"/>
      <c r="AR64" s="3466"/>
      <c r="AS64" s="3254"/>
    </row>
    <row r="65" spans="1:45" s="74" customFormat="1" ht="60" customHeight="1" x14ac:dyDescent="0.25">
      <c r="A65" s="2438"/>
      <c r="B65" s="2439"/>
      <c r="C65" s="579"/>
      <c r="D65" s="737"/>
      <c r="E65" s="2973"/>
      <c r="F65" s="2973"/>
      <c r="G65" s="3550"/>
      <c r="H65" s="3511"/>
      <c r="I65" s="3492"/>
      <c r="J65" s="3511"/>
      <c r="K65" s="3174"/>
      <c r="L65" s="2459"/>
      <c r="M65" s="3174"/>
      <c r="N65" s="2459"/>
      <c r="O65" s="3174"/>
      <c r="P65" s="3174"/>
      <c r="Q65" s="2459"/>
      <c r="R65" s="3247"/>
      <c r="S65" s="3472"/>
      <c r="T65" s="2528"/>
      <c r="U65" s="2528"/>
      <c r="V65" s="762" t="s">
        <v>863</v>
      </c>
      <c r="W65" s="763">
        <v>8000000</v>
      </c>
      <c r="X65" s="287" t="s">
        <v>861</v>
      </c>
      <c r="Y65" s="3478"/>
      <c r="Z65" s="2495"/>
      <c r="AA65" s="3254"/>
      <c r="AB65" s="3254"/>
      <c r="AC65" s="3254"/>
      <c r="AD65" s="3254"/>
      <c r="AE65" s="3254"/>
      <c r="AF65" s="3254"/>
      <c r="AG65" s="3254"/>
      <c r="AH65" s="3254"/>
      <c r="AI65" s="3254"/>
      <c r="AJ65" s="3254"/>
      <c r="AK65" s="3254"/>
      <c r="AL65" s="3254"/>
      <c r="AM65" s="3254"/>
      <c r="AN65" s="3254"/>
      <c r="AO65" s="3254"/>
      <c r="AP65" s="3254"/>
      <c r="AQ65" s="3466"/>
      <c r="AR65" s="3466"/>
      <c r="AS65" s="3254"/>
    </row>
    <row r="66" spans="1:45" s="74" customFormat="1" ht="69.75" customHeight="1" x14ac:dyDescent="0.25">
      <c r="A66" s="2438"/>
      <c r="B66" s="2439"/>
      <c r="C66" s="579"/>
      <c r="D66" s="737"/>
      <c r="E66" s="2973"/>
      <c r="F66" s="2973"/>
      <c r="G66" s="3550"/>
      <c r="H66" s="3511"/>
      <c r="I66" s="3492"/>
      <c r="J66" s="3511"/>
      <c r="K66" s="3174"/>
      <c r="L66" s="2459"/>
      <c r="M66" s="3174"/>
      <c r="N66" s="2459"/>
      <c r="O66" s="3174"/>
      <c r="P66" s="3174"/>
      <c r="Q66" s="2459"/>
      <c r="R66" s="3247"/>
      <c r="S66" s="3472"/>
      <c r="T66" s="2528"/>
      <c r="U66" s="2528"/>
      <c r="V66" s="762" t="s">
        <v>864</v>
      </c>
      <c r="W66" s="763">
        <v>4000000</v>
      </c>
      <c r="X66" s="287" t="s">
        <v>861</v>
      </c>
      <c r="Y66" s="3478"/>
      <c r="Z66" s="2495"/>
      <c r="AA66" s="3254"/>
      <c r="AB66" s="3254"/>
      <c r="AC66" s="3254"/>
      <c r="AD66" s="3254"/>
      <c r="AE66" s="3254"/>
      <c r="AF66" s="3254"/>
      <c r="AG66" s="3254"/>
      <c r="AH66" s="3254"/>
      <c r="AI66" s="3254"/>
      <c r="AJ66" s="3254"/>
      <c r="AK66" s="3254"/>
      <c r="AL66" s="3254"/>
      <c r="AM66" s="3254"/>
      <c r="AN66" s="3254"/>
      <c r="AO66" s="3254"/>
      <c r="AP66" s="3254"/>
      <c r="AQ66" s="3466"/>
      <c r="AR66" s="3466"/>
      <c r="AS66" s="3254"/>
    </row>
    <row r="67" spans="1:45" s="74" customFormat="1" ht="60" customHeight="1" x14ac:dyDescent="0.25">
      <c r="A67" s="2438"/>
      <c r="B67" s="2439"/>
      <c r="C67" s="579"/>
      <c r="D67" s="737"/>
      <c r="E67" s="2973"/>
      <c r="F67" s="2974"/>
      <c r="G67" s="3589"/>
      <c r="H67" s="3511"/>
      <c r="I67" s="3513"/>
      <c r="J67" s="3511"/>
      <c r="K67" s="3174"/>
      <c r="L67" s="2459"/>
      <c r="M67" s="3174"/>
      <c r="N67" s="2459"/>
      <c r="O67" s="3174"/>
      <c r="P67" s="3174"/>
      <c r="Q67" s="2459"/>
      <c r="R67" s="3247"/>
      <c r="S67" s="3472"/>
      <c r="T67" s="2528"/>
      <c r="U67" s="2528"/>
      <c r="V67" s="764" t="s">
        <v>865</v>
      </c>
      <c r="W67" s="765">
        <v>3000000</v>
      </c>
      <c r="X67" s="287" t="s">
        <v>861</v>
      </c>
      <c r="Y67" s="3478"/>
      <c r="Z67" s="2495"/>
      <c r="AA67" s="3254"/>
      <c r="AB67" s="3254"/>
      <c r="AC67" s="3254"/>
      <c r="AD67" s="3254"/>
      <c r="AE67" s="3254"/>
      <c r="AF67" s="3254"/>
      <c r="AG67" s="3254"/>
      <c r="AH67" s="3254"/>
      <c r="AI67" s="3254"/>
      <c r="AJ67" s="3254"/>
      <c r="AK67" s="3254"/>
      <c r="AL67" s="3254"/>
      <c r="AM67" s="3254"/>
      <c r="AN67" s="3254"/>
      <c r="AO67" s="3254"/>
      <c r="AP67" s="3254"/>
      <c r="AQ67" s="3466"/>
      <c r="AR67" s="3466"/>
      <c r="AS67" s="3254"/>
    </row>
    <row r="68" spans="1:45" s="3" customFormat="1" ht="27" customHeight="1" x14ac:dyDescent="0.25">
      <c r="A68" s="2438"/>
      <c r="B68" s="2439"/>
      <c r="C68" s="585"/>
      <c r="D68" s="586"/>
      <c r="E68" s="426">
        <v>4103</v>
      </c>
      <c r="F68" s="734" t="s">
        <v>866</v>
      </c>
      <c r="G68" s="735"/>
      <c r="H68" s="735"/>
      <c r="I68" s="735"/>
      <c r="J68" s="735"/>
      <c r="K68" s="735"/>
      <c r="L68" s="735"/>
      <c r="M68" s="736"/>
      <c r="N68" s="766"/>
      <c r="O68" s="709"/>
      <c r="P68" s="709"/>
      <c r="Q68" s="767"/>
      <c r="R68" s="710"/>
      <c r="S68" s="711"/>
      <c r="T68" s="767"/>
      <c r="U68" s="767"/>
      <c r="V68" s="767"/>
      <c r="W68" s="711"/>
      <c r="X68" s="549"/>
      <c r="Y68" s="712"/>
      <c r="Z68" s="169"/>
      <c r="AA68" s="709"/>
      <c r="AB68" s="709"/>
      <c r="AC68" s="709"/>
      <c r="AD68" s="709"/>
      <c r="AE68" s="709"/>
      <c r="AF68" s="709"/>
      <c r="AG68" s="709"/>
      <c r="AH68" s="709"/>
      <c r="AI68" s="709"/>
      <c r="AJ68" s="709"/>
      <c r="AK68" s="709"/>
      <c r="AL68" s="709"/>
      <c r="AM68" s="709"/>
      <c r="AN68" s="709"/>
      <c r="AO68" s="709"/>
      <c r="AP68" s="709"/>
      <c r="AQ68" s="713"/>
      <c r="AR68" s="713"/>
      <c r="AS68" s="714"/>
    </row>
    <row r="69" spans="1:45" s="74" customFormat="1" ht="172.5" customHeight="1" x14ac:dyDescent="0.25">
      <c r="A69" s="2438"/>
      <c r="B69" s="2439"/>
      <c r="C69" s="579"/>
      <c r="D69" s="580"/>
      <c r="E69" s="3506"/>
      <c r="F69" s="3506"/>
      <c r="G69" s="758">
        <v>4103059</v>
      </c>
      <c r="H69" s="747" t="s">
        <v>867</v>
      </c>
      <c r="I69" s="746">
        <v>4103059</v>
      </c>
      <c r="J69" s="747" t="s">
        <v>867</v>
      </c>
      <c r="K69" s="738">
        <v>410305900</v>
      </c>
      <c r="L69" s="592" t="s">
        <v>868</v>
      </c>
      <c r="M69" s="738">
        <v>410305900</v>
      </c>
      <c r="N69" s="592" t="s">
        <v>868</v>
      </c>
      <c r="O69" s="738">
        <v>10</v>
      </c>
      <c r="P69" s="768" t="s">
        <v>869</v>
      </c>
      <c r="Q69" s="593" t="s">
        <v>870</v>
      </c>
      <c r="R69" s="769">
        <f>SUM(W69)/S69</f>
        <v>1</v>
      </c>
      <c r="S69" s="719">
        <f>SUM(W69)</f>
        <v>15000000</v>
      </c>
      <c r="T69" s="576" t="s">
        <v>871</v>
      </c>
      <c r="U69" s="600" t="s">
        <v>737</v>
      </c>
      <c r="V69" s="598" t="s">
        <v>872</v>
      </c>
      <c r="W69" s="686">
        <v>15000000</v>
      </c>
      <c r="X69" s="77" t="s">
        <v>873</v>
      </c>
      <c r="Y69" s="770">
        <v>20</v>
      </c>
      <c r="Z69" s="771" t="s">
        <v>403</v>
      </c>
      <c r="AA69" s="568">
        <v>4</v>
      </c>
      <c r="AB69" s="722">
        <v>6</v>
      </c>
      <c r="AC69" s="722" t="s">
        <v>134</v>
      </c>
      <c r="AD69" s="722">
        <v>10</v>
      </c>
      <c r="AE69" s="723"/>
      <c r="AF69" s="723"/>
      <c r="AG69" s="723"/>
      <c r="AH69" s="723"/>
      <c r="AI69" s="723"/>
      <c r="AJ69" s="723"/>
      <c r="AK69" s="723"/>
      <c r="AL69" s="723"/>
      <c r="AM69" s="723"/>
      <c r="AN69" s="723"/>
      <c r="AO69" s="723"/>
      <c r="AP69" s="723">
        <f>SUM(AA69+AB69)</f>
        <v>10</v>
      </c>
      <c r="AQ69" s="590">
        <v>44197</v>
      </c>
      <c r="AR69" s="590">
        <v>44561</v>
      </c>
      <c r="AS69" s="772" t="s">
        <v>740</v>
      </c>
    </row>
    <row r="70" spans="1:45" s="74" customFormat="1" ht="127.5" customHeight="1" x14ac:dyDescent="0.25">
      <c r="A70" s="2438"/>
      <c r="B70" s="2439"/>
      <c r="C70" s="579"/>
      <c r="D70" s="580"/>
      <c r="E70" s="3506"/>
      <c r="F70" s="3506"/>
      <c r="G70" s="758">
        <v>4103052</v>
      </c>
      <c r="H70" s="757" t="s">
        <v>874</v>
      </c>
      <c r="I70" s="746">
        <v>4103052</v>
      </c>
      <c r="J70" s="757" t="s">
        <v>874</v>
      </c>
      <c r="K70" s="760">
        <v>410305202</v>
      </c>
      <c r="L70" s="591" t="s">
        <v>875</v>
      </c>
      <c r="M70" s="760">
        <v>410305202</v>
      </c>
      <c r="N70" s="591" t="s">
        <v>875</v>
      </c>
      <c r="O70" s="760">
        <v>1</v>
      </c>
      <c r="P70" s="771" t="s">
        <v>876</v>
      </c>
      <c r="Q70" s="591" t="s">
        <v>877</v>
      </c>
      <c r="R70" s="761">
        <f>SUM(W70)/S70</f>
        <v>1</v>
      </c>
      <c r="S70" s="773">
        <f>SUM(W70)</f>
        <v>20000000</v>
      </c>
      <c r="T70" s="575" t="s">
        <v>878</v>
      </c>
      <c r="U70" s="599" t="s">
        <v>879</v>
      </c>
      <c r="V70" s="575" t="s">
        <v>880</v>
      </c>
      <c r="W70" s="693">
        <v>20000000</v>
      </c>
      <c r="X70" s="77" t="s">
        <v>881</v>
      </c>
      <c r="Y70" s="774">
        <v>20</v>
      </c>
      <c r="Z70" s="594" t="s">
        <v>403</v>
      </c>
      <c r="AA70" s="775">
        <v>300</v>
      </c>
      <c r="AB70" s="775">
        <v>300</v>
      </c>
      <c r="AC70" s="775"/>
      <c r="AD70" s="775"/>
      <c r="AE70" s="775"/>
      <c r="AF70" s="775"/>
      <c r="AG70" s="775"/>
      <c r="AH70" s="775"/>
      <c r="AI70" s="775"/>
      <c r="AJ70" s="775"/>
      <c r="AK70" s="775"/>
      <c r="AL70" s="775"/>
      <c r="AM70" s="775"/>
      <c r="AN70" s="775"/>
      <c r="AO70" s="775"/>
      <c r="AP70" s="775">
        <v>600</v>
      </c>
      <c r="AQ70" s="776">
        <v>44197</v>
      </c>
      <c r="AR70" s="776">
        <v>44561</v>
      </c>
      <c r="AS70" s="775" t="s">
        <v>882</v>
      </c>
    </row>
    <row r="71" spans="1:45" s="74" customFormat="1" ht="71.25" customHeight="1" x14ac:dyDescent="0.25">
      <c r="A71" s="2438"/>
      <c r="B71" s="2439"/>
      <c r="C71" s="579"/>
      <c r="D71" s="580"/>
      <c r="E71" s="3506"/>
      <c r="F71" s="3506"/>
      <c r="G71" s="3492">
        <v>4103050</v>
      </c>
      <c r="H71" s="3510" t="s">
        <v>883</v>
      </c>
      <c r="I71" s="3550">
        <v>4103050</v>
      </c>
      <c r="J71" s="3510" t="s">
        <v>883</v>
      </c>
      <c r="K71" s="3173">
        <v>410305001</v>
      </c>
      <c r="L71" s="2458" t="s">
        <v>884</v>
      </c>
      <c r="M71" s="3173">
        <v>410305001</v>
      </c>
      <c r="N71" s="2458" t="s">
        <v>884</v>
      </c>
      <c r="O71" s="3173">
        <v>12</v>
      </c>
      <c r="P71" s="3173" t="s">
        <v>885</v>
      </c>
      <c r="Q71" s="2330" t="s">
        <v>886</v>
      </c>
      <c r="R71" s="3209">
        <f>SUM(W71:W73)/S71</f>
        <v>1</v>
      </c>
      <c r="S71" s="3471">
        <f>SUM(W71:W73)</f>
        <v>25000000</v>
      </c>
      <c r="T71" s="2283" t="s">
        <v>887</v>
      </c>
      <c r="U71" s="2527" t="s">
        <v>832</v>
      </c>
      <c r="V71" s="2283" t="s">
        <v>888</v>
      </c>
      <c r="W71" s="777">
        <v>0</v>
      </c>
      <c r="X71" s="778" t="s">
        <v>889</v>
      </c>
      <c r="Y71" s="779">
        <v>20</v>
      </c>
      <c r="Z71" s="775" t="s">
        <v>403</v>
      </c>
      <c r="AA71" s="2229">
        <v>20</v>
      </c>
      <c r="AB71" s="2221">
        <v>10</v>
      </c>
      <c r="AC71" s="2221">
        <v>10</v>
      </c>
      <c r="AD71" s="2221" t="s">
        <v>134</v>
      </c>
      <c r="AE71" s="2221">
        <v>0</v>
      </c>
      <c r="AF71" s="3207"/>
      <c r="AG71" s="3207"/>
      <c r="AH71" s="3207"/>
      <c r="AI71" s="3207"/>
      <c r="AJ71" s="3207"/>
      <c r="AK71" s="3207"/>
      <c r="AL71" s="3207"/>
      <c r="AM71" s="3207"/>
      <c r="AN71" s="3207"/>
      <c r="AO71" s="3207"/>
      <c r="AP71" s="3207">
        <f>AA71+AB71</f>
        <v>30</v>
      </c>
      <c r="AQ71" s="3582">
        <v>44197</v>
      </c>
      <c r="AR71" s="3582">
        <v>44561</v>
      </c>
      <c r="AS71" s="3207" t="s">
        <v>716</v>
      </c>
    </row>
    <row r="72" spans="1:45" s="74" customFormat="1" ht="60.75" customHeight="1" x14ac:dyDescent="0.25">
      <c r="A72" s="2438"/>
      <c r="B72" s="2439"/>
      <c r="C72" s="579"/>
      <c r="D72" s="580"/>
      <c r="E72" s="3506"/>
      <c r="F72" s="3506"/>
      <c r="G72" s="3492"/>
      <c r="H72" s="3511"/>
      <c r="I72" s="3550"/>
      <c r="J72" s="3511"/>
      <c r="K72" s="3174"/>
      <c r="L72" s="2459"/>
      <c r="M72" s="3174"/>
      <c r="N72" s="2459"/>
      <c r="O72" s="3174"/>
      <c r="P72" s="3174"/>
      <c r="Q72" s="2330"/>
      <c r="R72" s="3247"/>
      <c r="S72" s="3472"/>
      <c r="T72" s="2284"/>
      <c r="U72" s="2528"/>
      <c r="V72" s="2285"/>
      <c r="W72" s="780">
        <v>10000000</v>
      </c>
      <c r="X72" s="778" t="s">
        <v>890</v>
      </c>
      <c r="Y72" s="779">
        <v>20</v>
      </c>
      <c r="Z72" s="775" t="s">
        <v>403</v>
      </c>
      <c r="AA72" s="2230"/>
      <c r="AB72" s="2222"/>
      <c r="AC72" s="2222"/>
      <c r="AD72" s="2222"/>
      <c r="AE72" s="2222"/>
      <c r="AF72" s="3254"/>
      <c r="AG72" s="3254"/>
      <c r="AH72" s="3254"/>
      <c r="AI72" s="3254"/>
      <c r="AJ72" s="3254"/>
      <c r="AK72" s="3254"/>
      <c r="AL72" s="3254"/>
      <c r="AM72" s="3254"/>
      <c r="AN72" s="3254"/>
      <c r="AO72" s="3254"/>
      <c r="AP72" s="3254"/>
      <c r="AQ72" s="3466"/>
      <c r="AR72" s="3466"/>
      <c r="AS72" s="3254"/>
    </row>
    <row r="73" spans="1:45" s="74" customFormat="1" ht="107.25" customHeight="1" x14ac:dyDescent="0.25">
      <c r="A73" s="2438"/>
      <c r="B73" s="2439"/>
      <c r="C73" s="579"/>
      <c r="D73" s="580"/>
      <c r="E73" s="3506"/>
      <c r="F73" s="3506"/>
      <c r="G73" s="3492"/>
      <c r="H73" s="3512"/>
      <c r="I73" s="3550"/>
      <c r="J73" s="3512"/>
      <c r="K73" s="3175"/>
      <c r="L73" s="2460"/>
      <c r="M73" s="3175"/>
      <c r="N73" s="2460"/>
      <c r="O73" s="3175"/>
      <c r="P73" s="3175"/>
      <c r="Q73" s="2330"/>
      <c r="R73" s="3210"/>
      <c r="S73" s="3587"/>
      <c r="T73" s="2285"/>
      <c r="U73" s="2529"/>
      <c r="V73" s="598" t="s">
        <v>891</v>
      </c>
      <c r="W73" s="686">
        <v>15000000</v>
      </c>
      <c r="X73" s="77" t="s">
        <v>890</v>
      </c>
      <c r="Y73" s="774">
        <v>20</v>
      </c>
      <c r="Z73" s="594" t="s">
        <v>403</v>
      </c>
      <c r="AA73" s="3586"/>
      <c r="AB73" s="3476"/>
      <c r="AC73" s="3476"/>
      <c r="AD73" s="3476"/>
      <c r="AE73" s="3476"/>
      <c r="AF73" s="3208"/>
      <c r="AG73" s="3208"/>
      <c r="AH73" s="3208"/>
      <c r="AI73" s="3208"/>
      <c r="AJ73" s="3208"/>
      <c r="AK73" s="3208"/>
      <c r="AL73" s="3208"/>
      <c r="AM73" s="3208"/>
      <c r="AN73" s="3208"/>
      <c r="AO73" s="3208"/>
      <c r="AP73" s="3208"/>
      <c r="AQ73" s="3475"/>
      <c r="AR73" s="3475"/>
      <c r="AS73" s="3208"/>
    </row>
    <row r="74" spans="1:45" s="74" customFormat="1" ht="69" customHeight="1" x14ac:dyDescent="0.25">
      <c r="A74" s="2438"/>
      <c r="B74" s="2439"/>
      <c r="C74" s="579"/>
      <c r="D74" s="580"/>
      <c r="E74" s="3506"/>
      <c r="F74" s="3506"/>
      <c r="G74" s="3492">
        <v>4103058</v>
      </c>
      <c r="H74" s="3510" t="s">
        <v>892</v>
      </c>
      <c r="I74" s="3513">
        <v>4103058</v>
      </c>
      <c r="J74" s="3263" t="s">
        <v>892</v>
      </c>
      <c r="K74" s="3173">
        <v>410305800</v>
      </c>
      <c r="L74" s="2458" t="s">
        <v>893</v>
      </c>
      <c r="M74" s="3173">
        <v>410305800</v>
      </c>
      <c r="N74" s="2458" t="s">
        <v>893</v>
      </c>
      <c r="O74" s="3173">
        <v>2</v>
      </c>
      <c r="P74" s="3173" t="s">
        <v>894</v>
      </c>
      <c r="Q74" s="2458" t="s">
        <v>895</v>
      </c>
      <c r="R74" s="3209">
        <f>SUM(W74:W77)/S74</f>
        <v>1</v>
      </c>
      <c r="S74" s="3471">
        <f>SUM(W74:W77)</f>
        <v>75112368</v>
      </c>
      <c r="T74" s="2283" t="s">
        <v>896</v>
      </c>
      <c r="U74" s="2527" t="s">
        <v>832</v>
      </c>
      <c r="V74" s="598" t="s">
        <v>897</v>
      </c>
      <c r="W74" s="754">
        <f>18000000-3150000</f>
        <v>14850000</v>
      </c>
      <c r="X74" s="70" t="s">
        <v>898</v>
      </c>
      <c r="Y74" s="755">
        <v>20</v>
      </c>
      <c r="Z74" s="594" t="s">
        <v>403</v>
      </c>
      <c r="AA74" s="3584">
        <v>225</v>
      </c>
      <c r="AB74" s="3584">
        <v>225</v>
      </c>
      <c r="AC74" s="3584" t="s">
        <v>134</v>
      </c>
      <c r="AD74" s="3584">
        <v>70</v>
      </c>
      <c r="AE74" s="3584">
        <v>100</v>
      </c>
      <c r="AF74" s="2221">
        <v>50</v>
      </c>
      <c r="AG74" s="2221">
        <v>10</v>
      </c>
      <c r="AH74" s="2221">
        <v>10</v>
      </c>
      <c r="AI74" s="2221" t="s">
        <v>134</v>
      </c>
      <c r="AJ74" s="2221" t="s">
        <v>134</v>
      </c>
      <c r="AK74" s="2221" t="s">
        <v>134</v>
      </c>
      <c r="AL74" s="2221" t="s">
        <v>134</v>
      </c>
      <c r="AM74" s="2221" t="s">
        <v>134</v>
      </c>
      <c r="AN74" s="2221">
        <v>200</v>
      </c>
      <c r="AO74" s="2221">
        <v>10</v>
      </c>
      <c r="AP74" s="3207">
        <v>450</v>
      </c>
      <c r="AQ74" s="3582">
        <v>44197</v>
      </c>
      <c r="AR74" s="3582">
        <v>44561</v>
      </c>
      <c r="AS74" s="3207" t="s">
        <v>899</v>
      </c>
    </row>
    <row r="75" spans="1:45" s="74" customFormat="1" ht="68.25" customHeight="1" x14ac:dyDescent="0.25">
      <c r="A75" s="2438"/>
      <c r="B75" s="2439"/>
      <c r="C75" s="579"/>
      <c r="D75" s="580"/>
      <c r="E75" s="3506"/>
      <c r="F75" s="3506"/>
      <c r="G75" s="3492"/>
      <c r="H75" s="3511"/>
      <c r="I75" s="3579"/>
      <c r="J75" s="3264"/>
      <c r="K75" s="3174"/>
      <c r="L75" s="2459"/>
      <c r="M75" s="3174"/>
      <c r="N75" s="2459"/>
      <c r="O75" s="3174"/>
      <c r="P75" s="3174"/>
      <c r="Q75" s="2459"/>
      <c r="R75" s="3247"/>
      <c r="S75" s="3472"/>
      <c r="T75" s="2284"/>
      <c r="U75" s="2528"/>
      <c r="V75" s="3583" t="s">
        <v>900</v>
      </c>
      <c r="W75" s="754">
        <f>10000000-6000000</f>
        <v>4000000</v>
      </c>
      <c r="X75" s="70" t="s">
        <v>898</v>
      </c>
      <c r="Y75" s="755">
        <v>20</v>
      </c>
      <c r="Z75" s="594" t="s">
        <v>403</v>
      </c>
      <c r="AA75" s="2222"/>
      <c r="AB75" s="2222"/>
      <c r="AC75" s="2222"/>
      <c r="AD75" s="2222"/>
      <c r="AE75" s="2222"/>
      <c r="AF75" s="2222"/>
      <c r="AG75" s="2222"/>
      <c r="AH75" s="2222"/>
      <c r="AI75" s="2222"/>
      <c r="AJ75" s="2222"/>
      <c r="AK75" s="2222"/>
      <c r="AL75" s="2222"/>
      <c r="AM75" s="2222"/>
      <c r="AN75" s="2222"/>
      <c r="AO75" s="2222"/>
      <c r="AP75" s="3254"/>
      <c r="AQ75" s="3466"/>
      <c r="AR75" s="3466"/>
      <c r="AS75" s="3254"/>
    </row>
    <row r="76" spans="1:45" s="74" customFormat="1" ht="65.25" customHeight="1" x14ac:dyDescent="0.25">
      <c r="A76" s="2438"/>
      <c r="B76" s="2439"/>
      <c r="C76" s="579"/>
      <c r="D76" s="580"/>
      <c r="E76" s="3506"/>
      <c r="F76" s="3506"/>
      <c r="G76" s="3492"/>
      <c r="H76" s="3511"/>
      <c r="I76" s="3579"/>
      <c r="J76" s="3264"/>
      <c r="K76" s="3174"/>
      <c r="L76" s="2459"/>
      <c r="M76" s="3174"/>
      <c r="N76" s="2459"/>
      <c r="O76" s="3174"/>
      <c r="P76" s="3174"/>
      <c r="Q76" s="2459"/>
      <c r="R76" s="3247"/>
      <c r="S76" s="3472"/>
      <c r="T76" s="2284"/>
      <c r="U76" s="2528"/>
      <c r="V76" s="3505"/>
      <c r="W76" s="754">
        <v>47112368</v>
      </c>
      <c r="X76" s="70" t="s">
        <v>901</v>
      </c>
      <c r="Y76" s="755">
        <v>88</v>
      </c>
      <c r="Z76" s="594" t="s">
        <v>753</v>
      </c>
      <c r="AA76" s="2222"/>
      <c r="AB76" s="2222"/>
      <c r="AC76" s="2222"/>
      <c r="AD76" s="2222"/>
      <c r="AE76" s="2222"/>
      <c r="AF76" s="2222"/>
      <c r="AG76" s="2222"/>
      <c r="AH76" s="2222"/>
      <c r="AI76" s="2222"/>
      <c r="AJ76" s="2222"/>
      <c r="AK76" s="2222"/>
      <c r="AL76" s="2222"/>
      <c r="AM76" s="2222"/>
      <c r="AN76" s="2222"/>
      <c r="AO76" s="2222"/>
      <c r="AP76" s="3254"/>
      <c r="AQ76" s="3466"/>
      <c r="AR76" s="3466"/>
      <c r="AS76" s="3254"/>
    </row>
    <row r="77" spans="1:45" s="74" customFormat="1" ht="104.25" customHeight="1" x14ac:dyDescent="0.25">
      <c r="A77" s="2438"/>
      <c r="B77" s="2439"/>
      <c r="C77" s="579"/>
      <c r="D77" s="580"/>
      <c r="E77" s="3506"/>
      <c r="F77" s="3506"/>
      <c r="G77" s="3492"/>
      <c r="H77" s="3511"/>
      <c r="I77" s="3579"/>
      <c r="J77" s="3264"/>
      <c r="K77" s="3174"/>
      <c r="L77" s="2459"/>
      <c r="M77" s="3174"/>
      <c r="N77" s="2459"/>
      <c r="O77" s="3174"/>
      <c r="P77" s="3174"/>
      <c r="Q77" s="2459"/>
      <c r="R77" s="3247"/>
      <c r="S77" s="3472"/>
      <c r="T77" s="2284"/>
      <c r="U77" s="2528"/>
      <c r="V77" s="598" t="s">
        <v>821</v>
      </c>
      <c r="W77" s="754">
        <v>9150000</v>
      </c>
      <c r="X77" s="70" t="s">
        <v>902</v>
      </c>
      <c r="Y77" s="755">
        <v>20</v>
      </c>
      <c r="Z77" s="594" t="s">
        <v>403</v>
      </c>
      <c r="AA77" s="2222"/>
      <c r="AB77" s="2222"/>
      <c r="AC77" s="2222"/>
      <c r="AD77" s="2222"/>
      <c r="AE77" s="2222"/>
      <c r="AF77" s="2222"/>
      <c r="AG77" s="2222"/>
      <c r="AH77" s="2222"/>
      <c r="AI77" s="2222"/>
      <c r="AJ77" s="2222"/>
      <c r="AK77" s="2222"/>
      <c r="AL77" s="2222"/>
      <c r="AM77" s="2222"/>
      <c r="AN77" s="2222"/>
      <c r="AO77" s="2222"/>
      <c r="AP77" s="3254"/>
      <c r="AQ77" s="3466"/>
      <c r="AR77" s="3466"/>
      <c r="AS77" s="3254"/>
    </row>
    <row r="78" spans="1:45" s="74" customFormat="1" ht="49.5" customHeight="1" x14ac:dyDescent="0.25">
      <c r="A78" s="2438"/>
      <c r="B78" s="2439"/>
      <c r="C78" s="579"/>
      <c r="D78" s="580"/>
      <c r="E78" s="3506"/>
      <c r="F78" s="3506"/>
      <c r="G78" s="3492" t="s">
        <v>62</v>
      </c>
      <c r="H78" s="3531" t="s">
        <v>903</v>
      </c>
      <c r="I78" s="3492">
        <v>4103060</v>
      </c>
      <c r="J78" s="3355" t="s">
        <v>904</v>
      </c>
      <c r="K78" s="3492" t="s">
        <v>62</v>
      </c>
      <c r="L78" s="3355" t="s">
        <v>905</v>
      </c>
      <c r="M78" s="3492">
        <v>410306000</v>
      </c>
      <c r="N78" s="3355" t="s">
        <v>906</v>
      </c>
      <c r="O78" s="3492">
        <v>5</v>
      </c>
      <c r="P78" s="3513" t="s">
        <v>907</v>
      </c>
      <c r="Q78" s="3355" t="s">
        <v>908</v>
      </c>
      <c r="R78" s="3580">
        <f>SUM(W78:W80)/S78</f>
        <v>0.57446808510638303</v>
      </c>
      <c r="S78" s="2630">
        <f>SUM(W78:W83)</f>
        <v>47000000</v>
      </c>
      <c r="T78" s="2988" t="s">
        <v>909</v>
      </c>
      <c r="U78" s="3107" t="s">
        <v>910</v>
      </c>
      <c r="V78" s="782" t="s">
        <v>911</v>
      </c>
      <c r="W78" s="763">
        <f>10000000-1000000</f>
        <v>9000000</v>
      </c>
      <c r="X78" s="76" t="s">
        <v>912</v>
      </c>
      <c r="Y78" s="3478">
        <v>20</v>
      </c>
      <c r="Z78" s="2495" t="s">
        <v>403</v>
      </c>
      <c r="AA78" s="2150">
        <v>1471</v>
      </c>
      <c r="AB78" s="3484">
        <v>1412</v>
      </c>
      <c r="AC78" s="3572" t="s">
        <v>134</v>
      </c>
      <c r="AD78" s="3484" t="s">
        <v>134</v>
      </c>
      <c r="AE78" s="3572" t="s">
        <v>134</v>
      </c>
      <c r="AF78" s="3484" t="s">
        <v>134</v>
      </c>
      <c r="AG78" s="3572">
        <v>2883</v>
      </c>
      <c r="AH78" s="3484" t="s">
        <v>134</v>
      </c>
      <c r="AI78" s="3572" t="s">
        <v>134</v>
      </c>
      <c r="AJ78" s="3484" t="s">
        <v>134</v>
      </c>
      <c r="AK78" s="3572" t="s">
        <v>134</v>
      </c>
      <c r="AL78" s="3484" t="s">
        <v>134</v>
      </c>
      <c r="AM78" s="3572" t="s">
        <v>134</v>
      </c>
      <c r="AN78" s="3484" t="s">
        <v>134</v>
      </c>
      <c r="AO78" s="3572" t="s">
        <v>134</v>
      </c>
      <c r="AP78" s="3226">
        <v>2883</v>
      </c>
      <c r="AQ78" s="3574">
        <v>44197</v>
      </c>
      <c r="AR78" s="3555">
        <v>44561</v>
      </c>
      <c r="AS78" s="3576" t="s">
        <v>913</v>
      </c>
    </row>
    <row r="79" spans="1:45" s="74" customFormat="1" ht="46.5" customHeight="1" x14ac:dyDescent="0.25">
      <c r="A79" s="2438"/>
      <c r="B79" s="2439"/>
      <c r="C79" s="579"/>
      <c r="D79" s="580"/>
      <c r="E79" s="3506"/>
      <c r="F79" s="3506"/>
      <c r="G79" s="3492"/>
      <c r="H79" s="3531"/>
      <c r="I79" s="3492"/>
      <c r="J79" s="3355"/>
      <c r="K79" s="3492"/>
      <c r="L79" s="3355"/>
      <c r="M79" s="3492"/>
      <c r="N79" s="3355"/>
      <c r="O79" s="3492"/>
      <c r="P79" s="3579"/>
      <c r="Q79" s="3355"/>
      <c r="R79" s="3581"/>
      <c r="S79" s="2630"/>
      <c r="T79" s="2989"/>
      <c r="U79" s="3107"/>
      <c r="V79" s="782" t="s">
        <v>914</v>
      </c>
      <c r="W79" s="763">
        <f>17000000-1000000</f>
        <v>16000000</v>
      </c>
      <c r="X79" s="77" t="s">
        <v>912</v>
      </c>
      <c r="Y79" s="3478"/>
      <c r="Z79" s="2495"/>
      <c r="AA79" s="2150"/>
      <c r="AB79" s="3484"/>
      <c r="AC79" s="3573"/>
      <c r="AD79" s="3484"/>
      <c r="AE79" s="3573"/>
      <c r="AF79" s="3484"/>
      <c r="AG79" s="3573"/>
      <c r="AH79" s="3484"/>
      <c r="AI79" s="3573"/>
      <c r="AJ79" s="3484"/>
      <c r="AK79" s="3573"/>
      <c r="AL79" s="3484"/>
      <c r="AM79" s="3573"/>
      <c r="AN79" s="3484"/>
      <c r="AO79" s="3573"/>
      <c r="AP79" s="3226"/>
      <c r="AQ79" s="3575"/>
      <c r="AR79" s="3555"/>
      <c r="AS79" s="3577"/>
    </row>
    <row r="80" spans="1:45" s="74" customFormat="1" ht="46.5" customHeight="1" x14ac:dyDescent="0.25">
      <c r="A80" s="2438"/>
      <c r="B80" s="2439"/>
      <c r="C80" s="579"/>
      <c r="D80" s="580"/>
      <c r="E80" s="3506"/>
      <c r="F80" s="3506"/>
      <c r="G80" s="3492"/>
      <c r="H80" s="3531"/>
      <c r="I80" s="3492"/>
      <c r="J80" s="3355"/>
      <c r="K80" s="3492"/>
      <c r="L80" s="3355"/>
      <c r="M80" s="3492"/>
      <c r="N80" s="3355"/>
      <c r="O80" s="3492"/>
      <c r="P80" s="3579"/>
      <c r="Q80" s="3355"/>
      <c r="R80" s="3494"/>
      <c r="S80" s="2630"/>
      <c r="T80" s="2989"/>
      <c r="U80" s="3107"/>
      <c r="V80" s="782" t="s">
        <v>915</v>
      </c>
      <c r="W80" s="763">
        <v>2000000</v>
      </c>
      <c r="X80" s="77" t="s">
        <v>916</v>
      </c>
      <c r="Y80" s="3478"/>
      <c r="Z80" s="2495"/>
      <c r="AA80" s="2150"/>
      <c r="AB80" s="3484"/>
      <c r="AC80" s="3573"/>
      <c r="AD80" s="3484"/>
      <c r="AE80" s="3573"/>
      <c r="AF80" s="3484"/>
      <c r="AG80" s="3573"/>
      <c r="AH80" s="3484"/>
      <c r="AI80" s="3573"/>
      <c r="AJ80" s="3484"/>
      <c r="AK80" s="3573"/>
      <c r="AL80" s="3484"/>
      <c r="AM80" s="3573"/>
      <c r="AN80" s="3484"/>
      <c r="AO80" s="3573"/>
      <c r="AP80" s="3226"/>
      <c r="AQ80" s="3575"/>
      <c r="AR80" s="3555"/>
      <c r="AS80" s="3577"/>
    </row>
    <row r="81" spans="1:45" s="74" customFormat="1" ht="54.75" customHeight="1" x14ac:dyDescent="0.25">
      <c r="A81" s="2438"/>
      <c r="B81" s="2439"/>
      <c r="C81" s="579"/>
      <c r="D81" s="580"/>
      <c r="E81" s="3506"/>
      <c r="F81" s="3506"/>
      <c r="G81" s="3492" t="s">
        <v>62</v>
      </c>
      <c r="H81" s="3532" t="s">
        <v>917</v>
      </c>
      <c r="I81" s="3492">
        <v>4103060</v>
      </c>
      <c r="J81" s="3355" t="s">
        <v>904</v>
      </c>
      <c r="K81" s="3492" t="s">
        <v>62</v>
      </c>
      <c r="L81" s="3366" t="s">
        <v>918</v>
      </c>
      <c r="M81" s="3492">
        <v>410306000</v>
      </c>
      <c r="N81" s="3355" t="s">
        <v>906</v>
      </c>
      <c r="O81" s="3492">
        <v>2</v>
      </c>
      <c r="P81" s="3579"/>
      <c r="Q81" s="3355"/>
      <c r="R81" s="3580">
        <f>SUM(W81:W83)/S78</f>
        <v>0.42553191489361702</v>
      </c>
      <c r="S81" s="2630"/>
      <c r="T81" s="2989"/>
      <c r="U81" s="3107"/>
      <c r="V81" s="782" t="s">
        <v>919</v>
      </c>
      <c r="W81" s="763">
        <f>10000000-1000000</f>
        <v>9000000</v>
      </c>
      <c r="X81" s="77" t="s">
        <v>920</v>
      </c>
      <c r="Y81" s="3478"/>
      <c r="Z81" s="2495"/>
      <c r="AA81" s="2150"/>
      <c r="AB81" s="3484"/>
      <c r="AC81" s="3573"/>
      <c r="AD81" s="3484"/>
      <c r="AE81" s="3573"/>
      <c r="AF81" s="3484"/>
      <c r="AG81" s="3573"/>
      <c r="AH81" s="3484"/>
      <c r="AI81" s="3573"/>
      <c r="AJ81" s="3484"/>
      <c r="AK81" s="3573"/>
      <c r="AL81" s="3484"/>
      <c r="AM81" s="3573"/>
      <c r="AN81" s="3484"/>
      <c r="AO81" s="3573"/>
      <c r="AP81" s="3226"/>
      <c r="AQ81" s="3575"/>
      <c r="AR81" s="3555"/>
      <c r="AS81" s="3577"/>
    </row>
    <row r="82" spans="1:45" s="74" customFormat="1" ht="54.75" customHeight="1" x14ac:dyDescent="0.25">
      <c r="A82" s="2438"/>
      <c r="B82" s="2439"/>
      <c r="C82" s="579"/>
      <c r="D82" s="580"/>
      <c r="E82" s="3506"/>
      <c r="F82" s="3506"/>
      <c r="G82" s="3492"/>
      <c r="H82" s="3570"/>
      <c r="I82" s="3492"/>
      <c r="J82" s="3355"/>
      <c r="K82" s="3492"/>
      <c r="L82" s="3571"/>
      <c r="M82" s="3492"/>
      <c r="N82" s="3355"/>
      <c r="O82" s="3492"/>
      <c r="P82" s="3579"/>
      <c r="Q82" s="3355"/>
      <c r="R82" s="3581"/>
      <c r="S82" s="2630"/>
      <c r="T82" s="2989"/>
      <c r="U82" s="3107"/>
      <c r="V82" s="782" t="s">
        <v>921</v>
      </c>
      <c r="W82" s="763">
        <f>10000000-1000000</f>
        <v>9000000</v>
      </c>
      <c r="X82" s="77" t="s">
        <v>920</v>
      </c>
      <c r="Y82" s="3478"/>
      <c r="Z82" s="2495"/>
      <c r="AA82" s="2150"/>
      <c r="AB82" s="3484"/>
      <c r="AC82" s="3573"/>
      <c r="AD82" s="3484"/>
      <c r="AE82" s="3573"/>
      <c r="AF82" s="3484"/>
      <c r="AG82" s="3573"/>
      <c r="AH82" s="3484"/>
      <c r="AI82" s="3573"/>
      <c r="AJ82" s="3484"/>
      <c r="AK82" s="3573"/>
      <c r="AL82" s="3484"/>
      <c r="AM82" s="3573"/>
      <c r="AN82" s="3484"/>
      <c r="AO82" s="3573"/>
      <c r="AP82" s="3226"/>
      <c r="AQ82" s="3575"/>
      <c r="AR82" s="3555"/>
      <c r="AS82" s="3577"/>
    </row>
    <row r="83" spans="1:45" s="74" customFormat="1" ht="54.75" customHeight="1" x14ac:dyDescent="0.25">
      <c r="A83" s="2438"/>
      <c r="B83" s="2439"/>
      <c r="C83" s="579"/>
      <c r="D83" s="580"/>
      <c r="E83" s="3506"/>
      <c r="F83" s="3506"/>
      <c r="G83" s="3492"/>
      <c r="H83" s="3530"/>
      <c r="I83" s="3492"/>
      <c r="J83" s="3355"/>
      <c r="K83" s="3492"/>
      <c r="L83" s="3493"/>
      <c r="M83" s="3492"/>
      <c r="N83" s="3355"/>
      <c r="O83" s="3492"/>
      <c r="P83" s="3491"/>
      <c r="Q83" s="3355"/>
      <c r="R83" s="3494"/>
      <c r="S83" s="2630"/>
      <c r="T83" s="3046"/>
      <c r="U83" s="3107"/>
      <c r="V83" s="782" t="s">
        <v>915</v>
      </c>
      <c r="W83" s="754">
        <v>2000000</v>
      </c>
      <c r="X83" s="778" t="s">
        <v>922</v>
      </c>
      <c r="Y83" s="3478"/>
      <c r="Z83" s="2495"/>
      <c r="AA83" s="2150"/>
      <c r="AB83" s="3484"/>
      <c r="AC83" s="3561"/>
      <c r="AD83" s="3484"/>
      <c r="AE83" s="3561"/>
      <c r="AF83" s="3484"/>
      <c r="AG83" s="3561"/>
      <c r="AH83" s="3484"/>
      <c r="AI83" s="3561"/>
      <c r="AJ83" s="3484"/>
      <c r="AK83" s="3561"/>
      <c r="AL83" s="3484"/>
      <c r="AM83" s="3561"/>
      <c r="AN83" s="3484"/>
      <c r="AO83" s="3561"/>
      <c r="AP83" s="3226"/>
      <c r="AQ83" s="3554"/>
      <c r="AR83" s="3555"/>
      <c r="AS83" s="3578"/>
    </row>
    <row r="84" spans="1:45" s="74" customFormat="1" ht="74.25" customHeight="1" x14ac:dyDescent="0.25">
      <c r="A84" s="2438"/>
      <c r="B84" s="2439"/>
      <c r="C84" s="579"/>
      <c r="D84" s="580"/>
      <c r="E84" s="3506"/>
      <c r="F84" s="3506"/>
      <c r="G84" s="3492" t="s">
        <v>62</v>
      </c>
      <c r="H84" s="3530" t="s">
        <v>923</v>
      </c>
      <c r="I84" s="3516">
        <v>4103052</v>
      </c>
      <c r="J84" s="3493" t="s">
        <v>874</v>
      </c>
      <c r="K84" s="3552" t="s">
        <v>62</v>
      </c>
      <c r="L84" s="3493" t="s">
        <v>924</v>
      </c>
      <c r="M84" s="3552">
        <v>410305202</v>
      </c>
      <c r="N84" s="3493" t="s">
        <v>875</v>
      </c>
      <c r="O84" s="3569">
        <v>1</v>
      </c>
      <c r="P84" s="3491" t="s">
        <v>925</v>
      </c>
      <c r="Q84" s="3536" t="s">
        <v>926</v>
      </c>
      <c r="R84" s="3494">
        <f>SUM(W84:W89)/S84</f>
        <v>1</v>
      </c>
      <c r="S84" s="3562">
        <f>SUM(W84:W89)</f>
        <v>51681346</v>
      </c>
      <c r="T84" s="3046" t="s">
        <v>927</v>
      </c>
      <c r="U84" s="3507" t="s">
        <v>928</v>
      </c>
      <c r="V84" s="3564" t="s">
        <v>929</v>
      </c>
      <c r="W84" s="686">
        <v>35500000</v>
      </c>
      <c r="X84" s="70" t="s">
        <v>930</v>
      </c>
      <c r="Y84" s="755">
        <v>20</v>
      </c>
      <c r="Z84" s="594" t="s">
        <v>403</v>
      </c>
      <c r="AA84" s="3561">
        <v>3152</v>
      </c>
      <c r="AB84" s="3566">
        <v>2908</v>
      </c>
      <c r="AC84" s="3561" t="s">
        <v>134</v>
      </c>
      <c r="AD84" s="3483" t="s">
        <v>134</v>
      </c>
      <c r="AE84" s="3561" t="s">
        <v>134</v>
      </c>
      <c r="AF84" s="3483" t="s">
        <v>134</v>
      </c>
      <c r="AG84" s="3561" t="s">
        <v>134</v>
      </c>
      <c r="AH84" s="3483">
        <v>6060</v>
      </c>
      <c r="AI84" s="3489"/>
      <c r="AJ84" s="3480"/>
      <c r="AK84" s="3489"/>
      <c r="AL84" s="3480"/>
      <c r="AM84" s="3489"/>
      <c r="AN84" s="3480"/>
      <c r="AO84" s="3489"/>
      <c r="AP84" s="3480">
        <v>6060</v>
      </c>
      <c r="AQ84" s="3554">
        <v>44197</v>
      </c>
      <c r="AR84" s="3554">
        <v>44561</v>
      </c>
      <c r="AS84" s="3556" t="s">
        <v>913</v>
      </c>
    </row>
    <row r="85" spans="1:45" s="74" customFormat="1" ht="74.25" customHeight="1" x14ac:dyDescent="0.25">
      <c r="A85" s="2438"/>
      <c r="B85" s="2439"/>
      <c r="C85" s="579"/>
      <c r="D85" s="580"/>
      <c r="E85" s="3506"/>
      <c r="F85" s="3506"/>
      <c r="G85" s="3492"/>
      <c r="H85" s="3530"/>
      <c r="I85" s="3516"/>
      <c r="J85" s="3493"/>
      <c r="K85" s="3552"/>
      <c r="L85" s="3493"/>
      <c r="M85" s="3552"/>
      <c r="N85" s="3493"/>
      <c r="O85" s="3569"/>
      <c r="P85" s="3491"/>
      <c r="Q85" s="3536"/>
      <c r="R85" s="3494"/>
      <c r="S85" s="3562"/>
      <c r="T85" s="3046"/>
      <c r="U85" s="3507"/>
      <c r="V85" s="3565"/>
      <c r="W85" s="686">
        <v>11681000</v>
      </c>
      <c r="X85" s="70" t="s">
        <v>931</v>
      </c>
      <c r="Y85" s="755">
        <v>88</v>
      </c>
      <c r="Z85" s="594" t="s">
        <v>753</v>
      </c>
      <c r="AA85" s="3561"/>
      <c r="AB85" s="3566"/>
      <c r="AC85" s="3561"/>
      <c r="AD85" s="3483"/>
      <c r="AE85" s="3561"/>
      <c r="AF85" s="3483"/>
      <c r="AG85" s="3561"/>
      <c r="AH85" s="3483"/>
      <c r="AI85" s="3489"/>
      <c r="AJ85" s="3480"/>
      <c r="AK85" s="3489"/>
      <c r="AL85" s="3480"/>
      <c r="AM85" s="3489"/>
      <c r="AN85" s="3480"/>
      <c r="AO85" s="3489"/>
      <c r="AP85" s="3480"/>
      <c r="AQ85" s="3554"/>
      <c r="AR85" s="3554"/>
      <c r="AS85" s="3557"/>
    </row>
    <row r="86" spans="1:45" s="74" customFormat="1" ht="46.5" customHeight="1" x14ac:dyDescent="0.25">
      <c r="A86" s="2438"/>
      <c r="B86" s="2439"/>
      <c r="C86" s="579"/>
      <c r="D86" s="580"/>
      <c r="E86" s="3506"/>
      <c r="F86" s="3506"/>
      <c r="G86" s="3492"/>
      <c r="H86" s="3531"/>
      <c r="I86" s="3551"/>
      <c r="J86" s="3355"/>
      <c r="K86" s="3553"/>
      <c r="L86" s="3355"/>
      <c r="M86" s="3553"/>
      <c r="N86" s="3355"/>
      <c r="O86" s="3569"/>
      <c r="P86" s="3492"/>
      <c r="Q86" s="3537"/>
      <c r="R86" s="3495"/>
      <c r="S86" s="3539"/>
      <c r="T86" s="2993"/>
      <c r="U86" s="3508"/>
      <c r="V86" s="588" t="s">
        <v>802</v>
      </c>
      <c r="W86" s="783">
        <v>1000000</v>
      </c>
      <c r="X86" s="70" t="s">
        <v>930</v>
      </c>
      <c r="Y86" s="755">
        <v>20</v>
      </c>
      <c r="Z86" s="594" t="s">
        <v>403</v>
      </c>
      <c r="AA86" s="3496"/>
      <c r="AB86" s="3567"/>
      <c r="AC86" s="3496"/>
      <c r="AD86" s="3484"/>
      <c r="AE86" s="3496"/>
      <c r="AF86" s="3484"/>
      <c r="AG86" s="3496"/>
      <c r="AH86" s="3484"/>
      <c r="AI86" s="3490"/>
      <c r="AJ86" s="3226"/>
      <c r="AK86" s="3490"/>
      <c r="AL86" s="3226"/>
      <c r="AM86" s="3490"/>
      <c r="AN86" s="3226"/>
      <c r="AO86" s="3490"/>
      <c r="AP86" s="3226"/>
      <c r="AQ86" s="3555"/>
      <c r="AR86" s="3555"/>
      <c r="AS86" s="3557"/>
    </row>
    <row r="87" spans="1:45" s="74" customFormat="1" ht="51" customHeight="1" x14ac:dyDescent="0.25">
      <c r="A87" s="2438"/>
      <c r="B87" s="2439"/>
      <c r="C87" s="579"/>
      <c r="D87" s="580"/>
      <c r="E87" s="498"/>
      <c r="F87" s="498"/>
      <c r="G87" s="3492"/>
      <c r="H87" s="3531"/>
      <c r="I87" s="3551"/>
      <c r="J87" s="3355"/>
      <c r="K87" s="3553"/>
      <c r="L87" s="3355"/>
      <c r="M87" s="3553"/>
      <c r="N87" s="3355"/>
      <c r="O87" s="3569"/>
      <c r="P87" s="3492"/>
      <c r="Q87" s="3537"/>
      <c r="R87" s="3495"/>
      <c r="S87" s="3539"/>
      <c r="T87" s="2993"/>
      <c r="U87" s="3563"/>
      <c r="V87" s="784" t="s">
        <v>730</v>
      </c>
      <c r="W87" s="785">
        <v>3500000</v>
      </c>
      <c r="X87" s="70" t="s">
        <v>932</v>
      </c>
      <c r="Y87" s="755">
        <v>20</v>
      </c>
      <c r="Z87" s="594" t="s">
        <v>403</v>
      </c>
      <c r="AA87" s="3496"/>
      <c r="AB87" s="3567"/>
      <c r="AC87" s="3496"/>
      <c r="AD87" s="3484"/>
      <c r="AE87" s="3496"/>
      <c r="AF87" s="3484"/>
      <c r="AG87" s="3496"/>
      <c r="AH87" s="3484"/>
      <c r="AI87" s="3490"/>
      <c r="AJ87" s="3226"/>
      <c r="AK87" s="3490"/>
      <c r="AL87" s="3226"/>
      <c r="AM87" s="3490"/>
      <c r="AN87" s="3226"/>
      <c r="AO87" s="3490"/>
      <c r="AP87" s="3226"/>
      <c r="AQ87" s="3555"/>
      <c r="AR87" s="3555"/>
      <c r="AS87" s="3557"/>
    </row>
    <row r="88" spans="1:45" s="74" customFormat="1" ht="47.25" customHeight="1" x14ac:dyDescent="0.25">
      <c r="A88" s="2438"/>
      <c r="B88" s="2439"/>
      <c r="C88" s="579"/>
      <c r="D88" s="580"/>
      <c r="E88" s="498"/>
      <c r="F88" s="498"/>
      <c r="G88" s="3513"/>
      <c r="H88" s="3532"/>
      <c r="I88" s="3514"/>
      <c r="J88" s="3366"/>
      <c r="K88" s="3568"/>
      <c r="L88" s="3366"/>
      <c r="M88" s="3568"/>
      <c r="N88" s="3366"/>
      <c r="O88" s="3569"/>
      <c r="P88" s="3492"/>
      <c r="Q88" s="3537"/>
      <c r="R88" s="3495"/>
      <c r="S88" s="3539"/>
      <c r="T88" s="2993"/>
      <c r="U88" s="3563"/>
      <c r="V88" s="3559" t="s">
        <v>933</v>
      </c>
      <c r="W88" s="785">
        <v>0</v>
      </c>
      <c r="X88" s="70" t="s">
        <v>934</v>
      </c>
      <c r="Y88" s="755">
        <v>20</v>
      </c>
      <c r="Z88" s="594" t="s">
        <v>403</v>
      </c>
      <c r="AA88" s="3496"/>
      <c r="AB88" s="3567"/>
      <c r="AC88" s="3496"/>
      <c r="AD88" s="3484"/>
      <c r="AE88" s="3496"/>
      <c r="AF88" s="3484"/>
      <c r="AG88" s="3496"/>
      <c r="AH88" s="3484"/>
      <c r="AI88" s="3490"/>
      <c r="AJ88" s="3226"/>
      <c r="AK88" s="3490"/>
      <c r="AL88" s="3226"/>
      <c r="AM88" s="3490"/>
      <c r="AN88" s="3226"/>
      <c r="AO88" s="3490"/>
      <c r="AP88" s="3226"/>
      <c r="AQ88" s="3555"/>
      <c r="AR88" s="3555"/>
      <c r="AS88" s="3557"/>
    </row>
    <row r="89" spans="1:45" s="74" customFormat="1" ht="43.5" customHeight="1" x14ac:dyDescent="0.25">
      <c r="A89" s="2438"/>
      <c r="B89" s="2439"/>
      <c r="C89" s="579"/>
      <c r="D89" s="580"/>
      <c r="E89" s="498"/>
      <c r="F89" s="498"/>
      <c r="G89" s="3513"/>
      <c r="H89" s="3532"/>
      <c r="I89" s="3514"/>
      <c r="J89" s="3366"/>
      <c r="K89" s="3568"/>
      <c r="L89" s="3366"/>
      <c r="M89" s="3568"/>
      <c r="N89" s="3366"/>
      <c r="O89" s="3569"/>
      <c r="P89" s="3492"/>
      <c r="Q89" s="3537"/>
      <c r="R89" s="3495"/>
      <c r="S89" s="3539"/>
      <c r="T89" s="2993"/>
      <c r="U89" s="3563"/>
      <c r="V89" s="3560"/>
      <c r="W89" s="785">
        <v>346</v>
      </c>
      <c r="X89" s="70" t="s">
        <v>935</v>
      </c>
      <c r="Y89" s="755">
        <v>88</v>
      </c>
      <c r="Z89" s="594" t="s">
        <v>753</v>
      </c>
      <c r="AA89" s="3496"/>
      <c r="AB89" s="3567"/>
      <c r="AC89" s="3496"/>
      <c r="AD89" s="3484"/>
      <c r="AE89" s="3496"/>
      <c r="AF89" s="3484"/>
      <c r="AG89" s="3496"/>
      <c r="AH89" s="3484"/>
      <c r="AI89" s="3490"/>
      <c r="AJ89" s="3226"/>
      <c r="AK89" s="3490"/>
      <c r="AL89" s="3226"/>
      <c r="AM89" s="3490"/>
      <c r="AN89" s="3226"/>
      <c r="AO89" s="3490"/>
      <c r="AP89" s="3226"/>
      <c r="AQ89" s="3555"/>
      <c r="AR89" s="3555"/>
      <c r="AS89" s="3558"/>
    </row>
    <row r="90" spans="1:45" s="3" customFormat="1" ht="27" customHeight="1" x14ac:dyDescent="0.25">
      <c r="A90" s="2438"/>
      <c r="B90" s="2439"/>
      <c r="C90" s="585"/>
      <c r="D90" s="586"/>
      <c r="E90" s="406">
        <v>4104</v>
      </c>
      <c r="F90" s="603" t="s">
        <v>936</v>
      </c>
      <c r="G90" s="604"/>
      <c r="H90" s="786"/>
      <c r="I90" s="604"/>
      <c r="J90" s="786"/>
      <c r="K90" s="604"/>
      <c r="L90" s="786"/>
      <c r="M90" s="787"/>
      <c r="N90" s="788"/>
      <c r="O90" s="733"/>
      <c r="P90" s="733"/>
      <c r="Q90" s="789"/>
      <c r="R90" s="678"/>
      <c r="S90" s="790"/>
      <c r="T90" s="791"/>
      <c r="U90" s="791"/>
      <c r="V90" s="791"/>
      <c r="W90" s="790"/>
      <c r="X90" s="792" t="s">
        <v>191</v>
      </c>
      <c r="Y90" s="682"/>
      <c r="Z90" s="169"/>
      <c r="AA90" s="793"/>
      <c r="AB90" s="793"/>
      <c r="AC90" s="793"/>
      <c r="AD90" s="793"/>
      <c r="AE90" s="793"/>
      <c r="AF90" s="793"/>
      <c r="AG90" s="793"/>
      <c r="AH90" s="793"/>
      <c r="AI90" s="793"/>
      <c r="AJ90" s="793"/>
      <c r="AK90" s="793"/>
      <c r="AL90" s="793"/>
      <c r="AM90" s="793"/>
      <c r="AN90" s="793"/>
      <c r="AO90" s="793"/>
      <c r="AP90" s="793"/>
      <c r="AQ90" s="794"/>
      <c r="AR90" s="794"/>
      <c r="AS90" s="795"/>
    </row>
    <row r="91" spans="1:45" s="74" customFormat="1" ht="96" customHeight="1" x14ac:dyDescent="0.25">
      <c r="A91" s="2438"/>
      <c r="B91" s="2439"/>
      <c r="C91" s="579"/>
      <c r="D91" s="580"/>
      <c r="E91" s="3506"/>
      <c r="F91" s="3506"/>
      <c r="G91" s="758">
        <v>4104035</v>
      </c>
      <c r="H91" s="796" t="s">
        <v>937</v>
      </c>
      <c r="I91" s="797">
        <v>4104020</v>
      </c>
      <c r="J91" s="796" t="s">
        <v>937</v>
      </c>
      <c r="K91" s="758">
        <v>410403500</v>
      </c>
      <c r="L91" s="796" t="s">
        <v>938</v>
      </c>
      <c r="M91" s="758">
        <v>410402000</v>
      </c>
      <c r="N91" s="798" t="s">
        <v>939</v>
      </c>
      <c r="O91" s="799">
        <v>50</v>
      </c>
      <c r="P91" s="3492" t="s">
        <v>940</v>
      </c>
      <c r="Q91" s="2993" t="s">
        <v>941</v>
      </c>
      <c r="R91" s="800">
        <f>W91/S91</f>
        <v>0.66085423197492166</v>
      </c>
      <c r="S91" s="3542">
        <f>SUM(W91:W98)</f>
        <v>102080000</v>
      </c>
      <c r="T91" s="3060" t="s">
        <v>942</v>
      </c>
      <c r="U91" s="2284" t="s">
        <v>943</v>
      </c>
      <c r="V91" s="801" t="s">
        <v>944</v>
      </c>
      <c r="W91" s="802">
        <v>67460000</v>
      </c>
      <c r="X91" s="565" t="s">
        <v>945</v>
      </c>
      <c r="Y91" s="755">
        <v>20</v>
      </c>
      <c r="Z91" s="594" t="s">
        <v>403</v>
      </c>
      <c r="AA91" s="2503">
        <v>500</v>
      </c>
      <c r="AB91" s="2503">
        <v>500</v>
      </c>
      <c r="AC91" s="2503"/>
      <c r="AD91" s="3254"/>
      <c r="AE91" s="3254"/>
      <c r="AF91" s="3254"/>
      <c r="AG91" s="3254"/>
      <c r="AH91" s="3254"/>
      <c r="AI91" s="3254"/>
      <c r="AJ91" s="2503"/>
      <c r="AK91" s="2503"/>
      <c r="AL91" s="2503"/>
      <c r="AM91" s="2503"/>
      <c r="AN91" s="2503">
        <v>1000</v>
      </c>
      <c r="AO91" s="3254"/>
      <c r="AP91" s="2503">
        <v>1000</v>
      </c>
      <c r="AQ91" s="3190">
        <v>44197</v>
      </c>
      <c r="AR91" s="3190">
        <v>44561</v>
      </c>
      <c r="AS91" s="2503" t="s">
        <v>946</v>
      </c>
    </row>
    <row r="92" spans="1:45" s="3" customFormat="1" ht="52.5" customHeight="1" x14ac:dyDescent="0.25">
      <c r="A92" s="2438"/>
      <c r="B92" s="2439"/>
      <c r="C92" s="585"/>
      <c r="D92" s="586"/>
      <c r="E92" s="3506"/>
      <c r="F92" s="3506"/>
      <c r="G92" s="2974">
        <v>4104035</v>
      </c>
      <c r="H92" s="3036" t="s">
        <v>937</v>
      </c>
      <c r="I92" s="2973">
        <v>4104020</v>
      </c>
      <c r="J92" s="3508" t="s">
        <v>937</v>
      </c>
      <c r="K92" s="3492" t="s">
        <v>62</v>
      </c>
      <c r="L92" s="2993" t="s">
        <v>947</v>
      </c>
      <c r="M92" s="2973">
        <v>410402000</v>
      </c>
      <c r="N92" s="2993" t="s">
        <v>939</v>
      </c>
      <c r="O92" s="2974">
        <v>12</v>
      </c>
      <c r="P92" s="3492"/>
      <c r="Q92" s="2993"/>
      <c r="R92" s="3543">
        <f>SUM(W92:W98)/S91</f>
        <v>0.33914576802507834</v>
      </c>
      <c r="S92" s="3542"/>
      <c r="T92" s="3060"/>
      <c r="U92" s="2518"/>
      <c r="V92" s="2283" t="s">
        <v>948</v>
      </c>
      <c r="W92" s="686">
        <v>2000000</v>
      </c>
      <c r="X92" s="70" t="s">
        <v>949</v>
      </c>
      <c r="Y92" s="740">
        <v>88</v>
      </c>
      <c r="Z92" s="589" t="s">
        <v>753</v>
      </c>
      <c r="AA92" s="2503"/>
      <c r="AB92" s="2503"/>
      <c r="AC92" s="2503"/>
      <c r="AD92" s="3254"/>
      <c r="AE92" s="3254"/>
      <c r="AF92" s="3254"/>
      <c r="AG92" s="3254"/>
      <c r="AH92" s="3254"/>
      <c r="AI92" s="3254"/>
      <c r="AJ92" s="2503"/>
      <c r="AK92" s="2503"/>
      <c r="AL92" s="2503"/>
      <c r="AM92" s="2503"/>
      <c r="AN92" s="2503"/>
      <c r="AO92" s="3254"/>
      <c r="AP92" s="2503"/>
      <c r="AQ92" s="3190"/>
      <c r="AR92" s="3190"/>
      <c r="AS92" s="2503"/>
    </row>
    <row r="93" spans="1:45" s="3" customFormat="1" ht="52.5" customHeight="1" x14ac:dyDescent="0.25">
      <c r="A93" s="2438"/>
      <c r="B93" s="2439"/>
      <c r="C93" s="585"/>
      <c r="D93" s="586"/>
      <c r="E93" s="3506"/>
      <c r="F93" s="3506"/>
      <c r="G93" s="2977"/>
      <c r="H93" s="3016"/>
      <c r="I93" s="2973"/>
      <c r="J93" s="3508"/>
      <c r="K93" s="3492"/>
      <c r="L93" s="2993"/>
      <c r="M93" s="2973"/>
      <c r="N93" s="2993"/>
      <c r="O93" s="2977"/>
      <c r="P93" s="3492"/>
      <c r="Q93" s="2993"/>
      <c r="R93" s="3544"/>
      <c r="S93" s="3542"/>
      <c r="T93" s="3060"/>
      <c r="U93" s="2518"/>
      <c r="V93" s="2285"/>
      <c r="W93" s="686">
        <v>12000000</v>
      </c>
      <c r="X93" s="70" t="s">
        <v>945</v>
      </c>
      <c r="Y93" s="740">
        <v>20</v>
      </c>
      <c r="Z93" s="589" t="s">
        <v>403</v>
      </c>
      <c r="AA93" s="2503"/>
      <c r="AB93" s="2503"/>
      <c r="AC93" s="2503"/>
      <c r="AD93" s="3254"/>
      <c r="AE93" s="3254"/>
      <c r="AF93" s="3254"/>
      <c r="AG93" s="3254"/>
      <c r="AH93" s="3254"/>
      <c r="AI93" s="3254"/>
      <c r="AJ93" s="2503"/>
      <c r="AK93" s="2503"/>
      <c r="AL93" s="2503"/>
      <c r="AM93" s="2503"/>
      <c r="AN93" s="2503"/>
      <c r="AO93" s="3254"/>
      <c r="AP93" s="2503"/>
      <c r="AQ93" s="3190"/>
      <c r="AR93" s="3190"/>
      <c r="AS93" s="2503"/>
    </row>
    <row r="94" spans="1:45" s="3" customFormat="1" ht="69" customHeight="1" x14ac:dyDescent="0.25">
      <c r="A94" s="2438"/>
      <c r="B94" s="2439"/>
      <c r="C94" s="585"/>
      <c r="D94" s="586"/>
      <c r="E94" s="3506"/>
      <c r="F94" s="3506"/>
      <c r="G94" s="2977"/>
      <c r="H94" s="3016"/>
      <c r="I94" s="2973"/>
      <c r="J94" s="3508"/>
      <c r="K94" s="3492"/>
      <c r="L94" s="2993"/>
      <c r="M94" s="2973"/>
      <c r="N94" s="2993"/>
      <c r="O94" s="2977"/>
      <c r="P94" s="3492"/>
      <c r="Q94" s="2993"/>
      <c r="R94" s="3544"/>
      <c r="S94" s="3542"/>
      <c r="T94" s="3060"/>
      <c r="U94" s="2518"/>
      <c r="V94" s="2283" t="s">
        <v>950</v>
      </c>
      <c r="W94" s="686">
        <v>2000000</v>
      </c>
      <c r="X94" s="70" t="s">
        <v>949</v>
      </c>
      <c r="Y94" s="740">
        <v>88</v>
      </c>
      <c r="Z94" s="589" t="s">
        <v>753</v>
      </c>
      <c r="AA94" s="2503"/>
      <c r="AB94" s="2503"/>
      <c r="AC94" s="2503"/>
      <c r="AD94" s="3254"/>
      <c r="AE94" s="3254"/>
      <c r="AF94" s="3254"/>
      <c r="AG94" s="3254"/>
      <c r="AH94" s="3254"/>
      <c r="AI94" s="3254"/>
      <c r="AJ94" s="2503"/>
      <c r="AK94" s="2503"/>
      <c r="AL94" s="2503"/>
      <c r="AM94" s="2503"/>
      <c r="AN94" s="2503"/>
      <c r="AO94" s="3254"/>
      <c r="AP94" s="2503"/>
      <c r="AQ94" s="3190"/>
      <c r="AR94" s="3190"/>
      <c r="AS94" s="2503"/>
    </row>
    <row r="95" spans="1:45" s="3" customFormat="1" ht="69" customHeight="1" x14ac:dyDescent="0.25">
      <c r="A95" s="2438"/>
      <c r="B95" s="2439"/>
      <c r="C95" s="585"/>
      <c r="D95" s="586"/>
      <c r="E95" s="3506"/>
      <c r="F95" s="3506"/>
      <c r="G95" s="2977"/>
      <c r="H95" s="3016"/>
      <c r="I95" s="2973"/>
      <c r="J95" s="3508"/>
      <c r="K95" s="3492"/>
      <c r="L95" s="2993"/>
      <c r="M95" s="2973"/>
      <c r="N95" s="2993"/>
      <c r="O95" s="2977"/>
      <c r="P95" s="3492"/>
      <c r="Q95" s="2993"/>
      <c r="R95" s="3544"/>
      <c r="S95" s="3542"/>
      <c r="T95" s="3060"/>
      <c r="U95" s="2518"/>
      <c r="V95" s="2285"/>
      <c r="W95" s="686">
        <v>12000000</v>
      </c>
      <c r="X95" s="70" t="s">
        <v>945</v>
      </c>
      <c r="Y95" s="740">
        <v>20</v>
      </c>
      <c r="Z95" s="589" t="s">
        <v>403</v>
      </c>
      <c r="AA95" s="2503"/>
      <c r="AB95" s="2503"/>
      <c r="AC95" s="2503"/>
      <c r="AD95" s="3254"/>
      <c r="AE95" s="3254"/>
      <c r="AF95" s="3254"/>
      <c r="AG95" s="3254"/>
      <c r="AH95" s="3254"/>
      <c r="AI95" s="3254"/>
      <c r="AJ95" s="2503"/>
      <c r="AK95" s="2503"/>
      <c r="AL95" s="2503"/>
      <c r="AM95" s="2503"/>
      <c r="AN95" s="2503"/>
      <c r="AO95" s="3254"/>
      <c r="AP95" s="2503"/>
      <c r="AQ95" s="3190"/>
      <c r="AR95" s="3190"/>
      <c r="AS95" s="2503"/>
    </row>
    <row r="96" spans="1:45" s="3" customFormat="1" ht="69" customHeight="1" x14ac:dyDescent="0.25">
      <c r="A96" s="2438"/>
      <c r="B96" s="2439"/>
      <c r="C96" s="585"/>
      <c r="D96" s="586"/>
      <c r="E96" s="3506"/>
      <c r="F96" s="3506"/>
      <c r="G96" s="2977"/>
      <c r="H96" s="3016"/>
      <c r="I96" s="2973"/>
      <c r="J96" s="3508"/>
      <c r="K96" s="3492"/>
      <c r="L96" s="2993"/>
      <c r="M96" s="2973"/>
      <c r="N96" s="2993"/>
      <c r="O96" s="2977"/>
      <c r="P96" s="3492"/>
      <c r="Q96" s="2993"/>
      <c r="R96" s="3544"/>
      <c r="S96" s="3542"/>
      <c r="T96" s="3060"/>
      <c r="U96" s="2518"/>
      <c r="V96" s="577" t="s">
        <v>802</v>
      </c>
      <c r="W96" s="686">
        <v>2000000</v>
      </c>
      <c r="X96" s="70" t="s">
        <v>945</v>
      </c>
      <c r="Y96" s="740">
        <v>20</v>
      </c>
      <c r="Z96" s="589" t="s">
        <v>403</v>
      </c>
      <c r="AA96" s="2503"/>
      <c r="AB96" s="2503"/>
      <c r="AC96" s="2503"/>
      <c r="AD96" s="3254"/>
      <c r="AE96" s="3254"/>
      <c r="AF96" s="3254"/>
      <c r="AG96" s="3254"/>
      <c r="AH96" s="3254"/>
      <c r="AI96" s="3254"/>
      <c r="AJ96" s="2503"/>
      <c r="AK96" s="2503"/>
      <c r="AL96" s="2503"/>
      <c r="AM96" s="2503"/>
      <c r="AN96" s="2503"/>
      <c r="AO96" s="3254"/>
      <c r="AP96" s="2503"/>
      <c r="AQ96" s="3190"/>
      <c r="AR96" s="3190"/>
      <c r="AS96" s="2503"/>
    </row>
    <row r="97" spans="1:45" s="3" customFormat="1" ht="69" customHeight="1" x14ac:dyDescent="0.25">
      <c r="A97" s="2438"/>
      <c r="B97" s="2439"/>
      <c r="C97" s="585"/>
      <c r="D97" s="586"/>
      <c r="E97" s="3506"/>
      <c r="F97" s="3506"/>
      <c r="G97" s="2977"/>
      <c r="H97" s="3016"/>
      <c r="I97" s="2973"/>
      <c r="J97" s="3508"/>
      <c r="K97" s="3492"/>
      <c r="L97" s="2993"/>
      <c r="M97" s="2973"/>
      <c r="N97" s="2993"/>
      <c r="O97" s="2977"/>
      <c r="P97" s="3492"/>
      <c r="Q97" s="2993"/>
      <c r="R97" s="3544"/>
      <c r="S97" s="3542"/>
      <c r="T97" s="3060"/>
      <c r="U97" s="2518"/>
      <c r="V97" s="2283" t="s">
        <v>951</v>
      </c>
      <c r="W97" s="686">
        <v>80000</v>
      </c>
      <c r="X97" s="70" t="s">
        <v>949</v>
      </c>
      <c r="Y97" s="740">
        <v>88</v>
      </c>
      <c r="Z97" s="589" t="s">
        <v>753</v>
      </c>
      <c r="AA97" s="2503"/>
      <c r="AB97" s="2503"/>
      <c r="AC97" s="2503"/>
      <c r="AD97" s="3254"/>
      <c r="AE97" s="3254"/>
      <c r="AF97" s="3254"/>
      <c r="AG97" s="3254"/>
      <c r="AH97" s="3254"/>
      <c r="AI97" s="3254"/>
      <c r="AJ97" s="2503"/>
      <c r="AK97" s="2503"/>
      <c r="AL97" s="2503"/>
      <c r="AM97" s="2503"/>
      <c r="AN97" s="2503"/>
      <c r="AO97" s="3254"/>
      <c r="AP97" s="2503"/>
      <c r="AQ97" s="3190"/>
      <c r="AR97" s="3190"/>
      <c r="AS97" s="2503"/>
    </row>
    <row r="98" spans="1:45" s="3" customFormat="1" ht="42.75" customHeight="1" x14ac:dyDescent="0.25">
      <c r="A98" s="2438"/>
      <c r="B98" s="2439"/>
      <c r="C98" s="585"/>
      <c r="D98" s="586"/>
      <c r="E98" s="3506"/>
      <c r="F98" s="3506"/>
      <c r="G98" s="2977"/>
      <c r="H98" s="3016"/>
      <c r="I98" s="2973"/>
      <c r="J98" s="3508"/>
      <c r="K98" s="3492"/>
      <c r="L98" s="2993"/>
      <c r="M98" s="2973"/>
      <c r="N98" s="2993"/>
      <c r="O98" s="3541"/>
      <c r="P98" s="3492"/>
      <c r="Q98" s="2993"/>
      <c r="R98" s="3545"/>
      <c r="S98" s="2629"/>
      <c r="T98" s="3060"/>
      <c r="U98" s="2518"/>
      <c r="V98" s="2285"/>
      <c r="W98" s="686">
        <v>4540000</v>
      </c>
      <c r="X98" s="70" t="s">
        <v>945</v>
      </c>
      <c r="Y98" s="740">
        <v>20</v>
      </c>
      <c r="Z98" s="589" t="s">
        <v>403</v>
      </c>
      <c r="AA98" s="2503"/>
      <c r="AB98" s="2503"/>
      <c r="AC98" s="2503"/>
      <c r="AD98" s="3254"/>
      <c r="AE98" s="3254"/>
      <c r="AF98" s="3254"/>
      <c r="AG98" s="3254"/>
      <c r="AH98" s="3254"/>
      <c r="AI98" s="3254"/>
      <c r="AJ98" s="2503"/>
      <c r="AK98" s="2503"/>
      <c r="AL98" s="2503"/>
      <c r="AM98" s="2503"/>
      <c r="AN98" s="2503"/>
      <c r="AO98" s="3254"/>
      <c r="AP98" s="2503"/>
      <c r="AQ98" s="3190"/>
      <c r="AR98" s="3190"/>
      <c r="AS98" s="2503"/>
    </row>
    <row r="99" spans="1:45" s="74" customFormat="1" ht="69" customHeight="1" x14ac:dyDescent="0.25">
      <c r="A99" s="2438"/>
      <c r="B99" s="2439"/>
      <c r="C99" s="579"/>
      <c r="D99" s="580"/>
      <c r="E99" s="3506"/>
      <c r="F99" s="3506"/>
      <c r="G99" s="3492">
        <v>4104026</v>
      </c>
      <c r="H99" s="3531" t="s">
        <v>952</v>
      </c>
      <c r="I99" s="3516">
        <v>4104027</v>
      </c>
      <c r="J99" s="3493" t="s">
        <v>953</v>
      </c>
      <c r="K99" s="3552" t="s">
        <v>62</v>
      </c>
      <c r="L99" s="3493" t="s">
        <v>954</v>
      </c>
      <c r="M99" s="3552">
        <v>410402700</v>
      </c>
      <c r="N99" s="3533" t="s">
        <v>955</v>
      </c>
      <c r="O99" s="3546">
        <v>12</v>
      </c>
      <c r="P99" s="3549" t="s">
        <v>956</v>
      </c>
      <c r="Q99" s="3536" t="s">
        <v>957</v>
      </c>
      <c r="R99" s="3538">
        <v>1</v>
      </c>
      <c r="S99" s="3539">
        <f>SUM(W99:W101)</f>
        <v>35000000</v>
      </c>
      <c r="T99" s="2993" t="s">
        <v>958</v>
      </c>
      <c r="U99" s="3540" t="s">
        <v>959</v>
      </c>
      <c r="V99" s="803" t="s">
        <v>960</v>
      </c>
      <c r="W99" s="686">
        <v>28762098</v>
      </c>
      <c r="X99" s="70" t="s">
        <v>961</v>
      </c>
      <c r="Y99" s="3489">
        <v>20</v>
      </c>
      <c r="Z99" s="2495" t="s">
        <v>403</v>
      </c>
      <c r="AA99" s="3484">
        <v>120</v>
      </c>
      <c r="AB99" s="3484">
        <v>180</v>
      </c>
      <c r="AC99" s="3226"/>
      <c r="AD99" s="3226"/>
      <c r="AE99" s="3226"/>
      <c r="AF99" s="3226"/>
      <c r="AG99" s="3226"/>
      <c r="AH99" s="3226"/>
      <c r="AI99" s="3226"/>
      <c r="AJ99" s="3226"/>
      <c r="AK99" s="3226"/>
      <c r="AL99" s="3226"/>
      <c r="AM99" s="3226"/>
      <c r="AN99" s="3226"/>
      <c r="AO99" s="3226"/>
      <c r="AP99" s="3226">
        <v>300</v>
      </c>
      <c r="AQ99" s="3482">
        <v>44197</v>
      </c>
      <c r="AR99" s="3482">
        <v>44561</v>
      </c>
      <c r="AS99" s="3226" t="s">
        <v>882</v>
      </c>
    </row>
    <row r="100" spans="1:45" s="74" customFormat="1" ht="69" customHeight="1" x14ac:dyDescent="0.25">
      <c r="A100" s="2438"/>
      <c r="B100" s="2439"/>
      <c r="C100" s="579"/>
      <c r="D100" s="580"/>
      <c r="E100" s="3506"/>
      <c r="F100" s="3506"/>
      <c r="G100" s="3492"/>
      <c r="H100" s="3531"/>
      <c r="I100" s="3516"/>
      <c r="J100" s="3493"/>
      <c r="K100" s="3552"/>
      <c r="L100" s="3493"/>
      <c r="M100" s="3552"/>
      <c r="N100" s="3533"/>
      <c r="O100" s="3547"/>
      <c r="P100" s="3549"/>
      <c r="Q100" s="3536"/>
      <c r="R100" s="3538"/>
      <c r="S100" s="3539"/>
      <c r="T100" s="2993"/>
      <c r="U100" s="3540"/>
      <c r="V100" s="588" t="s">
        <v>802</v>
      </c>
      <c r="W100" s="686">
        <v>87902</v>
      </c>
      <c r="X100" s="70" t="s">
        <v>961</v>
      </c>
      <c r="Y100" s="3489"/>
      <c r="Z100" s="2495"/>
      <c r="AA100" s="3484"/>
      <c r="AB100" s="3484"/>
      <c r="AC100" s="3226"/>
      <c r="AD100" s="3226"/>
      <c r="AE100" s="3226"/>
      <c r="AF100" s="3226"/>
      <c r="AG100" s="3226"/>
      <c r="AH100" s="3226"/>
      <c r="AI100" s="3226"/>
      <c r="AJ100" s="3226"/>
      <c r="AK100" s="3226"/>
      <c r="AL100" s="3226"/>
      <c r="AM100" s="3226"/>
      <c r="AN100" s="3226"/>
      <c r="AO100" s="3226"/>
      <c r="AP100" s="3226"/>
      <c r="AQ100" s="3482"/>
      <c r="AR100" s="3482"/>
      <c r="AS100" s="3226"/>
    </row>
    <row r="101" spans="1:45" s="74" customFormat="1" ht="52.5" customHeight="1" x14ac:dyDescent="0.25">
      <c r="A101" s="2438"/>
      <c r="B101" s="2439"/>
      <c r="C101" s="579"/>
      <c r="D101" s="580"/>
      <c r="E101" s="3506"/>
      <c r="F101" s="3506"/>
      <c r="G101" s="3492"/>
      <c r="H101" s="3531"/>
      <c r="I101" s="3551"/>
      <c r="J101" s="3355"/>
      <c r="K101" s="3553"/>
      <c r="L101" s="3355"/>
      <c r="M101" s="3553"/>
      <c r="N101" s="3534"/>
      <c r="O101" s="3548"/>
      <c r="P101" s="3550"/>
      <c r="Q101" s="3537"/>
      <c r="R101" s="3032"/>
      <c r="S101" s="3539"/>
      <c r="T101" s="2993"/>
      <c r="U101" s="3540"/>
      <c r="V101" s="588" t="s">
        <v>730</v>
      </c>
      <c r="W101" s="686">
        <v>6150000</v>
      </c>
      <c r="X101" s="70" t="s">
        <v>962</v>
      </c>
      <c r="Y101" s="3490"/>
      <c r="Z101" s="2495"/>
      <c r="AA101" s="3484"/>
      <c r="AB101" s="3484"/>
      <c r="AC101" s="3226"/>
      <c r="AD101" s="3226"/>
      <c r="AE101" s="3226"/>
      <c r="AF101" s="3226"/>
      <c r="AG101" s="3226"/>
      <c r="AH101" s="3226"/>
      <c r="AI101" s="3226"/>
      <c r="AJ101" s="3226"/>
      <c r="AK101" s="3226"/>
      <c r="AL101" s="3226"/>
      <c r="AM101" s="3226"/>
      <c r="AN101" s="3226"/>
      <c r="AO101" s="3226"/>
      <c r="AP101" s="3226"/>
      <c r="AQ101" s="3482"/>
      <c r="AR101" s="3482"/>
      <c r="AS101" s="3226"/>
    </row>
    <row r="102" spans="1:45" s="74" customFormat="1" ht="68.25" customHeight="1" x14ac:dyDescent="0.25">
      <c r="A102" s="2438"/>
      <c r="B102" s="2439"/>
      <c r="C102" s="579"/>
      <c r="D102" s="580"/>
      <c r="E102" s="3506"/>
      <c r="F102" s="3506"/>
      <c r="G102" s="3492">
        <v>4104015</v>
      </c>
      <c r="H102" s="3530" t="s">
        <v>963</v>
      </c>
      <c r="I102" s="3491">
        <v>4104015</v>
      </c>
      <c r="J102" s="3530" t="s">
        <v>964</v>
      </c>
      <c r="K102" s="3491">
        <v>410401500</v>
      </c>
      <c r="L102" s="3533" t="s">
        <v>965</v>
      </c>
      <c r="M102" s="3491">
        <v>410401500</v>
      </c>
      <c r="N102" s="3533" t="s">
        <v>966</v>
      </c>
      <c r="O102" s="3491">
        <v>7500</v>
      </c>
      <c r="P102" s="3491" t="s">
        <v>967</v>
      </c>
      <c r="Q102" s="3493" t="s">
        <v>968</v>
      </c>
      <c r="R102" s="3522">
        <f>SUM(W102:W106)/S102</f>
        <v>7.5105739242507111E-3</v>
      </c>
      <c r="S102" s="2630">
        <f>SUM(W102:W144)</f>
        <v>4100885007.0099998</v>
      </c>
      <c r="T102" s="2993" t="s">
        <v>969</v>
      </c>
      <c r="U102" s="3107" t="s">
        <v>970</v>
      </c>
      <c r="V102" s="804" t="s">
        <v>971</v>
      </c>
      <c r="W102" s="783">
        <v>4000000</v>
      </c>
      <c r="X102" s="77" t="s">
        <v>972</v>
      </c>
      <c r="Y102" s="3519">
        <v>20</v>
      </c>
      <c r="Z102" s="3187" t="s">
        <v>403</v>
      </c>
      <c r="AA102" s="2222">
        <v>3500</v>
      </c>
      <c r="AB102" s="2222">
        <v>4000</v>
      </c>
      <c r="AC102" s="2222" t="s">
        <v>134</v>
      </c>
      <c r="AD102" s="2222" t="s">
        <v>134</v>
      </c>
      <c r="AE102" s="2222" t="s">
        <v>134</v>
      </c>
      <c r="AF102" s="2222">
        <v>7500</v>
      </c>
      <c r="AG102" s="3254"/>
      <c r="AH102" s="3254"/>
      <c r="AI102" s="3254"/>
      <c r="AJ102" s="3254"/>
      <c r="AK102" s="3254"/>
      <c r="AL102" s="3254"/>
      <c r="AM102" s="3518"/>
      <c r="AN102" s="3518"/>
      <c r="AO102" s="3518"/>
      <c r="AP102" s="3254">
        <v>7500</v>
      </c>
      <c r="AQ102" s="3466">
        <v>44197</v>
      </c>
      <c r="AR102" s="3466">
        <v>44561</v>
      </c>
      <c r="AS102" s="3254" t="s">
        <v>946</v>
      </c>
    </row>
    <row r="103" spans="1:45" s="74" customFormat="1" ht="38.25" customHeight="1" x14ac:dyDescent="0.25">
      <c r="A103" s="2438"/>
      <c r="B103" s="2439"/>
      <c r="C103" s="579"/>
      <c r="D103" s="580"/>
      <c r="E103" s="3506"/>
      <c r="F103" s="3506"/>
      <c r="G103" s="3492"/>
      <c r="H103" s="3531"/>
      <c r="I103" s="3492"/>
      <c r="J103" s="3531"/>
      <c r="K103" s="3492"/>
      <c r="L103" s="3534"/>
      <c r="M103" s="3492"/>
      <c r="N103" s="3534"/>
      <c r="O103" s="3492"/>
      <c r="P103" s="3492"/>
      <c r="Q103" s="3355"/>
      <c r="R103" s="3523"/>
      <c r="S103" s="2630"/>
      <c r="T103" s="2993"/>
      <c r="U103" s="3107"/>
      <c r="V103" s="805" t="s">
        <v>973</v>
      </c>
      <c r="W103" s="783">
        <v>1000000</v>
      </c>
      <c r="X103" s="77" t="s">
        <v>972</v>
      </c>
      <c r="Y103" s="3520"/>
      <c r="Z103" s="3187"/>
      <c r="AA103" s="2222"/>
      <c r="AB103" s="2222"/>
      <c r="AC103" s="2222"/>
      <c r="AD103" s="2222"/>
      <c r="AE103" s="2222"/>
      <c r="AF103" s="2222"/>
      <c r="AG103" s="3254"/>
      <c r="AH103" s="3254"/>
      <c r="AI103" s="3254"/>
      <c r="AJ103" s="3254"/>
      <c r="AK103" s="3254"/>
      <c r="AL103" s="3254"/>
      <c r="AM103" s="3518"/>
      <c r="AN103" s="3518"/>
      <c r="AO103" s="3518"/>
      <c r="AP103" s="3254"/>
      <c r="AQ103" s="3466"/>
      <c r="AR103" s="3466"/>
      <c r="AS103" s="3254"/>
    </row>
    <row r="104" spans="1:45" s="74" customFormat="1" ht="58.5" customHeight="1" x14ac:dyDescent="0.25">
      <c r="A104" s="2438"/>
      <c r="B104" s="2439"/>
      <c r="C104" s="579"/>
      <c r="D104" s="580"/>
      <c r="E104" s="3506"/>
      <c r="F104" s="3506"/>
      <c r="G104" s="3492"/>
      <c r="H104" s="3531"/>
      <c r="I104" s="3492"/>
      <c r="J104" s="3531"/>
      <c r="K104" s="3492"/>
      <c r="L104" s="3534"/>
      <c r="M104" s="3492"/>
      <c r="N104" s="3534"/>
      <c r="O104" s="3492"/>
      <c r="P104" s="3492"/>
      <c r="Q104" s="3355"/>
      <c r="R104" s="3523"/>
      <c r="S104" s="2630"/>
      <c r="T104" s="2993"/>
      <c r="U104" s="3107"/>
      <c r="V104" s="805" t="s">
        <v>974</v>
      </c>
      <c r="W104" s="783">
        <v>18000000</v>
      </c>
      <c r="X104" s="77" t="s">
        <v>972</v>
      </c>
      <c r="Y104" s="3520"/>
      <c r="Z104" s="3187"/>
      <c r="AA104" s="2222"/>
      <c r="AB104" s="2222"/>
      <c r="AC104" s="2222"/>
      <c r="AD104" s="2222"/>
      <c r="AE104" s="2222"/>
      <c r="AF104" s="2222"/>
      <c r="AG104" s="3254"/>
      <c r="AH104" s="3254"/>
      <c r="AI104" s="3254"/>
      <c r="AJ104" s="3254"/>
      <c r="AK104" s="3254"/>
      <c r="AL104" s="3254"/>
      <c r="AM104" s="3518"/>
      <c r="AN104" s="3518"/>
      <c r="AO104" s="3518"/>
      <c r="AP104" s="3254"/>
      <c r="AQ104" s="3466"/>
      <c r="AR104" s="3466"/>
      <c r="AS104" s="3254"/>
    </row>
    <row r="105" spans="1:45" s="74" customFormat="1" ht="69.75" customHeight="1" x14ac:dyDescent="0.25">
      <c r="A105" s="2438"/>
      <c r="B105" s="2439"/>
      <c r="C105" s="579"/>
      <c r="D105" s="580"/>
      <c r="E105" s="3506"/>
      <c r="F105" s="3506"/>
      <c r="G105" s="3492"/>
      <c r="H105" s="3531"/>
      <c r="I105" s="3492"/>
      <c r="J105" s="3531"/>
      <c r="K105" s="3492"/>
      <c r="L105" s="3534"/>
      <c r="M105" s="3492"/>
      <c r="N105" s="3534"/>
      <c r="O105" s="3492"/>
      <c r="P105" s="3492"/>
      <c r="Q105" s="3355"/>
      <c r="R105" s="3523"/>
      <c r="S105" s="2630"/>
      <c r="T105" s="2993"/>
      <c r="U105" s="3107"/>
      <c r="V105" s="805" t="s">
        <v>975</v>
      </c>
      <c r="W105" s="783">
        <v>7800000</v>
      </c>
      <c r="X105" s="77" t="s">
        <v>972</v>
      </c>
      <c r="Y105" s="3520"/>
      <c r="Z105" s="3187"/>
      <c r="AA105" s="2222"/>
      <c r="AB105" s="2222"/>
      <c r="AC105" s="2222"/>
      <c r="AD105" s="2222"/>
      <c r="AE105" s="2222"/>
      <c r="AF105" s="2222"/>
      <c r="AG105" s="3254"/>
      <c r="AH105" s="3254"/>
      <c r="AI105" s="3254"/>
      <c r="AJ105" s="3254"/>
      <c r="AK105" s="3254"/>
      <c r="AL105" s="3254"/>
      <c r="AM105" s="3518"/>
      <c r="AN105" s="3518"/>
      <c r="AO105" s="3518"/>
      <c r="AP105" s="3254"/>
      <c r="AQ105" s="3466"/>
      <c r="AR105" s="3466"/>
      <c r="AS105" s="3254"/>
    </row>
    <row r="106" spans="1:45" s="74" customFormat="1" ht="36" customHeight="1" x14ac:dyDescent="0.25">
      <c r="A106" s="2438"/>
      <c r="B106" s="2439"/>
      <c r="C106" s="579"/>
      <c r="D106" s="580"/>
      <c r="E106" s="3506"/>
      <c r="F106" s="3506"/>
      <c r="G106" s="3492"/>
      <c r="H106" s="3531"/>
      <c r="I106" s="3492"/>
      <c r="J106" s="3532"/>
      <c r="K106" s="3513"/>
      <c r="L106" s="3535"/>
      <c r="M106" s="3513"/>
      <c r="N106" s="3535"/>
      <c r="O106" s="3492"/>
      <c r="P106" s="3492"/>
      <c r="Q106" s="3355"/>
      <c r="R106" s="3523"/>
      <c r="S106" s="2630"/>
      <c r="T106" s="2993"/>
      <c r="U106" s="3107"/>
      <c r="V106" s="805" t="s">
        <v>976</v>
      </c>
      <c r="W106" s="783">
        <v>0</v>
      </c>
      <c r="X106" s="77" t="s">
        <v>977</v>
      </c>
      <c r="Y106" s="3521"/>
      <c r="Z106" s="3187"/>
      <c r="AA106" s="2222"/>
      <c r="AB106" s="2222"/>
      <c r="AC106" s="2222"/>
      <c r="AD106" s="2222"/>
      <c r="AE106" s="2222"/>
      <c r="AF106" s="2222"/>
      <c r="AG106" s="3254"/>
      <c r="AH106" s="3254"/>
      <c r="AI106" s="3254"/>
      <c r="AJ106" s="3254"/>
      <c r="AK106" s="3254"/>
      <c r="AL106" s="3254"/>
      <c r="AM106" s="3518"/>
      <c r="AN106" s="3518"/>
      <c r="AO106" s="3518"/>
      <c r="AP106" s="3254"/>
      <c r="AQ106" s="3466"/>
      <c r="AR106" s="3466"/>
      <c r="AS106" s="3254"/>
    </row>
    <row r="107" spans="1:45" s="74" customFormat="1" ht="36" customHeight="1" x14ac:dyDescent="0.25">
      <c r="A107" s="2438"/>
      <c r="B107" s="2439"/>
      <c r="C107" s="579"/>
      <c r="D107" s="580"/>
      <c r="E107" s="3506"/>
      <c r="F107" s="3506"/>
      <c r="G107" s="3492" t="s">
        <v>62</v>
      </c>
      <c r="H107" s="3510" t="s">
        <v>978</v>
      </c>
      <c r="I107" s="3514">
        <v>4104008</v>
      </c>
      <c r="J107" s="2458" t="s">
        <v>979</v>
      </c>
      <c r="K107" s="3200" t="s">
        <v>62</v>
      </c>
      <c r="L107" s="2458" t="s">
        <v>980</v>
      </c>
      <c r="M107" s="3173">
        <v>410400800</v>
      </c>
      <c r="N107" s="3510" t="s">
        <v>981</v>
      </c>
      <c r="O107" s="3524">
        <v>12</v>
      </c>
      <c r="P107" s="3492"/>
      <c r="Q107" s="3355"/>
      <c r="R107" s="3527">
        <f>SUM(W107:W144)/S102</f>
        <v>0.9924894260757493</v>
      </c>
      <c r="S107" s="2630"/>
      <c r="T107" s="2993"/>
      <c r="U107" s="3107"/>
      <c r="V107" s="2988" t="s">
        <v>982</v>
      </c>
      <c r="W107" s="806">
        <v>56207020.869999997</v>
      </c>
      <c r="X107" s="807" t="s">
        <v>983</v>
      </c>
      <c r="Y107" s="808">
        <v>6</v>
      </c>
      <c r="Z107" s="809" t="s">
        <v>984</v>
      </c>
      <c r="AA107" s="2222"/>
      <c r="AB107" s="2222"/>
      <c r="AC107" s="2222"/>
      <c r="AD107" s="2222"/>
      <c r="AE107" s="2222"/>
      <c r="AF107" s="2222"/>
      <c r="AG107" s="3254"/>
      <c r="AH107" s="3254"/>
      <c r="AI107" s="3254"/>
      <c r="AJ107" s="3254"/>
      <c r="AK107" s="3254"/>
      <c r="AL107" s="3254"/>
      <c r="AM107" s="3518"/>
      <c r="AN107" s="3518"/>
      <c r="AO107" s="3518"/>
      <c r="AP107" s="3254"/>
      <c r="AQ107" s="3466"/>
      <c r="AR107" s="3466"/>
      <c r="AS107" s="3254"/>
    </row>
    <row r="108" spans="1:45" s="74" customFormat="1" ht="36" customHeight="1" x14ac:dyDescent="0.25">
      <c r="A108" s="2438"/>
      <c r="B108" s="2439"/>
      <c r="C108" s="579"/>
      <c r="D108" s="580"/>
      <c r="E108" s="3506"/>
      <c r="F108" s="3506"/>
      <c r="G108" s="3492"/>
      <c r="H108" s="3511"/>
      <c r="I108" s="3515"/>
      <c r="J108" s="2459"/>
      <c r="K108" s="3517"/>
      <c r="L108" s="2459"/>
      <c r="M108" s="3174"/>
      <c r="N108" s="3511"/>
      <c r="O108" s="3525"/>
      <c r="P108" s="3492"/>
      <c r="Q108" s="3355"/>
      <c r="R108" s="3528"/>
      <c r="S108" s="2630"/>
      <c r="T108" s="2993"/>
      <c r="U108" s="3107"/>
      <c r="V108" s="2989"/>
      <c r="W108" s="806">
        <v>8567750.0500000007</v>
      </c>
      <c r="X108" s="807" t="s">
        <v>985</v>
      </c>
      <c r="Y108" s="810">
        <v>84</v>
      </c>
      <c r="Z108" s="809" t="s">
        <v>986</v>
      </c>
      <c r="AA108" s="2222"/>
      <c r="AB108" s="2222"/>
      <c r="AC108" s="2222"/>
      <c r="AD108" s="2222"/>
      <c r="AE108" s="2222"/>
      <c r="AF108" s="2222"/>
      <c r="AG108" s="3254"/>
      <c r="AH108" s="3254"/>
      <c r="AI108" s="3254"/>
      <c r="AJ108" s="3254"/>
      <c r="AK108" s="3254"/>
      <c r="AL108" s="3254"/>
      <c r="AM108" s="3518"/>
      <c r="AN108" s="3518"/>
      <c r="AO108" s="3518"/>
      <c r="AP108" s="3254"/>
      <c r="AQ108" s="3466"/>
      <c r="AR108" s="3466"/>
      <c r="AS108" s="3254"/>
    </row>
    <row r="109" spans="1:45" s="74" customFormat="1" ht="36" customHeight="1" x14ac:dyDescent="0.25">
      <c r="A109" s="2438"/>
      <c r="B109" s="2439"/>
      <c r="C109" s="579"/>
      <c r="D109" s="580"/>
      <c r="E109" s="3506"/>
      <c r="F109" s="3506"/>
      <c r="G109" s="3492"/>
      <c r="H109" s="3511"/>
      <c r="I109" s="3515"/>
      <c r="J109" s="2459"/>
      <c r="K109" s="3517"/>
      <c r="L109" s="2459"/>
      <c r="M109" s="3174"/>
      <c r="N109" s="3511"/>
      <c r="O109" s="3525"/>
      <c r="P109" s="3492"/>
      <c r="Q109" s="3355"/>
      <c r="R109" s="3528"/>
      <c r="S109" s="2630"/>
      <c r="T109" s="2993"/>
      <c r="U109" s="3107"/>
      <c r="V109" s="2989"/>
      <c r="W109" s="763">
        <v>352625342.08999997</v>
      </c>
      <c r="X109" s="807" t="s">
        <v>987</v>
      </c>
      <c r="Y109" s="808">
        <v>6</v>
      </c>
      <c r="Z109" s="809" t="s">
        <v>984</v>
      </c>
      <c r="AA109" s="2222"/>
      <c r="AB109" s="2222"/>
      <c r="AC109" s="2222"/>
      <c r="AD109" s="2222"/>
      <c r="AE109" s="2222"/>
      <c r="AF109" s="2222"/>
      <c r="AG109" s="3254"/>
      <c r="AH109" s="3254"/>
      <c r="AI109" s="3254"/>
      <c r="AJ109" s="3254"/>
      <c r="AK109" s="3254"/>
      <c r="AL109" s="3254"/>
      <c r="AM109" s="3518"/>
      <c r="AN109" s="3518"/>
      <c r="AO109" s="3518"/>
      <c r="AP109" s="3254"/>
      <c r="AQ109" s="3466"/>
      <c r="AR109" s="3466"/>
      <c r="AS109" s="3254"/>
    </row>
    <row r="110" spans="1:45" s="74" customFormat="1" ht="36" customHeight="1" x14ac:dyDescent="0.25">
      <c r="A110" s="2438"/>
      <c r="B110" s="2439"/>
      <c r="C110" s="579"/>
      <c r="D110" s="580"/>
      <c r="E110" s="3506"/>
      <c r="F110" s="3506"/>
      <c r="G110" s="3492"/>
      <c r="H110" s="3511"/>
      <c r="I110" s="3515"/>
      <c r="J110" s="2459"/>
      <c r="K110" s="3517"/>
      <c r="L110" s="2459"/>
      <c r="M110" s="3174"/>
      <c r="N110" s="3511"/>
      <c r="O110" s="3525"/>
      <c r="P110" s="3492"/>
      <c r="Q110" s="3355"/>
      <c r="R110" s="3528"/>
      <c r="S110" s="2630"/>
      <c r="T110" s="2993"/>
      <c r="U110" s="3107"/>
      <c r="V110" s="2989"/>
      <c r="W110" s="763">
        <v>55552185.780000001</v>
      </c>
      <c r="X110" s="807" t="s">
        <v>988</v>
      </c>
      <c r="Y110" s="810">
        <v>84</v>
      </c>
      <c r="Z110" s="809" t="s">
        <v>986</v>
      </c>
      <c r="AA110" s="2222"/>
      <c r="AB110" s="2222"/>
      <c r="AC110" s="2222"/>
      <c r="AD110" s="2222"/>
      <c r="AE110" s="2222"/>
      <c r="AF110" s="2222"/>
      <c r="AG110" s="3254"/>
      <c r="AH110" s="3254"/>
      <c r="AI110" s="3254"/>
      <c r="AJ110" s="3254"/>
      <c r="AK110" s="3254"/>
      <c r="AL110" s="3254"/>
      <c r="AM110" s="3518"/>
      <c r="AN110" s="3518"/>
      <c r="AO110" s="3518"/>
      <c r="AP110" s="3254"/>
      <c r="AQ110" s="3466"/>
      <c r="AR110" s="3466"/>
      <c r="AS110" s="3254"/>
    </row>
    <row r="111" spans="1:45" s="74" customFormat="1" ht="36" customHeight="1" x14ac:dyDescent="0.25">
      <c r="A111" s="2438"/>
      <c r="B111" s="2439"/>
      <c r="C111" s="579"/>
      <c r="D111" s="580"/>
      <c r="E111" s="3506"/>
      <c r="F111" s="3506"/>
      <c r="G111" s="3492"/>
      <c r="H111" s="3511"/>
      <c r="I111" s="3515"/>
      <c r="J111" s="2459"/>
      <c r="K111" s="3517"/>
      <c r="L111" s="2459"/>
      <c r="M111" s="3174"/>
      <c r="N111" s="3511"/>
      <c r="O111" s="3525"/>
      <c r="P111" s="3492"/>
      <c r="Q111" s="3355"/>
      <c r="R111" s="3528"/>
      <c r="S111" s="2630"/>
      <c r="T111" s="2993"/>
      <c r="U111" s="3107"/>
      <c r="V111" s="2989"/>
      <c r="W111" s="763">
        <v>28690491.449999999</v>
      </c>
      <c r="X111" s="807" t="s">
        <v>989</v>
      </c>
      <c r="Y111" s="808">
        <v>6</v>
      </c>
      <c r="Z111" s="809" t="s">
        <v>984</v>
      </c>
      <c r="AA111" s="2222"/>
      <c r="AB111" s="2222"/>
      <c r="AC111" s="2222"/>
      <c r="AD111" s="2222"/>
      <c r="AE111" s="2222"/>
      <c r="AF111" s="2222"/>
      <c r="AG111" s="3254"/>
      <c r="AH111" s="3254"/>
      <c r="AI111" s="3254"/>
      <c r="AJ111" s="3254"/>
      <c r="AK111" s="3254"/>
      <c r="AL111" s="3254"/>
      <c r="AM111" s="3518"/>
      <c r="AN111" s="3518"/>
      <c r="AO111" s="3518"/>
      <c r="AP111" s="3254"/>
      <c r="AQ111" s="3466"/>
      <c r="AR111" s="3466"/>
      <c r="AS111" s="3254"/>
    </row>
    <row r="112" spans="1:45" s="74" customFormat="1" ht="36" customHeight="1" x14ac:dyDescent="0.25">
      <c r="A112" s="2438"/>
      <c r="B112" s="2439"/>
      <c r="C112" s="579"/>
      <c r="D112" s="580"/>
      <c r="E112" s="3506"/>
      <c r="F112" s="3506"/>
      <c r="G112" s="3492"/>
      <c r="H112" s="3511"/>
      <c r="I112" s="3515"/>
      <c r="J112" s="2459"/>
      <c r="K112" s="3517"/>
      <c r="L112" s="2459"/>
      <c r="M112" s="3174"/>
      <c r="N112" s="3511"/>
      <c r="O112" s="3525"/>
      <c r="P112" s="3492"/>
      <c r="Q112" s="3355"/>
      <c r="R112" s="3528"/>
      <c r="S112" s="2630"/>
      <c r="T112" s="2993"/>
      <c r="U112" s="3107"/>
      <c r="V112" s="2989"/>
      <c r="W112" s="763">
        <v>4422064.54</v>
      </c>
      <c r="X112" s="807" t="s">
        <v>990</v>
      </c>
      <c r="Y112" s="810">
        <v>84</v>
      </c>
      <c r="Z112" s="809" t="s">
        <v>986</v>
      </c>
      <c r="AA112" s="2222"/>
      <c r="AB112" s="2222"/>
      <c r="AC112" s="2222"/>
      <c r="AD112" s="2222"/>
      <c r="AE112" s="2222"/>
      <c r="AF112" s="2222"/>
      <c r="AG112" s="3254"/>
      <c r="AH112" s="3254"/>
      <c r="AI112" s="3254"/>
      <c r="AJ112" s="3254"/>
      <c r="AK112" s="3254"/>
      <c r="AL112" s="3254"/>
      <c r="AM112" s="3518"/>
      <c r="AN112" s="3518"/>
      <c r="AO112" s="3518"/>
      <c r="AP112" s="3254"/>
      <c r="AQ112" s="3466"/>
      <c r="AR112" s="3466"/>
      <c r="AS112" s="3254"/>
    </row>
    <row r="113" spans="1:45" s="74" customFormat="1" ht="36" customHeight="1" x14ac:dyDescent="0.25">
      <c r="A113" s="2438"/>
      <c r="B113" s="2439"/>
      <c r="C113" s="579"/>
      <c r="D113" s="580"/>
      <c r="E113" s="3506"/>
      <c r="F113" s="3506"/>
      <c r="G113" s="3492"/>
      <c r="H113" s="3511"/>
      <c r="I113" s="3515"/>
      <c r="J113" s="2459"/>
      <c r="K113" s="3517"/>
      <c r="L113" s="2459"/>
      <c r="M113" s="3174"/>
      <c r="N113" s="3511"/>
      <c r="O113" s="3525"/>
      <c r="P113" s="3492"/>
      <c r="Q113" s="3355"/>
      <c r="R113" s="3528"/>
      <c r="S113" s="2630"/>
      <c r="T113" s="2993"/>
      <c r="U113" s="3107"/>
      <c r="V113" s="2989"/>
      <c r="W113" s="763">
        <v>75779173.569999993</v>
      </c>
      <c r="X113" s="807" t="s">
        <v>991</v>
      </c>
      <c r="Y113" s="808">
        <v>6</v>
      </c>
      <c r="Z113" s="809" t="s">
        <v>984</v>
      </c>
      <c r="AA113" s="2222"/>
      <c r="AB113" s="2222"/>
      <c r="AC113" s="2222"/>
      <c r="AD113" s="2222"/>
      <c r="AE113" s="2222"/>
      <c r="AF113" s="2222"/>
      <c r="AG113" s="3254"/>
      <c r="AH113" s="3254"/>
      <c r="AI113" s="3254"/>
      <c r="AJ113" s="3254"/>
      <c r="AK113" s="3254"/>
      <c r="AL113" s="3254"/>
      <c r="AM113" s="3518"/>
      <c r="AN113" s="3518"/>
      <c r="AO113" s="3518"/>
      <c r="AP113" s="3254"/>
      <c r="AQ113" s="3466"/>
      <c r="AR113" s="3466"/>
      <c r="AS113" s="3254"/>
    </row>
    <row r="114" spans="1:45" s="74" customFormat="1" ht="36" customHeight="1" x14ac:dyDescent="0.25">
      <c r="A114" s="2438"/>
      <c r="B114" s="2439"/>
      <c r="C114" s="579"/>
      <c r="D114" s="580"/>
      <c r="E114" s="3506"/>
      <c r="F114" s="3506"/>
      <c r="G114" s="3492"/>
      <c r="H114" s="3511"/>
      <c r="I114" s="3515"/>
      <c r="J114" s="2459"/>
      <c r="K114" s="3517"/>
      <c r="L114" s="2459"/>
      <c r="M114" s="3174"/>
      <c r="N114" s="3511"/>
      <c r="O114" s="3525"/>
      <c r="P114" s="3492"/>
      <c r="Q114" s="3355"/>
      <c r="R114" s="3528"/>
      <c r="S114" s="2630"/>
      <c r="T114" s="2993"/>
      <c r="U114" s="3107"/>
      <c r="V114" s="2989"/>
      <c r="W114" s="763">
        <v>11607919.42</v>
      </c>
      <c r="X114" s="807" t="s">
        <v>992</v>
      </c>
      <c r="Y114" s="810">
        <v>84</v>
      </c>
      <c r="Z114" s="809" t="s">
        <v>986</v>
      </c>
      <c r="AA114" s="2222"/>
      <c r="AB114" s="2222"/>
      <c r="AC114" s="2222"/>
      <c r="AD114" s="2222"/>
      <c r="AE114" s="2222"/>
      <c r="AF114" s="2222"/>
      <c r="AG114" s="3254"/>
      <c r="AH114" s="3254"/>
      <c r="AI114" s="3254"/>
      <c r="AJ114" s="3254"/>
      <c r="AK114" s="3254"/>
      <c r="AL114" s="3254"/>
      <c r="AM114" s="3518"/>
      <c r="AN114" s="3518"/>
      <c r="AO114" s="3518"/>
      <c r="AP114" s="3254"/>
      <c r="AQ114" s="3466"/>
      <c r="AR114" s="3466"/>
      <c r="AS114" s="3254"/>
    </row>
    <row r="115" spans="1:45" s="74" customFormat="1" ht="36" customHeight="1" x14ac:dyDescent="0.25">
      <c r="A115" s="2438"/>
      <c r="B115" s="2439"/>
      <c r="C115" s="579"/>
      <c r="D115" s="580"/>
      <c r="E115" s="3506"/>
      <c r="F115" s="3506"/>
      <c r="G115" s="3492"/>
      <c r="H115" s="3511"/>
      <c r="I115" s="3515"/>
      <c r="J115" s="2459"/>
      <c r="K115" s="3517"/>
      <c r="L115" s="2459"/>
      <c r="M115" s="3174"/>
      <c r="N115" s="3511"/>
      <c r="O115" s="3525"/>
      <c r="P115" s="3492"/>
      <c r="Q115" s="3355"/>
      <c r="R115" s="3528"/>
      <c r="S115" s="2630"/>
      <c r="T115" s="2993"/>
      <c r="U115" s="3107"/>
      <c r="V115" s="2989"/>
      <c r="W115" s="763">
        <v>23311024.300000001</v>
      </c>
      <c r="X115" s="807" t="s">
        <v>993</v>
      </c>
      <c r="Y115" s="808">
        <v>6</v>
      </c>
      <c r="Z115" s="809" t="s">
        <v>984</v>
      </c>
      <c r="AA115" s="2222"/>
      <c r="AB115" s="2222"/>
      <c r="AC115" s="2222"/>
      <c r="AD115" s="2222"/>
      <c r="AE115" s="2222"/>
      <c r="AF115" s="2222"/>
      <c r="AG115" s="3254"/>
      <c r="AH115" s="3254"/>
      <c r="AI115" s="3254"/>
      <c r="AJ115" s="3254"/>
      <c r="AK115" s="3254"/>
      <c r="AL115" s="3254"/>
      <c r="AM115" s="3518"/>
      <c r="AN115" s="3518"/>
      <c r="AO115" s="3518"/>
      <c r="AP115" s="3254"/>
      <c r="AQ115" s="3466"/>
      <c r="AR115" s="3466"/>
      <c r="AS115" s="3254"/>
    </row>
    <row r="116" spans="1:45" s="74" customFormat="1" ht="36" customHeight="1" x14ac:dyDescent="0.25">
      <c r="A116" s="2438"/>
      <c r="B116" s="2439"/>
      <c r="C116" s="579"/>
      <c r="D116" s="580"/>
      <c r="E116" s="3506"/>
      <c r="F116" s="3506"/>
      <c r="G116" s="3492"/>
      <c r="H116" s="3511"/>
      <c r="I116" s="3515"/>
      <c r="J116" s="2459"/>
      <c r="K116" s="3517"/>
      <c r="L116" s="2459"/>
      <c r="M116" s="3174"/>
      <c r="N116" s="3511"/>
      <c r="O116" s="3525"/>
      <c r="P116" s="3492"/>
      <c r="Q116" s="3355"/>
      <c r="R116" s="3528"/>
      <c r="S116" s="2630"/>
      <c r="T116" s="2993"/>
      <c r="U116" s="3107"/>
      <c r="V116" s="2989"/>
      <c r="W116" s="763">
        <v>3592927.44</v>
      </c>
      <c r="X116" s="807" t="s">
        <v>994</v>
      </c>
      <c r="Y116" s="810">
        <v>84</v>
      </c>
      <c r="Z116" s="809" t="s">
        <v>986</v>
      </c>
      <c r="AA116" s="2222"/>
      <c r="AB116" s="2222"/>
      <c r="AC116" s="2222"/>
      <c r="AD116" s="2222"/>
      <c r="AE116" s="2222"/>
      <c r="AF116" s="2222"/>
      <c r="AG116" s="3254"/>
      <c r="AH116" s="3254"/>
      <c r="AI116" s="3254"/>
      <c r="AJ116" s="3254"/>
      <c r="AK116" s="3254"/>
      <c r="AL116" s="3254"/>
      <c r="AM116" s="3518"/>
      <c r="AN116" s="3518"/>
      <c r="AO116" s="3518"/>
      <c r="AP116" s="3254"/>
      <c r="AQ116" s="3466"/>
      <c r="AR116" s="3466"/>
      <c r="AS116" s="3254"/>
    </row>
    <row r="117" spans="1:45" s="74" customFormat="1" ht="36" customHeight="1" x14ac:dyDescent="0.25">
      <c r="A117" s="2438"/>
      <c r="B117" s="2439"/>
      <c r="C117" s="579"/>
      <c r="D117" s="580"/>
      <c r="E117" s="3506"/>
      <c r="F117" s="3506"/>
      <c r="G117" s="3492"/>
      <c r="H117" s="3511"/>
      <c r="I117" s="3515"/>
      <c r="J117" s="2459"/>
      <c r="K117" s="3517"/>
      <c r="L117" s="2459"/>
      <c r="M117" s="3174"/>
      <c r="N117" s="3511"/>
      <c r="O117" s="3525"/>
      <c r="P117" s="3492"/>
      <c r="Q117" s="3355"/>
      <c r="R117" s="3528"/>
      <c r="S117" s="2630"/>
      <c r="T117" s="2993"/>
      <c r="U117" s="3107"/>
      <c r="V117" s="2989"/>
      <c r="W117" s="763">
        <v>162290857.18000001</v>
      </c>
      <c r="X117" s="807" t="s">
        <v>995</v>
      </c>
      <c r="Y117" s="808">
        <v>6</v>
      </c>
      <c r="Z117" s="809" t="s">
        <v>984</v>
      </c>
      <c r="AA117" s="2222"/>
      <c r="AB117" s="2222"/>
      <c r="AC117" s="2222"/>
      <c r="AD117" s="2222"/>
      <c r="AE117" s="2222"/>
      <c r="AF117" s="2222"/>
      <c r="AG117" s="3254"/>
      <c r="AH117" s="3254"/>
      <c r="AI117" s="3254"/>
      <c r="AJ117" s="3254"/>
      <c r="AK117" s="3254"/>
      <c r="AL117" s="3254"/>
      <c r="AM117" s="3518"/>
      <c r="AN117" s="3518"/>
      <c r="AO117" s="3518"/>
      <c r="AP117" s="3254"/>
      <c r="AQ117" s="3466"/>
      <c r="AR117" s="3466"/>
      <c r="AS117" s="3254"/>
    </row>
    <row r="118" spans="1:45" s="74" customFormat="1" ht="36" customHeight="1" x14ac:dyDescent="0.25">
      <c r="A118" s="2438"/>
      <c r="B118" s="2439"/>
      <c r="C118" s="579"/>
      <c r="D118" s="580"/>
      <c r="E118" s="3506"/>
      <c r="F118" s="3506"/>
      <c r="G118" s="3492"/>
      <c r="H118" s="3511"/>
      <c r="I118" s="3515"/>
      <c r="J118" s="2459"/>
      <c r="K118" s="3517"/>
      <c r="L118" s="2459"/>
      <c r="M118" s="3174"/>
      <c r="N118" s="3511"/>
      <c r="O118" s="3525"/>
      <c r="P118" s="3492"/>
      <c r="Q118" s="3355"/>
      <c r="R118" s="3528"/>
      <c r="S118" s="2630"/>
      <c r="T118" s="2993"/>
      <c r="U118" s="3107"/>
      <c r="V118" s="2989"/>
      <c r="W118" s="763">
        <v>24874113.039999999</v>
      </c>
      <c r="X118" s="807" t="s">
        <v>996</v>
      </c>
      <c r="Y118" s="810">
        <v>84</v>
      </c>
      <c r="Z118" s="809" t="s">
        <v>986</v>
      </c>
      <c r="AA118" s="2222"/>
      <c r="AB118" s="2222"/>
      <c r="AC118" s="2222"/>
      <c r="AD118" s="2222"/>
      <c r="AE118" s="2222"/>
      <c r="AF118" s="2222"/>
      <c r="AG118" s="3254"/>
      <c r="AH118" s="3254"/>
      <c r="AI118" s="3254"/>
      <c r="AJ118" s="3254"/>
      <c r="AK118" s="3254"/>
      <c r="AL118" s="3254"/>
      <c r="AM118" s="3518"/>
      <c r="AN118" s="3518"/>
      <c r="AO118" s="3518"/>
      <c r="AP118" s="3254"/>
      <c r="AQ118" s="3466"/>
      <c r="AR118" s="3466"/>
      <c r="AS118" s="3254"/>
    </row>
    <row r="119" spans="1:45" s="74" customFormat="1" ht="36" customHeight="1" x14ac:dyDescent="0.25">
      <c r="A119" s="2438"/>
      <c r="B119" s="2439"/>
      <c r="C119" s="579"/>
      <c r="D119" s="580"/>
      <c r="E119" s="3506"/>
      <c r="F119" s="3506"/>
      <c r="G119" s="3492"/>
      <c r="H119" s="3511"/>
      <c r="I119" s="3515"/>
      <c r="J119" s="2459"/>
      <c r="K119" s="3517"/>
      <c r="L119" s="2459"/>
      <c r="M119" s="3174"/>
      <c r="N119" s="3511"/>
      <c r="O119" s="3525"/>
      <c r="P119" s="3492"/>
      <c r="Q119" s="3355"/>
      <c r="R119" s="3528"/>
      <c r="S119" s="2630"/>
      <c r="T119" s="2993"/>
      <c r="U119" s="3107"/>
      <c r="V119" s="2989"/>
      <c r="W119" s="763">
        <v>117569276.84999999</v>
      </c>
      <c r="X119" s="807" t="s">
        <v>997</v>
      </c>
      <c r="Y119" s="808">
        <v>6</v>
      </c>
      <c r="Z119" s="809" t="s">
        <v>984</v>
      </c>
      <c r="AA119" s="2222"/>
      <c r="AB119" s="2222"/>
      <c r="AC119" s="2222"/>
      <c r="AD119" s="2222"/>
      <c r="AE119" s="2222"/>
      <c r="AF119" s="2222"/>
      <c r="AG119" s="3254"/>
      <c r="AH119" s="3254"/>
      <c r="AI119" s="3254"/>
      <c r="AJ119" s="3254"/>
      <c r="AK119" s="3254"/>
      <c r="AL119" s="3254"/>
      <c r="AM119" s="3518"/>
      <c r="AN119" s="3518"/>
      <c r="AO119" s="3518"/>
      <c r="AP119" s="3254"/>
      <c r="AQ119" s="3466"/>
      <c r="AR119" s="3466"/>
      <c r="AS119" s="3254"/>
    </row>
    <row r="120" spans="1:45" s="74" customFormat="1" ht="36" customHeight="1" x14ac:dyDescent="0.25">
      <c r="A120" s="2438"/>
      <c r="B120" s="2439"/>
      <c r="C120" s="579"/>
      <c r="D120" s="580"/>
      <c r="E120" s="3506"/>
      <c r="F120" s="3506"/>
      <c r="G120" s="3492"/>
      <c r="H120" s="3511"/>
      <c r="I120" s="3515"/>
      <c r="J120" s="2459"/>
      <c r="K120" s="3517"/>
      <c r="L120" s="2459"/>
      <c r="M120" s="3174"/>
      <c r="N120" s="3511"/>
      <c r="O120" s="3525"/>
      <c r="P120" s="3492"/>
      <c r="Q120" s="3355"/>
      <c r="R120" s="3528"/>
      <c r="S120" s="2630"/>
      <c r="T120" s="2993"/>
      <c r="U120" s="3107"/>
      <c r="V120" s="2989"/>
      <c r="W120" s="763">
        <v>17964637.190000001</v>
      </c>
      <c r="X120" s="807" t="s">
        <v>998</v>
      </c>
      <c r="Y120" s="810">
        <v>84</v>
      </c>
      <c r="Z120" s="809" t="s">
        <v>986</v>
      </c>
      <c r="AA120" s="2222"/>
      <c r="AB120" s="2222"/>
      <c r="AC120" s="2222"/>
      <c r="AD120" s="2222"/>
      <c r="AE120" s="2222"/>
      <c r="AF120" s="2222"/>
      <c r="AG120" s="3254"/>
      <c r="AH120" s="3254"/>
      <c r="AI120" s="3254"/>
      <c r="AJ120" s="3254"/>
      <c r="AK120" s="3254"/>
      <c r="AL120" s="3254"/>
      <c r="AM120" s="3518"/>
      <c r="AN120" s="3518"/>
      <c r="AO120" s="3518"/>
      <c r="AP120" s="3254"/>
      <c r="AQ120" s="3466"/>
      <c r="AR120" s="3466"/>
      <c r="AS120" s="3254"/>
    </row>
    <row r="121" spans="1:45" s="74" customFormat="1" ht="36" customHeight="1" x14ac:dyDescent="0.25">
      <c r="A121" s="2438"/>
      <c r="B121" s="2439"/>
      <c r="C121" s="579"/>
      <c r="D121" s="580"/>
      <c r="E121" s="3506"/>
      <c r="F121" s="3506"/>
      <c r="G121" s="3492"/>
      <c r="H121" s="3511"/>
      <c r="I121" s="3515"/>
      <c r="J121" s="2459"/>
      <c r="K121" s="3517"/>
      <c r="L121" s="2459"/>
      <c r="M121" s="3174"/>
      <c r="N121" s="3511"/>
      <c r="O121" s="3525"/>
      <c r="P121" s="3492"/>
      <c r="Q121" s="3355"/>
      <c r="R121" s="3528"/>
      <c r="S121" s="2630"/>
      <c r="T121" s="2993"/>
      <c r="U121" s="3107"/>
      <c r="V121" s="2989"/>
      <c r="W121" s="763">
        <v>62760450.049999997</v>
      </c>
      <c r="X121" s="807" t="s">
        <v>999</v>
      </c>
      <c r="Y121" s="808">
        <v>6</v>
      </c>
      <c r="Z121" s="809" t="s">
        <v>984</v>
      </c>
      <c r="AA121" s="2222"/>
      <c r="AB121" s="2222"/>
      <c r="AC121" s="2222"/>
      <c r="AD121" s="2222"/>
      <c r="AE121" s="2222"/>
      <c r="AF121" s="2222"/>
      <c r="AG121" s="3254"/>
      <c r="AH121" s="3254"/>
      <c r="AI121" s="3254"/>
      <c r="AJ121" s="3254"/>
      <c r="AK121" s="3254"/>
      <c r="AL121" s="3254"/>
      <c r="AM121" s="3518"/>
      <c r="AN121" s="3518"/>
      <c r="AO121" s="3518"/>
      <c r="AP121" s="3254"/>
      <c r="AQ121" s="3466"/>
      <c r="AR121" s="3466"/>
      <c r="AS121" s="3254"/>
    </row>
    <row r="122" spans="1:45" s="74" customFormat="1" ht="36" customHeight="1" x14ac:dyDescent="0.25">
      <c r="A122" s="2438"/>
      <c r="B122" s="2439"/>
      <c r="C122" s="579"/>
      <c r="D122" s="580"/>
      <c r="E122" s="3506"/>
      <c r="F122" s="3506"/>
      <c r="G122" s="3492"/>
      <c r="H122" s="3511"/>
      <c r="I122" s="3515"/>
      <c r="J122" s="2459"/>
      <c r="K122" s="3517"/>
      <c r="L122" s="2459"/>
      <c r="M122" s="3174"/>
      <c r="N122" s="3511"/>
      <c r="O122" s="3525"/>
      <c r="P122" s="3492"/>
      <c r="Q122" s="3355"/>
      <c r="R122" s="3528"/>
      <c r="S122" s="2630"/>
      <c r="T122" s="2993"/>
      <c r="U122" s="3107"/>
      <c r="V122" s="2989"/>
      <c r="W122" s="763">
        <v>9396887.1400000006</v>
      </c>
      <c r="X122" s="807" t="s">
        <v>1000</v>
      </c>
      <c r="Y122" s="810">
        <v>84</v>
      </c>
      <c r="Z122" s="809" t="s">
        <v>986</v>
      </c>
      <c r="AA122" s="2222"/>
      <c r="AB122" s="2222"/>
      <c r="AC122" s="2222"/>
      <c r="AD122" s="2222"/>
      <c r="AE122" s="2222"/>
      <c r="AF122" s="2222"/>
      <c r="AG122" s="3254"/>
      <c r="AH122" s="3254"/>
      <c r="AI122" s="3254"/>
      <c r="AJ122" s="3254"/>
      <c r="AK122" s="3254"/>
      <c r="AL122" s="3254"/>
      <c r="AM122" s="3518"/>
      <c r="AN122" s="3518"/>
      <c r="AO122" s="3518"/>
      <c r="AP122" s="3254"/>
      <c r="AQ122" s="3466"/>
      <c r="AR122" s="3466"/>
      <c r="AS122" s="3254"/>
    </row>
    <row r="123" spans="1:45" s="74" customFormat="1" ht="36" customHeight="1" x14ac:dyDescent="0.25">
      <c r="A123" s="2438"/>
      <c r="B123" s="2439"/>
      <c r="C123" s="579"/>
      <c r="D123" s="580"/>
      <c r="E123" s="3506"/>
      <c r="F123" s="3506"/>
      <c r="G123" s="3492"/>
      <c r="H123" s="3511"/>
      <c r="I123" s="3515"/>
      <c r="J123" s="2459"/>
      <c r="K123" s="3517"/>
      <c r="L123" s="2459"/>
      <c r="M123" s="3174"/>
      <c r="N123" s="3511"/>
      <c r="O123" s="3525"/>
      <c r="P123" s="3492"/>
      <c r="Q123" s="3355"/>
      <c r="R123" s="3528"/>
      <c r="S123" s="2630"/>
      <c r="T123" s="2993"/>
      <c r="U123" s="3107"/>
      <c r="V123" s="2989"/>
      <c r="W123" s="763">
        <v>28690491.449999999</v>
      </c>
      <c r="X123" s="807" t="s">
        <v>1001</v>
      </c>
      <c r="Y123" s="808">
        <v>6</v>
      </c>
      <c r="Z123" s="809" t="s">
        <v>984</v>
      </c>
      <c r="AA123" s="2222"/>
      <c r="AB123" s="2222"/>
      <c r="AC123" s="2222"/>
      <c r="AD123" s="2222"/>
      <c r="AE123" s="2222"/>
      <c r="AF123" s="2222"/>
      <c r="AG123" s="3254"/>
      <c r="AH123" s="3254"/>
      <c r="AI123" s="3254"/>
      <c r="AJ123" s="3254"/>
      <c r="AK123" s="3254"/>
      <c r="AL123" s="3254"/>
      <c r="AM123" s="3518"/>
      <c r="AN123" s="3518"/>
      <c r="AO123" s="3518"/>
      <c r="AP123" s="3254"/>
      <c r="AQ123" s="3466"/>
      <c r="AR123" s="3466"/>
      <c r="AS123" s="3254"/>
    </row>
    <row r="124" spans="1:45" s="74" customFormat="1" ht="36" customHeight="1" x14ac:dyDescent="0.25">
      <c r="A124" s="2438"/>
      <c r="B124" s="2439"/>
      <c r="C124" s="579"/>
      <c r="D124" s="580"/>
      <c r="E124" s="3506"/>
      <c r="F124" s="3506"/>
      <c r="G124" s="3492"/>
      <c r="H124" s="3511"/>
      <c r="I124" s="3515"/>
      <c r="J124" s="2459"/>
      <c r="K124" s="3517"/>
      <c r="L124" s="2459"/>
      <c r="M124" s="3174"/>
      <c r="N124" s="3511"/>
      <c r="O124" s="3525"/>
      <c r="P124" s="3492"/>
      <c r="Q124" s="3355"/>
      <c r="R124" s="3528"/>
      <c r="S124" s="2630"/>
      <c r="T124" s="2993"/>
      <c r="U124" s="3107"/>
      <c r="V124" s="2989"/>
      <c r="W124" s="763">
        <v>4698443.57</v>
      </c>
      <c r="X124" s="807" t="s">
        <v>1002</v>
      </c>
      <c r="Y124" s="810">
        <v>84</v>
      </c>
      <c r="Z124" s="809" t="s">
        <v>986</v>
      </c>
      <c r="AA124" s="2222"/>
      <c r="AB124" s="2222"/>
      <c r="AC124" s="2222"/>
      <c r="AD124" s="2222"/>
      <c r="AE124" s="2222"/>
      <c r="AF124" s="2222"/>
      <c r="AG124" s="3254"/>
      <c r="AH124" s="3254"/>
      <c r="AI124" s="3254"/>
      <c r="AJ124" s="3254"/>
      <c r="AK124" s="3254"/>
      <c r="AL124" s="3254"/>
      <c r="AM124" s="3518"/>
      <c r="AN124" s="3518"/>
      <c r="AO124" s="3518"/>
      <c r="AP124" s="3254"/>
      <c r="AQ124" s="3466"/>
      <c r="AR124" s="3466"/>
      <c r="AS124" s="3254"/>
    </row>
    <row r="125" spans="1:45" s="74" customFormat="1" ht="36" customHeight="1" x14ac:dyDescent="0.25">
      <c r="A125" s="2438"/>
      <c r="B125" s="2439"/>
      <c r="C125" s="579"/>
      <c r="D125" s="580"/>
      <c r="E125" s="3506"/>
      <c r="F125" s="3506"/>
      <c r="G125" s="3492"/>
      <c r="H125" s="3511"/>
      <c r="I125" s="3515"/>
      <c r="J125" s="2459"/>
      <c r="K125" s="3517"/>
      <c r="L125" s="2459"/>
      <c r="M125" s="3174"/>
      <c r="N125" s="3511"/>
      <c r="O125" s="3525"/>
      <c r="P125" s="3492"/>
      <c r="Q125" s="3355"/>
      <c r="R125" s="3528"/>
      <c r="S125" s="2630"/>
      <c r="T125" s="2993"/>
      <c r="U125" s="3107"/>
      <c r="V125" s="2989"/>
      <c r="W125" s="763">
        <v>48841979.460000001</v>
      </c>
      <c r="X125" s="807" t="s">
        <v>1003</v>
      </c>
      <c r="Y125" s="808">
        <v>6</v>
      </c>
      <c r="Z125" s="809" t="s">
        <v>984</v>
      </c>
      <c r="AA125" s="2222"/>
      <c r="AB125" s="2222"/>
      <c r="AC125" s="2222"/>
      <c r="AD125" s="2222"/>
      <c r="AE125" s="2222"/>
      <c r="AF125" s="2222"/>
      <c r="AG125" s="3254"/>
      <c r="AH125" s="3254"/>
      <c r="AI125" s="3254"/>
      <c r="AJ125" s="3254"/>
      <c r="AK125" s="3254"/>
      <c r="AL125" s="3254"/>
      <c r="AM125" s="3518"/>
      <c r="AN125" s="3518"/>
      <c r="AO125" s="3518"/>
      <c r="AP125" s="3254"/>
      <c r="AQ125" s="3466"/>
      <c r="AR125" s="3466"/>
      <c r="AS125" s="3254"/>
    </row>
    <row r="126" spans="1:45" s="74" customFormat="1" ht="36" customHeight="1" x14ac:dyDescent="0.25">
      <c r="A126" s="2438"/>
      <c r="B126" s="2439"/>
      <c r="C126" s="579"/>
      <c r="D126" s="580"/>
      <c r="E126" s="3506"/>
      <c r="F126" s="3506"/>
      <c r="G126" s="3492"/>
      <c r="H126" s="3511"/>
      <c r="I126" s="3515"/>
      <c r="J126" s="2459"/>
      <c r="K126" s="3517"/>
      <c r="L126" s="2459"/>
      <c r="M126" s="3174"/>
      <c r="N126" s="3511"/>
      <c r="O126" s="3525"/>
      <c r="P126" s="3492"/>
      <c r="Q126" s="3355"/>
      <c r="R126" s="3528"/>
      <c r="S126" s="2630"/>
      <c r="T126" s="2993"/>
      <c r="U126" s="3107"/>
      <c r="V126" s="2989"/>
      <c r="W126" s="763">
        <v>7462233.9100000001</v>
      </c>
      <c r="X126" s="807" t="s">
        <v>1004</v>
      </c>
      <c r="Y126" s="810">
        <v>84</v>
      </c>
      <c r="Z126" s="809" t="s">
        <v>986</v>
      </c>
      <c r="AA126" s="2222"/>
      <c r="AB126" s="2222"/>
      <c r="AC126" s="2222"/>
      <c r="AD126" s="2222"/>
      <c r="AE126" s="2222"/>
      <c r="AF126" s="2222"/>
      <c r="AG126" s="3254"/>
      <c r="AH126" s="3254"/>
      <c r="AI126" s="3254"/>
      <c r="AJ126" s="3254"/>
      <c r="AK126" s="3254"/>
      <c r="AL126" s="3254"/>
      <c r="AM126" s="3518"/>
      <c r="AN126" s="3518"/>
      <c r="AO126" s="3518"/>
      <c r="AP126" s="3254"/>
      <c r="AQ126" s="3466"/>
      <c r="AR126" s="3466"/>
      <c r="AS126" s="3254"/>
    </row>
    <row r="127" spans="1:45" s="74" customFormat="1" ht="36" customHeight="1" x14ac:dyDescent="0.25">
      <c r="A127" s="2438"/>
      <c r="B127" s="2439"/>
      <c r="C127" s="579"/>
      <c r="D127" s="580"/>
      <c r="E127" s="3506"/>
      <c r="F127" s="3506"/>
      <c r="G127" s="3492"/>
      <c r="H127" s="3511"/>
      <c r="I127" s="3515"/>
      <c r="J127" s="2459"/>
      <c r="K127" s="3517"/>
      <c r="L127" s="2459"/>
      <c r="M127" s="3174"/>
      <c r="N127" s="3511"/>
      <c r="O127" s="3525"/>
      <c r="P127" s="3492"/>
      <c r="Q127" s="3355"/>
      <c r="R127" s="3528"/>
      <c r="S127" s="2630"/>
      <c r="T127" s="2993"/>
      <c r="U127" s="3107"/>
      <c r="V127" s="2989"/>
      <c r="W127" s="763">
        <v>28690491.449999999</v>
      </c>
      <c r="X127" s="807" t="s">
        <v>1005</v>
      </c>
      <c r="Y127" s="808">
        <v>6</v>
      </c>
      <c r="Z127" s="809" t="s">
        <v>984</v>
      </c>
      <c r="AA127" s="2222"/>
      <c r="AB127" s="2222"/>
      <c r="AC127" s="2222"/>
      <c r="AD127" s="2222"/>
      <c r="AE127" s="2222"/>
      <c r="AF127" s="2222"/>
      <c r="AG127" s="3254"/>
      <c r="AH127" s="3254"/>
      <c r="AI127" s="3254"/>
      <c r="AJ127" s="3254"/>
      <c r="AK127" s="3254"/>
      <c r="AL127" s="3254"/>
      <c r="AM127" s="3518"/>
      <c r="AN127" s="3518"/>
      <c r="AO127" s="3518"/>
      <c r="AP127" s="3254"/>
      <c r="AQ127" s="3466"/>
      <c r="AR127" s="3466"/>
      <c r="AS127" s="3254"/>
    </row>
    <row r="128" spans="1:45" s="74" customFormat="1" ht="36" customHeight="1" x14ac:dyDescent="0.25">
      <c r="A128" s="2438"/>
      <c r="B128" s="2439"/>
      <c r="C128" s="579"/>
      <c r="D128" s="580"/>
      <c r="E128" s="3506"/>
      <c r="F128" s="3506"/>
      <c r="G128" s="3492"/>
      <c r="H128" s="3511"/>
      <c r="I128" s="3515"/>
      <c r="J128" s="2459"/>
      <c r="K128" s="3517"/>
      <c r="L128" s="2459"/>
      <c r="M128" s="3174"/>
      <c r="N128" s="3511"/>
      <c r="O128" s="3525"/>
      <c r="P128" s="3492"/>
      <c r="Q128" s="3355"/>
      <c r="R128" s="3528"/>
      <c r="S128" s="2630"/>
      <c r="T128" s="2993"/>
      <c r="U128" s="3107"/>
      <c r="V128" s="2989"/>
      <c r="W128" s="763">
        <v>4422064.54</v>
      </c>
      <c r="X128" s="807" t="s">
        <v>1006</v>
      </c>
      <c r="Y128" s="810">
        <v>84</v>
      </c>
      <c r="Z128" s="809" t="s">
        <v>986</v>
      </c>
      <c r="AA128" s="2222"/>
      <c r="AB128" s="2222"/>
      <c r="AC128" s="2222"/>
      <c r="AD128" s="2222"/>
      <c r="AE128" s="2222"/>
      <c r="AF128" s="2222"/>
      <c r="AG128" s="3254"/>
      <c r="AH128" s="3254"/>
      <c r="AI128" s="3254"/>
      <c r="AJ128" s="3254"/>
      <c r="AK128" s="3254"/>
      <c r="AL128" s="3254"/>
      <c r="AM128" s="3518"/>
      <c r="AN128" s="3518"/>
      <c r="AO128" s="3518"/>
      <c r="AP128" s="3254"/>
      <c r="AQ128" s="3466"/>
      <c r="AR128" s="3466"/>
      <c r="AS128" s="3254"/>
    </row>
    <row r="129" spans="1:45" s="74" customFormat="1" ht="36" customHeight="1" x14ac:dyDescent="0.25">
      <c r="A129" s="2438"/>
      <c r="B129" s="2439"/>
      <c r="C129" s="579"/>
      <c r="D129" s="580"/>
      <c r="E129" s="3506"/>
      <c r="F129" s="3506"/>
      <c r="G129" s="3492"/>
      <c r="H129" s="3511"/>
      <c r="I129" s="3515"/>
      <c r="J129" s="2459"/>
      <c r="K129" s="3517"/>
      <c r="L129" s="2459"/>
      <c r="M129" s="3174"/>
      <c r="N129" s="3511"/>
      <c r="O129" s="3525"/>
      <c r="P129" s="3492"/>
      <c r="Q129" s="3355"/>
      <c r="R129" s="3528"/>
      <c r="S129" s="2630"/>
      <c r="T129" s="2993"/>
      <c r="U129" s="3107"/>
      <c r="V129" s="2989"/>
      <c r="W129" s="763">
        <v>68891918.120000005</v>
      </c>
      <c r="X129" s="807" t="s">
        <v>1007</v>
      </c>
      <c r="Y129" s="808">
        <v>6</v>
      </c>
      <c r="Z129" s="809" t="s">
        <v>984</v>
      </c>
      <c r="AA129" s="2222"/>
      <c r="AB129" s="2222"/>
      <c r="AC129" s="2222"/>
      <c r="AD129" s="2222"/>
      <c r="AE129" s="2222"/>
      <c r="AF129" s="2222"/>
      <c r="AG129" s="3254"/>
      <c r="AH129" s="3254"/>
      <c r="AI129" s="3254"/>
      <c r="AJ129" s="3254"/>
      <c r="AK129" s="3254"/>
      <c r="AL129" s="3254"/>
      <c r="AM129" s="3518"/>
      <c r="AN129" s="3518"/>
      <c r="AO129" s="3518"/>
      <c r="AP129" s="3254"/>
      <c r="AQ129" s="3466"/>
      <c r="AR129" s="3466"/>
      <c r="AS129" s="3254"/>
    </row>
    <row r="130" spans="1:45" s="74" customFormat="1" ht="45" customHeight="1" x14ac:dyDescent="0.25">
      <c r="A130" s="2438"/>
      <c r="B130" s="2439"/>
      <c r="C130" s="579"/>
      <c r="D130" s="580"/>
      <c r="E130" s="3506"/>
      <c r="F130" s="3506"/>
      <c r="G130" s="3492"/>
      <c r="H130" s="3511"/>
      <c r="I130" s="3515"/>
      <c r="J130" s="2459"/>
      <c r="K130" s="3517"/>
      <c r="L130" s="2459"/>
      <c r="M130" s="3174"/>
      <c r="N130" s="3511"/>
      <c r="O130" s="3525"/>
      <c r="P130" s="3492"/>
      <c r="Q130" s="3355"/>
      <c r="R130" s="3528"/>
      <c r="S130" s="2630"/>
      <c r="T130" s="2993"/>
      <c r="U130" s="3107"/>
      <c r="V130" s="3046"/>
      <c r="W130" s="763">
        <v>10502403.279999999</v>
      </c>
      <c r="X130" s="807" t="s">
        <v>1008</v>
      </c>
      <c r="Y130" s="810">
        <v>84</v>
      </c>
      <c r="Z130" s="809" t="s">
        <v>986</v>
      </c>
      <c r="AA130" s="2222"/>
      <c r="AB130" s="2222"/>
      <c r="AC130" s="2222"/>
      <c r="AD130" s="2222"/>
      <c r="AE130" s="2222"/>
      <c r="AF130" s="2222"/>
      <c r="AG130" s="3254"/>
      <c r="AH130" s="3254"/>
      <c r="AI130" s="3254"/>
      <c r="AJ130" s="3254"/>
      <c r="AK130" s="3254"/>
      <c r="AL130" s="3254"/>
      <c r="AM130" s="3518"/>
      <c r="AN130" s="3518"/>
      <c r="AO130" s="3518"/>
      <c r="AP130" s="3254"/>
      <c r="AQ130" s="3466"/>
      <c r="AR130" s="3466"/>
      <c r="AS130" s="3254"/>
    </row>
    <row r="131" spans="1:45" s="74" customFormat="1" ht="45" customHeight="1" x14ac:dyDescent="0.25">
      <c r="A131" s="2438"/>
      <c r="B131" s="2439"/>
      <c r="C131" s="579"/>
      <c r="D131" s="580"/>
      <c r="E131" s="3506"/>
      <c r="F131" s="3506"/>
      <c r="G131" s="3513"/>
      <c r="H131" s="3511"/>
      <c r="I131" s="3515"/>
      <c r="J131" s="2459"/>
      <c r="K131" s="3517"/>
      <c r="L131" s="2459"/>
      <c r="M131" s="3174"/>
      <c r="N131" s="3511"/>
      <c r="O131" s="3525"/>
      <c r="P131" s="3492"/>
      <c r="Q131" s="3355"/>
      <c r="R131" s="3528"/>
      <c r="S131" s="2630"/>
      <c r="T131" s="2993"/>
      <c r="U131" s="3107"/>
      <c r="V131" s="3036" t="s">
        <v>1009</v>
      </c>
      <c r="W131" s="806">
        <v>566146094.99000001</v>
      </c>
      <c r="X131" s="807" t="s">
        <v>983</v>
      </c>
      <c r="Y131" s="808">
        <v>6</v>
      </c>
      <c r="Z131" s="809" t="s">
        <v>984</v>
      </c>
      <c r="AA131" s="2222"/>
      <c r="AB131" s="2222"/>
      <c r="AC131" s="2222"/>
      <c r="AD131" s="2222"/>
      <c r="AE131" s="2222"/>
      <c r="AF131" s="2222"/>
      <c r="AG131" s="3254"/>
      <c r="AH131" s="3254"/>
      <c r="AI131" s="3254"/>
      <c r="AJ131" s="3254"/>
      <c r="AK131" s="3254"/>
      <c r="AL131" s="3254"/>
      <c r="AM131" s="3518"/>
      <c r="AN131" s="3518"/>
      <c r="AO131" s="3518"/>
      <c r="AP131" s="3254"/>
      <c r="AQ131" s="3466"/>
      <c r="AR131" s="3466"/>
      <c r="AS131" s="3254"/>
    </row>
    <row r="132" spans="1:45" s="74" customFormat="1" ht="45" customHeight="1" x14ac:dyDescent="0.25">
      <c r="A132" s="2438"/>
      <c r="B132" s="2439"/>
      <c r="C132" s="579"/>
      <c r="D132" s="580"/>
      <c r="E132" s="3506"/>
      <c r="F132" s="3506"/>
      <c r="G132" s="3513"/>
      <c r="H132" s="3511"/>
      <c r="I132" s="3515"/>
      <c r="J132" s="2459"/>
      <c r="K132" s="3517"/>
      <c r="L132" s="2459"/>
      <c r="M132" s="3174"/>
      <c r="N132" s="3511"/>
      <c r="O132" s="3525"/>
      <c r="P132" s="3492"/>
      <c r="Q132" s="3355"/>
      <c r="R132" s="3528"/>
      <c r="S132" s="2630"/>
      <c r="T132" s="2993"/>
      <c r="U132" s="3107"/>
      <c r="V132" s="3016"/>
      <c r="W132" s="763">
        <v>86298796.060000002</v>
      </c>
      <c r="X132" s="807" t="s">
        <v>985</v>
      </c>
      <c r="Y132" s="810">
        <v>84</v>
      </c>
      <c r="Z132" s="809" t="s">
        <v>986</v>
      </c>
      <c r="AA132" s="2222"/>
      <c r="AB132" s="2222"/>
      <c r="AC132" s="2222"/>
      <c r="AD132" s="2222"/>
      <c r="AE132" s="2222"/>
      <c r="AF132" s="2222"/>
      <c r="AG132" s="3254"/>
      <c r="AH132" s="3254"/>
      <c r="AI132" s="3254"/>
      <c r="AJ132" s="3254"/>
      <c r="AK132" s="3254"/>
      <c r="AL132" s="3254"/>
      <c r="AM132" s="3518"/>
      <c r="AN132" s="3518"/>
      <c r="AO132" s="3518"/>
      <c r="AP132" s="3254"/>
      <c r="AQ132" s="3466"/>
      <c r="AR132" s="3466"/>
      <c r="AS132" s="3254"/>
    </row>
    <row r="133" spans="1:45" s="74" customFormat="1" ht="45" customHeight="1" x14ac:dyDescent="0.25">
      <c r="A133" s="2438"/>
      <c r="B133" s="2439"/>
      <c r="C133" s="579"/>
      <c r="D133" s="580"/>
      <c r="E133" s="3506"/>
      <c r="F133" s="3506"/>
      <c r="G133" s="3513"/>
      <c r="H133" s="3511"/>
      <c r="I133" s="3515"/>
      <c r="J133" s="2459"/>
      <c r="K133" s="3517"/>
      <c r="L133" s="2459"/>
      <c r="M133" s="3174"/>
      <c r="N133" s="3511"/>
      <c r="O133" s="3525"/>
      <c r="P133" s="3492"/>
      <c r="Q133" s="3355"/>
      <c r="R133" s="3528"/>
      <c r="S133" s="2630"/>
      <c r="T133" s="2993"/>
      <c r="U133" s="3107"/>
      <c r="V133" s="3016"/>
      <c r="W133" s="763">
        <v>647613993.74000001</v>
      </c>
      <c r="X133" s="807" t="s">
        <v>987</v>
      </c>
      <c r="Y133" s="808">
        <v>6</v>
      </c>
      <c r="Z133" s="809" t="s">
        <v>984</v>
      </c>
      <c r="AA133" s="2222"/>
      <c r="AB133" s="2222"/>
      <c r="AC133" s="2222"/>
      <c r="AD133" s="2222"/>
      <c r="AE133" s="2222"/>
      <c r="AF133" s="2222"/>
      <c r="AG133" s="3254"/>
      <c r="AH133" s="3254"/>
      <c r="AI133" s="3254"/>
      <c r="AJ133" s="3254"/>
      <c r="AK133" s="3254"/>
      <c r="AL133" s="3254"/>
      <c r="AM133" s="3518"/>
      <c r="AN133" s="3518"/>
      <c r="AO133" s="3518"/>
      <c r="AP133" s="3254"/>
      <c r="AQ133" s="3466"/>
      <c r="AR133" s="3466"/>
      <c r="AS133" s="3254"/>
    </row>
    <row r="134" spans="1:45" s="74" customFormat="1" ht="45" customHeight="1" x14ac:dyDescent="0.25">
      <c r="A134" s="2438"/>
      <c r="B134" s="2439"/>
      <c r="C134" s="579"/>
      <c r="D134" s="580"/>
      <c r="E134" s="3506"/>
      <c r="F134" s="3506"/>
      <c r="G134" s="3513"/>
      <c r="H134" s="3511"/>
      <c r="I134" s="3515"/>
      <c r="J134" s="2459"/>
      <c r="K134" s="3517"/>
      <c r="L134" s="2459"/>
      <c r="M134" s="3174"/>
      <c r="N134" s="3511"/>
      <c r="O134" s="3525"/>
      <c r="P134" s="3492"/>
      <c r="Q134" s="3355"/>
      <c r="R134" s="3528"/>
      <c r="S134" s="2630"/>
      <c r="T134" s="2993"/>
      <c r="U134" s="3107"/>
      <c r="V134" s="3016"/>
      <c r="W134" s="763">
        <v>102024354.47</v>
      </c>
      <c r="X134" s="807" t="s">
        <v>988</v>
      </c>
      <c r="Y134" s="810">
        <v>84</v>
      </c>
      <c r="Z134" s="809" t="s">
        <v>986</v>
      </c>
      <c r="AA134" s="2222"/>
      <c r="AB134" s="2222"/>
      <c r="AC134" s="2222"/>
      <c r="AD134" s="2222"/>
      <c r="AE134" s="2222"/>
      <c r="AF134" s="2222"/>
      <c r="AG134" s="3254"/>
      <c r="AH134" s="3254"/>
      <c r="AI134" s="3254"/>
      <c r="AJ134" s="3254"/>
      <c r="AK134" s="3254"/>
      <c r="AL134" s="3254"/>
      <c r="AM134" s="3518"/>
      <c r="AN134" s="3518"/>
      <c r="AO134" s="3518"/>
      <c r="AP134" s="3254"/>
      <c r="AQ134" s="3466"/>
      <c r="AR134" s="3466"/>
      <c r="AS134" s="3254"/>
    </row>
    <row r="135" spans="1:45" s="74" customFormat="1" ht="45" customHeight="1" x14ac:dyDescent="0.25">
      <c r="A135" s="2438"/>
      <c r="B135" s="2439"/>
      <c r="C135" s="579"/>
      <c r="D135" s="580"/>
      <c r="E135" s="3506"/>
      <c r="F135" s="3506"/>
      <c r="G135" s="3513"/>
      <c r="H135" s="3511"/>
      <c r="I135" s="3515"/>
      <c r="J135" s="2459"/>
      <c r="K135" s="3517"/>
      <c r="L135" s="2459"/>
      <c r="M135" s="3174"/>
      <c r="N135" s="3511"/>
      <c r="O135" s="3525"/>
      <c r="P135" s="3492"/>
      <c r="Q135" s="3355"/>
      <c r="R135" s="3528"/>
      <c r="S135" s="2630"/>
      <c r="T135" s="2993"/>
      <c r="U135" s="3107"/>
      <c r="V135" s="3016"/>
      <c r="W135" s="806">
        <v>77621028.480000004</v>
      </c>
      <c r="X135" s="807" t="s">
        <v>991</v>
      </c>
      <c r="Y135" s="808">
        <v>6</v>
      </c>
      <c r="Z135" s="809" t="s">
        <v>984</v>
      </c>
      <c r="AA135" s="2222"/>
      <c r="AB135" s="2222"/>
      <c r="AC135" s="2222"/>
      <c r="AD135" s="2222"/>
      <c r="AE135" s="2222"/>
      <c r="AF135" s="2222"/>
      <c r="AG135" s="3254"/>
      <c r="AH135" s="3254"/>
      <c r="AI135" s="3254"/>
      <c r="AJ135" s="3254"/>
      <c r="AK135" s="3254"/>
      <c r="AL135" s="3254"/>
      <c r="AM135" s="3518"/>
      <c r="AN135" s="3518"/>
      <c r="AO135" s="3518"/>
      <c r="AP135" s="3254"/>
      <c r="AQ135" s="3466"/>
      <c r="AR135" s="3466"/>
      <c r="AS135" s="3254"/>
    </row>
    <row r="136" spans="1:45" s="74" customFormat="1" ht="45" customHeight="1" x14ac:dyDescent="0.25">
      <c r="A136" s="2438"/>
      <c r="B136" s="2439"/>
      <c r="C136" s="579"/>
      <c r="D136" s="580"/>
      <c r="E136" s="3506"/>
      <c r="F136" s="3506"/>
      <c r="G136" s="3513"/>
      <c r="H136" s="3511"/>
      <c r="I136" s="3515"/>
      <c r="J136" s="2459"/>
      <c r="K136" s="3517"/>
      <c r="L136" s="2459"/>
      <c r="M136" s="3174"/>
      <c r="N136" s="3511"/>
      <c r="O136" s="3525"/>
      <c r="P136" s="3492"/>
      <c r="Q136" s="3355"/>
      <c r="R136" s="3528"/>
      <c r="S136" s="2630"/>
      <c r="T136" s="2993"/>
      <c r="U136" s="3107"/>
      <c r="V136" s="3016"/>
      <c r="W136" s="806">
        <v>11890056.35</v>
      </c>
      <c r="X136" s="807" t="s">
        <v>992</v>
      </c>
      <c r="Y136" s="810">
        <v>84</v>
      </c>
      <c r="Z136" s="809" t="s">
        <v>986</v>
      </c>
      <c r="AA136" s="2222"/>
      <c r="AB136" s="2222"/>
      <c r="AC136" s="2222"/>
      <c r="AD136" s="2222"/>
      <c r="AE136" s="2222"/>
      <c r="AF136" s="2222"/>
      <c r="AG136" s="3254"/>
      <c r="AH136" s="3254"/>
      <c r="AI136" s="3254"/>
      <c r="AJ136" s="3254"/>
      <c r="AK136" s="3254"/>
      <c r="AL136" s="3254"/>
      <c r="AM136" s="3518"/>
      <c r="AN136" s="3518"/>
      <c r="AO136" s="3518"/>
      <c r="AP136" s="3254"/>
      <c r="AQ136" s="3466"/>
      <c r="AR136" s="3466"/>
      <c r="AS136" s="3254"/>
    </row>
    <row r="137" spans="1:45" s="74" customFormat="1" ht="45" customHeight="1" x14ac:dyDescent="0.25">
      <c r="A137" s="2438"/>
      <c r="B137" s="2439"/>
      <c r="C137" s="579"/>
      <c r="D137" s="580"/>
      <c r="E137" s="3506"/>
      <c r="F137" s="3506"/>
      <c r="G137" s="3513"/>
      <c r="H137" s="3511"/>
      <c r="I137" s="3515"/>
      <c r="J137" s="2459"/>
      <c r="K137" s="3517"/>
      <c r="L137" s="2459"/>
      <c r="M137" s="3174"/>
      <c r="N137" s="3511"/>
      <c r="O137" s="3525"/>
      <c r="P137" s="3492"/>
      <c r="Q137" s="3355"/>
      <c r="R137" s="3528"/>
      <c r="S137" s="2630"/>
      <c r="T137" s="2993"/>
      <c r="U137" s="3107"/>
      <c r="V137" s="3016"/>
      <c r="W137" s="806">
        <v>137635783.34</v>
      </c>
      <c r="X137" s="807" t="s">
        <v>995</v>
      </c>
      <c r="Y137" s="808">
        <v>6</v>
      </c>
      <c r="Z137" s="809" t="s">
        <v>984</v>
      </c>
      <c r="AA137" s="2222"/>
      <c r="AB137" s="2222"/>
      <c r="AC137" s="2222"/>
      <c r="AD137" s="2222"/>
      <c r="AE137" s="2222"/>
      <c r="AF137" s="2222"/>
      <c r="AG137" s="3254"/>
      <c r="AH137" s="3254"/>
      <c r="AI137" s="3254"/>
      <c r="AJ137" s="3254"/>
      <c r="AK137" s="3254"/>
      <c r="AL137" s="3254"/>
      <c r="AM137" s="3518"/>
      <c r="AN137" s="3518"/>
      <c r="AO137" s="3518"/>
      <c r="AP137" s="3254"/>
      <c r="AQ137" s="3466"/>
      <c r="AR137" s="3466"/>
      <c r="AS137" s="3254"/>
    </row>
    <row r="138" spans="1:45" s="74" customFormat="1" ht="45" customHeight="1" x14ac:dyDescent="0.25">
      <c r="A138" s="2438"/>
      <c r="B138" s="2439"/>
      <c r="C138" s="579"/>
      <c r="D138" s="580"/>
      <c r="E138" s="3506"/>
      <c r="F138" s="3506"/>
      <c r="G138" s="3513"/>
      <c r="H138" s="3511"/>
      <c r="I138" s="3515"/>
      <c r="J138" s="2459"/>
      <c r="K138" s="3517"/>
      <c r="L138" s="2459"/>
      <c r="M138" s="3174"/>
      <c r="N138" s="3511"/>
      <c r="O138" s="3525"/>
      <c r="P138" s="3492"/>
      <c r="Q138" s="3355"/>
      <c r="R138" s="3528"/>
      <c r="S138" s="2630"/>
      <c r="T138" s="2993"/>
      <c r="U138" s="3107"/>
      <c r="V138" s="3016"/>
      <c r="W138" s="763">
        <v>21095261.260000002</v>
      </c>
      <c r="X138" s="807" t="s">
        <v>996</v>
      </c>
      <c r="Y138" s="810">
        <v>84</v>
      </c>
      <c r="Z138" s="809" t="s">
        <v>986</v>
      </c>
      <c r="AA138" s="2222"/>
      <c r="AB138" s="2222"/>
      <c r="AC138" s="2222"/>
      <c r="AD138" s="2222"/>
      <c r="AE138" s="2222"/>
      <c r="AF138" s="2222"/>
      <c r="AG138" s="3254"/>
      <c r="AH138" s="3254"/>
      <c r="AI138" s="3254"/>
      <c r="AJ138" s="3254"/>
      <c r="AK138" s="3254"/>
      <c r="AL138" s="3254"/>
      <c r="AM138" s="3518"/>
      <c r="AN138" s="3518"/>
      <c r="AO138" s="3518"/>
      <c r="AP138" s="3254"/>
      <c r="AQ138" s="3466"/>
      <c r="AR138" s="3466"/>
      <c r="AS138" s="3254"/>
    </row>
    <row r="139" spans="1:45" s="74" customFormat="1" ht="45" customHeight="1" x14ac:dyDescent="0.25">
      <c r="A139" s="2438"/>
      <c r="B139" s="2439"/>
      <c r="C139" s="579"/>
      <c r="D139" s="580"/>
      <c r="E139" s="3506"/>
      <c r="F139" s="3506"/>
      <c r="G139" s="3513"/>
      <c r="H139" s="3511"/>
      <c r="I139" s="3515"/>
      <c r="J139" s="2459"/>
      <c r="K139" s="3517"/>
      <c r="L139" s="2459"/>
      <c r="M139" s="3174"/>
      <c r="N139" s="3511"/>
      <c r="O139" s="3525"/>
      <c r="P139" s="3492"/>
      <c r="Q139" s="3355"/>
      <c r="R139" s="3528"/>
      <c r="S139" s="2630"/>
      <c r="T139" s="2993"/>
      <c r="U139" s="3107"/>
      <c r="V139" s="3016"/>
      <c r="W139" s="763">
        <v>288665881.10000002</v>
      </c>
      <c r="X139" s="807" t="s">
        <v>997</v>
      </c>
      <c r="Y139" s="808">
        <v>6</v>
      </c>
      <c r="Z139" s="809" t="s">
        <v>984</v>
      </c>
      <c r="AA139" s="2222"/>
      <c r="AB139" s="2222"/>
      <c r="AC139" s="2222"/>
      <c r="AD139" s="2222"/>
      <c r="AE139" s="2222"/>
      <c r="AF139" s="2222"/>
      <c r="AG139" s="3254"/>
      <c r="AH139" s="3254"/>
      <c r="AI139" s="3254"/>
      <c r="AJ139" s="3254"/>
      <c r="AK139" s="3254"/>
      <c r="AL139" s="3254"/>
      <c r="AM139" s="3518"/>
      <c r="AN139" s="3518"/>
      <c r="AO139" s="3518"/>
      <c r="AP139" s="3254"/>
      <c r="AQ139" s="3466"/>
      <c r="AR139" s="3466"/>
      <c r="AS139" s="3254"/>
    </row>
    <row r="140" spans="1:45" s="74" customFormat="1" ht="45" customHeight="1" x14ac:dyDescent="0.25">
      <c r="A140" s="2438"/>
      <c r="B140" s="2439"/>
      <c r="C140" s="579"/>
      <c r="D140" s="580"/>
      <c r="E140" s="3506"/>
      <c r="F140" s="3506"/>
      <c r="G140" s="3513"/>
      <c r="H140" s="3511"/>
      <c r="I140" s="3515"/>
      <c r="J140" s="2459"/>
      <c r="K140" s="3517"/>
      <c r="L140" s="2459"/>
      <c r="M140" s="3174"/>
      <c r="N140" s="3511"/>
      <c r="O140" s="3525"/>
      <c r="P140" s="3492"/>
      <c r="Q140" s="3355"/>
      <c r="R140" s="3528"/>
      <c r="S140" s="2630"/>
      <c r="T140" s="2993"/>
      <c r="U140" s="3107"/>
      <c r="V140" s="3016"/>
      <c r="W140" s="763">
        <v>44108273.539999999</v>
      </c>
      <c r="X140" s="807" t="s">
        <v>998</v>
      </c>
      <c r="Y140" s="810">
        <v>84</v>
      </c>
      <c r="Z140" s="809" t="s">
        <v>986</v>
      </c>
      <c r="AA140" s="2222"/>
      <c r="AB140" s="2222"/>
      <c r="AC140" s="2222"/>
      <c r="AD140" s="2222"/>
      <c r="AE140" s="2222"/>
      <c r="AF140" s="2222"/>
      <c r="AG140" s="3254"/>
      <c r="AH140" s="3254"/>
      <c r="AI140" s="3254"/>
      <c r="AJ140" s="3254"/>
      <c r="AK140" s="3254"/>
      <c r="AL140" s="3254"/>
      <c r="AM140" s="3518"/>
      <c r="AN140" s="3518"/>
      <c r="AO140" s="3518"/>
      <c r="AP140" s="3254"/>
      <c r="AQ140" s="3466"/>
      <c r="AR140" s="3466"/>
      <c r="AS140" s="3254"/>
    </row>
    <row r="141" spans="1:45" s="74" customFormat="1" ht="45" customHeight="1" x14ac:dyDescent="0.25">
      <c r="A141" s="2438"/>
      <c r="B141" s="2439"/>
      <c r="C141" s="579"/>
      <c r="D141" s="580"/>
      <c r="E141" s="3506"/>
      <c r="F141" s="3506"/>
      <c r="G141" s="3513"/>
      <c r="H141" s="3511"/>
      <c r="I141" s="3515"/>
      <c r="J141" s="2459"/>
      <c r="K141" s="3517"/>
      <c r="L141" s="2459"/>
      <c r="M141" s="3174"/>
      <c r="N141" s="3511"/>
      <c r="O141" s="3525"/>
      <c r="P141" s="3492"/>
      <c r="Q141" s="3355"/>
      <c r="R141" s="3528"/>
      <c r="S141" s="2630"/>
      <c r="T141" s="2993"/>
      <c r="U141" s="3107"/>
      <c r="V141" s="3016"/>
      <c r="W141" s="806">
        <v>125521066.79000001</v>
      </c>
      <c r="X141" s="807" t="s">
        <v>1003</v>
      </c>
      <c r="Y141" s="808">
        <v>6</v>
      </c>
      <c r="Z141" s="809" t="s">
        <v>984</v>
      </c>
      <c r="AA141" s="2222"/>
      <c r="AB141" s="2222"/>
      <c r="AC141" s="2222"/>
      <c r="AD141" s="2222"/>
      <c r="AE141" s="2222"/>
      <c r="AF141" s="2222"/>
      <c r="AG141" s="3254"/>
      <c r="AH141" s="3254"/>
      <c r="AI141" s="3254"/>
      <c r="AJ141" s="3254"/>
      <c r="AK141" s="3254"/>
      <c r="AL141" s="3254"/>
      <c r="AM141" s="3518"/>
      <c r="AN141" s="3518"/>
      <c r="AO141" s="3518"/>
      <c r="AP141" s="3254"/>
      <c r="AQ141" s="3466"/>
      <c r="AR141" s="3466"/>
      <c r="AS141" s="3254"/>
    </row>
    <row r="142" spans="1:45" s="74" customFormat="1" ht="45" customHeight="1" x14ac:dyDescent="0.25">
      <c r="A142" s="2438"/>
      <c r="B142" s="2439"/>
      <c r="C142" s="579"/>
      <c r="D142" s="580"/>
      <c r="E142" s="3506"/>
      <c r="F142" s="3506"/>
      <c r="G142" s="3513"/>
      <c r="H142" s="3511"/>
      <c r="I142" s="3515"/>
      <c r="J142" s="2459"/>
      <c r="K142" s="3517"/>
      <c r="L142" s="2459"/>
      <c r="M142" s="3174"/>
      <c r="N142" s="3511"/>
      <c r="O142" s="3525"/>
      <c r="P142" s="3492"/>
      <c r="Q142" s="3355"/>
      <c r="R142" s="3528"/>
      <c r="S142" s="2630"/>
      <c r="T142" s="2993"/>
      <c r="U142" s="3107"/>
      <c r="V142" s="3016"/>
      <c r="W142" s="806">
        <v>19177510.239999998</v>
      </c>
      <c r="X142" s="807" t="s">
        <v>1004</v>
      </c>
      <c r="Y142" s="810">
        <v>84</v>
      </c>
      <c r="Z142" s="809" t="s">
        <v>986</v>
      </c>
      <c r="AA142" s="2222"/>
      <c r="AB142" s="2222"/>
      <c r="AC142" s="2222"/>
      <c r="AD142" s="2222"/>
      <c r="AE142" s="2222"/>
      <c r="AF142" s="2222"/>
      <c r="AG142" s="3254"/>
      <c r="AH142" s="3254"/>
      <c r="AI142" s="3254"/>
      <c r="AJ142" s="3254"/>
      <c r="AK142" s="3254"/>
      <c r="AL142" s="3254"/>
      <c r="AM142" s="3518"/>
      <c r="AN142" s="3518"/>
      <c r="AO142" s="3518"/>
      <c r="AP142" s="3254"/>
      <c r="AQ142" s="3466"/>
      <c r="AR142" s="3466"/>
      <c r="AS142" s="3254"/>
    </row>
    <row r="143" spans="1:45" s="74" customFormat="1" ht="45" customHeight="1" x14ac:dyDescent="0.25">
      <c r="A143" s="2438"/>
      <c r="B143" s="2439"/>
      <c r="C143" s="579"/>
      <c r="D143" s="580"/>
      <c r="E143" s="3506"/>
      <c r="F143" s="3506"/>
      <c r="G143" s="3513"/>
      <c r="H143" s="3511"/>
      <c r="I143" s="3515"/>
      <c r="J143" s="2459"/>
      <c r="K143" s="3517"/>
      <c r="L143" s="2459"/>
      <c r="M143" s="3174"/>
      <c r="N143" s="3511"/>
      <c r="O143" s="3525"/>
      <c r="P143" s="3492"/>
      <c r="Q143" s="3355"/>
      <c r="R143" s="3528"/>
      <c r="S143" s="2630"/>
      <c r="T143" s="2993"/>
      <c r="U143" s="3107"/>
      <c r="V143" s="3016"/>
      <c r="W143" s="806">
        <v>628987208.72000003</v>
      </c>
      <c r="X143" s="807" t="s">
        <v>1007</v>
      </c>
      <c r="Y143" s="808">
        <v>6</v>
      </c>
      <c r="Z143" s="809" t="s">
        <v>984</v>
      </c>
      <c r="AA143" s="2222"/>
      <c r="AB143" s="2222"/>
      <c r="AC143" s="2222"/>
      <c r="AD143" s="2222"/>
      <c r="AE143" s="2222"/>
      <c r="AF143" s="2222"/>
      <c r="AG143" s="3254"/>
      <c r="AH143" s="3254"/>
      <c r="AI143" s="3254"/>
      <c r="AJ143" s="3254"/>
      <c r="AK143" s="3254"/>
      <c r="AL143" s="3254"/>
      <c r="AM143" s="3518"/>
      <c r="AN143" s="3518"/>
      <c r="AO143" s="3518"/>
      <c r="AP143" s="3254"/>
      <c r="AQ143" s="3466"/>
      <c r="AR143" s="3466"/>
      <c r="AS143" s="3254"/>
    </row>
    <row r="144" spans="1:45" s="74" customFormat="1" ht="57" customHeight="1" x14ac:dyDescent="0.25">
      <c r="A144" s="2440"/>
      <c r="B144" s="2439"/>
      <c r="C144" s="579"/>
      <c r="D144" s="580"/>
      <c r="E144" s="3506"/>
      <c r="F144" s="3506"/>
      <c r="G144" s="3513"/>
      <c r="H144" s="3512"/>
      <c r="I144" s="3516"/>
      <c r="J144" s="2460"/>
      <c r="K144" s="3202"/>
      <c r="L144" s="2460"/>
      <c r="M144" s="3175"/>
      <c r="N144" s="3512"/>
      <c r="O144" s="3526"/>
      <c r="P144" s="3492"/>
      <c r="Q144" s="3355"/>
      <c r="R144" s="3529"/>
      <c r="S144" s="2630"/>
      <c r="T144" s="2993"/>
      <c r="U144" s="3107"/>
      <c r="V144" s="3037"/>
      <c r="W144" s="806">
        <v>95887551.189999998</v>
      </c>
      <c r="X144" s="807" t="s">
        <v>1008</v>
      </c>
      <c r="Y144" s="810">
        <v>84</v>
      </c>
      <c r="Z144" s="809" t="s">
        <v>986</v>
      </c>
      <c r="AA144" s="2222"/>
      <c r="AB144" s="2222"/>
      <c r="AC144" s="2222"/>
      <c r="AD144" s="2222"/>
      <c r="AE144" s="2222"/>
      <c r="AF144" s="2222"/>
      <c r="AG144" s="3254"/>
      <c r="AH144" s="3254"/>
      <c r="AI144" s="3254"/>
      <c r="AJ144" s="3254"/>
      <c r="AK144" s="3254"/>
      <c r="AL144" s="3254"/>
      <c r="AM144" s="3518"/>
      <c r="AN144" s="3518"/>
      <c r="AO144" s="3518"/>
      <c r="AP144" s="3254"/>
      <c r="AQ144" s="3466"/>
      <c r="AR144" s="3466"/>
      <c r="AS144" s="3254"/>
    </row>
    <row r="145" spans="1:65" ht="27" customHeight="1" x14ac:dyDescent="0.25">
      <c r="A145" s="811">
        <v>2</v>
      </c>
      <c r="B145" s="3499" t="s">
        <v>1010</v>
      </c>
      <c r="C145" s="3148"/>
      <c r="D145" s="3148"/>
      <c r="E145" s="3148"/>
      <c r="F145" s="3148"/>
      <c r="G145" s="3148"/>
      <c r="H145" s="392"/>
      <c r="I145" s="392"/>
      <c r="J145" s="24"/>
      <c r="K145" s="812"/>
      <c r="L145" s="812"/>
      <c r="M145" s="812"/>
      <c r="N145" s="813"/>
      <c r="O145" s="812"/>
      <c r="P145" s="812"/>
      <c r="Q145" s="813"/>
      <c r="R145" s="814"/>
      <c r="S145" s="814"/>
      <c r="T145" s="814"/>
      <c r="U145" s="814"/>
      <c r="V145" s="814"/>
      <c r="W145" s="815"/>
      <c r="X145" s="814"/>
      <c r="Y145" s="814"/>
      <c r="Z145" s="814"/>
      <c r="AA145" s="814"/>
      <c r="AB145" s="814"/>
      <c r="AC145" s="816"/>
      <c r="AD145" s="816"/>
      <c r="AE145" s="816"/>
      <c r="AF145" s="816"/>
      <c r="AG145" s="816"/>
      <c r="AH145" s="816"/>
      <c r="AI145" s="816"/>
      <c r="AJ145" s="816"/>
      <c r="AK145" s="816"/>
      <c r="AL145" s="816"/>
      <c r="AM145" s="816"/>
      <c r="AN145" s="816"/>
      <c r="AO145" s="816"/>
      <c r="AP145" s="816"/>
      <c r="AQ145" s="817"/>
      <c r="AR145" s="817"/>
      <c r="AS145" s="818"/>
      <c r="AT145" s="3"/>
      <c r="AU145" s="3"/>
      <c r="AV145" s="3"/>
      <c r="AW145" s="3"/>
      <c r="AX145" s="3"/>
      <c r="AY145" s="3"/>
      <c r="AZ145" s="3"/>
      <c r="BA145" s="3"/>
      <c r="BB145" s="3"/>
      <c r="BC145" s="3"/>
      <c r="BD145" s="3"/>
      <c r="BE145" s="3"/>
      <c r="BF145" s="3"/>
      <c r="BG145" s="3"/>
      <c r="BH145" s="3"/>
      <c r="BI145" s="3"/>
      <c r="BJ145" s="3"/>
      <c r="BK145" s="3"/>
      <c r="BL145" s="3"/>
      <c r="BM145" s="3"/>
    </row>
    <row r="146" spans="1:65" s="74" customFormat="1" ht="27" customHeight="1" x14ac:dyDescent="0.25">
      <c r="A146" s="601"/>
      <c r="B146" s="602"/>
      <c r="C146" s="819">
        <v>17</v>
      </c>
      <c r="D146" s="3283" t="s">
        <v>1011</v>
      </c>
      <c r="E146" s="3284"/>
      <c r="F146" s="3284"/>
      <c r="G146" s="3284"/>
      <c r="H146" s="3284"/>
      <c r="I146" s="3284"/>
      <c r="J146" s="3284"/>
      <c r="K146" s="156"/>
      <c r="L146" s="156"/>
      <c r="M146" s="156"/>
      <c r="N146" s="157"/>
      <c r="O146" s="156"/>
      <c r="P146" s="156"/>
      <c r="Q146" s="157"/>
      <c r="R146" s="459"/>
      <c r="S146" s="459"/>
      <c r="T146" s="459"/>
      <c r="U146" s="459"/>
      <c r="V146" s="459"/>
      <c r="W146" s="820"/>
      <c r="X146" s="459"/>
      <c r="Y146" s="459"/>
      <c r="Z146" s="459"/>
      <c r="AA146" s="459"/>
      <c r="AB146" s="459"/>
      <c r="AC146" s="156"/>
      <c r="AD146" s="156"/>
      <c r="AE146" s="156"/>
      <c r="AF146" s="156"/>
      <c r="AG146" s="156"/>
      <c r="AH146" s="156"/>
      <c r="AI146" s="156"/>
      <c r="AJ146" s="156"/>
      <c r="AK146" s="156"/>
      <c r="AL146" s="156"/>
      <c r="AM146" s="156"/>
      <c r="AN146" s="156"/>
      <c r="AO146" s="156"/>
      <c r="AP146" s="156"/>
      <c r="AQ146" s="462"/>
      <c r="AR146" s="462"/>
      <c r="AS146" s="821"/>
    </row>
    <row r="147" spans="1:65" s="3" customFormat="1" ht="27" customHeight="1" x14ac:dyDescent="0.25">
      <c r="A147" s="422"/>
      <c r="B147" s="822"/>
      <c r="C147" s="823"/>
      <c r="D147" s="824"/>
      <c r="E147" s="426">
        <v>1702</v>
      </c>
      <c r="F147" s="603" t="s">
        <v>1012</v>
      </c>
      <c r="G147" s="604"/>
      <c r="H147" s="604"/>
      <c r="I147" s="604"/>
      <c r="J147" s="604"/>
      <c r="K147" s="604"/>
      <c r="L147" s="604"/>
      <c r="M147" s="787"/>
      <c r="N147" s="788"/>
      <c r="O147" s="406"/>
      <c r="P147" s="406"/>
      <c r="Q147" s="408"/>
      <c r="R147" s="710"/>
      <c r="S147" s="710"/>
      <c r="T147" s="710"/>
      <c r="U147" s="710"/>
      <c r="V147" s="710"/>
      <c r="W147" s="711"/>
      <c r="X147" s="710"/>
      <c r="Y147" s="710"/>
      <c r="Z147" s="710"/>
      <c r="AA147" s="710"/>
      <c r="AB147" s="710"/>
      <c r="AC147" s="709"/>
      <c r="AD147" s="709"/>
      <c r="AE147" s="709"/>
      <c r="AF147" s="709"/>
      <c r="AG147" s="709"/>
      <c r="AH147" s="709"/>
      <c r="AI147" s="709"/>
      <c r="AJ147" s="709"/>
      <c r="AK147" s="709"/>
      <c r="AL147" s="709"/>
      <c r="AM147" s="709"/>
      <c r="AN147" s="709"/>
      <c r="AO147" s="709"/>
      <c r="AP147" s="709"/>
      <c r="AQ147" s="713"/>
      <c r="AR147" s="713"/>
      <c r="AS147" s="714"/>
    </row>
    <row r="148" spans="1:65" s="3" customFormat="1" ht="105.75" customHeight="1" x14ac:dyDescent="0.25">
      <c r="A148" s="422"/>
      <c r="B148" s="822"/>
      <c r="C148" s="422"/>
      <c r="D148" s="423"/>
      <c r="E148" s="3506"/>
      <c r="F148" s="3506"/>
      <c r="G148" s="2973">
        <v>1702011</v>
      </c>
      <c r="H148" s="3060" t="s">
        <v>1013</v>
      </c>
      <c r="I148" s="2973">
        <v>1702011</v>
      </c>
      <c r="J148" s="3060" t="s">
        <v>1013</v>
      </c>
      <c r="K148" s="2266" t="s">
        <v>1014</v>
      </c>
      <c r="L148" s="2284" t="s">
        <v>1015</v>
      </c>
      <c r="M148" s="2266" t="s">
        <v>1014</v>
      </c>
      <c r="N148" s="2284" t="s">
        <v>1015</v>
      </c>
      <c r="O148" s="2266">
        <v>4</v>
      </c>
      <c r="P148" s="3174" t="s">
        <v>1016</v>
      </c>
      <c r="Q148" s="2284" t="s">
        <v>1017</v>
      </c>
      <c r="R148" s="3188">
        <f>SUM(W148:W149)/S148</f>
        <v>1</v>
      </c>
      <c r="S148" s="3472">
        <f>SUM(W148:W149)</f>
        <v>18000000</v>
      </c>
      <c r="T148" s="2284" t="s">
        <v>1018</v>
      </c>
      <c r="U148" s="2528" t="s">
        <v>1019</v>
      </c>
      <c r="V148" s="598" t="s">
        <v>1020</v>
      </c>
      <c r="W148" s="686">
        <v>10000000</v>
      </c>
      <c r="X148" s="77" t="s">
        <v>1021</v>
      </c>
      <c r="Y148" s="3474">
        <v>20</v>
      </c>
      <c r="Z148" s="2463" t="s">
        <v>403</v>
      </c>
      <c r="AA148" s="3503">
        <v>1000</v>
      </c>
      <c r="AB148" s="3503" t="s">
        <v>134</v>
      </c>
      <c r="AC148" s="3503" t="s">
        <v>134</v>
      </c>
      <c r="AD148" s="3503" t="s">
        <v>134</v>
      </c>
      <c r="AE148" s="3503">
        <v>1000</v>
      </c>
      <c r="AF148" s="2503"/>
      <c r="AG148" s="2503"/>
      <c r="AH148" s="2503"/>
      <c r="AI148" s="2503"/>
      <c r="AJ148" s="2503"/>
      <c r="AK148" s="2503"/>
      <c r="AL148" s="2503"/>
      <c r="AM148" s="2503"/>
      <c r="AN148" s="2503"/>
      <c r="AO148" s="2503"/>
      <c r="AP148" s="2503">
        <v>1000</v>
      </c>
      <c r="AQ148" s="3190">
        <v>44197</v>
      </c>
      <c r="AR148" s="3190">
        <v>44561</v>
      </c>
      <c r="AS148" s="2503" t="s">
        <v>1022</v>
      </c>
    </row>
    <row r="149" spans="1:65" s="3" customFormat="1" ht="108.75" customHeight="1" x14ac:dyDescent="0.25">
      <c r="A149" s="422"/>
      <c r="B149" s="822"/>
      <c r="C149" s="825"/>
      <c r="D149" s="423"/>
      <c r="E149" s="3506"/>
      <c r="F149" s="3506"/>
      <c r="G149" s="2974"/>
      <c r="H149" s="3060"/>
      <c r="I149" s="2974"/>
      <c r="J149" s="3060"/>
      <c r="K149" s="2266"/>
      <c r="L149" s="2284"/>
      <c r="M149" s="2266"/>
      <c r="N149" s="2284"/>
      <c r="O149" s="2266"/>
      <c r="P149" s="3174"/>
      <c r="Q149" s="2284"/>
      <c r="R149" s="3188"/>
      <c r="S149" s="3472"/>
      <c r="T149" s="2284"/>
      <c r="U149" s="2528"/>
      <c r="V149" s="597" t="s">
        <v>1023</v>
      </c>
      <c r="W149" s="691">
        <v>8000000</v>
      </c>
      <c r="X149" s="77" t="s">
        <v>1021</v>
      </c>
      <c r="Y149" s="3474"/>
      <c r="Z149" s="2463"/>
      <c r="AA149" s="3503"/>
      <c r="AB149" s="3503"/>
      <c r="AC149" s="3503"/>
      <c r="AD149" s="3503"/>
      <c r="AE149" s="3503"/>
      <c r="AF149" s="2503"/>
      <c r="AG149" s="2503"/>
      <c r="AH149" s="2503"/>
      <c r="AI149" s="2503"/>
      <c r="AJ149" s="2503"/>
      <c r="AK149" s="2503"/>
      <c r="AL149" s="2503"/>
      <c r="AM149" s="2503"/>
      <c r="AN149" s="2503"/>
      <c r="AO149" s="2503"/>
      <c r="AP149" s="2503"/>
      <c r="AQ149" s="3190"/>
      <c r="AR149" s="3190"/>
      <c r="AS149" s="2503"/>
    </row>
    <row r="150" spans="1:65" s="3" customFormat="1" ht="27.75" customHeight="1" x14ac:dyDescent="0.25">
      <c r="A150" s="422"/>
      <c r="B150" s="822"/>
      <c r="C150" s="826">
        <v>36</v>
      </c>
      <c r="D150" s="827" t="s">
        <v>1024</v>
      </c>
      <c r="E150" s="828"/>
      <c r="F150" s="828"/>
      <c r="G150" s="828"/>
      <c r="H150" s="829"/>
      <c r="I150" s="828"/>
      <c r="J150" s="830"/>
      <c r="K150" s="548"/>
      <c r="L150" s="830"/>
      <c r="M150" s="548"/>
      <c r="N150" s="830"/>
      <c r="O150" s="548"/>
      <c r="P150" s="548"/>
      <c r="Q150" s="830"/>
      <c r="R150" s="726"/>
      <c r="S150" s="727"/>
      <c r="T150" s="830"/>
      <c r="U150" s="831"/>
      <c r="V150" s="830"/>
      <c r="W150" s="727"/>
      <c r="X150" s="705"/>
      <c r="Y150" s="729"/>
      <c r="Z150" s="480"/>
      <c r="AA150" s="730"/>
      <c r="AB150" s="730"/>
      <c r="AC150" s="730"/>
      <c r="AD150" s="730"/>
      <c r="AE150" s="730"/>
      <c r="AF150" s="729"/>
      <c r="AG150" s="729"/>
      <c r="AH150" s="729"/>
      <c r="AI150" s="729"/>
      <c r="AJ150" s="729"/>
      <c r="AK150" s="729"/>
      <c r="AL150" s="729"/>
      <c r="AM150" s="729"/>
      <c r="AN150" s="729"/>
      <c r="AO150" s="729"/>
      <c r="AP150" s="729"/>
      <c r="AQ150" s="832"/>
      <c r="AR150" s="832"/>
      <c r="AS150" s="833"/>
    </row>
    <row r="151" spans="1:65" s="3" customFormat="1" ht="27" customHeight="1" x14ac:dyDescent="0.25">
      <c r="A151" s="422"/>
      <c r="B151" s="822"/>
      <c r="C151" s="823"/>
      <c r="D151" s="824"/>
      <c r="E151" s="834">
        <v>3604</v>
      </c>
      <c r="F151" s="734" t="s">
        <v>1025</v>
      </c>
      <c r="G151" s="735"/>
      <c r="H151" s="786"/>
      <c r="I151" s="735"/>
      <c r="J151" s="786"/>
      <c r="K151" s="735"/>
      <c r="L151" s="786"/>
      <c r="M151" s="735"/>
      <c r="N151" s="786"/>
      <c r="O151" s="406"/>
      <c r="P151" s="406"/>
      <c r="Q151" s="408"/>
      <c r="R151" s="710"/>
      <c r="S151" s="711"/>
      <c r="T151" s="767"/>
      <c r="U151" s="767"/>
      <c r="V151" s="767"/>
      <c r="W151" s="711"/>
      <c r="X151" s="835"/>
      <c r="Y151" s="63"/>
      <c r="Z151" s="169"/>
      <c r="AA151" s="709"/>
      <c r="AB151" s="709"/>
      <c r="AC151" s="709"/>
      <c r="AD151" s="709"/>
      <c r="AE151" s="709"/>
      <c r="AF151" s="709"/>
      <c r="AG151" s="709"/>
      <c r="AH151" s="709"/>
      <c r="AI151" s="709"/>
      <c r="AJ151" s="709"/>
      <c r="AK151" s="709"/>
      <c r="AL151" s="709"/>
      <c r="AM151" s="709"/>
      <c r="AN151" s="709"/>
      <c r="AO151" s="709"/>
      <c r="AP151" s="709"/>
      <c r="AQ151" s="713"/>
      <c r="AR151" s="713"/>
      <c r="AS151" s="714"/>
    </row>
    <row r="152" spans="1:65" s="3" customFormat="1" ht="66.75" customHeight="1" x14ac:dyDescent="0.25">
      <c r="A152" s="422"/>
      <c r="B152" s="822"/>
      <c r="C152" s="422"/>
      <c r="D152" s="423"/>
      <c r="E152" s="3506"/>
      <c r="F152" s="3506"/>
      <c r="G152" s="2973">
        <v>3604006</v>
      </c>
      <c r="H152" s="3507" t="s">
        <v>1026</v>
      </c>
      <c r="I152" s="2973">
        <v>3604006</v>
      </c>
      <c r="J152" s="3507" t="s">
        <v>1026</v>
      </c>
      <c r="K152" s="3152" t="s">
        <v>1027</v>
      </c>
      <c r="L152" s="2284" t="s">
        <v>1028</v>
      </c>
      <c r="M152" s="3152" t="s">
        <v>1027</v>
      </c>
      <c r="N152" s="2284" t="s">
        <v>1028</v>
      </c>
      <c r="O152" s="2266">
        <v>200</v>
      </c>
      <c r="P152" s="2266" t="s">
        <v>1029</v>
      </c>
      <c r="Q152" s="2284" t="s">
        <v>1030</v>
      </c>
      <c r="R152" s="3188">
        <f>SUM(W152:W156)/S152</f>
        <v>1</v>
      </c>
      <c r="S152" s="3472">
        <f>SUM(W152:W156)</f>
        <v>38195000</v>
      </c>
      <c r="T152" s="2284" t="s">
        <v>1031</v>
      </c>
      <c r="U152" s="2284" t="s">
        <v>788</v>
      </c>
      <c r="V152" s="3504" t="s">
        <v>1032</v>
      </c>
      <c r="W152" s="686">
        <v>1000000</v>
      </c>
      <c r="X152" s="807" t="s">
        <v>1033</v>
      </c>
      <c r="Y152" s="740">
        <v>20</v>
      </c>
      <c r="Z152" s="589" t="s">
        <v>403</v>
      </c>
      <c r="AA152" s="3503">
        <v>104</v>
      </c>
      <c r="AB152" s="3503">
        <v>96</v>
      </c>
      <c r="AC152" s="3503">
        <v>25</v>
      </c>
      <c r="AD152" s="3503">
        <v>50</v>
      </c>
      <c r="AE152" s="3503">
        <v>125</v>
      </c>
      <c r="AF152" s="2503"/>
      <c r="AG152" s="2503"/>
      <c r="AH152" s="2503"/>
      <c r="AI152" s="2503"/>
      <c r="AJ152" s="2503"/>
      <c r="AK152" s="2503"/>
      <c r="AL152" s="2503"/>
      <c r="AM152" s="2503"/>
      <c r="AN152" s="2503"/>
      <c r="AO152" s="2503"/>
      <c r="AP152" s="2503">
        <v>200</v>
      </c>
      <c r="AQ152" s="3190">
        <v>44197</v>
      </c>
      <c r="AR152" s="3190">
        <v>44561</v>
      </c>
      <c r="AS152" s="2503" t="s">
        <v>751</v>
      </c>
    </row>
    <row r="153" spans="1:65" s="3" customFormat="1" ht="66.75" customHeight="1" x14ac:dyDescent="0.25">
      <c r="A153" s="422"/>
      <c r="B153" s="822"/>
      <c r="C153" s="422"/>
      <c r="D153" s="423"/>
      <c r="E153" s="3506"/>
      <c r="F153" s="3506"/>
      <c r="G153" s="2973"/>
      <c r="H153" s="3507"/>
      <c r="I153" s="2973"/>
      <c r="J153" s="3507"/>
      <c r="K153" s="3152"/>
      <c r="L153" s="2284"/>
      <c r="M153" s="3152"/>
      <c r="N153" s="2284"/>
      <c r="O153" s="2266"/>
      <c r="P153" s="2266"/>
      <c r="Q153" s="2284"/>
      <c r="R153" s="3188"/>
      <c r="S153" s="3472"/>
      <c r="T153" s="2284"/>
      <c r="U153" s="2284"/>
      <c r="V153" s="3505"/>
      <c r="W153" s="686">
        <v>20195000</v>
      </c>
      <c r="X153" s="807" t="s">
        <v>1034</v>
      </c>
      <c r="Y153" s="740">
        <v>88</v>
      </c>
      <c r="Z153" s="589" t="s">
        <v>753</v>
      </c>
      <c r="AA153" s="3503"/>
      <c r="AB153" s="3503"/>
      <c r="AC153" s="3503"/>
      <c r="AD153" s="3503"/>
      <c r="AE153" s="3503"/>
      <c r="AF153" s="2503"/>
      <c r="AG153" s="2503"/>
      <c r="AH153" s="2503"/>
      <c r="AI153" s="2503"/>
      <c r="AJ153" s="2503"/>
      <c r="AK153" s="2503"/>
      <c r="AL153" s="2503"/>
      <c r="AM153" s="2503"/>
      <c r="AN153" s="2503"/>
      <c r="AO153" s="2503"/>
      <c r="AP153" s="2503"/>
      <c r="AQ153" s="3190"/>
      <c r="AR153" s="3190"/>
      <c r="AS153" s="2503"/>
    </row>
    <row r="154" spans="1:65" s="3" customFormat="1" ht="100.5" customHeight="1" x14ac:dyDescent="0.25">
      <c r="A154" s="422"/>
      <c r="B154" s="822"/>
      <c r="C154" s="422"/>
      <c r="D154" s="423"/>
      <c r="E154" s="3506"/>
      <c r="F154" s="3506"/>
      <c r="G154" s="2973"/>
      <c r="H154" s="3508"/>
      <c r="I154" s="2973"/>
      <c r="J154" s="3508"/>
      <c r="K154" s="3152"/>
      <c r="L154" s="2284"/>
      <c r="M154" s="3152"/>
      <c r="N154" s="2284"/>
      <c r="O154" s="2266"/>
      <c r="P154" s="2266"/>
      <c r="Q154" s="2284"/>
      <c r="R154" s="3188"/>
      <c r="S154" s="3472"/>
      <c r="T154" s="2284"/>
      <c r="U154" s="2284"/>
      <c r="V154" s="598" t="s">
        <v>1035</v>
      </c>
      <c r="W154" s="686">
        <v>6000000</v>
      </c>
      <c r="X154" s="807" t="s">
        <v>1033</v>
      </c>
      <c r="Y154" s="740">
        <v>20</v>
      </c>
      <c r="Z154" s="589" t="s">
        <v>403</v>
      </c>
      <c r="AA154" s="3503"/>
      <c r="AB154" s="3503"/>
      <c r="AC154" s="3503"/>
      <c r="AD154" s="3503"/>
      <c r="AE154" s="3503"/>
      <c r="AF154" s="2503"/>
      <c r="AG154" s="2503"/>
      <c r="AH154" s="2503"/>
      <c r="AI154" s="2503"/>
      <c r="AJ154" s="2503"/>
      <c r="AK154" s="2503"/>
      <c r="AL154" s="2503"/>
      <c r="AM154" s="2503"/>
      <c r="AN154" s="2503"/>
      <c r="AO154" s="2503"/>
      <c r="AP154" s="2503"/>
      <c r="AQ154" s="3190"/>
      <c r="AR154" s="3190"/>
      <c r="AS154" s="2503"/>
    </row>
    <row r="155" spans="1:65" s="3" customFormat="1" ht="77.25" customHeight="1" x14ac:dyDescent="0.25">
      <c r="A155" s="422"/>
      <c r="B155" s="822"/>
      <c r="C155" s="422"/>
      <c r="D155" s="423"/>
      <c r="E155" s="3506"/>
      <c r="F155" s="3506"/>
      <c r="G155" s="2973"/>
      <c r="H155" s="3508"/>
      <c r="I155" s="2973"/>
      <c r="J155" s="3508"/>
      <c r="K155" s="3152"/>
      <c r="L155" s="2284"/>
      <c r="M155" s="3152"/>
      <c r="N155" s="2284"/>
      <c r="O155" s="2266"/>
      <c r="P155" s="2266"/>
      <c r="Q155" s="2284"/>
      <c r="R155" s="3188"/>
      <c r="S155" s="3472"/>
      <c r="T155" s="2284"/>
      <c r="U155" s="2284"/>
      <c r="V155" s="598" t="s">
        <v>1036</v>
      </c>
      <c r="W155" s="686">
        <v>2000000</v>
      </c>
      <c r="X155" s="807" t="s">
        <v>1033</v>
      </c>
      <c r="Y155" s="740">
        <v>20</v>
      </c>
      <c r="Z155" s="589" t="s">
        <v>403</v>
      </c>
      <c r="AA155" s="3503"/>
      <c r="AB155" s="3503"/>
      <c r="AC155" s="3503"/>
      <c r="AD155" s="3503"/>
      <c r="AE155" s="3503"/>
      <c r="AF155" s="2503"/>
      <c r="AG155" s="2503"/>
      <c r="AH155" s="2503"/>
      <c r="AI155" s="2503"/>
      <c r="AJ155" s="2503"/>
      <c r="AK155" s="2503"/>
      <c r="AL155" s="2503"/>
      <c r="AM155" s="2503"/>
      <c r="AN155" s="2503"/>
      <c r="AO155" s="2503"/>
      <c r="AP155" s="2503"/>
      <c r="AQ155" s="3190"/>
      <c r="AR155" s="3190"/>
      <c r="AS155" s="2503"/>
    </row>
    <row r="156" spans="1:65" s="3" customFormat="1" ht="45.75" customHeight="1" x14ac:dyDescent="0.25">
      <c r="A156" s="825"/>
      <c r="B156" s="822"/>
      <c r="C156" s="422"/>
      <c r="D156" s="423"/>
      <c r="E156" s="3506"/>
      <c r="F156" s="3506"/>
      <c r="G156" s="2974"/>
      <c r="H156" s="3509"/>
      <c r="I156" s="2974"/>
      <c r="J156" s="3509"/>
      <c r="K156" s="3152"/>
      <c r="L156" s="2284"/>
      <c r="M156" s="3152"/>
      <c r="N156" s="2284"/>
      <c r="O156" s="2266"/>
      <c r="P156" s="2266"/>
      <c r="Q156" s="2284"/>
      <c r="R156" s="3188"/>
      <c r="S156" s="3472"/>
      <c r="T156" s="2284"/>
      <c r="U156" s="2284"/>
      <c r="V156" s="597" t="s">
        <v>1037</v>
      </c>
      <c r="W156" s="691">
        <v>9000000</v>
      </c>
      <c r="X156" s="807" t="s">
        <v>1033</v>
      </c>
      <c r="Y156" s="740">
        <v>20</v>
      </c>
      <c r="Z156" s="589" t="s">
        <v>403</v>
      </c>
      <c r="AA156" s="3503"/>
      <c r="AB156" s="3503"/>
      <c r="AC156" s="3503"/>
      <c r="AD156" s="3503"/>
      <c r="AE156" s="3503"/>
      <c r="AF156" s="2503"/>
      <c r="AG156" s="2503"/>
      <c r="AH156" s="2503"/>
      <c r="AI156" s="2503"/>
      <c r="AJ156" s="2503"/>
      <c r="AK156" s="2503"/>
      <c r="AL156" s="2503"/>
      <c r="AM156" s="2503"/>
      <c r="AN156" s="2503"/>
      <c r="AO156" s="2503"/>
      <c r="AP156" s="2503"/>
      <c r="AQ156" s="3190"/>
      <c r="AR156" s="3190"/>
      <c r="AS156" s="2503"/>
    </row>
    <row r="157" spans="1:65" ht="24.75" customHeight="1" x14ac:dyDescent="0.25">
      <c r="A157" s="836">
        <v>4</v>
      </c>
      <c r="B157" s="3499" t="s">
        <v>1038</v>
      </c>
      <c r="C157" s="3148"/>
      <c r="D157" s="3148"/>
      <c r="E157" s="3148"/>
      <c r="F157" s="3148"/>
      <c r="G157" s="3148"/>
      <c r="H157" s="391"/>
      <c r="I157" s="816"/>
      <c r="J157" s="837"/>
      <c r="K157" s="816"/>
      <c r="L157" s="837"/>
      <c r="M157" s="816"/>
      <c r="N157" s="837"/>
      <c r="O157" s="816"/>
      <c r="P157" s="816"/>
      <c r="Q157" s="837"/>
      <c r="R157" s="838"/>
      <c r="S157" s="839"/>
      <c r="T157" s="837"/>
      <c r="U157" s="837"/>
      <c r="V157" s="837"/>
      <c r="W157" s="839"/>
      <c r="X157" s="812"/>
      <c r="Y157" s="840"/>
      <c r="Z157" s="145"/>
      <c r="AA157" s="816"/>
      <c r="AB157" s="816"/>
      <c r="AC157" s="816"/>
      <c r="AD157" s="816"/>
      <c r="AE157" s="816"/>
      <c r="AF157" s="816"/>
      <c r="AG157" s="816"/>
      <c r="AH157" s="816"/>
      <c r="AI157" s="816"/>
      <c r="AJ157" s="816"/>
      <c r="AK157" s="816"/>
      <c r="AL157" s="816"/>
      <c r="AM157" s="816"/>
      <c r="AN157" s="816"/>
      <c r="AO157" s="816"/>
      <c r="AP157" s="816"/>
      <c r="AQ157" s="817"/>
      <c r="AR157" s="817"/>
      <c r="AS157" s="818"/>
      <c r="AT157" s="3"/>
      <c r="AU157" s="3"/>
      <c r="AV157" s="3"/>
      <c r="AW157" s="3"/>
      <c r="AX157" s="3"/>
      <c r="AY157" s="3"/>
      <c r="AZ157" s="3"/>
      <c r="BA157" s="3"/>
      <c r="BB157" s="3"/>
      <c r="BC157" s="3"/>
      <c r="BD157" s="3"/>
      <c r="BE157" s="3"/>
      <c r="BF157" s="3"/>
      <c r="BG157" s="3"/>
      <c r="BH157" s="3"/>
      <c r="BI157" s="3"/>
      <c r="BJ157" s="3"/>
      <c r="BK157" s="3"/>
      <c r="BL157" s="3"/>
      <c r="BM157" s="3"/>
    </row>
    <row r="158" spans="1:65" s="74" customFormat="1" ht="24.75" customHeight="1" x14ac:dyDescent="0.25">
      <c r="A158" s="601"/>
      <c r="B158" s="841"/>
      <c r="C158" s="842">
        <v>45</v>
      </c>
      <c r="D158" s="3500" t="s">
        <v>1039</v>
      </c>
      <c r="E158" s="3501"/>
      <c r="F158" s="3502"/>
      <c r="G158" s="3502"/>
      <c r="H158" s="843"/>
      <c r="I158" s="156"/>
      <c r="J158" s="157"/>
      <c r="K158" s="156"/>
      <c r="L158" s="157"/>
      <c r="M158" s="156"/>
      <c r="N158" s="157"/>
      <c r="O158" s="156"/>
      <c r="P158" s="156"/>
      <c r="Q158" s="157"/>
      <c r="R158" s="459"/>
      <c r="S158" s="820"/>
      <c r="T158" s="157"/>
      <c r="U158" s="157"/>
      <c r="V158" s="157"/>
      <c r="W158" s="820"/>
      <c r="X158" s="156"/>
      <c r="Y158" s="461"/>
      <c r="Z158" s="158"/>
      <c r="AA158" s="156"/>
      <c r="AB158" s="156"/>
      <c r="AC158" s="156"/>
      <c r="AD158" s="156"/>
      <c r="AE158" s="156"/>
      <c r="AF158" s="156"/>
      <c r="AG158" s="156"/>
      <c r="AH158" s="156"/>
      <c r="AI158" s="156"/>
      <c r="AJ158" s="156"/>
      <c r="AK158" s="156"/>
      <c r="AL158" s="156"/>
      <c r="AM158" s="156"/>
      <c r="AN158" s="156"/>
      <c r="AO158" s="156"/>
      <c r="AP158" s="156"/>
      <c r="AQ158" s="462"/>
      <c r="AR158" s="462"/>
      <c r="AS158" s="821"/>
    </row>
    <row r="159" spans="1:65" s="3" customFormat="1" ht="27" customHeight="1" x14ac:dyDescent="0.25">
      <c r="A159" s="422"/>
      <c r="B159" s="822"/>
      <c r="C159" s="422"/>
      <c r="D159" s="423"/>
      <c r="E159" s="844">
        <v>4502</v>
      </c>
      <c r="F159" s="603" t="s">
        <v>378</v>
      </c>
      <c r="G159" s="604"/>
      <c r="H159" s="845"/>
      <c r="I159" s="846"/>
      <c r="J159" s="845"/>
      <c r="K159" s="787"/>
      <c r="L159" s="788"/>
      <c r="M159" s="406"/>
      <c r="N159" s="847"/>
      <c r="O159" s="406"/>
      <c r="P159" s="406"/>
      <c r="Q159" s="408"/>
      <c r="R159" s="406"/>
      <c r="S159" s="848"/>
      <c r="T159" s="767"/>
      <c r="U159" s="767"/>
      <c r="V159" s="767"/>
      <c r="W159" s="711"/>
      <c r="X159" s="835"/>
      <c r="Y159" s="712"/>
      <c r="Z159" s="169"/>
      <c r="AA159" s="709"/>
      <c r="AB159" s="709"/>
      <c r="AC159" s="709"/>
      <c r="AD159" s="709"/>
      <c r="AE159" s="709"/>
      <c r="AF159" s="709"/>
      <c r="AG159" s="709"/>
      <c r="AH159" s="709"/>
      <c r="AI159" s="709"/>
      <c r="AJ159" s="709"/>
      <c r="AK159" s="709"/>
      <c r="AL159" s="709"/>
      <c r="AM159" s="709"/>
      <c r="AN159" s="709"/>
      <c r="AO159" s="709"/>
      <c r="AP159" s="709"/>
      <c r="AQ159" s="713"/>
      <c r="AR159" s="713"/>
      <c r="AS159" s="714"/>
    </row>
    <row r="160" spans="1:65" s="3" customFormat="1" ht="239.25" customHeight="1" x14ac:dyDescent="0.25">
      <c r="A160" s="422"/>
      <c r="B160" s="822"/>
      <c r="C160" s="422"/>
      <c r="D160" s="423"/>
      <c r="E160" s="715"/>
      <c r="F160" s="849"/>
      <c r="G160" s="573">
        <v>4502001</v>
      </c>
      <c r="H160" s="576" t="s">
        <v>193</v>
      </c>
      <c r="I160" s="573">
        <v>4502001</v>
      </c>
      <c r="J160" s="576" t="s">
        <v>193</v>
      </c>
      <c r="K160" s="573" t="s">
        <v>1040</v>
      </c>
      <c r="L160" s="576" t="s">
        <v>1041</v>
      </c>
      <c r="M160" s="573">
        <v>450200108</v>
      </c>
      <c r="N160" s="576" t="s">
        <v>1042</v>
      </c>
      <c r="O160" s="573">
        <v>1</v>
      </c>
      <c r="P160" s="738" t="s">
        <v>1043</v>
      </c>
      <c r="Q160" s="576" t="s">
        <v>1044</v>
      </c>
      <c r="R160" s="718">
        <f>W160/S160</f>
        <v>1</v>
      </c>
      <c r="S160" s="719">
        <f>SUM(W160)</f>
        <v>18000000</v>
      </c>
      <c r="T160" s="576" t="s">
        <v>1045</v>
      </c>
      <c r="U160" s="600" t="s">
        <v>788</v>
      </c>
      <c r="V160" s="598" t="s">
        <v>1046</v>
      </c>
      <c r="W160" s="686">
        <v>18000000</v>
      </c>
      <c r="X160" s="77" t="s">
        <v>1047</v>
      </c>
      <c r="Y160" s="720">
        <v>20</v>
      </c>
      <c r="Z160" s="574" t="s">
        <v>403</v>
      </c>
      <c r="AA160" s="596">
        <v>400</v>
      </c>
      <c r="AB160" s="596"/>
      <c r="AC160" s="596"/>
      <c r="AD160" s="596"/>
      <c r="AE160" s="596">
        <v>400</v>
      </c>
      <c r="AF160" s="596"/>
      <c r="AG160" s="596"/>
      <c r="AH160" s="596"/>
      <c r="AI160" s="596"/>
      <c r="AJ160" s="596"/>
      <c r="AK160" s="596"/>
      <c r="AL160" s="596"/>
      <c r="AM160" s="596"/>
      <c r="AN160" s="596"/>
      <c r="AO160" s="596"/>
      <c r="AP160" s="596">
        <v>400</v>
      </c>
      <c r="AQ160" s="724">
        <v>44197</v>
      </c>
      <c r="AR160" s="724">
        <v>44561</v>
      </c>
      <c r="AS160" s="725" t="s">
        <v>1048</v>
      </c>
    </row>
    <row r="161" spans="1:45" s="3" customFormat="1" ht="57.75" customHeight="1" x14ac:dyDescent="0.25">
      <c r="A161" s="422"/>
      <c r="B161" s="822"/>
      <c r="C161" s="422"/>
      <c r="D161" s="423"/>
      <c r="E161" s="715"/>
      <c r="F161" s="715"/>
      <c r="G161" s="2973" t="s">
        <v>62</v>
      </c>
      <c r="H161" s="2993" t="s">
        <v>1049</v>
      </c>
      <c r="I161" s="2973">
        <v>4502038</v>
      </c>
      <c r="J161" s="2993" t="s">
        <v>1050</v>
      </c>
      <c r="K161" s="2973" t="s">
        <v>62</v>
      </c>
      <c r="L161" s="2993" t="s">
        <v>1051</v>
      </c>
      <c r="M161" s="2973">
        <v>450203800</v>
      </c>
      <c r="N161" s="2993" t="s">
        <v>1052</v>
      </c>
      <c r="O161" s="2973">
        <v>1</v>
      </c>
      <c r="P161" s="3492" t="s">
        <v>1053</v>
      </c>
      <c r="Q161" s="2993" t="s">
        <v>1054</v>
      </c>
      <c r="R161" s="3498">
        <f>SUM(W161:W168)/S161</f>
        <v>1</v>
      </c>
      <c r="S161" s="2630">
        <f>SUM(W161:W168)</f>
        <v>77000000</v>
      </c>
      <c r="T161" s="2993" t="s">
        <v>1055</v>
      </c>
      <c r="U161" s="2993" t="s">
        <v>1056</v>
      </c>
      <c r="V161" s="850" t="s">
        <v>1057</v>
      </c>
      <c r="W161" s="851">
        <v>29690000</v>
      </c>
      <c r="X161" s="77" t="s">
        <v>1058</v>
      </c>
      <c r="Y161" s="3243">
        <v>20</v>
      </c>
      <c r="Z161" s="2463" t="s">
        <v>403</v>
      </c>
      <c r="AA161" s="2150">
        <v>3200</v>
      </c>
      <c r="AB161" s="3484" t="s">
        <v>134</v>
      </c>
      <c r="AC161" s="3496">
        <v>500</v>
      </c>
      <c r="AD161" s="3484">
        <v>1500</v>
      </c>
      <c r="AE161" s="3496">
        <v>900</v>
      </c>
      <c r="AF161" s="3484">
        <v>235</v>
      </c>
      <c r="AG161" s="3496">
        <v>15</v>
      </c>
      <c r="AH161" s="3484">
        <v>15</v>
      </c>
      <c r="AI161" s="3496" t="s">
        <v>134</v>
      </c>
      <c r="AJ161" s="3484" t="s">
        <v>134</v>
      </c>
      <c r="AK161" s="3496" t="s">
        <v>134</v>
      </c>
      <c r="AL161" s="3484" t="s">
        <v>134</v>
      </c>
      <c r="AM161" s="3496">
        <v>10</v>
      </c>
      <c r="AN161" s="3484">
        <v>15</v>
      </c>
      <c r="AO161" s="3496">
        <v>10</v>
      </c>
      <c r="AP161" s="3226">
        <f>AA161</f>
        <v>3200</v>
      </c>
      <c r="AQ161" s="3463">
        <v>44197</v>
      </c>
      <c r="AR161" s="3497">
        <v>44561</v>
      </c>
      <c r="AS161" s="2328" t="s">
        <v>1048</v>
      </c>
    </row>
    <row r="162" spans="1:45" s="3" customFormat="1" ht="73.5" customHeight="1" x14ac:dyDescent="0.25">
      <c r="A162" s="422"/>
      <c r="B162" s="822"/>
      <c r="C162" s="422"/>
      <c r="D162" s="423"/>
      <c r="E162" s="715"/>
      <c r="F162" s="715"/>
      <c r="G162" s="2973"/>
      <c r="H162" s="2993"/>
      <c r="I162" s="2973"/>
      <c r="J162" s="2993"/>
      <c r="K162" s="2973"/>
      <c r="L162" s="2993"/>
      <c r="M162" s="2973"/>
      <c r="N162" s="2993"/>
      <c r="O162" s="2973"/>
      <c r="P162" s="3492"/>
      <c r="Q162" s="2993"/>
      <c r="R162" s="3498"/>
      <c r="S162" s="2630"/>
      <c r="T162" s="2993"/>
      <c r="U162" s="2993"/>
      <c r="V162" s="850" t="s">
        <v>1059</v>
      </c>
      <c r="W162" s="851">
        <v>15400000</v>
      </c>
      <c r="X162" s="77" t="s">
        <v>1058</v>
      </c>
      <c r="Y162" s="3243"/>
      <c r="Z162" s="2463"/>
      <c r="AA162" s="2150"/>
      <c r="AB162" s="3484"/>
      <c r="AC162" s="3496"/>
      <c r="AD162" s="3484"/>
      <c r="AE162" s="3496"/>
      <c r="AF162" s="3484"/>
      <c r="AG162" s="3496"/>
      <c r="AH162" s="3484"/>
      <c r="AI162" s="3496"/>
      <c r="AJ162" s="3484"/>
      <c r="AK162" s="3496"/>
      <c r="AL162" s="3484"/>
      <c r="AM162" s="3496"/>
      <c r="AN162" s="3484"/>
      <c r="AO162" s="3496"/>
      <c r="AP162" s="3226"/>
      <c r="AQ162" s="3463"/>
      <c r="AR162" s="3497"/>
      <c r="AS162" s="2328"/>
    </row>
    <row r="163" spans="1:45" s="3" customFormat="1" ht="42" customHeight="1" x14ac:dyDescent="0.25">
      <c r="A163" s="422"/>
      <c r="B163" s="822"/>
      <c r="C163" s="422"/>
      <c r="D163" s="423"/>
      <c r="E163" s="715"/>
      <c r="F163" s="715"/>
      <c r="G163" s="2973"/>
      <c r="H163" s="2993"/>
      <c r="I163" s="2973"/>
      <c r="J163" s="2993"/>
      <c r="K163" s="2973"/>
      <c r="L163" s="2993"/>
      <c r="M163" s="2973"/>
      <c r="N163" s="2993"/>
      <c r="O163" s="2973"/>
      <c r="P163" s="3492"/>
      <c r="Q163" s="2993"/>
      <c r="R163" s="3498"/>
      <c r="S163" s="2630"/>
      <c r="T163" s="2993"/>
      <c r="U163" s="2993"/>
      <c r="V163" s="850" t="s">
        <v>724</v>
      </c>
      <c r="W163" s="851">
        <v>2400000</v>
      </c>
      <c r="X163" s="77" t="s">
        <v>1060</v>
      </c>
      <c r="Y163" s="3243"/>
      <c r="Z163" s="2463"/>
      <c r="AA163" s="2150"/>
      <c r="AB163" s="3484"/>
      <c r="AC163" s="3496"/>
      <c r="AD163" s="3484"/>
      <c r="AE163" s="3496"/>
      <c r="AF163" s="3484"/>
      <c r="AG163" s="3496"/>
      <c r="AH163" s="3484"/>
      <c r="AI163" s="3496"/>
      <c r="AJ163" s="3484"/>
      <c r="AK163" s="3496"/>
      <c r="AL163" s="3484"/>
      <c r="AM163" s="3496"/>
      <c r="AN163" s="3484"/>
      <c r="AO163" s="3496"/>
      <c r="AP163" s="3226"/>
      <c r="AQ163" s="3463"/>
      <c r="AR163" s="3497"/>
      <c r="AS163" s="2328"/>
    </row>
    <row r="164" spans="1:45" s="3" customFormat="1" ht="55.5" customHeight="1" x14ac:dyDescent="0.25">
      <c r="A164" s="422"/>
      <c r="B164" s="822"/>
      <c r="C164" s="422"/>
      <c r="D164" s="423"/>
      <c r="E164" s="715"/>
      <c r="F164" s="715"/>
      <c r="G164" s="2973"/>
      <c r="H164" s="2993"/>
      <c r="I164" s="2973"/>
      <c r="J164" s="2993"/>
      <c r="K164" s="2973"/>
      <c r="L164" s="2993"/>
      <c r="M164" s="2973"/>
      <c r="N164" s="2993"/>
      <c r="O164" s="2973"/>
      <c r="P164" s="3492"/>
      <c r="Q164" s="2993"/>
      <c r="R164" s="3498"/>
      <c r="S164" s="2630"/>
      <c r="T164" s="2993"/>
      <c r="U164" s="2993"/>
      <c r="V164" s="850" t="s">
        <v>1061</v>
      </c>
      <c r="W164" s="851">
        <v>24510000</v>
      </c>
      <c r="X164" s="77" t="s">
        <v>1058</v>
      </c>
      <c r="Y164" s="3243"/>
      <c r="Z164" s="2463"/>
      <c r="AA164" s="2150"/>
      <c r="AB164" s="3484"/>
      <c r="AC164" s="3496"/>
      <c r="AD164" s="3484"/>
      <c r="AE164" s="3496"/>
      <c r="AF164" s="3484"/>
      <c r="AG164" s="3496"/>
      <c r="AH164" s="3484"/>
      <c r="AI164" s="3496"/>
      <c r="AJ164" s="3484"/>
      <c r="AK164" s="3496"/>
      <c r="AL164" s="3484"/>
      <c r="AM164" s="3496"/>
      <c r="AN164" s="3484"/>
      <c r="AO164" s="3496"/>
      <c r="AP164" s="3226"/>
      <c r="AQ164" s="3463"/>
      <c r="AR164" s="3497"/>
      <c r="AS164" s="2328"/>
    </row>
    <row r="165" spans="1:45" s="3" customFormat="1" ht="61.5" customHeight="1" x14ac:dyDescent="0.25">
      <c r="A165" s="422"/>
      <c r="B165" s="822"/>
      <c r="C165" s="422"/>
      <c r="D165" s="423"/>
      <c r="E165" s="715"/>
      <c r="F165" s="715"/>
      <c r="G165" s="2973"/>
      <c r="H165" s="2993"/>
      <c r="I165" s="2973"/>
      <c r="J165" s="2993"/>
      <c r="K165" s="2973"/>
      <c r="L165" s="2993"/>
      <c r="M165" s="2973"/>
      <c r="N165" s="2993"/>
      <c r="O165" s="2973"/>
      <c r="P165" s="3492"/>
      <c r="Q165" s="2993"/>
      <c r="R165" s="3498"/>
      <c r="S165" s="2630"/>
      <c r="T165" s="2993"/>
      <c r="U165" s="2993"/>
      <c r="V165" s="850" t="s">
        <v>1062</v>
      </c>
      <c r="W165" s="851">
        <v>0</v>
      </c>
      <c r="X165" s="77" t="s">
        <v>1058</v>
      </c>
      <c r="Y165" s="3243"/>
      <c r="Z165" s="2463"/>
      <c r="AA165" s="2150"/>
      <c r="AB165" s="3484"/>
      <c r="AC165" s="3496"/>
      <c r="AD165" s="3484"/>
      <c r="AE165" s="3496"/>
      <c r="AF165" s="3484"/>
      <c r="AG165" s="3496"/>
      <c r="AH165" s="3484"/>
      <c r="AI165" s="3496"/>
      <c r="AJ165" s="3484"/>
      <c r="AK165" s="3496"/>
      <c r="AL165" s="3484"/>
      <c r="AM165" s="3496"/>
      <c r="AN165" s="3484"/>
      <c r="AO165" s="3496"/>
      <c r="AP165" s="3226"/>
      <c r="AQ165" s="3463"/>
      <c r="AR165" s="3497"/>
      <c r="AS165" s="2328"/>
    </row>
    <row r="166" spans="1:45" s="3" customFormat="1" ht="61.5" customHeight="1" x14ac:dyDescent="0.25">
      <c r="A166" s="422"/>
      <c r="B166" s="822"/>
      <c r="C166" s="422"/>
      <c r="D166" s="423"/>
      <c r="E166" s="715"/>
      <c r="F166" s="715"/>
      <c r="G166" s="2973"/>
      <c r="H166" s="2993"/>
      <c r="I166" s="2973"/>
      <c r="J166" s="2993"/>
      <c r="K166" s="2973"/>
      <c r="L166" s="2993"/>
      <c r="M166" s="2973"/>
      <c r="N166" s="2993"/>
      <c r="O166" s="2973"/>
      <c r="P166" s="3492"/>
      <c r="Q166" s="2993"/>
      <c r="R166" s="3498"/>
      <c r="S166" s="2630"/>
      <c r="T166" s="2993"/>
      <c r="U166" s="2993"/>
      <c r="V166" s="850" t="s">
        <v>1063</v>
      </c>
      <c r="W166" s="852">
        <v>0</v>
      </c>
      <c r="X166" s="77" t="s">
        <v>1064</v>
      </c>
      <c r="Y166" s="3243"/>
      <c r="Z166" s="2463"/>
      <c r="AA166" s="2150"/>
      <c r="AB166" s="3484"/>
      <c r="AC166" s="3496"/>
      <c r="AD166" s="3484"/>
      <c r="AE166" s="3496"/>
      <c r="AF166" s="3484"/>
      <c r="AG166" s="3496"/>
      <c r="AH166" s="3484"/>
      <c r="AI166" s="3496"/>
      <c r="AJ166" s="3484"/>
      <c r="AK166" s="3496"/>
      <c r="AL166" s="3484"/>
      <c r="AM166" s="3496"/>
      <c r="AN166" s="3484"/>
      <c r="AO166" s="3496"/>
      <c r="AP166" s="3226"/>
      <c r="AQ166" s="3463"/>
      <c r="AR166" s="3497"/>
      <c r="AS166" s="2328"/>
    </row>
    <row r="167" spans="1:45" s="3" customFormat="1" ht="47.25" customHeight="1" x14ac:dyDescent="0.25">
      <c r="A167" s="422"/>
      <c r="B167" s="822"/>
      <c r="C167" s="422"/>
      <c r="D167" s="423"/>
      <c r="E167" s="715"/>
      <c r="F167" s="715"/>
      <c r="G167" s="2973"/>
      <c r="H167" s="2993"/>
      <c r="I167" s="2973"/>
      <c r="J167" s="2993"/>
      <c r="K167" s="2973"/>
      <c r="L167" s="2993"/>
      <c r="M167" s="2973"/>
      <c r="N167" s="2993"/>
      <c r="O167" s="2973"/>
      <c r="P167" s="3492"/>
      <c r="Q167" s="2993"/>
      <c r="R167" s="3498"/>
      <c r="S167" s="2630"/>
      <c r="T167" s="2993"/>
      <c r="U167" s="2993"/>
      <c r="V167" s="853" t="s">
        <v>730</v>
      </c>
      <c r="W167" s="754">
        <v>5000000</v>
      </c>
      <c r="X167" s="77" t="s">
        <v>1065</v>
      </c>
      <c r="Y167" s="3243"/>
      <c r="Z167" s="2463"/>
      <c r="AA167" s="2150"/>
      <c r="AB167" s="3484"/>
      <c r="AC167" s="3496"/>
      <c r="AD167" s="3484"/>
      <c r="AE167" s="3496"/>
      <c r="AF167" s="3484"/>
      <c r="AG167" s="3496"/>
      <c r="AH167" s="3484"/>
      <c r="AI167" s="3496"/>
      <c r="AJ167" s="3484"/>
      <c r="AK167" s="3496"/>
      <c r="AL167" s="3484"/>
      <c r="AM167" s="3496"/>
      <c r="AN167" s="3484"/>
      <c r="AO167" s="3496"/>
      <c r="AP167" s="3226"/>
      <c r="AQ167" s="3463"/>
      <c r="AR167" s="3497"/>
      <c r="AS167" s="2328"/>
    </row>
    <row r="168" spans="1:45" s="3" customFormat="1" ht="51.75" customHeight="1" x14ac:dyDescent="0.25">
      <c r="A168" s="422"/>
      <c r="B168" s="822"/>
      <c r="C168" s="422"/>
      <c r="D168" s="423"/>
      <c r="E168" s="715"/>
      <c r="F168" s="715"/>
      <c r="G168" s="2973"/>
      <c r="H168" s="2993"/>
      <c r="I168" s="2973"/>
      <c r="J168" s="2993"/>
      <c r="K168" s="2973"/>
      <c r="L168" s="2993"/>
      <c r="M168" s="2973"/>
      <c r="N168" s="2993"/>
      <c r="O168" s="2973"/>
      <c r="P168" s="3492"/>
      <c r="Q168" s="2993"/>
      <c r="R168" s="3498"/>
      <c r="S168" s="2630"/>
      <c r="T168" s="2993"/>
      <c r="U168" s="2993"/>
      <c r="V168" s="853" t="s">
        <v>1066</v>
      </c>
      <c r="W168" s="754">
        <v>0</v>
      </c>
      <c r="X168" s="77" t="s">
        <v>1067</v>
      </c>
      <c r="Y168" s="3243"/>
      <c r="Z168" s="2463"/>
      <c r="AA168" s="2150"/>
      <c r="AB168" s="3484"/>
      <c r="AC168" s="3496"/>
      <c r="AD168" s="3484"/>
      <c r="AE168" s="3496"/>
      <c r="AF168" s="3484"/>
      <c r="AG168" s="3496"/>
      <c r="AH168" s="3484"/>
      <c r="AI168" s="3496"/>
      <c r="AJ168" s="3484"/>
      <c r="AK168" s="3496"/>
      <c r="AL168" s="3484"/>
      <c r="AM168" s="3496"/>
      <c r="AN168" s="3484"/>
      <c r="AO168" s="3496"/>
      <c r="AP168" s="3226"/>
      <c r="AQ168" s="3463"/>
      <c r="AR168" s="3497"/>
      <c r="AS168" s="2328"/>
    </row>
    <row r="169" spans="1:45" s="74" customFormat="1" ht="61.5" customHeight="1" x14ac:dyDescent="0.25">
      <c r="A169" s="579"/>
      <c r="B169" s="737"/>
      <c r="C169" s="579"/>
      <c r="D169" s="580"/>
      <c r="E169" s="498"/>
      <c r="F169" s="498"/>
      <c r="G169" s="3491" t="s">
        <v>62</v>
      </c>
      <c r="H169" s="3493" t="s">
        <v>1068</v>
      </c>
      <c r="I169" s="3491">
        <v>4502038</v>
      </c>
      <c r="J169" s="3493" t="s">
        <v>1050</v>
      </c>
      <c r="K169" s="3491" t="s">
        <v>62</v>
      </c>
      <c r="L169" s="3493" t="s">
        <v>1069</v>
      </c>
      <c r="M169" s="3491">
        <v>450203800</v>
      </c>
      <c r="N169" s="3493" t="s">
        <v>1070</v>
      </c>
      <c r="O169" s="3491">
        <v>1</v>
      </c>
      <c r="P169" s="3491" t="s">
        <v>1071</v>
      </c>
      <c r="Q169" s="3493" t="s">
        <v>1072</v>
      </c>
      <c r="R169" s="3494">
        <f>SUM(W169:W176)/S169</f>
        <v>1</v>
      </c>
      <c r="S169" s="3485">
        <f>SUM(W169:W176)</f>
        <v>90000000</v>
      </c>
      <c r="T169" s="3487" t="s">
        <v>1073</v>
      </c>
      <c r="U169" s="3014" t="s">
        <v>1074</v>
      </c>
      <c r="V169" s="782" t="s">
        <v>1075</v>
      </c>
      <c r="W169" s="686">
        <v>22270000</v>
      </c>
      <c r="X169" s="77" t="s">
        <v>1076</v>
      </c>
      <c r="Y169" s="3489">
        <v>20</v>
      </c>
      <c r="Z169" s="2495" t="s">
        <v>403</v>
      </c>
      <c r="AA169" s="3483">
        <v>121</v>
      </c>
      <c r="AB169" s="3483">
        <v>176</v>
      </c>
      <c r="AC169" s="3483" t="s">
        <v>134</v>
      </c>
      <c r="AD169" s="3483">
        <v>171</v>
      </c>
      <c r="AE169" s="3483">
        <v>121</v>
      </c>
      <c r="AF169" s="3483">
        <v>5</v>
      </c>
      <c r="AG169" s="3483" t="s">
        <v>134</v>
      </c>
      <c r="AH169" s="3480"/>
      <c r="AI169" s="3480"/>
      <c r="AJ169" s="3480"/>
      <c r="AK169" s="3480"/>
      <c r="AL169" s="3480"/>
      <c r="AM169" s="3480"/>
      <c r="AN169" s="3480"/>
      <c r="AO169" s="3480"/>
      <c r="AP169" s="3480">
        <v>297</v>
      </c>
      <c r="AQ169" s="3481">
        <v>44197</v>
      </c>
      <c r="AR169" s="3481">
        <v>44561</v>
      </c>
      <c r="AS169" s="3480" t="s">
        <v>1048</v>
      </c>
    </row>
    <row r="170" spans="1:45" s="74" customFormat="1" ht="61.5" customHeight="1" x14ac:dyDescent="0.25">
      <c r="A170" s="579"/>
      <c r="B170" s="737"/>
      <c r="C170" s="579"/>
      <c r="D170" s="580"/>
      <c r="E170" s="498"/>
      <c r="F170" s="498"/>
      <c r="G170" s="3492"/>
      <c r="H170" s="3355"/>
      <c r="I170" s="3492"/>
      <c r="J170" s="3355"/>
      <c r="K170" s="3492"/>
      <c r="L170" s="3355"/>
      <c r="M170" s="3492"/>
      <c r="N170" s="3355"/>
      <c r="O170" s="3492"/>
      <c r="P170" s="3492"/>
      <c r="Q170" s="3355"/>
      <c r="R170" s="3495"/>
      <c r="S170" s="3486"/>
      <c r="T170" s="3487"/>
      <c r="U170" s="3107"/>
      <c r="V170" s="782" t="s">
        <v>1077</v>
      </c>
      <c r="W170" s="686">
        <v>15000000</v>
      </c>
      <c r="X170" s="77" t="s">
        <v>1076</v>
      </c>
      <c r="Y170" s="3490"/>
      <c r="Z170" s="2495"/>
      <c r="AA170" s="3484"/>
      <c r="AB170" s="3484"/>
      <c r="AC170" s="3484"/>
      <c r="AD170" s="3484"/>
      <c r="AE170" s="3484"/>
      <c r="AF170" s="3484"/>
      <c r="AG170" s="3484"/>
      <c r="AH170" s="3226"/>
      <c r="AI170" s="3226"/>
      <c r="AJ170" s="3226"/>
      <c r="AK170" s="3226"/>
      <c r="AL170" s="3226"/>
      <c r="AM170" s="3226"/>
      <c r="AN170" s="3226"/>
      <c r="AO170" s="3226"/>
      <c r="AP170" s="3226"/>
      <c r="AQ170" s="3482"/>
      <c r="AR170" s="3482"/>
      <c r="AS170" s="3226"/>
    </row>
    <row r="171" spans="1:45" s="74" customFormat="1" ht="61.5" customHeight="1" x14ac:dyDescent="0.25">
      <c r="A171" s="579"/>
      <c r="B171" s="737"/>
      <c r="C171" s="579"/>
      <c r="D171" s="580"/>
      <c r="E171" s="498"/>
      <c r="F171" s="498"/>
      <c r="G171" s="3492"/>
      <c r="H171" s="3355"/>
      <c r="I171" s="3492"/>
      <c r="J171" s="3355"/>
      <c r="K171" s="3492"/>
      <c r="L171" s="3355"/>
      <c r="M171" s="3492"/>
      <c r="N171" s="3355"/>
      <c r="O171" s="3492"/>
      <c r="P171" s="3492"/>
      <c r="Q171" s="3355"/>
      <c r="R171" s="3495"/>
      <c r="S171" s="3486"/>
      <c r="T171" s="3487"/>
      <c r="U171" s="3107"/>
      <c r="V171" s="782" t="s">
        <v>1078</v>
      </c>
      <c r="W171" s="686">
        <v>18730000</v>
      </c>
      <c r="X171" s="77" t="s">
        <v>1076</v>
      </c>
      <c r="Y171" s="3490"/>
      <c r="Z171" s="2495"/>
      <c r="AA171" s="3484"/>
      <c r="AB171" s="3484"/>
      <c r="AC171" s="3484"/>
      <c r="AD171" s="3484"/>
      <c r="AE171" s="3484"/>
      <c r="AF171" s="3484"/>
      <c r="AG171" s="3484"/>
      <c r="AH171" s="3226"/>
      <c r="AI171" s="3226"/>
      <c r="AJ171" s="3226"/>
      <c r="AK171" s="3226"/>
      <c r="AL171" s="3226"/>
      <c r="AM171" s="3226"/>
      <c r="AN171" s="3226"/>
      <c r="AO171" s="3226"/>
      <c r="AP171" s="3226"/>
      <c r="AQ171" s="3482"/>
      <c r="AR171" s="3482"/>
      <c r="AS171" s="3226"/>
    </row>
    <row r="172" spans="1:45" s="74" customFormat="1" ht="81.75" customHeight="1" x14ac:dyDescent="0.25">
      <c r="A172" s="579"/>
      <c r="B172" s="737"/>
      <c r="C172" s="579"/>
      <c r="D172" s="580"/>
      <c r="E172" s="498"/>
      <c r="F172" s="498"/>
      <c r="G172" s="3492"/>
      <c r="H172" s="3355"/>
      <c r="I172" s="3492"/>
      <c r="J172" s="3355"/>
      <c r="K172" s="3492"/>
      <c r="L172" s="3355"/>
      <c r="M172" s="3492"/>
      <c r="N172" s="3355"/>
      <c r="O172" s="3492"/>
      <c r="P172" s="3492"/>
      <c r="Q172" s="3355"/>
      <c r="R172" s="3495"/>
      <c r="S172" s="3486"/>
      <c r="T172" s="3487"/>
      <c r="U172" s="3107"/>
      <c r="V172" s="782" t="s">
        <v>1079</v>
      </c>
      <c r="W172" s="686">
        <v>17000000</v>
      </c>
      <c r="X172" s="77" t="s">
        <v>1076</v>
      </c>
      <c r="Y172" s="3490"/>
      <c r="Z172" s="2495"/>
      <c r="AA172" s="3484"/>
      <c r="AB172" s="3484"/>
      <c r="AC172" s="3484"/>
      <c r="AD172" s="3484"/>
      <c r="AE172" s="3484"/>
      <c r="AF172" s="3484"/>
      <c r="AG172" s="3484"/>
      <c r="AH172" s="3226"/>
      <c r="AI172" s="3226"/>
      <c r="AJ172" s="3226"/>
      <c r="AK172" s="3226"/>
      <c r="AL172" s="3226"/>
      <c r="AM172" s="3226"/>
      <c r="AN172" s="3226"/>
      <c r="AO172" s="3226"/>
      <c r="AP172" s="3226"/>
      <c r="AQ172" s="3482"/>
      <c r="AR172" s="3482"/>
      <c r="AS172" s="3226"/>
    </row>
    <row r="173" spans="1:45" s="74" customFormat="1" ht="93.75" customHeight="1" x14ac:dyDescent="0.25">
      <c r="A173" s="579"/>
      <c r="B173" s="737"/>
      <c r="C173" s="579"/>
      <c r="D173" s="580"/>
      <c r="E173" s="498"/>
      <c r="F173" s="498"/>
      <c r="G173" s="3492"/>
      <c r="H173" s="3355"/>
      <c r="I173" s="3492"/>
      <c r="J173" s="3355"/>
      <c r="K173" s="3492"/>
      <c r="L173" s="3355"/>
      <c r="M173" s="3492"/>
      <c r="N173" s="3355"/>
      <c r="O173" s="3492"/>
      <c r="P173" s="3492"/>
      <c r="Q173" s="3355"/>
      <c r="R173" s="3495"/>
      <c r="S173" s="3486"/>
      <c r="T173" s="3487"/>
      <c r="U173" s="3107"/>
      <c r="V173" s="782" t="s">
        <v>1080</v>
      </c>
      <c r="W173" s="686">
        <v>12000000</v>
      </c>
      <c r="X173" s="77" t="s">
        <v>1076</v>
      </c>
      <c r="Y173" s="3490"/>
      <c r="Z173" s="2495"/>
      <c r="AA173" s="3484"/>
      <c r="AB173" s="3484"/>
      <c r="AC173" s="3484"/>
      <c r="AD173" s="3484"/>
      <c r="AE173" s="3484"/>
      <c r="AF173" s="3484"/>
      <c r="AG173" s="3484"/>
      <c r="AH173" s="3226"/>
      <c r="AI173" s="3226"/>
      <c r="AJ173" s="3226"/>
      <c r="AK173" s="3226"/>
      <c r="AL173" s="3226"/>
      <c r="AM173" s="3226"/>
      <c r="AN173" s="3226"/>
      <c r="AO173" s="3226"/>
      <c r="AP173" s="3226"/>
      <c r="AQ173" s="3482"/>
      <c r="AR173" s="3482"/>
      <c r="AS173" s="3226"/>
    </row>
    <row r="174" spans="1:45" s="74" customFormat="1" ht="41.25" customHeight="1" x14ac:dyDescent="0.25">
      <c r="A174" s="579"/>
      <c r="B174" s="737"/>
      <c r="C174" s="579"/>
      <c r="D174" s="580"/>
      <c r="E174" s="498"/>
      <c r="F174" s="498"/>
      <c r="G174" s="3492"/>
      <c r="H174" s="3355"/>
      <c r="I174" s="3492"/>
      <c r="J174" s="3355"/>
      <c r="K174" s="3492"/>
      <c r="L174" s="3355"/>
      <c r="M174" s="3492"/>
      <c r="N174" s="3355"/>
      <c r="O174" s="3492"/>
      <c r="P174" s="3492"/>
      <c r="Q174" s="3355"/>
      <c r="R174" s="3495"/>
      <c r="S174" s="3486"/>
      <c r="T174" s="3487"/>
      <c r="U174" s="3107"/>
      <c r="V174" s="782" t="s">
        <v>1081</v>
      </c>
      <c r="W174" s="686">
        <v>3000000</v>
      </c>
      <c r="X174" s="77" t="s">
        <v>1082</v>
      </c>
      <c r="Y174" s="3490"/>
      <c r="Z174" s="2495"/>
      <c r="AA174" s="3484"/>
      <c r="AB174" s="3484"/>
      <c r="AC174" s="3484"/>
      <c r="AD174" s="3484"/>
      <c r="AE174" s="3484"/>
      <c r="AF174" s="3484"/>
      <c r="AG174" s="3484"/>
      <c r="AH174" s="3226"/>
      <c r="AI174" s="3226"/>
      <c r="AJ174" s="3226"/>
      <c r="AK174" s="3226"/>
      <c r="AL174" s="3226"/>
      <c r="AM174" s="3226"/>
      <c r="AN174" s="3226"/>
      <c r="AO174" s="3226"/>
      <c r="AP174" s="3226"/>
      <c r="AQ174" s="3482"/>
      <c r="AR174" s="3482"/>
      <c r="AS174" s="3226"/>
    </row>
    <row r="175" spans="1:45" s="74" customFormat="1" ht="41.25" customHeight="1" x14ac:dyDescent="0.25">
      <c r="A175" s="579"/>
      <c r="B175" s="737"/>
      <c r="C175" s="579"/>
      <c r="D175" s="580"/>
      <c r="E175" s="498"/>
      <c r="F175" s="498"/>
      <c r="G175" s="3492"/>
      <c r="H175" s="3355"/>
      <c r="I175" s="3492"/>
      <c r="J175" s="3355"/>
      <c r="K175" s="3492"/>
      <c r="L175" s="3355"/>
      <c r="M175" s="3492"/>
      <c r="N175" s="3355"/>
      <c r="O175" s="3492"/>
      <c r="P175" s="3492"/>
      <c r="Q175" s="3355"/>
      <c r="R175" s="3495"/>
      <c r="S175" s="3486"/>
      <c r="T175" s="3487"/>
      <c r="U175" s="3107"/>
      <c r="V175" s="782" t="s">
        <v>730</v>
      </c>
      <c r="W175" s="686">
        <v>2000000</v>
      </c>
      <c r="X175" s="77" t="s">
        <v>1083</v>
      </c>
      <c r="Y175" s="3490"/>
      <c r="Z175" s="2495"/>
      <c r="AA175" s="3484"/>
      <c r="AB175" s="3484"/>
      <c r="AC175" s="3484"/>
      <c r="AD175" s="3484"/>
      <c r="AE175" s="3484"/>
      <c r="AF175" s="3484"/>
      <c r="AG175" s="3484"/>
      <c r="AH175" s="3226"/>
      <c r="AI175" s="3226"/>
      <c r="AJ175" s="3226"/>
      <c r="AK175" s="3226"/>
      <c r="AL175" s="3226"/>
      <c r="AM175" s="3226"/>
      <c r="AN175" s="3226"/>
      <c r="AO175" s="3226"/>
      <c r="AP175" s="3226"/>
      <c r="AQ175" s="3482"/>
      <c r="AR175" s="3482"/>
      <c r="AS175" s="3226"/>
    </row>
    <row r="176" spans="1:45" s="74" customFormat="1" ht="41.25" customHeight="1" x14ac:dyDescent="0.25">
      <c r="A176" s="579"/>
      <c r="B176" s="737"/>
      <c r="C176" s="579"/>
      <c r="D176" s="580"/>
      <c r="E176" s="498"/>
      <c r="F176" s="498"/>
      <c r="G176" s="3492"/>
      <c r="H176" s="3355"/>
      <c r="I176" s="3492"/>
      <c r="J176" s="3355"/>
      <c r="K176" s="3492"/>
      <c r="L176" s="3355"/>
      <c r="M176" s="3492"/>
      <c r="N176" s="3355"/>
      <c r="O176" s="3492"/>
      <c r="P176" s="3492"/>
      <c r="Q176" s="3355"/>
      <c r="R176" s="3495"/>
      <c r="S176" s="3486"/>
      <c r="T176" s="3488"/>
      <c r="U176" s="3107"/>
      <c r="V176" s="782" t="s">
        <v>1084</v>
      </c>
      <c r="W176" s="686">
        <v>0</v>
      </c>
      <c r="X176" s="77" t="s">
        <v>1085</v>
      </c>
      <c r="Y176" s="3490"/>
      <c r="Z176" s="2495"/>
      <c r="AA176" s="3484"/>
      <c r="AB176" s="3484"/>
      <c r="AC176" s="3484"/>
      <c r="AD176" s="3484"/>
      <c r="AE176" s="3484"/>
      <c r="AF176" s="3484"/>
      <c r="AG176" s="3484"/>
      <c r="AH176" s="3226"/>
      <c r="AI176" s="3226"/>
      <c r="AJ176" s="3226"/>
      <c r="AK176" s="3226"/>
      <c r="AL176" s="3226"/>
      <c r="AM176" s="3226"/>
      <c r="AN176" s="3226"/>
      <c r="AO176" s="3226"/>
      <c r="AP176" s="3226"/>
      <c r="AQ176" s="3482"/>
      <c r="AR176" s="3482"/>
      <c r="AS176" s="3226"/>
    </row>
    <row r="177" spans="1:45" s="74" customFormat="1" ht="79.5" customHeight="1" x14ac:dyDescent="0.25">
      <c r="A177" s="579"/>
      <c r="B177" s="737"/>
      <c r="C177" s="579"/>
      <c r="D177" s="580"/>
      <c r="E177" s="498"/>
      <c r="F177" s="854"/>
      <c r="G177" s="3174">
        <v>4502024</v>
      </c>
      <c r="H177" s="2459" t="s">
        <v>1086</v>
      </c>
      <c r="I177" s="3174">
        <v>4502024</v>
      </c>
      <c r="J177" s="2459" t="s">
        <v>1086</v>
      </c>
      <c r="K177" s="3174" t="s">
        <v>62</v>
      </c>
      <c r="L177" s="2459" t="s">
        <v>1087</v>
      </c>
      <c r="M177" s="3174">
        <v>450202401</v>
      </c>
      <c r="N177" s="2459" t="s">
        <v>1088</v>
      </c>
      <c r="O177" s="3174">
        <v>1</v>
      </c>
      <c r="P177" s="3174" t="s">
        <v>1089</v>
      </c>
      <c r="Q177" s="2459" t="s">
        <v>1090</v>
      </c>
      <c r="R177" s="3247">
        <f>SUM(W177:W179)/S177</f>
        <v>1</v>
      </c>
      <c r="S177" s="3469">
        <f>SUM(W177:W179)</f>
        <v>33000000</v>
      </c>
      <c r="T177" s="2283" t="s">
        <v>1091</v>
      </c>
      <c r="U177" s="2528" t="s">
        <v>1019</v>
      </c>
      <c r="V177" s="598" t="s">
        <v>1092</v>
      </c>
      <c r="W177" s="855">
        <v>20000000</v>
      </c>
      <c r="X177" s="77" t="s">
        <v>1093</v>
      </c>
      <c r="Y177" s="3478">
        <v>20</v>
      </c>
      <c r="Z177" s="2495" t="s">
        <v>403</v>
      </c>
      <c r="AA177" s="2222">
        <v>1667</v>
      </c>
      <c r="AB177" s="2222" t="s">
        <v>134</v>
      </c>
      <c r="AC177" s="2222" t="s">
        <v>134</v>
      </c>
      <c r="AD177" s="2222">
        <v>327</v>
      </c>
      <c r="AE177" s="2222">
        <v>920</v>
      </c>
      <c r="AF177" s="2222">
        <v>420</v>
      </c>
      <c r="AG177" s="3254"/>
      <c r="AH177" s="3254"/>
      <c r="AI177" s="3254"/>
      <c r="AJ177" s="3254"/>
      <c r="AK177" s="3254"/>
      <c r="AL177" s="3254"/>
      <c r="AM177" s="3254"/>
      <c r="AN177" s="3254"/>
      <c r="AO177" s="3254"/>
      <c r="AP177" s="3254">
        <v>1667</v>
      </c>
      <c r="AQ177" s="3466">
        <v>44197</v>
      </c>
      <c r="AR177" s="3466">
        <v>44561</v>
      </c>
      <c r="AS177" s="3254" t="s">
        <v>1048</v>
      </c>
    </row>
    <row r="178" spans="1:45" s="74" customFormat="1" ht="86.25" customHeight="1" x14ac:dyDescent="0.25">
      <c r="A178" s="579"/>
      <c r="B178" s="737"/>
      <c r="C178" s="579"/>
      <c r="D178" s="580"/>
      <c r="E178" s="498"/>
      <c r="F178" s="854"/>
      <c r="G178" s="3174"/>
      <c r="H178" s="2459"/>
      <c r="I178" s="3174"/>
      <c r="J178" s="2459"/>
      <c r="K178" s="3174"/>
      <c r="L178" s="2459"/>
      <c r="M178" s="3174"/>
      <c r="N178" s="2459"/>
      <c r="O178" s="3174"/>
      <c r="P178" s="3174"/>
      <c r="Q178" s="2459"/>
      <c r="R178" s="3247"/>
      <c r="S178" s="3469"/>
      <c r="T178" s="2284"/>
      <c r="U178" s="2528"/>
      <c r="V178" s="598" t="s">
        <v>1094</v>
      </c>
      <c r="W178" s="855">
        <v>6500000</v>
      </c>
      <c r="X178" s="77" t="s">
        <v>1093</v>
      </c>
      <c r="Y178" s="3478"/>
      <c r="Z178" s="2495"/>
      <c r="AA178" s="2222"/>
      <c r="AB178" s="2222"/>
      <c r="AC178" s="2222"/>
      <c r="AD178" s="2222"/>
      <c r="AE178" s="2222"/>
      <c r="AF178" s="2222"/>
      <c r="AG178" s="3254"/>
      <c r="AH178" s="3254"/>
      <c r="AI178" s="3254"/>
      <c r="AJ178" s="3254"/>
      <c r="AK178" s="3254"/>
      <c r="AL178" s="3254"/>
      <c r="AM178" s="3254"/>
      <c r="AN178" s="3254"/>
      <c r="AO178" s="3254"/>
      <c r="AP178" s="3254"/>
      <c r="AQ178" s="3466"/>
      <c r="AR178" s="3466"/>
      <c r="AS178" s="3254"/>
    </row>
    <row r="179" spans="1:45" s="74" customFormat="1" ht="102" customHeight="1" x14ac:dyDescent="0.25">
      <c r="A179" s="579"/>
      <c r="B179" s="737"/>
      <c r="C179" s="579"/>
      <c r="D179" s="580"/>
      <c r="E179" s="498"/>
      <c r="F179" s="854"/>
      <c r="G179" s="3175"/>
      <c r="H179" s="2460"/>
      <c r="I179" s="3175"/>
      <c r="J179" s="2460"/>
      <c r="K179" s="3175"/>
      <c r="L179" s="2460"/>
      <c r="M179" s="3175"/>
      <c r="N179" s="2460"/>
      <c r="O179" s="3175"/>
      <c r="P179" s="3175"/>
      <c r="Q179" s="2460"/>
      <c r="R179" s="3210"/>
      <c r="S179" s="3477"/>
      <c r="T179" s="2285"/>
      <c r="U179" s="2529"/>
      <c r="V179" s="598" t="s">
        <v>1095</v>
      </c>
      <c r="W179" s="855">
        <v>6500000</v>
      </c>
      <c r="X179" s="77" t="s">
        <v>1093</v>
      </c>
      <c r="Y179" s="3479"/>
      <c r="Z179" s="2495"/>
      <c r="AA179" s="3476"/>
      <c r="AB179" s="3476"/>
      <c r="AC179" s="3476"/>
      <c r="AD179" s="3476"/>
      <c r="AE179" s="3476"/>
      <c r="AF179" s="3476"/>
      <c r="AG179" s="3208"/>
      <c r="AH179" s="3208"/>
      <c r="AI179" s="3208"/>
      <c r="AJ179" s="3208"/>
      <c r="AK179" s="3208"/>
      <c r="AL179" s="3208"/>
      <c r="AM179" s="3208"/>
      <c r="AN179" s="3208"/>
      <c r="AO179" s="3208"/>
      <c r="AP179" s="3208"/>
      <c r="AQ179" s="3475"/>
      <c r="AR179" s="3475"/>
      <c r="AS179" s="3208"/>
    </row>
    <row r="180" spans="1:45" s="3" customFormat="1" ht="107.25" customHeight="1" x14ac:dyDescent="0.25">
      <c r="A180" s="422"/>
      <c r="B180" s="822"/>
      <c r="C180" s="422"/>
      <c r="D180" s="423"/>
      <c r="E180" s="715"/>
      <c r="F180" s="849"/>
      <c r="G180" s="2293">
        <v>4502024</v>
      </c>
      <c r="H180" s="2283" t="s">
        <v>1086</v>
      </c>
      <c r="I180" s="2293">
        <v>4502024</v>
      </c>
      <c r="J180" s="2283" t="s">
        <v>1086</v>
      </c>
      <c r="K180" s="2293" t="s">
        <v>62</v>
      </c>
      <c r="L180" s="2283" t="s">
        <v>1096</v>
      </c>
      <c r="M180" s="2293">
        <v>450202401</v>
      </c>
      <c r="N180" s="2283" t="s">
        <v>1088</v>
      </c>
      <c r="O180" s="2293">
        <v>1</v>
      </c>
      <c r="P180" s="3173" t="s">
        <v>1097</v>
      </c>
      <c r="Q180" s="2283" t="s">
        <v>1096</v>
      </c>
      <c r="R180" s="3182">
        <f>SUM(W180:W182)/S180</f>
        <v>1</v>
      </c>
      <c r="S180" s="3471">
        <f>SUM(W180:W182)</f>
        <v>33000000</v>
      </c>
      <c r="T180" s="2527" t="s">
        <v>1098</v>
      </c>
      <c r="U180" s="2527" t="s">
        <v>1099</v>
      </c>
      <c r="V180" s="598" t="s">
        <v>1100</v>
      </c>
      <c r="W180" s="855">
        <v>13000000</v>
      </c>
      <c r="X180" s="77" t="s">
        <v>1101</v>
      </c>
      <c r="Y180" s="3473">
        <v>20</v>
      </c>
      <c r="Z180" s="2463" t="s">
        <v>403</v>
      </c>
      <c r="AA180" s="2221">
        <v>856</v>
      </c>
      <c r="AB180" s="2221" t="s">
        <v>134</v>
      </c>
      <c r="AC180" s="2221" t="s">
        <v>134</v>
      </c>
      <c r="AD180" s="2221">
        <v>50</v>
      </c>
      <c r="AE180" s="2221">
        <v>560</v>
      </c>
      <c r="AF180" s="2221">
        <v>246</v>
      </c>
      <c r="AG180" s="2502"/>
      <c r="AH180" s="2502"/>
      <c r="AI180" s="2502"/>
      <c r="AJ180" s="2502"/>
      <c r="AK180" s="2502"/>
      <c r="AL180" s="2502"/>
      <c r="AM180" s="2502"/>
      <c r="AN180" s="2502"/>
      <c r="AO180" s="2502"/>
      <c r="AP180" s="2502">
        <f>SUM(AC180:AO182)</f>
        <v>856</v>
      </c>
      <c r="AQ180" s="3189">
        <v>44197</v>
      </c>
      <c r="AR180" s="3189">
        <v>44561</v>
      </c>
      <c r="AS180" s="2502" t="s">
        <v>1048</v>
      </c>
    </row>
    <row r="181" spans="1:45" s="3" customFormat="1" ht="76.5" customHeight="1" x14ac:dyDescent="0.25">
      <c r="A181" s="422"/>
      <c r="B181" s="822"/>
      <c r="C181" s="422"/>
      <c r="D181" s="423"/>
      <c r="E181" s="715"/>
      <c r="F181" s="849"/>
      <c r="G181" s="2266"/>
      <c r="H181" s="2284"/>
      <c r="I181" s="2266"/>
      <c r="J181" s="2284"/>
      <c r="K181" s="2266"/>
      <c r="L181" s="2284"/>
      <c r="M181" s="2266"/>
      <c r="N181" s="2284"/>
      <c r="O181" s="2266"/>
      <c r="P181" s="3174"/>
      <c r="Q181" s="2284"/>
      <c r="R181" s="3188"/>
      <c r="S181" s="3472"/>
      <c r="T181" s="2528"/>
      <c r="U181" s="2528"/>
      <c r="V181" s="598" t="s">
        <v>1102</v>
      </c>
      <c r="W181" s="686">
        <v>10000000</v>
      </c>
      <c r="X181" s="77" t="s">
        <v>1101</v>
      </c>
      <c r="Y181" s="3474"/>
      <c r="Z181" s="2463"/>
      <c r="AA181" s="2222"/>
      <c r="AB181" s="2222"/>
      <c r="AC181" s="2222"/>
      <c r="AD181" s="2222"/>
      <c r="AE181" s="2222"/>
      <c r="AF181" s="2222"/>
      <c r="AG181" s="2503"/>
      <c r="AH181" s="2503"/>
      <c r="AI181" s="2503"/>
      <c r="AJ181" s="2503"/>
      <c r="AK181" s="2503"/>
      <c r="AL181" s="2503"/>
      <c r="AM181" s="2503"/>
      <c r="AN181" s="2503"/>
      <c r="AO181" s="2503"/>
      <c r="AP181" s="2503"/>
      <c r="AQ181" s="3190"/>
      <c r="AR181" s="3190"/>
      <c r="AS181" s="2503"/>
    </row>
    <row r="182" spans="1:45" s="3" customFormat="1" ht="56.25" customHeight="1" x14ac:dyDescent="0.25">
      <c r="A182" s="422"/>
      <c r="B182" s="822"/>
      <c r="C182" s="422"/>
      <c r="D182" s="423"/>
      <c r="E182" s="715"/>
      <c r="F182" s="849"/>
      <c r="G182" s="2266"/>
      <c r="H182" s="2284"/>
      <c r="I182" s="2266"/>
      <c r="J182" s="2284"/>
      <c r="K182" s="2266"/>
      <c r="L182" s="2284"/>
      <c r="M182" s="2266"/>
      <c r="N182" s="2284"/>
      <c r="O182" s="2266"/>
      <c r="P182" s="3174"/>
      <c r="Q182" s="2284"/>
      <c r="R182" s="3188"/>
      <c r="S182" s="3472"/>
      <c r="T182" s="2528"/>
      <c r="U182" s="2528"/>
      <c r="V182" s="597" t="s">
        <v>1103</v>
      </c>
      <c r="W182" s="691">
        <v>10000000</v>
      </c>
      <c r="X182" s="77" t="s">
        <v>1101</v>
      </c>
      <c r="Y182" s="3474"/>
      <c r="Z182" s="2463"/>
      <c r="AA182" s="2222"/>
      <c r="AB182" s="2222"/>
      <c r="AC182" s="2222"/>
      <c r="AD182" s="2222"/>
      <c r="AE182" s="2222"/>
      <c r="AF182" s="2222"/>
      <c r="AG182" s="2503"/>
      <c r="AH182" s="2503"/>
      <c r="AI182" s="2503"/>
      <c r="AJ182" s="2503"/>
      <c r="AK182" s="2503"/>
      <c r="AL182" s="2503"/>
      <c r="AM182" s="2503"/>
      <c r="AN182" s="2503"/>
      <c r="AO182" s="2503"/>
      <c r="AP182" s="2503"/>
      <c r="AQ182" s="3190"/>
      <c r="AR182" s="3190"/>
      <c r="AS182" s="2503"/>
    </row>
    <row r="183" spans="1:45" s="3" customFormat="1" ht="25.5" customHeight="1" x14ac:dyDescent="0.25">
      <c r="A183" s="422"/>
      <c r="B183" s="822"/>
      <c r="C183" s="422"/>
      <c r="D183" s="423"/>
      <c r="E183" s="844">
        <v>4599</v>
      </c>
      <c r="F183" s="3285" t="s">
        <v>1104</v>
      </c>
      <c r="G183" s="2930"/>
      <c r="H183" s="2930"/>
      <c r="I183" s="2930"/>
      <c r="J183" s="2930"/>
      <c r="K183" s="2930"/>
      <c r="L183" s="2930"/>
      <c r="M183" s="2930"/>
      <c r="N183" s="2930"/>
      <c r="O183" s="406"/>
      <c r="P183" s="406"/>
      <c r="Q183" s="409"/>
      <c r="R183" s="406"/>
      <c r="S183" s="856"/>
      <c r="T183" s="847"/>
      <c r="U183" s="847"/>
      <c r="V183" s="93"/>
      <c r="W183" s="857"/>
      <c r="X183" s="733"/>
      <c r="Y183" s="858"/>
      <c r="Z183" s="99"/>
      <c r="AA183" s="859"/>
      <c r="AB183" s="859"/>
      <c r="AC183" s="859"/>
      <c r="AD183" s="859"/>
      <c r="AE183" s="859"/>
      <c r="AF183" s="859"/>
      <c r="AG183" s="859"/>
      <c r="AH183" s="859"/>
      <c r="AI183" s="859"/>
      <c r="AJ183" s="859"/>
      <c r="AK183" s="859"/>
      <c r="AL183" s="859"/>
      <c r="AM183" s="859"/>
      <c r="AN183" s="859"/>
      <c r="AO183" s="859"/>
      <c r="AP183" s="859"/>
      <c r="AQ183" s="860"/>
      <c r="AR183" s="860"/>
      <c r="AS183" s="861"/>
    </row>
    <row r="184" spans="1:45" s="74" customFormat="1" ht="117.75" customHeight="1" x14ac:dyDescent="0.25">
      <c r="A184" s="579"/>
      <c r="B184" s="737"/>
      <c r="C184" s="579"/>
      <c r="D184" s="580"/>
      <c r="E184" s="498"/>
      <c r="F184" s="854"/>
      <c r="G184" s="3174" t="s">
        <v>62</v>
      </c>
      <c r="H184" s="2459" t="s">
        <v>1105</v>
      </c>
      <c r="I184" s="3174" t="s">
        <v>1106</v>
      </c>
      <c r="J184" s="3470" t="s">
        <v>1107</v>
      </c>
      <c r="K184" s="3174" t="s">
        <v>62</v>
      </c>
      <c r="L184" s="2459" t="s">
        <v>1108</v>
      </c>
      <c r="M184" s="3174" t="s">
        <v>1109</v>
      </c>
      <c r="N184" s="3470" t="s">
        <v>1110</v>
      </c>
      <c r="O184" s="3174">
        <v>1</v>
      </c>
      <c r="P184" s="3174" t="s">
        <v>1111</v>
      </c>
      <c r="Q184" s="2459" t="s">
        <v>1112</v>
      </c>
      <c r="R184" s="3247">
        <f>SUM(W184:W185)/S184</f>
        <v>1</v>
      </c>
      <c r="S184" s="3469">
        <f>SUM(W184:W185)</f>
        <v>50000000</v>
      </c>
      <c r="T184" s="2528" t="s">
        <v>1113</v>
      </c>
      <c r="U184" s="2528" t="s">
        <v>1114</v>
      </c>
      <c r="V184" s="598" t="s">
        <v>1115</v>
      </c>
      <c r="W184" s="686">
        <v>46040000</v>
      </c>
      <c r="X184" s="807" t="s">
        <v>1116</v>
      </c>
      <c r="Y184" s="3467">
        <v>20</v>
      </c>
      <c r="Z184" s="2495" t="s">
        <v>403</v>
      </c>
      <c r="AA184" s="3254">
        <v>3500</v>
      </c>
      <c r="AB184" s="3254">
        <v>4000</v>
      </c>
      <c r="AC184" s="3254"/>
      <c r="AD184" s="3254"/>
      <c r="AE184" s="3254"/>
      <c r="AF184" s="3254">
        <v>7500</v>
      </c>
      <c r="AG184" s="3254"/>
      <c r="AH184" s="3254"/>
      <c r="AI184" s="3254"/>
      <c r="AJ184" s="3254"/>
      <c r="AK184" s="3254"/>
      <c r="AL184" s="3254"/>
      <c r="AM184" s="3254"/>
      <c r="AN184" s="3254"/>
      <c r="AO184" s="3254"/>
      <c r="AP184" s="3254">
        <v>7500</v>
      </c>
      <c r="AQ184" s="3466">
        <v>44197</v>
      </c>
      <c r="AR184" s="3466">
        <v>44561</v>
      </c>
      <c r="AS184" s="3254" t="s">
        <v>1117</v>
      </c>
    </row>
    <row r="185" spans="1:45" s="74" customFormat="1" ht="99" customHeight="1" x14ac:dyDescent="0.25">
      <c r="A185" s="579"/>
      <c r="B185" s="737"/>
      <c r="C185" s="579"/>
      <c r="D185" s="580"/>
      <c r="E185" s="498"/>
      <c r="F185" s="854"/>
      <c r="G185" s="3174"/>
      <c r="H185" s="2459"/>
      <c r="I185" s="3174"/>
      <c r="J185" s="2460"/>
      <c r="K185" s="3174"/>
      <c r="L185" s="2459"/>
      <c r="M185" s="3174"/>
      <c r="N185" s="2460"/>
      <c r="O185" s="3174"/>
      <c r="P185" s="3174"/>
      <c r="Q185" s="2459"/>
      <c r="R185" s="3247"/>
      <c r="S185" s="3469"/>
      <c r="T185" s="2528"/>
      <c r="U185" s="2528"/>
      <c r="V185" s="557" t="s">
        <v>1118</v>
      </c>
      <c r="W185" s="763">
        <v>3960000</v>
      </c>
      <c r="X185" s="807" t="s">
        <v>1116</v>
      </c>
      <c r="Y185" s="3468"/>
      <c r="Z185" s="2495"/>
      <c r="AA185" s="3254"/>
      <c r="AB185" s="3254"/>
      <c r="AC185" s="3254"/>
      <c r="AD185" s="3254"/>
      <c r="AE185" s="3254"/>
      <c r="AF185" s="3254"/>
      <c r="AG185" s="3254"/>
      <c r="AH185" s="3254"/>
      <c r="AI185" s="3254"/>
      <c r="AJ185" s="3254"/>
      <c r="AK185" s="3254"/>
      <c r="AL185" s="3254"/>
      <c r="AM185" s="3254"/>
      <c r="AN185" s="3254"/>
      <c r="AO185" s="3254"/>
      <c r="AP185" s="3254"/>
      <c r="AQ185" s="3466"/>
      <c r="AR185" s="3466"/>
      <c r="AS185" s="3254"/>
    </row>
    <row r="186" spans="1:45" s="3" customFormat="1" ht="319.5" customHeight="1" x14ac:dyDescent="0.25">
      <c r="A186" s="422"/>
      <c r="B186" s="822"/>
      <c r="C186" s="422"/>
      <c r="D186" s="423"/>
      <c r="E186" s="715"/>
      <c r="F186" s="849"/>
      <c r="G186" s="578" t="s">
        <v>62</v>
      </c>
      <c r="H186" s="575" t="s">
        <v>1119</v>
      </c>
      <c r="I186" s="578" t="s">
        <v>1106</v>
      </c>
      <c r="J186" s="575" t="s">
        <v>1107</v>
      </c>
      <c r="K186" s="578" t="s">
        <v>62</v>
      </c>
      <c r="L186" s="575" t="s">
        <v>1120</v>
      </c>
      <c r="M186" s="578" t="s">
        <v>1109</v>
      </c>
      <c r="N186" s="575" t="s">
        <v>1110</v>
      </c>
      <c r="O186" s="578">
        <v>1</v>
      </c>
      <c r="P186" s="760" t="s">
        <v>1121</v>
      </c>
      <c r="Q186" s="575" t="s">
        <v>1122</v>
      </c>
      <c r="R186" s="862">
        <f>SUM(W186)/S186</f>
        <v>1</v>
      </c>
      <c r="S186" s="773">
        <f>W186</f>
        <v>18000000</v>
      </c>
      <c r="T186" s="575" t="s">
        <v>1055</v>
      </c>
      <c r="U186" s="599" t="s">
        <v>1123</v>
      </c>
      <c r="V186" s="598" t="s">
        <v>1124</v>
      </c>
      <c r="W186" s="686">
        <v>18000000</v>
      </c>
      <c r="X186" s="77" t="s">
        <v>1125</v>
      </c>
      <c r="Y186" s="863">
        <v>20</v>
      </c>
      <c r="Z186" s="574" t="s">
        <v>403</v>
      </c>
      <c r="AA186" s="567">
        <v>150</v>
      </c>
      <c r="AB186" s="864" t="s">
        <v>134</v>
      </c>
      <c r="AC186" s="864" t="s">
        <v>134</v>
      </c>
      <c r="AD186" s="864" t="s">
        <v>134</v>
      </c>
      <c r="AE186" s="864">
        <v>150</v>
      </c>
      <c r="AF186" s="595"/>
      <c r="AG186" s="595"/>
      <c r="AH186" s="595"/>
      <c r="AI186" s="595"/>
      <c r="AJ186" s="595"/>
      <c r="AK186" s="595"/>
      <c r="AL186" s="595"/>
      <c r="AM186" s="595"/>
      <c r="AN186" s="595"/>
      <c r="AO186" s="595"/>
      <c r="AP186" s="595">
        <v>150</v>
      </c>
      <c r="AQ186" s="865">
        <v>44197</v>
      </c>
      <c r="AR186" s="865">
        <v>44561</v>
      </c>
      <c r="AS186" s="866" t="s">
        <v>1048</v>
      </c>
    </row>
    <row r="187" spans="1:45" s="3" customFormat="1" ht="78.75" customHeight="1" x14ac:dyDescent="0.25">
      <c r="A187" s="422"/>
      <c r="B187" s="822"/>
      <c r="C187" s="422"/>
      <c r="D187" s="423"/>
      <c r="E187" s="715"/>
      <c r="F187" s="715"/>
      <c r="G187" s="2274" t="s">
        <v>62</v>
      </c>
      <c r="H187" s="2462" t="s">
        <v>1126</v>
      </c>
      <c r="I187" s="2274" t="s">
        <v>1106</v>
      </c>
      <c r="J187" s="2462" t="s">
        <v>1107</v>
      </c>
      <c r="K187" s="2274" t="s">
        <v>62</v>
      </c>
      <c r="L187" s="2462" t="s">
        <v>1127</v>
      </c>
      <c r="M187" s="2274" t="s">
        <v>1109</v>
      </c>
      <c r="N187" s="2462" t="s">
        <v>1110</v>
      </c>
      <c r="O187" s="2274">
        <v>1</v>
      </c>
      <c r="P187" s="3187" t="s">
        <v>1128</v>
      </c>
      <c r="Q187" s="2462" t="s">
        <v>1129</v>
      </c>
      <c r="R187" s="3176">
        <f>SUM(W187:W193)/S187</f>
        <v>1</v>
      </c>
      <c r="S187" s="3465">
        <f>SUM(W187:W193)</f>
        <v>143094503</v>
      </c>
      <c r="T187" s="2553" t="s">
        <v>1130</v>
      </c>
      <c r="U187" s="2553" t="s">
        <v>1131</v>
      </c>
      <c r="V187" s="867" t="s">
        <v>1132</v>
      </c>
      <c r="W187" s="693">
        <v>13200000</v>
      </c>
      <c r="X187" s="70" t="s">
        <v>1133</v>
      </c>
      <c r="Y187" s="740">
        <v>20</v>
      </c>
      <c r="Z187" s="589" t="s">
        <v>403</v>
      </c>
      <c r="AA187" s="2152">
        <v>2360</v>
      </c>
      <c r="AB187" s="2152">
        <v>2360</v>
      </c>
      <c r="AC187" s="2152">
        <v>1500</v>
      </c>
      <c r="AD187" s="2152">
        <v>480</v>
      </c>
      <c r="AE187" s="2152"/>
      <c r="AF187" s="2152">
        <v>1200</v>
      </c>
      <c r="AG187" s="2152">
        <v>15</v>
      </c>
      <c r="AH187" s="2152">
        <v>15</v>
      </c>
      <c r="AI187" s="2463"/>
      <c r="AJ187" s="2463"/>
      <c r="AK187" s="2463"/>
      <c r="AL187" s="2463"/>
      <c r="AM187" s="2463"/>
      <c r="AN187" s="2463"/>
      <c r="AO187" s="2152">
        <v>10</v>
      </c>
      <c r="AP187" s="2463">
        <v>4720</v>
      </c>
      <c r="AQ187" s="3463">
        <v>44197</v>
      </c>
      <c r="AR187" s="3463">
        <v>44561</v>
      </c>
      <c r="AS187" s="2463" t="s">
        <v>1117</v>
      </c>
    </row>
    <row r="188" spans="1:45" s="3" customFormat="1" ht="78.75" customHeight="1" x14ac:dyDescent="0.25">
      <c r="A188" s="422"/>
      <c r="B188" s="822"/>
      <c r="C188" s="422"/>
      <c r="D188" s="423"/>
      <c r="E188" s="715"/>
      <c r="F188" s="715"/>
      <c r="G188" s="2274"/>
      <c r="H188" s="2462"/>
      <c r="I188" s="2274"/>
      <c r="J188" s="2462"/>
      <c r="K188" s="2274"/>
      <c r="L188" s="2462"/>
      <c r="M188" s="2274"/>
      <c r="N188" s="2462"/>
      <c r="O188" s="2274"/>
      <c r="P188" s="3187"/>
      <c r="Q188" s="2462"/>
      <c r="R188" s="3176"/>
      <c r="S188" s="3465"/>
      <c r="T188" s="2553"/>
      <c r="U188" s="2553"/>
      <c r="V188" s="867" t="s">
        <v>1134</v>
      </c>
      <c r="W188" s="693">
        <v>47112368</v>
      </c>
      <c r="X188" s="70" t="s">
        <v>1135</v>
      </c>
      <c r="Y188" s="740">
        <v>88</v>
      </c>
      <c r="Z188" s="589" t="s">
        <v>753</v>
      </c>
      <c r="AA188" s="2152"/>
      <c r="AB188" s="2152"/>
      <c r="AC188" s="2152"/>
      <c r="AD188" s="2152"/>
      <c r="AE188" s="2152"/>
      <c r="AF188" s="2152"/>
      <c r="AG188" s="2152"/>
      <c r="AH188" s="2152"/>
      <c r="AI188" s="2463"/>
      <c r="AJ188" s="2463"/>
      <c r="AK188" s="2463"/>
      <c r="AL188" s="2463"/>
      <c r="AM188" s="2463"/>
      <c r="AN188" s="2463"/>
      <c r="AO188" s="2152"/>
      <c r="AP188" s="2463"/>
      <c r="AQ188" s="3463"/>
      <c r="AR188" s="3463"/>
      <c r="AS188" s="2463"/>
    </row>
    <row r="189" spans="1:45" s="3" customFormat="1" ht="142.5" customHeight="1" x14ac:dyDescent="0.25">
      <c r="A189" s="422"/>
      <c r="B189" s="822"/>
      <c r="C189" s="422"/>
      <c r="D189" s="423"/>
      <c r="E189" s="715"/>
      <c r="F189" s="715"/>
      <c r="G189" s="2274"/>
      <c r="H189" s="2462"/>
      <c r="I189" s="2274"/>
      <c r="J189" s="2462"/>
      <c r="K189" s="2274"/>
      <c r="L189" s="2462"/>
      <c r="M189" s="2274"/>
      <c r="N189" s="2462"/>
      <c r="O189" s="2274"/>
      <c r="P189" s="3187"/>
      <c r="Q189" s="2462"/>
      <c r="R189" s="3176"/>
      <c r="S189" s="3465"/>
      <c r="T189" s="2553"/>
      <c r="U189" s="2553"/>
      <c r="V189" s="867" t="s">
        <v>1136</v>
      </c>
      <c r="W189" s="693">
        <v>10000000</v>
      </c>
      <c r="X189" s="70" t="s">
        <v>1133</v>
      </c>
      <c r="Y189" s="740">
        <v>20</v>
      </c>
      <c r="Z189" s="589" t="s">
        <v>403</v>
      </c>
      <c r="AA189" s="2152"/>
      <c r="AB189" s="2152"/>
      <c r="AC189" s="2152"/>
      <c r="AD189" s="2152"/>
      <c r="AE189" s="2152"/>
      <c r="AF189" s="2152"/>
      <c r="AG189" s="2152"/>
      <c r="AH189" s="2152"/>
      <c r="AI189" s="2463"/>
      <c r="AJ189" s="2463"/>
      <c r="AK189" s="2463"/>
      <c r="AL189" s="2463"/>
      <c r="AM189" s="2463"/>
      <c r="AN189" s="2463"/>
      <c r="AO189" s="2152"/>
      <c r="AP189" s="2463"/>
      <c r="AQ189" s="3463"/>
      <c r="AR189" s="3463"/>
      <c r="AS189" s="2463"/>
    </row>
    <row r="190" spans="1:45" s="3" customFormat="1" ht="112.5" customHeight="1" x14ac:dyDescent="0.25">
      <c r="A190" s="422"/>
      <c r="B190" s="822"/>
      <c r="C190" s="422"/>
      <c r="D190" s="423"/>
      <c r="E190" s="715"/>
      <c r="F190" s="715"/>
      <c r="G190" s="2274"/>
      <c r="H190" s="2462"/>
      <c r="I190" s="2274"/>
      <c r="J190" s="2462"/>
      <c r="K190" s="2274"/>
      <c r="L190" s="2462"/>
      <c r="M190" s="2274"/>
      <c r="N190" s="2462"/>
      <c r="O190" s="2274"/>
      <c r="P190" s="3187"/>
      <c r="Q190" s="2462"/>
      <c r="R190" s="3176"/>
      <c r="S190" s="3465"/>
      <c r="T190" s="2553"/>
      <c r="U190" s="2553"/>
      <c r="V190" s="3464" t="s">
        <v>1137</v>
      </c>
      <c r="W190" s="693">
        <v>10000000</v>
      </c>
      <c r="X190" s="70" t="s">
        <v>1133</v>
      </c>
      <c r="Y190" s="740">
        <v>20</v>
      </c>
      <c r="Z190" s="589" t="s">
        <v>403</v>
      </c>
      <c r="AA190" s="2152"/>
      <c r="AB190" s="2152"/>
      <c r="AC190" s="2152"/>
      <c r="AD190" s="2152"/>
      <c r="AE190" s="2152"/>
      <c r="AF190" s="2152"/>
      <c r="AG190" s="2152"/>
      <c r="AH190" s="2152"/>
      <c r="AI190" s="2463"/>
      <c r="AJ190" s="2463"/>
      <c r="AK190" s="2463"/>
      <c r="AL190" s="2463"/>
      <c r="AM190" s="2463"/>
      <c r="AN190" s="2463"/>
      <c r="AO190" s="2152"/>
      <c r="AP190" s="2463"/>
      <c r="AQ190" s="3463"/>
      <c r="AR190" s="3463"/>
      <c r="AS190" s="2463"/>
    </row>
    <row r="191" spans="1:45" s="3" customFormat="1" ht="112.5" customHeight="1" x14ac:dyDescent="0.25">
      <c r="A191" s="825"/>
      <c r="B191" s="868"/>
      <c r="C191" s="825"/>
      <c r="D191" s="869"/>
      <c r="E191" s="715"/>
      <c r="F191" s="715"/>
      <c r="G191" s="2274"/>
      <c r="H191" s="2462"/>
      <c r="I191" s="2274"/>
      <c r="J191" s="2462"/>
      <c r="K191" s="2274"/>
      <c r="L191" s="2462"/>
      <c r="M191" s="2274"/>
      <c r="N191" s="2462"/>
      <c r="O191" s="2274"/>
      <c r="P191" s="3187"/>
      <c r="Q191" s="2462"/>
      <c r="R191" s="3176"/>
      <c r="S191" s="3465"/>
      <c r="T191" s="2553"/>
      <c r="U191" s="2553"/>
      <c r="V191" s="3464"/>
      <c r="W191" s="693">
        <v>3080000</v>
      </c>
      <c r="X191" s="70" t="s">
        <v>1135</v>
      </c>
      <c r="Y191" s="740">
        <v>88</v>
      </c>
      <c r="Z191" s="589" t="s">
        <v>753</v>
      </c>
      <c r="AA191" s="2152"/>
      <c r="AB191" s="2152"/>
      <c r="AC191" s="2152"/>
      <c r="AD191" s="2152"/>
      <c r="AE191" s="2152"/>
      <c r="AF191" s="2152"/>
      <c r="AG191" s="2152"/>
      <c r="AH191" s="2152"/>
      <c r="AI191" s="2463"/>
      <c r="AJ191" s="2463"/>
      <c r="AK191" s="2463"/>
      <c r="AL191" s="2463"/>
      <c r="AM191" s="2463"/>
      <c r="AN191" s="2463"/>
      <c r="AO191" s="2152"/>
      <c r="AP191" s="2463"/>
      <c r="AQ191" s="3463"/>
      <c r="AR191" s="3463"/>
      <c r="AS191" s="2463"/>
    </row>
    <row r="192" spans="1:45" s="3" customFormat="1" ht="114.75" customHeight="1" x14ac:dyDescent="0.25">
      <c r="A192" s="822"/>
      <c r="B192" s="822"/>
      <c r="C192" s="822"/>
      <c r="D192" s="822"/>
      <c r="E192" s="715"/>
      <c r="F192" s="715"/>
      <c r="G192" s="2274"/>
      <c r="H192" s="2462"/>
      <c r="I192" s="2274"/>
      <c r="J192" s="2462"/>
      <c r="K192" s="2274"/>
      <c r="L192" s="2462"/>
      <c r="M192" s="2274"/>
      <c r="N192" s="2462"/>
      <c r="O192" s="2274"/>
      <c r="P192" s="3187"/>
      <c r="Q192" s="2462"/>
      <c r="R192" s="3176"/>
      <c r="S192" s="3465"/>
      <c r="T192" s="2553"/>
      <c r="U192" s="2553"/>
      <c r="V192" s="870" t="s">
        <v>1138</v>
      </c>
      <c r="W192" s="693">
        <v>20195000</v>
      </c>
      <c r="X192" s="70" t="s">
        <v>1135</v>
      </c>
      <c r="Y192" s="740">
        <v>88</v>
      </c>
      <c r="Z192" s="589" t="s">
        <v>753</v>
      </c>
      <c r="AA192" s="2152"/>
      <c r="AB192" s="2152"/>
      <c r="AC192" s="2152"/>
      <c r="AD192" s="2152"/>
      <c r="AE192" s="2152"/>
      <c r="AF192" s="2152"/>
      <c r="AG192" s="2152"/>
      <c r="AH192" s="2152"/>
      <c r="AI192" s="2463"/>
      <c r="AJ192" s="2463"/>
      <c r="AK192" s="2463"/>
      <c r="AL192" s="2463"/>
      <c r="AM192" s="2463"/>
      <c r="AN192" s="2463"/>
      <c r="AO192" s="2152"/>
      <c r="AP192" s="2463"/>
      <c r="AQ192" s="3463"/>
      <c r="AR192" s="3463"/>
      <c r="AS192" s="2463"/>
    </row>
    <row r="193" spans="1:45" s="3" customFormat="1" ht="114.75" customHeight="1" x14ac:dyDescent="0.25">
      <c r="A193" s="822"/>
      <c r="B193" s="822"/>
      <c r="C193" s="822"/>
      <c r="D193" s="822"/>
      <c r="E193" s="715"/>
      <c r="F193" s="715"/>
      <c r="G193" s="2274"/>
      <c r="H193" s="2462"/>
      <c r="I193" s="2274"/>
      <c r="J193" s="2462"/>
      <c r="K193" s="2274"/>
      <c r="L193" s="2462"/>
      <c r="M193" s="2274"/>
      <c r="N193" s="2462"/>
      <c r="O193" s="2274"/>
      <c r="P193" s="3187"/>
      <c r="Q193" s="2462"/>
      <c r="R193" s="3176"/>
      <c r="S193" s="3465"/>
      <c r="T193" s="2553"/>
      <c r="U193" s="2553"/>
      <c r="V193" s="871" t="s">
        <v>1139</v>
      </c>
      <c r="W193" s="693">
        <v>39507135</v>
      </c>
      <c r="X193" s="70" t="s">
        <v>1135</v>
      </c>
      <c r="Y193" s="740">
        <v>88</v>
      </c>
      <c r="Z193" s="589" t="s">
        <v>753</v>
      </c>
      <c r="AA193" s="2152"/>
      <c r="AB193" s="2152"/>
      <c r="AC193" s="2152"/>
      <c r="AD193" s="2152"/>
      <c r="AE193" s="2152"/>
      <c r="AF193" s="2152"/>
      <c r="AG193" s="2152"/>
      <c r="AH193" s="2152"/>
      <c r="AI193" s="2463"/>
      <c r="AJ193" s="2463"/>
      <c r="AK193" s="2463"/>
      <c r="AL193" s="2463"/>
      <c r="AM193" s="2463"/>
      <c r="AN193" s="2463"/>
      <c r="AO193" s="2152"/>
      <c r="AP193" s="2463"/>
      <c r="AQ193" s="3463"/>
      <c r="AR193" s="3463"/>
      <c r="AS193" s="2463"/>
    </row>
    <row r="194" spans="1:45" s="3" customFormat="1" ht="27" customHeight="1" x14ac:dyDescent="0.25">
      <c r="A194" s="872"/>
      <c r="B194" s="873"/>
      <c r="C194" s="873"/>
      <c r="D194" s="873"/>
      <c r="E194" s="874"/>
      <c r="F194" s="874"/>
      <c r="G194" s="873"/>
      <c r="H194" s="873"/>
      <c r="I194" s="873"/>
      <c r="J194" s="873"/>
      <c r="K194" s="873"/>
      <c r="L194" s="873"/>
      <c r="M194" s="873"/>
      <c r="N194" s="873"/>
      <c r="O194" s="873"/>
      <c r="P194" s="873"/>
      <c r="Q194" s="873"/>
      <c r="R194" s="875"/>
      <c r="S194" s="876">
        <f>SUM(S10:S191)</f>
        <v>6188861113.0100002</v>
      </c>
      <c r="T194" s="873"/>
      <c r="U194" s="873"/>
      <c r="V194" s="108" t="s">
        <v>118</v>
      </c>
      <c r="W194" s="876">
        <f>SUM(W13:W193)</f>
        <v>6188861113.0100002</v>
      </c>
      <c r="X194" s="108"/>
      <c r="Y194" s="877"/>
      <c r="Z194" s="873"/>
      <c r="AA194" s="873"/>
      <c r="AB194" s="873"/>
      <c r="AC194" s="873"/>
      <c r="AD194" s="873"/>
      <c r="AE194" s="873"/>
      <c r="AF194" s="873"/>
      <c r="AG194" s="873"/>
      <c r="AH194" s="873"/>
      <c r="AI194" s="873"/>
      <c r="AJ194" s="873"/>
      <c r="AK194" s="873"/>
      <c r="AL194" s="873"/>
      <c r="AM194" s="873"/>
      <c r="AN194" s="873"/>
      <c r="AO194" s="873"/>
      <c r="AP194" s="873"/>
      <c r="AQ194" s="878"/>
      <c r="AR194" s="878"/>
      <c r="AS194" s="879"/>
    </row>
    <row r="195" spans="1:45" ht="27" customHeight="1" x14ac:dyDescent="0.25">
      <c r="V195" s="566"/>
      <c r="W195" s="880"/>
      <c r="X195" s="880"/>
    </row>
    <row r="196" spans="1:45" ht="27" customHeight="1" x14ac:dyDescent="0.25">
      <c r="A196" s="4"/>
      <c r="H196" s="4"/>
      <c r="I196" s="4"/>
      <c r="J196" s="4"/>
      <c r="K196" s="4"/>
      <c r="L196" s="4"/>
      <c r="M196" s="4"/>
      <c r="N196" s="4"/>
      <c r="O196" s="4"/>
      <c r="P196" s="4"/>
      <c r="Q196" s="4"/>
      <c r="R196" s="4"/>
      <c r="S196" s="4"/>
      <c r="T196" s="4"/>
      <c r="U196" s="4"/>
      <c r="V196" s="566"/>
      <c r="W196" s="880"/>
      <c r="X196" s="880"/>
      <c r="Y196" s="4"/>
      <c r="Z196" s="4"/>
      <c r="AQ196" s="4"/>
      <c r="AR196" s="4"/>
    </row>
    <row r="197" spans="1:45" ht="27" customHeight="1" x14ac:dyDescent="0.25">
      <c r="W197" s="881"/>
    </row>
    <row r="198" spans="1:45" ht="27" customHeight="1" x14ac:dyDescent="0.25">
      <c r="A198" s="4"/>
      <c r="H198" s="4"/>
      <c r="I198" s="4"/>
      <c r="J198" s="4"/>
      <c r="K198" s="4"/>
      <c r="L198" s="4"/>
      <c r="M198" s="4"/>
      <c r="N198" s="4"/>
      <c r="O198" s="4"/>
      <c r="P198" s="4"/>
      <c r="Q198" s="4"/>
      <c r="R198" s="4"/>
      <c r="S198" s="4"/>
      <c r="T198" s="4"/>
      <c r="U198" s="4"/>
      <c r="V198" s="882"/>
      <c r="Y198" s="4"/>
      <c r="Z198" s="4"/>
      <c r="AQ198" s="4"/>
      <c r="AR198" s="4"/>
    </row>
    <row r="200" spans="1:45" ht="27" customHeight="1" x14ac:dyDescent="0.25">
      <c r="A200" s="4"/>
      <c r="H200" s="4"/>
      <c r="I200" s="4"/>
      <c r="J200" s="4"/>
      <c r="K200" s="4"/>
      <c r="L200" s="4"/>
      <c r="M200" s="4"/>
      <c r="N200" s="4"/>
      <c r="O200" s="4"/>
      <c r="P200" s="4"/>
      <c r="Q200" s="4"/>
      <c r="R200" s="4"/>
      <c r="S200" s="4"/>
      <c r="T200" s="4"/>
      <c r="U200" s="4"/>
      <c r="V200" s="882"/>
      <c r="Y200" s="4"/>
      <c r="Z200" s="4"/>
      <c r="AQ200" s="4"/>
      <c r="AR200" s="4"/>
    </row>
    <row r="201" spans="1:45" ht="27" customHeight="1" x14ac:dyDescent="0.25">
      <c r="A201" s="4"/>
      <c r="H201" s="4"/>
      <c r="I201" s="4"/>
      <c r="J201" s="4"/>
      <c r="K201" s="4"/>
      <c r="L201" s="4"/>
      <c r="M201" s="4"/>
      <c r="N201" s="4"/>
      <c r="O201" s="4"/>
      <c r="P201" s="4"/>
      <c r="Q201" s="4"/>
      <c r="R201" s="4"/>
      <c r="S201" s="4"/>
      <c r="T201" s="4"/>
      <c r="U201" s="4"/>
      <c r="V201" s="882"/>
      <c r="Y201" s="4"/>
      <c r="Z201" s="4"/>
      <c r="AQ201" s="4"/>
      <c r="AR201" s="4"/>
    </row>
  </sheetData>
  <sheetProtection algorithmName="SHA-512" hashValue="TjcyWvFVzYx597Z6hz3ZvdWLFGn+YTRKtsdblTEXZp56F/MVcQuw1mF8FZyujvGa62jN2904cyUR0rvqizvYfA==" saltValue="JsVr3OcCbcN3nilRnPOr+w==" spinCount="100000" sheet="1" objects="1" scenarios="1"/>
  <mergeCells count="926">
    <mergeCell ref="A1:AQ1"/>
    <mergeCell ref="A2:AQ4"/>
    <mergeCell ref="A5:O6"/>
    <mergeCell ref="P5:AS5"/>
    <mergeCell ref="AA6:AO6"/>
    <mergeCell ref="A7:B7"/>
    <mergeCell ref="C7:D7"/>
    <mergeCell ref="E7:F7"/>
    <mergeCell ref="G7:J7"/>
    <mergeCell ref="K7:N7"/>
    <mergeCell ref="AP7:AP8"/>
    <mergeCell ref="AQ7:AQ8"/>
    <mergeCell ref="AR7:AR8"/>
    <mergeCell ref="AS7:AS9"/>
    <mergeCell ref="A8:A9"/>
    <mergeCell ref="B8:B9"/>
    <mergeCell ref="C8:C9"/>
    <mergeCell ref="D8:D9"/>
    <mergeCell ref="E8:E9"/>
    <mergeCell ref="F8:F9"/>
    <mergeCell ref="O7:W7"/>
    <mergeCell ref="X7:Z7"/>
    <mergeCell ref="AA7:AB7"/>
    <mergeCell ref="AC7:AF7"/>
    <mergeCell ref="AG7:AL7"/>
    <mergeCell ref="AM7:AO7"/>
    <mergeCell ref="N8:N9"/>
    <mergeCell ref="O8:O9"/>
    <mergeCell ref="P8:P9"/>
    <mergeCell ref="Q8:Q9"/>
    <mergeCell ref="R8:R9"/>
    <mergeCell ref="G8:G9"/>
    <mergeCell ref="H8:H9"/>
    <mergeCell ref="I8:I9"/>
    <mergeCell ref="J8:J9"/>
    <mergeCell ref="K8:K9"/>
    <mergeCell ref="L8:L9"/>
    <mergeCell ref="K13:K15"/>
    <mergeCell ref="L13:L15"/>
    <mergeCell ref="M13:M15"/>
    <mergeCell ref="N13:N15"/>
    <mergeCell ref="O13:O15"/>
    <mergeCell ref="P13:P21"/>
    <mergeCell ref="O16:O21"/>
    <mergeCell ref="Z8:Z9"/>
    <mergeCell ref="B10:G10"/>
    <mergeCell ref="D11:I11"/>
    <mergeCell ref="A12:B144"/>
    <mergeCell ref="F12:L12"/>
    <mergeCell ref="E13:F15"/>
    <mergeCell ref="G13:G15"/>
    <mergeCell ref="H13:H15"/>
    <mergeCell ref="I13:I15"/>
    <mergeCell ref="J13:J15"/>
    <mergeCell ref="S8:S9"/>
    <mergeCell ref="T8:T9"/>
    <mergeCell ref="U8:U9"/>
    <mergeCell ref="V8:V9"/>
    <mergeCell ref="X8:X9"/>
    <mergeCell ref="Y8:Y9"/>
    <mergeCell ref="M8:M9"/>
    <mergeCell ref="AB13:AB21"/>
    <mergeCell ref="AC13:AC21"/>
    <mergeCell ref="AD13:AD21"/>
    <mergeCell ref="AE13:AE21"/>
    <mergeCell ref="Q13:Q21"/>
    <mergeCell ref="R13:R15"/>
    <mergeCell ref="S13:S21"/>
    <mergeCell ref="T13:T21"/>
    <mergeCell ref="U13:U21"/>
    <mergeCell ref="Y13:Y21"/>
    <mergeCell ref="R16:R21"/>
    <mergeCell ref="AR13:AR21"/>
    <mergeCell ref="AS13:AS21"/>
    <mergeCell ref="G16:G21"/>
    <mergeCell ref="H16:H21"/>
    <mergeCell ref="I16:I21"/>
    <mergeCell ref="J16:J21"/>
    <mergeCell ref="K16:K21"/>
    <mergeCell ref="L16:L21"/>
    <mergeCell ref="M16:M21"/>
    <mergeCell ref="N16:N21"/>
    <mergeCell ref="AL13:AL21"/>
    <mergeCell ref="AM13:AM21"/>
    <mergeCell ref="AN13:AN21"/>
    <mergeCell ref="AO13:AO21"/>
    <mergeCell ref="AP13:AP21"/>
    <mergeCell ref="AQ13:AQ21"/>
    <mergeCell ref="AF13:AF21"/>
    <mergeCell ref="AG13:AG21"/>
    <mergeCell ref="AH13:AH21"/>
    <mergeCell ref="AI13:AI21"/>
    <mergeCell ref="AJ13:AJ21"/>
    <mergeCell ref="AK13:AK21"/>
    <mergeCell ref="Z13:Z21"/>
    <mergeCell ref="AA13:AA21"/>
    <mergeCell ref="F23:L23"/>
    <mergeCell ref="D25:J25"/>
    <mergeCell ref="E27:F67"/>
    <mergeCell ref="G27:G28"/>
    <mergeCell ref="H27:H28"/>
    <mergeCell ref="I27:I28"/>
    <mergeCell ref="J27:J28"/>
    <mergeCell ref="L27:L28"/>
    <mergeCell ref="L29:L32"/>
    <mergeCell ref="G33:G37"/>
    <mergeCell ref="H33:H37"/>
    <mergeCell ref="I33:I37"/>
    <mergeCell ref="J33:J37"/>
    <mergeCell ref="K33:K37"/>
    <mergeCell ref="L33:L37"/>
    <mergeCell ref="G47:G54"/>
    <mergeCell ref="H47:H54"/>
    <mergeCell ref="I47:I54"/>
    <mergeCell ref="J47:J54"/>
    <mergeCell ref="K47:K54"/>
    <mergeCell ref="L47:L54"/>
    <mergeCell ref="G58:G61"/>
    <mergeCell ref="H58:H61"/>
    <mergeCell ref="I58:I61"/>
    <mergeCell ref="AR27:AR32"/>
    <mergeCell ref="AS27:AS32"/>
    <mergeCell ref="G29:G32"/>
    <mergeCell ref="H29:H32"/>
    <mergeCell ref="I29:I32"/>
    <mergeCell ref="J29:J32"/>
    <mergeCell ref="K29:K32"/>
    <mergeCell ref="AI27:AI32"/>
    <mergeCell ref="AJ27:AJ32"/>
    <mergeCell ref="AK27:AK32"/>
    <mergeCell ref="AL27:AL32"/>
    <mergeCell ref="AM27:AM32"/>
    <mergeCell ref="AN27:AN32"/>
    <mergeCell ref="AC27:AC32"/>
    <mergeCell ref="AD27:AD32"/>
    <mergeCell ref="AE27:AE32"/>
    <mergeCell ref="AF27:AF32"/>
    <mergeCell ref="AG27:AG32"/>
    <mergeCell ref="AH27:AH32"/>
    <mergeCell ref="S27:S32"/>
    <mergeCell ref="T27:T32"/>
    <mergeCell ref="U27:U32"/>
    <mergeCell ref="V27:V28"/>
    <mergeCell ref="AA27:AA32"/>
    <mergeCell ref="M33:M37"/>
    <mergeCell ref="AO27:AO32"/>
    <mergeCell ref="AP27:AP32"/>
    <mergeCell ref="AQ27:AQ32"/>
    <mergeCell ref="AB27:AB32"/>
    <mergeCell ref="V30:V31"/>
    <mergeCell ref="M27:M28"/>
    <mergeCell ref="N27:N28"/>
    <mergeCell ref="O27:O28"/>
    <mergeCell ref="P27:P32"/>
    <mergeCell ref="Q27:Q32"/>
    <mergeCell ref="R27:R28"/>
    <mergeCell ref="M29:M32"/>
    <mergeCell ref="N29:N32"/>
    <mergeCell ref="O29:O32"/>
    <mergeCell ref="R29:R32"/>
    <mergeCell ref="T33:T37"/>
    <mergeCell ref="U33:U37"/>
    <mergeCell ref="Y33:Y37"/>
    <mergeCell ref="Z33:Z37"/>
    <mergeCell ref="AA33:AA37"/>
    <mergeCell ref="AB33:AB37"/>
    <mergeCell ref="N33:N37"/>
    <mergeCell ref="O33:O37"/>
    <mergeCell ref="P33:P37"/>
    <mergeCell ref="Q33:Q37"/>
    <mergeCell ref="R33:R37"/>
    <mergeCell ref="S33:S37"/>
    <mergeCell ref="AC38:AC46"/>
    <mergeCell ref="AD38:AD46"/>
    <mergeCell ref="AE38:AE46"/>
    <mergeCell ref="AF38:AF46"/>
    <mergeCell ref="AO33:AO37"/>
    <mergeCell ref="AC33:AC37"/>
    <mergeCell ref="AD33:AD37"/>
    <mergeCell ref="AE33:AE37"/>
    <mergeCell ref="AF33:AF37"/>
    <mergeCell ref="AG33:AG37"/>
    <mergeCell ref="AH33:AH37"/>
    <mergeCell ref="R39:R46"/>
    <mergeCell ref="V41:V42"/>
    <mergeCell ref="P38:P46"/>
    <mergeCell ref="Q38:Q46"/>
    <mergeCell ref="S38:S46"/>
    <mergeCell ref="T38:T46"/>
    <mergeCell ref="U38:U46"/>
    <mergeCell ref="AP33:AP37"/>
    <mergeCell ref="AQ33:AQ37"/>
    <mergeCell ref="AR33:AR37"/>
    <mergeCell ref="AS33:AS37"/>
    <mergeCell ref="AI33:AI37"/>
    <mergeCell ref="AJ33:AJ37"/>
    <mergeCell ref="AK33:AK37"/>
    <mergeCell ref="AL33:AL37"/>
    <mergeCell ref="AM33:AM37"/>
    <mergeCell ref="AN33:AN37"/>
    <mergeCell ref="AS38:AS46"/>
    <mergeCell ref="G39:G46"/>
    <mergeCell ref="H39:H46"/>
    <mergeCell ref="I39:I46"/>
    <mergeCell ref="J39:J46"/>
    <mergeCell ref="K39:K46"/>
    <mergeCell ref="L39:L46"/>
    <mergeCell ref="M39:M46"/>
    <mergeCell ref="N39:N46"/>
    <mergeCell ref="O39:O46"/>
    <mergeCell ref="AM38:AM46"/>
    <mergeCell ref="AN38:AN46"/>
    <mergeCell ref="AO38:AO46"/>
    <mergeCell ref="AP38:AP46"/>
    <mergeCell ref="AQ38:AQ46"/>
    <mergeCell ref="AR38:AR46"/>
    <mergeCell ref="AG38:AG46"/>
    <mergeCell ref="AH38:AH46"/>
    <mergeCell ref="AI38:AI46"/>
    <mergeCell ref="AJ38:AJ46"/>
    <mergeCell ref="AK38:AK46"/>
    <mergeCell ref="AL38:AL46"/>
    <mergeCell ref="AA38:AA46"/>
    <mergeCell ref="AB38:AB46"/>
    <mergeCell ref="AI47:AI54"/>
    <mergeCell ref="U47:U54"/>
    <mergeCell ref="Y47:Y54"/>
    <mergeCell ref="Z47:Z54"/>
    <mergeCell ref="AA47:AA54"/>
    <mergeCell ref="AB47:AB54"/>
    <mergeCell ref="AC47:AC54"/>
    <mergeCell ref="P47:P54"/>
    <mergeCell ref="Q47:Q54"/>
    <mergeCell ref="R47:R54"/>
    <mergeCell ref="S47:S54"/>
    <mergeCell ref="T47:T54"/>
    <mergeCell ref="AP47:AP54"/>
    <mergeCell ref="AQ47:AQ54"/>
    <mergeCell ref="AR47:AR54"/>
    <mergeCell ref="AS47:AS54"/>
    <mergeCell ref="G55:G57"/>
    <mergeCell ref="H55:H57"/>
    <mergeCell ref="I55:I57"/>
    <mergeCell ref="J55:J57"/>
    <mergeCell ref="K55:K57"/>
    <mergeCell ref="L55:L57"/>
    <mergeCell ref="AJ47:AJ54"/>
    <mergeCell ref="AK47:AK54"/>
    <mergeCell ref="AL47:AL54"/>
    <mergeCell ref="AM47:AM54"/>
    <mergeCell ref="AN47:AN54"/>
    <mergeCell ref="AO47:AO54"/>
    <mergeCell ref="AD47:AD54"/>
    <mergeCell ref="AE47:AE54"/>
    <mergeCell ref="AF47:AF54"/>
    <mergeCell ref="AG47:AG54"/>
    <mergeCell ref="AH47:AH54"/>
    <mergeCell ref="M47:M54"/>
    <mergeCell ref="N47:N54"/>
    <mergeCell ref="O47:O54"/>
    <mergeCell ref="AQ55:AQ57"/>
    <mergeCell ref="AR55:AR57"/>
    <mergeCell ref="AS55:AS57"/>
    <mergeCell ref="AH55:AH57"/>
    <mergeCell ref="AI55:AI57"/>
    <mergeCell ref="AJ55:AJ57"/>
    <mergeCell ref="AK55:AK57"/>
    <mergeCell ref="AL55:AL57"/>
    <mergeCell ref="AM55:AM57"/>
    <mergeCell ref="J58:J61"/>
    <mergeCell ref="K58:K61"/>
    <mergeCell ref="L58:L61"/>
    <mergeCell ref="AN55:AN57"/>
    <mergeCell ref="AO55:AO57"/>
    <mergeCell ref="AP55:AP57"/>
    <mergeCell ref="AB55:AB57"/>
    <mergeCell ref="AC55:AC57"/>
    <mergeCell ref="AD55:AD57"/>
    <mergeCell ref="AE55:AE57"/>
    <mergeCell ref="AF55:AF57"/>
    <mergeCell ref="AG55:AG57"/>
    <mergeCell ref="S55:S57"/>
    <mergeCell ref="T55:T57"/>
    <mergeCell ref="U55:U57"/>
    <mergeCell ref="Y55:Y57"/>
    <mergeCell ref="Z55:Z57"/>
    <mergeCell ref="AA55:AA57"/>
    <mergeCell ref="M55:M57"/>
    <mergeCell ref="N55:N57"/>
    <mergeCell ref="O55:O57"/>
    <mergeCell ref="P55:P57"/>
    <mergeCell ref="Q55:Q57"/>
    <mergeCell ref="R55:R57"/>
    <mergeCell ref="AS58:AS62"/>
    <mergeCell ref="V60:V61"/>
    <mergeCell ref="G63:G67"/>
    <mergeCell ref="H63:H67"/>
    <mergeCell ref="I63:I67"/>
    <mergeCell ref="J63:J67"/>
    <mergeCell ref="K63:K67"/>
    <mergeCell ref="AJ58:AJ62"/>
    <mergeCell ref="AK58:AK62"/>
    <mergeCell ref="AL58:AL62"/>
    <mergeCell ref="AM58:AM62"/>
    <mergeCell ref="AN58:AN62"/>
    <mergeCell ref="AO58:AO62"/>
    <mergeCell ref="AD58:AD62"/>
    <mergeCell ref="AE58:AE62"/>
    <mergeCell ref="AF58:AF62"/>
    <mergeCell ref="AG58:AG62"/>
    <mergeCell ref="AH58:AH62"/>
    <mergeCell ref="AI58:AI62"/>
    <mergeCell ref="S58:S62"/>
    <mergeCell ref="T58:T62"/>
    <mergeCell ref="U58:U62"/>
    <mergeCell ref="AA58:AA62"/>
    <mergeCell ref="AB58:AB62"/>
    <mergeCell ref="N63:N67"/>
    <mergeCell ref="O63:O67"/>
    <mergeCell ref="P63:P67"/>
    <mergeCell ref="Q63:Q67"/>
    <mergeCell ref="AP58:AP62"/>
    <mergeCell ref="AQ58:AQ62"/>
    <mergeCell ref="AR58:AR62"/>
    <mergeCell ref="AC58:AC62"/>
    <mergeCell ref="M58:M61"/>
    <mergeCell ref="N58:N61"/>
    <mergeCell ref="O58:O61"/>
    <mergeCell ref="P58:P62"/>
    <mergeCell ref="Q58:Q62"/>
    <mergeCell ref="R58:R61"/>
    <mergeCell ref="AC63:AC67"/>
    <mergeCell ref="AD63:AD67"/>
    <mergeCell ref="AE63:AE67"/>
    <mergeCell ref="AF63:AF67"/>
    <mergeCell ref="R63:R67"/>
    <mergeCell ref="S63:S67"/>
    <mergeCell ref="T63:T67"/>
    <mergeCell ref="U63:U67"/>
    <mergeCell ref="AA63:AA67"/>
    <mergeCell ref="AB63:AB67"/>
    <mergeCell ref="AS63:AS67"/>
    <mergeCell ref="E69:F86"/>
    <mergeCell ref="G71:G73"/>
    <mergeCell ref="H71:H73"/>
    <mergeCell ref="I71:I73"/>
    <mergeCell ref="J71:J73"/>
    <mergeCell ref="K71:K73"/>
    <mergeCell ref="L71:L73"/>
    <mergeCell ref="M71:M73"/>
    <mergeCell ref="N71:N73"/>
    <mergeCell ref="AM63:AM67"/>
    <mergeCell ref="AN63:AN67"/>
    <mergeCell ref="AO63:AO67"/>
    <mergeCell ref="AP63:AP67"/>
    <mergeCell ref="AQ63:AQ67"/>
    <mergeCell ref="AR63:AR67"/>
    <mergeCell ref="AG63:AG67"/>
    <mergeCell ref="AH63:AH67"/>
    <mergeCell ref="AI63:AI67"/>
    <mergeCell ref="AJ63:AJ67"/>
    <mergeCell ref="AK63:AK67"/>
    <mergeCell ref="AL63:AL67"/>
    <mergeCell ref="L63:L67"/>
    <mergeCell ref="M63:M67"/>
    <mergeCell ref="AA71:AA73"/>
    <mergeCell ref="AB71:AB73"/>
    <mergeCell ref="AC71:AC73"/>
    <mergeCell ref="AD71:AD73"/>
    <mergeCell ref="O71:O73"/>
    <mergeCell ref="P71:P73"/>
    <mergeCell ref="Q71:Q73"/>
    <mergeCell ref="R71:R73"/>
    <mergeCell ref="S71:S73"/>
    <mergeCell ref="T71:T73"/>
    <mergeCell ref="U71:U73"/>
    <mergeCell ref="V71:V72"/>
    <mergeCell ref="Y63:Y67"/>
    <mergeCell ref="Z63:Z67"/>
    <mergeCell ref="AQ71:AQ73"/>
    <mergeCell ref="AR71:AR73"/>
    <mergeCell ref="AS71:AS73"/>
    <mergeCell ref="G74:G77"/>
    <mergeCell ref="H74:H77"/>
    <mergeCell ref="I74:I77"/>
    <mergeCell ref="J74:J77"/>
    <mergeCell ref="K74:K77"/>
    <mergeCell ref="L74:L77"/>
    <mergeCell ref="M74:M77"/>
    <mergeCell ref="AK71:AK73"/>
    <mergeCell ref="AL71:AL73"/>
    <mergeCell ref="AM71:AM73"/>
    <mergeCell ref="AN71:AN73"/>
    <mergeCell ref="AO71:AO73"/>
    <mergeCell ref="AP71:AP73"/>
    <mergeCell ref="AE71:AE73"/>
    <mergeCell ref="AF71:AF73"/>
    <mergeCell ref="AG71:AG73"/>
    <mergeCell ref="AH71:AH73"/>
    <mergeCell ref="AI71:AI73"/>
    <mergeCell ref="AJ71:AJ73"/>
    <mergeCell ref="AA74:AA77"/>
    <mergeCell ref="AB74:AB77"/>
    <mergeCell ref="AC74:AC77"/>
    <mergeCell ref="AD74:AD77"/>
    <mergeCell ref="N74:N77"/>
    <mergeCell ref="O74:O77"/>
    <mergeCell ref="P74:P77"/>
    <mergeCell ref="Q74:Q77"/>
    <mergeCell ref="R74:R77"/>
    <mergeCell ref="S74:S77"/>
    <mergeCell ref="AQ74:AQ77"/>
    <mergeCell ref="AR74:AR77"/>
    <mergeCell ref="AS74:AS77"/>
    <mergeCell ref="V75:V76"/>
    <mergeCell ref="G78:G80"/>
    <mergeCell ref="H78:H80"/>
    <mergeCell ref="I78:I80"/>
    <mergeCell ref="J78:J80"/>
    <mergeCell ref="K78:K80"/>
    <mergeCell ref="L78:L80"/>
    <mergeCell ref="AK74:AK77"/>
    <mergeCell ref="AL74:AL77"/>
    <mergeCell ref="AM74:AM77"/>
    <mergeCell ref="AN74:AN77"/>
    <mergeCell ref="AO74:AO77"/>
    <mergeCell ref="AP74:AP77"/>
    <mergeCell ref="AE74:AE77"/>
    <mergeCell ref="AF74:AF77"/>
    <mergeCell ref="AG74:AG77"/>
    <mergeCell ref="AH74:AH77"/>
    <mergeCell ref="AI74:AI77"/>
    <mergeCell ref="AJ74:AJ77"/>
    <mergeCell ref="T74:T77"/>
    <mergeCell ref="U74:U77"/>
    <mergeCell ref="M78:M80"/>
    <mergeCell ref="N78:N80"/>
    <mergeCell ref="O78:O80"/>
    <mergeCell ref="P78:P83"/>
    <mergeCell ref="Q78:Q83"/>
    <mergeCell ref="R78:R80"/>
    <mergeCell ref="M81:M83"/>
    <mergeCell ref="N81:N83"/>
    <mergeCell ref="O81:O83"/>
    <mergeCell ref="R81:R83"/>
    <mergeCell ref="AB78:AB83"/>
    <mergeCell ref="AC78:AC83"/>
    <mergeCell ref="AD78:AD83"/>
    <mergeCell ref="AE78:AE83"/>
    <mergeCell ref="AF78:AF83"/>
    <mergeCell ref="AG78:AG83"/>
    <mergeCell ref="S78:S83"/>
    <mergeCell ref="T78:T83"/>
    <mergeCell ref="U78:U83"/>
    <mergeCell ref="Y78:Y83"/>
    <mergeCell ref="Z78:Z83"/>
    <mergeCell ref="AA78:AA83"/>
    <mergeCell ref="AN78:AN83"/>
    <mergeCell ref="AO78:AO83"/>
    <mergeCell ref="AP78:AP83"/>
    <mergeCell ref="AQ78:AQ83"/>
    <mergeCell ref="AR78:AR83"/>
    <mergeCell ref="AS78:AS83"/>
    <mergeCell ref="AH78:AH83"/>
    <mergeCell ref="AI78:AI83"/>
    <mergeCell ref="AJ78:AJ83"/>
    <mergeCell ref="AK78:AK83"/>
    <mergeCell ref="AL78:AL83"/>
    <mergeCell ref="AM78:AM83"/>
    <mergeCell ref="G84:G89"/>
    <mergeCell ref="H84:H89"/>
    <mergeCell ref="I84:I89"/>
    <mergeCell ref="J84:J89"/>
    <mergeCell ref="K84:K89"/>
    <mergeCell ref="L84:L89"/>
    <mergeCell ref="G81:G83"/>
    <mergeCell ref="H81:H83"/>
    <mergeCell ref="I81:I83"/>
    <mergeCell ref="J81:J83"/>
    <mergeCell ref="K81:K83"/>
    <mergeCell ref="L81:L83"/>
    <mergeCell ref="S84:S89"/>
    <mergeCell ref="T84:T89"/>
    <mergeCell ref="U84:U89"/>
    <mergeCell ref="V84:V85"/>
    <mergeCell ref="AA84:AA89"/>
    <mergeCell ref="AB84:AB89"/>
    <mergeCell ref="M84:M89"/>
    <mergeCell ref="N84:N89"/>
    <mergeCell ref="O84:O89"/>
    <mergeCell ref="P84:P89"/>
    <mergeCell ref="Q84:Q89"/>
    <mergeCell ref="R84:R89"/>
    <mergeCell ref="AO84:AO89"/>
    <mergeCell ref="AP84:AP89"/>
    <mergeCell ref="AQ84:AQ89"/>
    <mergeCell ref="AR84:AR89"/>
    <mergeCell ref="AS84:AS89"/>
    <mergeCell ref="V88:V89"/>
    <mergeCell ref="AI84:AI89"/>
    <mergeCell ref="AJ84:AJ89"/>
    <mergeCell ref="AK84:AK89"/>
    <mergeCell ref="AL84:AL89"/>
    <mergeCell ref="AM84:AM89"/>
    <mergeCell ref="AN84:AN89"/>
    <mergeCell ref="AC84:AC89"/>
    <mergeCell ref="AD84:AD89"/>
    <mergeCell ref="AE84:AE89"/>
    <mergeCell ref="AF84:AF89"/>
    <mergeCell ref="AG84:AG89"/>
    <mergeCell ref="AH84:AH89"/>
    <mergeCell ref="AC91:AC98"/>
    <mergeCell ref="AD91:AD98"/>
    <mergeCell ref="AE91:AE98"/>
    <mergeCell ref="AF91:AF98"/>
    <mergeCell ref="E91:F144"/>
    <mergeCell ref="P91:P98"/>
    <mergeCell ref="Q91:Q98"/>
    <mergeCell ref="S91:S98"/>
    <mergeCell ref="T91:T98"/>
    <mergeCell ref="U91:U98"/>
    <mergeCell ref="R92:R98"/>
    <mergeCell ref="N99:N101"/>
    <mergeCell ref="O99:O101"/>
    <mergeCell ref="P99:P101"/>
    <mergeCell ref="V92:V93"/>
    <mergeCell ref="V94:V95"/>
    <mergeCell ref="V97:V98"/>
    <mergeCell ref="G99:G101"/>
    <mergeCell ref="H99:H101"/>
    <mergeCell ref="I99:I101"/>
    <mergeCell ref="J99:J101"/>
    <mergeCell ref="K99:K101"/>
    <mergeCell ref="L99:L101"/>
    <mergeCell ref="M99:M101"/>
    <mergeCell ref="AS91:AS98"/>
    <mergeCell ref="G92:G98"/>
    <mergeCell ref="H92:H98"/>
    <mergeCell ref="I92:I98"/>
    <mergeCell ref="J92:J98"/>
    <mergeCell ref="K92:K98"/>
    <mergeCell ref="L92:L98"/>
    <mergeCell ref="M92:M98"/>
    <mergeCell ref="N92:N98"/>
    <mergeCell ref="O92:O98"/>
    <mergeCell ref="AM91:AM98"/>
    <mergeCell ref="AN91:AN98"/>
    <mergeCell ref="AO91:AO98"/>
    <mergeCell ref="AP91:AP98"/>
    <mergeCell ref="AQ91:AQ98"/>
    <mergeCell ref="AR91:AR98"/>
    <mergeCell ref="AG91:AG98"/>
    <mergeCell ref="AH91:AH98"/>
    <mergeCell ref="AI91:AI98"/>
    <mergeCell ref="AJ91:AJ98"/>
    <mergeCell ref="AK91:AK98"/>
    <mergeCell ref="AL91:AL98"/>
    <mergeCell ref="AA91:AA98"/>
    <mergeCell ref="AB91:AB98"/>
    <mergeCell ref="AB99:AB101"/>
    <mergeCell ref="AC99:AC101"/>
    <mergeCell ref="AD99:AD101"/>
    <mergeCell ref="AE99:AE101"/>
    <mergeCell ref="Q99:Q101"/>
    <mergeCell ref="R99:R101"/>
    <mergeCell ref="S99:S101"/>
    <mergeCell ref="T99:T101"/>
    <mergeCell ref="U99:U101"/>
    <mergeCell ref="Y99:Y101"/>
    <mergeCell ref="AR99:AR101"/>
    <mergeCell ref="AS99:AS101"/>
    <mergeCell ref="G102:G106"/>
    <mergeCell ref="H102:H106"/>
    <mergeCell ref="I102:I106"/>
    <mergeCell ref="J102:J106"/>
    <mergeCell ref="K102:K106"/>
    <mergeCell ref="L102:L106"/>
    <mergeCell ref="M102:M106"/>
    <mergeCell ref="N102:N106"/>
    <mergeCell ref="AL99:AL101"/>
    <mergeCell ref="AM99:AM101"/>
    <mergeCell ref="AN99:AN101"/>
    <mergeCell ref="AO99:AO101"/>
    <mergeCell ref="AP99:AP101"/>
    <mergeCell ref="AQ99:AQ101"/>
    <mergeCell ref="AF99:AF101"/>
    <mergeCell ref="AG99:AG101"/>
    <mergeCell ref="AH99:AH101"/>
    <mergeCell ref="AI99:AI101"/>
    <mergeCell ref="AJ99:AJ101"/>
    <mergeCell ref="AK99:AK101"/>
    <mergeCell ref="Z99:Z101"/>
    <mergeCell ref="AA99:AA101"/>
    <mergeCell ref="Z102:Z106"/>
    <mergeCell ref="AA102:AA144"/>
    <mergeCell ref="AB102:AB144"/>
    <mergeCell ref="AC102:AC144"/>
    <mergeCell ref="O102:O106"/>
    <mergeCell ref="P102:P144"/>
    <mergeCell ref="Q102:Q144"/>
    <mergeCell ref="R102:R106"/>
    <mergeCell ref="S102:S144"/>
    <mergeCell ref="T102:T144"/>
    <mergeCell ref="O107:O144"/>
    <mergeCell ref="R107:R144"/>
    <mergeCell ref="V107:V130"/>
    <mergeCell ref="V131:V144"/>
    <mergeCell ref="AP102:AP144"/>
    <mergeCell ref="AQ102:AQ144"/>
    <mergeCell ref="AR102:AR144"/>
    <mergeCell ref="AS102:AS144"/>
    <mergeCell ref="G107:G144"/>
    <mergeCell ref="H107:H144"/>
    <mergeCell ref="I107:I144"/>
    <mergeCell ref="J107:J144"/>
    <mergeCell ref="K107:K144"/>
    <mergeCell ref="L107:L144"/>
    <mergeCell ref="AJ102:AJ144"/>
    <mergeCell ref="AK102:AK144"/>
    <mergeCell ref="AL102:AL144"/>
    <mergeCell ref="AM102:AM144"/>
    <mergeCell ref="AN102:AN144"/>
    <mergeCell ref="AO102:AO144"/>
    <mergeCell ref="AD102:AD144"/>
    <mergeCell ref="AE102:AE144"/>
    <mergeCell ref="AF102:AF144"/>
    <mergeCell ref="AG102:AG144"/>
    <mergeCell ref="AH102:AH144"/>
    <mergeCell ref="AI102:AI144"/>
    <mergeCell ref="U102:U144"/>
    <mergeCell ref="Y102:Y106"/>
    <mergeCell ref="B145:G145"/>
    <mergeCell ref="D146:J146"/>
    <mergeCell ref="E148:F149"/>
    <mergeCell ref="G148:G149"/>
    <mergeCell ref="H148:H149"/>
    <mergeCell ref="I148:I149"/>
    <mergeCell ref="J148:J149"/>
    <mergeCell ref="M107:M144"/>
    <mergeCell ref="N107:N144"/>
    <mergeCell ref="Q148:Q149"/>
    <mergeCell ref="R148:R149"/>
    <mergeCell ref="S148:S149"/>
    <mergeCell ref="T148:T149"/>
    <mergeCell ref="U148:U149"/>
    <mergeCell ref="Y148:Y149"/>
    <mergeCell ref="K148:K149"/>
    <mergeCell ref="L148:L149"/>
    <mergeCell ref="M148:M149"/>
    <mergeCell ref="N148:N149"/>
    <mergeCell ref="O148:O149"/>
    <mergeCell ref="P148:P149"/>
    <mergeCell ref="AH148:AH149"/>
    <mergeCell ref="AI148:AI149"/>
    <mergeCell ref="AJ148:AJ149"/>
    <mergeCell ref="AK148:AK149"/>
    <mergeCell ref="Z148:Z149"/>
    <mergeCell ref="AA148:AA149"/>
    <mergeCell ref="AB148:AB149"/>
    <mergeCell ref="AC148:AC149"/>
    <mergeCell ref="AD148:AD149"/>
    <mergeCell ref="AE148:AE149"/>
    <mergeCell ref="N152:N156"/>
    <mergeCell ref="O152:O156"/>
    <mergeCell ref="P152:P156"/>
    <mergeCell ref="Q152:Q156"/>
    <mergeCell ref="R152:R156"/>
    <mergeCell ref="S152:S156"/>
    <mergeCell ref="AR148:AR149"/>
    <mergeCell ref="AS148:AS149"/>
    <mergeCell ref="E152:F156"/>
    <mergeCell ref="G152:G156"/>
    <mergeCell ref="H152:H156"/>
    <mergeCell ref="I152:I156"/>
    <mergeCell ref="J152:J156"/>
    <mergeCell ref="K152:K156"/>
    <mergeCell ref="L152:L156"/>
    <mergeCell ref="M152:M156"/>
    <mergeCell ref="AL148:AL149"/>
    <mergeCell ref="AM148:AM149"/>
    <mergeCell ref="AN148:AN149"/>
    <mergeCell ref="AO148:AO149"/>
    <mergeCell ref="AP148:AP149"/>
    <mergeCell ref="AQ148:AQ149"/>
    <mergeCell ref="AF148:AF149"/>
    <mergeCell ref="AG148:AG149"/>
    <mergeCell ref="AP152:AP156"/>
    <mergeCell ref="AQ152:AQ156"/>
    <mergeCell ref="AR152:AR156"/>
    <mergeCell ref="AS152:AS156"/>
    <mergeCell ref="B157:G157"/>
    <mergeCell ref="D158:G158"/>
    <mergeCell ref="AJ152:AJ156"/>
    <mergeCell ref="AK152:AK156"/>
    <mergeCell ref="AL152:AL156"/>
    <mergeCell ref="AM152:AM156"/>
    <mergeCell ref="AN152:AN156"/>
    <mergeCell ref="AO152:AO156"/>
    <mergeCell ref="AD152:AD156"/>
    <mergeCell ref="AE152:AE156"/>
    <mergeCell ref="AF152:AF156"/>
    <mergeCell ref="AG152:AG156"/>
    <mergeCell ref="AH152:AH156"/>
    <mergeCell ref="AI152:AI156"/>
    <mergeCell ref="T152:T156"/>
    <mergeCell ref="U152:U156"/>
    <mergeCell ref="V152:V153"/>
    <mergeCell ref="AA152:AA156"/>
    <mergeCell ref="AB152:AB156"/>
    <mergeCell ref="AC152:AC156"/>
    <mergeCell ref="M161:M168"/>
    <mergeCell ref="N161:N168"/>
    <mergeCell ref="O161:O168"/>
    <mergeCell ref="P161:P168"/>
    <mergeCell ref="Q161:Q168"/>
    <mergeCell ref="R161:R168"/>
    <mergeCell ref="G161:G168"/>
    <mergeCell ref="H161:H168"/>
    <mergeCell ref="I161:I168"/>
    <mergeCell ref="J161:J168"/>
    <mergeCell ref="K161:K168"/>
    <mergeCell ref="L161:L168"/>
    <mergeCell ref="AB161:AB168"/>
    <mergeCell ref="AC161:AC168"/>
    <mergeCell ref="AD161:AD168"/>
    <mergeCell ref="AE161:AE168"/>
    <mergeCell ref="AF161:AF168"/>
    <mergeCell ref="AG161:AG168"/>
    <mergeCell ref="S161:S168"/>
    <mergeCell ref="T161:T168"/>
    <mergeCell ref="U161:U168"/>
    <mergeCell ref="Y161:Y168"/>
    <mergeCell ref="Z161:Z168"/>
    <mergeCell ref="AA161:AA168"/>
    <mergeCell ref="AN161:AN168"/>
    <mergeCell ref="AO161:AO168"/>
    <mergeCell ref="AP161:AP168"/>
    <mergeCell ref="AQ161:AQ168"/>
    <mergeCell ref="AR161:AR168"/>
    <mergeCell ref="AS161:AS168"/>
    <mergeCell ref="AH161:AH168"/>
    <mergeCell ref="AI161:AI168"/>
    <mergeCell ref="AJ161:AJ168"/>
    <mergeCell ref="AK161:AK168"/>
    <mergeCell ref="AL161:AL168"/>
    <mergeCell ref="AM161:AM168"/>
    <mergeCell ref="M169:M176"/>
    <mergeCell ref="N169:N176"/>
    <mergeCell ref="O169:O176"/>
    <mergeCell ref="P169:P176"/>
    <mergeCell ref="Q169:Q176"/>
    <mergeCell ref="R169:R176"/>
    <mergeCell ref="G169:G176"/>
    <mergeCell ref="H169:H176"/>
    <mergeCell ref="I169:I176"/>
    <mergeCell ref="J169:J176"/>
    <mergeCell ref="K169:K176"/>
    <mergeCell ref="L169:L176"/>
    <mergeCell ref="AB169:AB176"/>
    <mergeCell ref="AC169:AC176"/>
    <mergeCell ref="AD169:AD176"/>
    <mergeCell ref="AE169:AE176"/>
    <mergeCell ref="AF169:AF176"/>
    <mergeCell ref="AG169:AG176"/>
    <mergeCell ref="S169:S176"/>
    <mergeCell ref="T169:T176"/>
    <mergeCell ref="U169:U176"/>
    <mergeCell ref="Y169:Y176"/>
    <mergeCell ref="Z169:Z176"/>
    <mergeCell ref="AA169:AA176"/>
    <mergeCell ref="AN169:AN176"/>
    <mergeCell ref="AO169:AO176"/>
    <mergeCell ref="AP169:AP176"/>
    <mergeCell ref="AQ169:AQ176"/>
    <mergeCell ref="AR169:AR176"/>
    <mergeCell ref="AS169:AS176"/>
    <mergeCell ref="AH169:AH176"/>
    <mergeCell ref="AI169:AI176"/>
    <mergeCell ref="AJ169:AJ176"/>
    <mergeCell ref="AK169:AK176"/>
    <mergeCell ref="AL169:AL176"/>
    <mergeCell ref="AM169:AM176"/>
    <mergeCell ref="M177:M179"/>
    <mergeCell ref="N177:N179"/>
    <mergeCell ref="O177:O179"/>
    <mergeCell ref="P177:P179"/>
    <mergeCell ref="Q177:Q179"/>
    <mergeCell ref="R177:R179"/>
    <mergeCell ref="G177:G179"/>
    <mergeCell ref="H177:H179"/>
    <mergeCell ref="I177:I179"/>
    <mergeCell ref="J177:J179"/>
    <mergeCell ref="K177:K179"/>
    <mergeCell ref="L177:L179"/>
    <mergeCell ref="AB177:AB179"/>
    <mergeCell ref="AC177:AC179"/>
    <mergeCell ref="AD177:AD179"/>
    <mergeCell ref="AE177:AE179"/>
    <mergeCell ref="AF177:AF179"/>
    <mergeCell ref="AG177:AG179"/>
    <mergeCell ref="S177:S179"/>
    <mergeCell ref="T177:T179"/>
    <mergeCell ref="U177:U179"/>
    <mergeCell ref="Y177:Y179"/>
    <mergeCell ref="Z177:Z179"/>
    <mergeCell ref="AA177:AA179"/>
    <mergeCell ref="AN177:AN179"/>
    <mergeCell ref="AO177:AO179"/>
    <mergeCell ref="AP177:AP179"/>
    <mergeCell ref="AQ177:AQ179"/>
    <mergeCell ref="AR177:AR179"/>
    <mergeCell ref="AS177:AS179"/>
    <mergeCell ref="AH177:AH179"/>
    <mergeCell ref="AI177:AI179"/>
    <mergeCell ref="AJ177:AJ179"/>
    <mergeCell ref="AK177:AK179"/>
    <mergeCell ref="AL177:AL179"/>
    <mergeCell ref="AM177:AM179"/>
    <mergeCell ref="M180:M182"/>
    <mergeCell ref="N180:N182"/>
    <mergeCell ref="O180:O182"/>
    <mergeCell ref="P180:P182"/>
    <mergeCell ref="Q180:Q182"/>
    <mergeCell ref="R180:R182"/>
    <mergeCell ref="G180:G182"/>
    <mergeCell ref="H180:H182"/>
    <mergeCell ref="I180:I182"/>
    <mergeCell ref="J180:J182"/>
    <mergeCell ref="K180:K182"/>
    <mergeCell ref="L180:L182"/>
    <mergeCell ref="AB180:AB182"/>
    <mergeCell ref="AC180:AC182"/>
    <mergeCell ref="AD180:AD182"/>
    <mergeCell ref="AE180:AE182"/>
    <mergeCell ref="AF180:AF182"/>
    <mergeCell ref="AG180:AG182"/>
    <mergeCell ref="S180:S182"/>
    <mergeCell ref="T180:T182"/>
    <mergeCell ref="U180:U182"/>
    <mergeCell ref="Y180:Y182"/>
    <mergeCell ref="Z180:Z182"/>
    <mergeCell ref="AA180:AA182"/>
    <mergeCell ref="AN180:AN182"/>
    <mergeCell ref="AO180:AO182"/>
    <mergeCell ref="AP180:AP182"/>
    <mergeCell ref="AQ180:AQ182"/>
    <mergeCell ref="AR180:AR182"/>
    <mergeCell ref="AS180:AS182"/>
    <mergeCell ref="AH180:AH182"/>
    <mergeCell ref="AI180:AI182"/>
    <mergeCell ref="AJ180:AJ182"/>
    <mergeCell ref="AK180:AK182"/>
    <mergeCell ref="AL180:AL182"/>
    <mergeCell ref="AM180:AM182"/>
    <mergeCell ref="F183:N183"/>
    <mergeCell ref="G184:G185"/>
    <mergeCell ref="H184:H185"/>
    <mergeCell ref="I184:I185"/>
    <mergeCell ref="J184:J185"/>
    <mergeCell ref="K184:K185"/>
    <mergeCell ref="L184:L185"/>
    <mergeCell ref="M184:M185"/>
    <mergeCell ref="N184:N185"/>
    <mergeCell ref="Z184:Z185"/>
    <mergeCell ref="AA184:AA185"/>
    <mergeCell ref="AB184:AB185"/>
    <mergeCell ref="AC184:AC185"/>
    <mergeCell ref="O184:O185"/>
    <mergeCell ref="P184:P185"/>
    <mergeCell ref="Q184:Q185"/>
    <mergeCell ref="R184:R185"/>
    <mergeCell ref="S184:S185"/>
    <mergeCell ref="T184:T185"/>
    <mergeCell ref="AP184:AP185"/>
    <mergeCell ref="AQ184:AQ185"/>
    <mergeCell ref="AR184:AR185"/>
    <mergeCell ref="AS184:AS185"/>
    <mergeCell ref="G187:G193"/>
    <mergeCell ref="H187:H193"/>
    <mergeCell ref="I187:I193"/>
    <mergeCell ref="J187:J193"/>
    <mergeCell ref="K187:K193"/>
    <mergeCell ref="L187:L193"/>
    <mergeCell ref="AJ184:AJ185"/>
    <mergeCell ref="AK184:AK185"/>
    <mergeCell ref="AL184:AL185"/>
    <mergeCell ref="AM184:AM185"/>
    <mergeCell ref="AN184:AN185"/>
    <mergeCell ref="AO184:AO185"/>
    <mergeCell ref="AD184:AD185"/>
    <mergeCell ref="AE184:AE185"/>
    <mergeCell ref="AF184:AF185"/>
    <mergeCell ref="AG184:AG185"/>
    <mergeCell ref="AH184:AH185"/>
    <mergeCell ref="AI184:AI185"/>
    <mergeCell ref="U184:U185"/>
    <mergeCell ref="Y184:Y185"/>
    <mergeCell ref="S187:S193"/>
    <mergeCell ref="T187:T193"/>
    <mergeCell ref="U187:U193"/>
    <mergeCell ref="AA187:AA193"/>
    <mergeCell ref="AB187:AB193"/>
    <mergeCell ref="AC187:AC193"/>
    <mergeCell ref="M187:M193"/>
    <mergeCell ref="N187:N193"/>
    <mergeCell ref="O187:O193"/>
    <mergeCell ref="P187:P193"/>
    <mergeCell ref="Q187:Q193"/>
    <mergeCell ref="R187:R193"/>
    <mergeCell ref="AP187:AP193"/>
    <mergeCell ref="AQ187:AQ193"/>
    <mergeCell ref="AR187:AR193"/>
    <mergeCell ref="AS187:AS193"/>
    <mergeCell ref="V190:V191"/>
    <mergeCell ref="AJ187:AJ193"/>
    <mergeCell ref="AK187:AK193"/>
    <mergeCell ref="AL187:AL193"/>
    <mergeCell ref="AM187:AM193"/>
    <mergeCell ref="AN187:AN193"/>
    <mergeCell ref="AO187:AO193"/>
    <mergeCell ref="AD187:AD193"/>
    <mergeCell ref="AE187:AE193"/>
    <mergeCell ref="AF187:AF193"/>
    <mergeCell ref="AG187:AG193"/>
    <mergeCell ref="AH187:AH193"/>
    <mergeCell ref="AI187:AI193"/>
  </mergeCells>
  <conditionalFormatting sqref="Z123:Z129">
    <cfRule type="cellIs" dxfId="12" priority="1" operator="lessThan">
      <formula>0</formula>
    </cfRule>
  </conditionalFormatting>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M300"/>
  <sheetViews>
    <sheetView showGridLines="0" zoomScale="70" zoomScaleNormal="70" workbookViewId="0">
      <selection activeCell="O7" sqref="O7:W7"/>
    </sheetView>
  </sheetViews>
  <sheetFormatPr baseColWidth="10" defaultColWidth="9.140625" defaultRowHeight="27" customHeight="1" x14ac:dyDescent="0.25"/>
  <cols>
    <col min="1" max="1" width="13.140625" style="132" customWidth="1"/>
    <col min="2" max="3" width="12" style="1119" customWidth="1"/>
    <col min="4" max="4" width="11.5703125" style="1119" customWidth="1"/>
    <col min="5" max="5" width="11" style="1119" customWidth="1"/>
    <col min="6" max="6" width="26.28515625" style="1119" customWidth="1"/>
    <col min="7" max="7" width="12.140625" style="1119" customWidth="1"/>
    <col min="8" max="8" width="31.85546875" style="1404" customWidth="1"/>
    <col min="9" max="9" width="20.7109375" style="3" customWidth="1"/>
    <col min="10" max="10" width="34.5703125" style="1405" customWidth="1"/>
    <col min="11" max="11" width="14.28515625" style="124" customWidth="1"/>
    <col min="12" max="12" width="35" style="1405" customWidth="1"/>
    <col min="13" max="13" width="18.85546875" style="3" customWidth="1"/>
    <col min="14" max="14" width="31.7109375" style="1404" customWidth="1"/>
    <col min="15" max="15" width="14.7109375" style="3" customWidth="1"/>
    <col min="16" max="16" width="20.140625" style="3" customWidth="1"/>
    <col min="17" max="17" width="23.5703125" style="1404" customWidth="1"/>
    <col min="18" max="18" width="17" style="121" customWidth="1"/>
    <col min="19" max="19" width="22.42578125" style="128" customWidth="1"/>
    <col min="20" max="20" width="24.85546875" style="3" customWidth="1"/>
    <col min="21" max="21" width="19.140625" style="3" customWidth="1"/>
    <col min="22" max="22" width="75.28515625" style="1405" customWidth="1"/>
    <col min="23" max="23" width="26.28515625" style="128" customWidth="1"/>
    <col min="24" max="24" width="52.85546875" style="128" customWidth="1"/>
    <col min="25" max="25" width="11.7109375" style="124" customWidth="1"/>
    <col min="26" max="26" width="31.85546875" style="3" customWidth="1"/>
    <col min="27" max="27" width="13.42578125" style="1119" customWidth="1"/>
    <col min="28" max="28" width="15.42578125" style="1119" customWidth="1"/>
    <col min="29" max="29" width="10.85546875" style="132" customWidth="1"/>
    <col min="30" max="42" width="11.5703125" style="1119" customWidth="1"/>
    <col min="43" max="43" width="16" style="1403" customWidth="1"/>
    <col min="44" max="44" width="13.7109375" style="1403" customWidth="1"/>
    <col min="45" max="45" width="32.85546875" style="1119" customWidth="1"/>
    <col min="46" max="16347" width="9.140625" style="1119"/>
    <col min="16348" max="16380" width="11.42578125" style="1119" bestFit="1" customWidth="1"/>
    <col min="16381" max="16384" width="11.42578125" style="1119" customWidth="1"/>
  </cols>
  <sheetData>
    <row r="1" spans="1:65" ht="31.5" customHeight="1" x14ac:dyDescent="0.25">
      <c r="A1" s="2349" t="s">
        <v>3352</v>
      </c>
      <c r="B1" s="2955"/>
      <c r="C1" s="2955"/>
      <c r="D1" s="2955"/>
      <c r="E1" s="2955"/>
      <c r="F1" s="2955"/>
      <c r="G1" s="2955"/>
      <c r="H1" s="2955"/>
      <c r="I1" s="2955"/>
      <c r="J1" s="2955"/>
      <c r="K1" s="2955"/>
      <c r="L1" s="2955"/>
      <c r="M1" s="2955"/>
      <c r="N1" s="2955"/>
      <c r="O1" s="2955"/>
      <c r="P1" s="2955"/>
      <c r="Q1" s="2955"/>
      <c r="R1" s="2955"/>
      <c r="S1" s="2955"/>
      <c r="T1" s="2955"/>
      <c r="U1" s="2955"/>
      <c r="V1" s="2955"/>
      <c r="W1" s="2955"/>
      <c r="X1" s="2955"/>
      <c r="Y1" s="2955"/>
      <c r="Z1" s="2955"/>
      <c r="AA1" s="2955"/>
      <c r="AB1" s="2955"/>
      <c r="AC1" s="2955"/>
      <c r="AD1" s="2955"/>
      <c r="AE1" s="2955"/>
      <c r="AF1" s="2955"/>
      <c r="AG1" s="2955"/>
      <c r="AH1" s="2955"/>
      <c r="AI1" s="2955"/>
      <c r="AJ1" s="2955"/>
      <c r="AK1" s="2955"/>
      <c r="AL1" s="2955"/>
      <c r="AM1" s="2955"/>
      <c r="AN1" s="2955"/>
      <c r="AO1" s="2955"/>
      <c r="AP1" s="2955"/>
      <c r="AQ1" s="2237"/>
      <c r="AR1" s="1345" t="s">
        <v>1</v>
      </c>
      <c r="AS1" s="1038" t="s">
        <v>1141</v>
      </c>
      <c r="AT1" s="3"/>
      <c r="AU1" s="3"/>
      <c r="AV1" s="3"/>
      <c r="AW1" s="3"/>
      <c r="AX1" s="3"/>
      <c r="AY1" s="3"/>
      <c r="AZ1" s="3"/>
      <c r="BA1" s="3"/>
      <c r="BB1" s="3"/>
      <c r="BC1" s="3"/>
      <c r="BD1" s="3"/>
      <c r="BE1" s="3"/>
      <c r="BF1" s="3"/>
      <c r="BG1" s="3"/>
      <c r="BH1" s="3"/>
      <c r="BI1" s="3"/>
      <c r="BJ1" s="3"/>
      <c r="BK1" s="3"/>
      <c r="BL1" s="3"/>
      <c r="BM1" s="3"/>
    </row>
    <row r="2" spans="1:65" ht="31.5" customHeight="1" x14ac:dyDescent="0.25">
      <c r="A2" s="2955"/>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1345" t="s">
        <v>3</v>
      </c>
      <c r="AS2" s="1038" t="s">
        <v>693</v>
      </c>
      <c r="AT2" s="3"/>
      <c r="AU2" s="3"/>
      <c r="AV2" s="3"/>
      <c r="AW2" s="3"/>
      <c r="AX2" s="3"/>
      <c r="AY2" s="3"/>
      <c r="AZ2" s="3"/>
      <c r="BA2" s="3"/>
      <c r="BB2" s="3"/>
      <c r="BC2" s="3"/>
      <c r="BD2" s="3"/>
      <c r="BE2" s="3"/>
      <c r="BF2" s="3"/>
      <c r="BG2" s="3"/>
      <c r="BH2" s="3"/>
      <c r="BI2" s="3"/>
      <c r="BJ2" s="3"/>
      <c r="BK2" s="3"/>
      <c r="BL2" s="3"/>
      <c r="BM2" s="3"/>
    </row>
    <row r="3" spans="1:65" ht="31.5" customHeight="1" x14ac:dyDescent="0.25">
      <c r="A3" s="2955"/>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1345" t="s">
        <v>4</v>
      </c>
      <c r="AS3" s="1088" t="s">
        <v>1142</v>
      </c>
      <c r="AT3" s="3"/>
      <c r="AU3" s="3"/>
      <c r="AV3" s="3"/>
      <c r="AW3" s="3"/>
      <c r="AX3" s="3"/>
      <c r="AY3" s="3"/>
      <c r="AZ3" s="3"/>
      <c r="BA3" s="3"/>
      <c r="BB3" s="3"/>
      <c r="BC3" s="3"/>
      <c r="BD3" s="3"/>
      <c r="BE3" s="3"/>
      <c r="BF3" s="3"/>
      <c r="BG3" s="3"/>
      <c r="BH3" s="3"/>
      <c r="BI3" s="3"/>
      <c r="BJ3" s="3"/>
      <c r="BK3" s="3"/>
      <c r="BL3" s="3"/>
      <c r="BM3" s="3"/>
    </row>
    <row r="4" spans="1:65" ht="31.5" customHeight="1" x14ac:dyDescent="0.25">
      <c r="A4" s="2955"/>
      <c r="B4" s="2955"/>
      <c r="C4" s="2955"/>
      <c r="D4" s="2955"/>
      <c r="E4" s="2955"/>
      <c r="F4" s="2955"/>
      <c r="G4" s="2955"/>
      <c r="H4" s="2955"/>
      <c r="I4" s="2955"/>
      <c r="J4" s="2955"/>
      <c r="K4" s="2955"/>
      <c r="L4" s="2955"/>
      <c r="M4" s="2955"/>
      <c r="N4" s="2955"/>
      <c r="O4" s="2955"/>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9"/>
      <c r="AR4" s="1346" t="s">
        <v>5</v>
      </c>
      <c r="AS4" s="1347" t="s">
        <v>120</v>
      </c>
      <c r="AT4" s="3"/>
      <c r="AU4" s="3"/>
      <c r="AV4" s="3"/>
      <c r="AW4" s="3"/>
      <c r="AX4" s="3"/>
      <c r="AY4" s="3"/>
      <c r="AZ4" s="3"/>
      <c r="BA4" s="3"/>
      <c r="BB4" s="3"/>
      <c r="BC4" s="3"/>
      <c r="BD4" s="3"/>
      <c r="BE4" s="3"/>
      <c r="BF4" s="3"/>
      <c r="BG4" s="3"/>
      <c r="BH4" s="3"/>
      <c r="BI4" s="3"/>
      <c r="BJ4" s="3"/>
      <c r="BK4" s="3"/>
      <c r="BL4" s="3"/>
      <c r="BM4" s="3"/>
    </row>
    <row r="5" spans="1:65" ht="31.5" customHeight="1" x14ac:dyDescent="0.25">
      <c r="A5" s="2956" t="s">
        <v>7</v>
      </c>
      <c r="B5" s="2956"/>
      <c r="C5" s="2956"/>
      <c r="D5" s="2956"/>
      <c r="E5" s="2956"/>
      <c r="F5" s="2956"/>
      <c r="G5" s="2956"/>
      <c r="H5" s="2956"/>
      <c r="I5" s="2956"/>
      <c r="J5" s="2956"/>
      <c r="K5" s="2956"/>
      <c r="L5" s="2956"/>
      <c r="M5" s="2956"/>
      <c r="N5" s="2956"/>
      <c r="O5" s="2956"/>
      <c r="P5" s="1072"/>
      <c r="Q5" s="1348"/>
      <c r="R5" s="1072"/>
      <c r="S5" s="1072"/>
      <c r="T5" s="1072"/>
      <c r="U5" s="1072"/>
      <c r="V5" s="1349"/>
      <c r="W5" s="1072"/>
      <c r="X5" s="1072"/>
      <c r="Y5" s="1072"/>
      <c r="Z5" s="1072"/>
      <c r="AA5" s="1072"/>
      <c r="AB5" s="1072"/>
      <c r="AC5" s="1072"/>
      <c r="AD5" s="1072"/>
      <c r="AE5" s="1072"/>
      <c r="AF5" s="1072"/>
      <c r="AG5" s="1072"/>
      <c r="AH5" s="1072"/>
      <c r="AI5" s="1072"/>
      <c r="AJ5" s="1072"/>
      <c r="AK5" s="1072"/>
      <c r="AL5" s="1072"/>
      <c r="AM5" s="1072"/>
      <c r="AN5" s="1072"/>
      <c r="AO5" s="1072"/>
      <c r="AP5" s="1072"/>
      <c r="AQ5" s="1072"/>
      <c r="AR5" s="1072"/>
      <c r="AS5" s="1037"/>
      <c r="AT5" s="3"/>
      <c r="AU5" s="3"/>
      <c r="AV5" s="3"/>
      <c r="AW5" s="3"/>
      <c r="AX5" s="3"/>
      <c r="AY5" s="3"/>
      <c r="AZ5" s="3"/>
      <c r="BA5" s="3"/>
      <c r="BB5" s="3"/>
      <c r="BC5" s="3"/>
      <c r="BD5" s="3"/>
      <c r="BE5" s="3"/>
      <c r="BF5" s="3"/>
      <c r="BG5" s="3"/>
      <c r="BH5" s="3"/>
      <c r="BI5" s="3"/>
      <c r="BJ5" s="3"/>
      <c r="BK5" s="3"/>
      <c r="BL5" s="3"/>
      <c r="BM5" s="3"/>
    </row>
    <row r="6" spans="1:65" ht="15.75" x14ac:dyDescent="0.25">
      <c r="A6" s="2956"/>
      <c r="B6" s="2956"/>
      <c r="C6" s="2956"/>
      <c r="D6" s="2956"/>
      <c r="E6" s="2956"/>
      <c r="F6" s="2956"/>
      <c r="G6" s="2956"/>
      <c r="H6" s="2956"/>
      <c r="I6" s="2956"/>
      <c r="J6" s="2956"/>
      <c r="K6" s="2956"/>
      <c r="L6" s="2956"/>
      <c r="M6" s="2956"/>
      <c r="N6" s="2956"/>
      <c r="O6" s="2956"/>
      <c r="P6" s="1129"/>
      <c r="Q6" s="1350"/>
      <c r="R6" s="1129"/>
      <c r="S6" s="1129"/>
      <c r="T6" s="1129"/>
      <c r="U6" s="920"/>
      <c r="V6" s="1351"/>
      <c r="W6" s="1129"/>
      <c r="X6" s="1033"/>
      <c r="Y6" s="1033"/>
      <c r="Z6" s="1033"/>
      <c r="AA6" s="1036" t="s">
        <v>8</v>
      </c>
      <c r="AB6" s="1033"/>
      <c r="AC6" s="1033"/>
      <c r="AD6" s="1033"/>
      <c r="AE6" s="1033"/>
      <c r="AF6" s="1033"/>
      <c r="AG6" s="1033"/>
      <c r="AH6" s="1033"/>
      <c r="AI6" s="1033"/>
      <c r="AJ6" s="1033"/>
      <c r="AK6" s="1033"/>
      <c r="AL6" s="1033"/>
      <c r="AM6" s="1033"/>
      <c r="AN6" s="1033"/>
      <c r="AO6" s="1034"/>
      <c r="AP6" s="1033"/>
      <c r="AQ6" s="1352"/>
      <c r="AR6" s="1352"/>
      <c r="AS6" s="1034"/>
      <c r="AT6" s="3"/>
      <c r="AU6" s="3"/>
      <c r="AV6" s="3"/>
      <c r="AW6" s="3"/>
      <c r="AX6" s="3"/>
      <c r="AY6" s="3"/>
      <c r="AZ6" s="3"/>
      <c r="BA6" s="3"/>
      <c r="BB6" s="3"/>
      <c r="BC6" s="3"/>
      <c r="BD6" s="3"/>
      <c r="BE6" s="3"/>
      <c r="BF6" s="3"/>
      <c r="BG6" s="3"/>
      <c r="BH6" s="3"/>
      <c r="BI6" s="3"/>
      <c r="BJ6" s="3"/>
      <c r="BK6" s="3"/>
      <c r="BL6" s="3"/>
      <c r="BM6" s="3"/>
    </row>
    <row r="7" spans="1:65" ht="31.5" customHeight="1" x14ac:dyDescent="0.25">
      <c r="A7" s="3641" t="s">
        <v>9</v>
      </c>
      <c r="B7" s="3642"/>
      <c r="C7" s="2353" t="s">
        <v>10</v>
      </c>
      <c r="D7" s="2958"/>
      <c r="E7" s="1089" t="s">
        <v>11</v>
      </c>
      <c r="F7" s="1090"/>
      <c r="G7" s="2353" t="s">
        <v>12</v>
      </c>
      <c r="H7" s="2958"/>
      <c r="I7" s="2958"/>
      <c r="J7" s="2958"/>
      <c r="K7" s="2353" t="s">
        <v>13</v>
      </c>
      <c r="L7" s="2958"/>
      <c r="M7" s="2958"/>
      <c r="N7" s="2958"/>
      <c r="O7" s="3144" t="s">
        <v>14</v>
      </c>
      <c r="P7" s="3145"/>
      <c r="Q7" s="3145"/>
      <c r="R7" s="3145"/>
      <c r="S7" s="3145"/>
      <c r="T7" s="3145"/>
      <c r="U7" s="3145"/>
      <c r="V7" s="3145"/>
      <c r="W7" s="3145"/>
      <c r="X7" s="3138" t="s">
        <v>15</v>
      </c>
      <c r="Y7" s="3138"/>
      <c r="Z7" s="3139"/>
      <c r="AA7" s="2213" t="s">
        <v>16</v>
      </c>
      <c r="AB7" s="3643"/>
      <c r="AC7" s="2215" t="s">
        <v>17</v>
      </c>
      <c r="AD7" s="2216"/>
      <c r="AE7" s="2216"/>
      <c r="AF7" s="3644"/>
      <c r="AG7" s="2359" t="s">
        <v>18</v>
      </c>
      <c r="AH7" s="2360"/>
      <c r="AI7" s="2360"/>
      <c r="AJ7" s="2360"/>
      <c r="AK7" s="2360"/>
      <c r="AL7" s="3140"/>
      <c r="AM7" s="2215" t="s">
        <v>19</v>
      </c>
      <c r="AN7" s="2216"/>
      <c r="AO7" s="3644"/>
      <c r="AP7" s="2986" t="s">
        <v>20</v>
      </c>
      <c r="AQ7" s="3781" t="s">
        <v>21</v>
      </c>
      <c r="AR7" s="3781" t="s">
        <v>22</v>
      </c>
      <c r="AS7" s="2357" t="s">
        <v>23</v>
      </c>
      <c r="AT7" s="3"/>
      <c r="AU7" s="3"/>
      <c r="AV7" s="3"/>
      <c r="AW7" s="3"/>
      <c r="AX7" s="3"/>
      <c r="AY7" s="3"/>
      <c r="AZ7" s="3"/>
      <c r="BA7" s="3"/>
      <c r="BB7" s="3"/>
      <c r="BC7" s="3"/>
      <c r="BD7" s="3"/>
      <c r="BE7" s="3"/>
      <c r="BF7" s="3"/>
      <c r="BG7" s="3"/>
      <c r="BH7" s="3"/>
      <c r="BI7" s="3"/>
      <c r="BJ7" s="3"/>
      <c r="BK7" s="3"/>
      <c r="BL7" s="3"/>
      <c r="BM7" s="3"/>
    </row>
    <row r="8" spans="1:65" ht="108.75" customHeight="1" x14ac:dyDescent="0.25">
      <c r="A8" s="239" t="s">
        <v>24</v>
      </c>
      <c r="B8" s="18" t="s">
        <v>25</v>
      </c>
      <c r="C8" s="239" t="s">
        <v>24</v>
      </c>
      <c r="D8" s="18" t="s">
        <v>25</v>
      </c>
      <c r="E8" s="922" t="s">
        <v>24</v>
      </c>
      <c r="F8" s="18" t="s">
        <v>25</v>
      </c>
      <c r="G8" s="240" t="s">
        <v>26</v>
      </c>
      <c r="H8" s="1353" t="s">
        <v>27</v>
      </c>
      <c r="I8" s="240" t="s">
        <v>28</v>
      </c>
      <c r="J8" s="240" t="s">
        <v>122</v>
      </c>
      <c r="K8" s="240" t="s">
        <v>26</v>
      </c>
      <c r="L8" s="240" t="s">
        <v>30</v>
      </c>
      <c r="M8" s="18" t="s">
        <v>31</v>
      </c>
      <c r="N8" s="923" t="s">
        <v>32</v>
      </c>
      <c r="O8" s="1354" t="s">
        <v>185</v>
      </c>
      <c r="P8" s="1354" t="s">
        <v>34</v>
      </c>
      <c r="Q8" s="1354" t="s">
        <v>35</v>
      </c>
      <c r="R8" s="1355" t="s">
        <v>36</v>
      </c>
      <c r="S8" s="1356" t="s">
        <v>37</v>
      </c>
      <c r="T8" s="1354" t="s">
        <v>38</v>
      </c>
      <c r="U8" s="1354" t="s">
        <v>39</v>
      </c>
      <c r="V8" s="1357" t="s">
        <v>40</v>
      </c>
      <c r="W8" s="1358" t="s">
        <v>37</v>
      </c>
      <c r="X8" s="1359" t="s">
        <v>42</v>
      </c>
      <c r="Y8" s="239" t="s">
        <v>43</v>
      </c>
      <c r="Z8" s="240" t="s">
        <v>25</v>
      </c>
      <c r="AA8" s="927" t="s">
        <v>44</v>
      </c>
      <c r="AB8" s="928" t="s">
        <v>45</v>
      </c>
      <c r="AC8" s="1360" t="s">
        <v>46</v>
      </c>
      <c r="AD8" s="929" t="s">
        <v>47</v>
      </c>
      <c r="AE8" s="929" t="s">
        <v>48</v>
      </c>
      <c r="AF8" s="929" t="s">
        <v>49</v>
      </c>
      <c r="AG8" s="929" t="s">
        <v>50</v>
      </c>
      <c r="AH8" s="929" t="s">
        <v>51</v>
      </c>
      <c r="AI8" s="929" t="s">
        <v>52</v>
      </c>
      <c r="AJ8" s="929" t="s">
        <v>189</v>
      </c>
      <c r="AK8" s="929" t="s">
        <v>54</v>
      </c>
      <c r="AL8" s="929" t="s">
        <v>55</v>
      </c>
      <c r="AM8" s="929" t="s">
        <v>56</v>
      </c>
      <c r="AN8" s="929" t="s">
        <v>57</v>
      </c>
      <c r="AO8" s="929" t="s">
        <v>58</v>
      </c>
      <c r="AP8" s="2987"/>
      <c r="AQ8" s="3782"/>
      <c r="AR8" s="3782"/>
      <c r="AS8" s="3282"/>
      <c r="AT8" s="3"/>
      <c r="AU8" s="3"/>
      <c r="AV8" s="3"/>
      <c r="AW8" s="3"/>
      <c r="AX8" s="3"/>
      <c r="AY8" s="3"/>
      <c r="AZ8" s="3"/>
      <c r="BA8" s="3"/>
      <c r="BB8" s="3"/>
      <c r="BC8" s="3"/>
      <c r="BD8" s="3"/>
      <c r="BE8" s="3"/>
      <c r="BF8" s="3"/>
      <c r="BG8" s="3"/>
      <c r="BH8" s="3"/>
      <c r="BI8" s="3"/>
      <c r="BJ8" s="3"/>
      <c r="BK8" s="3"/>
      <c r="BL8" s="3"/>
      <c r="BM8" s="3"/>
    </row>
    <row r="9" spans="1:65" ht="27" customHeight="1" x14ac:dyDescent="0.25">
      <c r="A9" s="1361">
        <v>1</v>
      </c>
      <c r="B9" s="3618" t="s">
        <v>1688</v>
      </c>
      <c r="C9" s="3148"/>
      <c r="D9" s="3148"/>
      <c r="E9" s="3148"/>
      <c r="F9" s="3148"/>
      <c r="G9" s="3148"/>
      <c r="H9" s="1362"/>
      <c r="I9" s="665"/>
      <c r="J9" s="1092"/>
      <c r="K9" s="668"/>
      <c r="L9" s="1092"/>
      <c r="M9" s="665"/>
      <c r="N9" s="1362"/>
      <c r="O9" s="665"/>
      <c r="P9" s="665"/>
      <c r="Q9" s="1362"/>
      <c r="R9" s="666"/>
      <c r="S9" s="667"/>
      <c r="T9" s="665"/>
      <c r="U9" s="665"/>
      <c r="V9" s="1092"/>
      <c r="W9" s="667"/>
      <c r="X9" s="665"/>
      <c r="Y9" s="668"/>
      <c r="Z9" s="665"/>
      <c r="AA9" s="665"/>
      <c r="AB9" s="665"/>
      <c r="AC9" s="668"/>
      <c r="AD9" s="665"/>
      <c r="AE9" s="665"/>
      <c r="AF9" s="665"/>
      <c r="AG9" s="665"/>
      <c r="AH9" s="665"/>
      <c r="AI9" s="665"/>
      <c r="AJ9" s="665"/>
      <c r="AK9" s="665"/>
      <c r="AL9" s="665"/>
      <c r="AM9" s="665"/>
      <c r="AN9" s="665"/>
      <c r="AO9" s="665"/>
      <c r="AP9" s="665"/>
      <c r="AQ9" s="1363"/>
      <c r="AR9" s="1363"/>
      <c r="AS9" s="670"/>
      <c r="AT9" s="3"/>
      <c r="AU9" s="3"/>
      <c r="AV9" s="3"/>
      <c r="AW9" s="3"/>
      <c r="AX9" s="3"/>
      <c r="AY9" s="3"/>
      <c r="AZ9" s="3"/>
      <c r="BA9" s="3"/>
      <c r="BB9" s="3"/>
      <c r="BC9" s="3"/>
      <c r="BD9" s="3"/>
      <c r="BE9" s="3"/>
      <c r="BF9" s="3"/>
      <c r="BG9" s="3"/>
      <c r="BH9" s="3"/>
      <c r="BI9" s="3"/>
      <c r="BJ9" s="3"/>
      <c r="BK9" s="3"/>
      <c r="BL9" s="3"/>
      <c r="BM9" s="3"/>
    </row>
    <row r="10" spans="1:65" ht="27" customHeight="1" x14ac:dyDescent="0.25">
      <c r="A10" s="823"/>
      <c r="B10" s="1035"/>
      <c r="C10" s="36">
        <v>19</v>
      </c>
      <c r="D10" s="2210" t="s">
        <v>408</v>
      </c>
      <c r="E10" s="2682"/>
      <c r="F10" s="2682"/>
      <c r="G10" s="2682"/>
      <c r="H10" s="2682"/>
      <c r="I10" s="2682"/>
      <c r="J10" s="1364"/>
      <c r="K10" s="43"/>
      <c r="L10" s="1364"/>
      <c r="M10" s="38"/>
      <c r="N10" s="1365"/>
      <c r="O10" s="38"/>
      <c r="P10" s="38"/>
      <c r="Q10" s="1365"/>
      <c r="R10" s="40"/>
      <c r="S10" s="42"/>
      <c r="T10" s="38"/>
      <c r="U10" s="38"/>
      <c r="V10" s="1364"/>
      <c r="W10" s="42"/>
      <c r="X10" s="38"/>
      <c r="Y10" s="43"/>
      <c r="Z10" s="38"/>
      <c r="AA10" s="38"/>
      <c r="AB10" s="38"/>
      <c r="AC10" s="43"/>
      <c r="AD10" s="38"/>
      <c r="AE10" s="38"/>
      <c r="AF10" s="38"/>
      <c r="AG10" s="38"/>
      <c r="AH10" s="38"/>
      <c r="AI10" s="38"/>
      <c r="AJ10" s="38"/>
      <c r="AK10" s="38"/>
      <c r="AL10" s="38"/>
      <c r="AM10" s="38"/>
      <c r="AN10" s="38"/>
      <c r="AO10" s="38"/>
      <c r="AP10" s="38"/>
      <c r="AQ10" s="1366"/>
      <c r="AR10" s="1366"/>
      <c r="AS10" s="401"/>
    </row>
    <row r="11" spans="1:65" ht="27" customHeight="1" x14ac:dyDescent="0.25">
      <c r="A11" s="3650"/>
      <c r="B11" s="3651"/>
      <c r="C11" s="823"/>
      <c r="D11" s="824"/>
      <c r="E11" s="714">
        <v>1903</v>
      </c>
      <c r="F11" s="1683" t="s">
        <v>1689</v>
      </c>
      <c r="G11" s="1247"/>
      <c r="H11" s="1247"/>
      <c r="I11" s="1247"/>
      <c r="J11" s="1247"/>
      <c r="K11" s="1247"/>
      <c r="L11" s="1247"/>
      <c r="M11" s="1247"/>
      <c r="N11" s="1247"/>
      <c r="O11" s="1247"/>
      <c r="P11" s="1247"/>
      <c r="Q11" s="1247"/>
      <c r="R11" s="1247"/>
      <c r="S11" s="1247"/>
      <c r="T11" s="709"/>
      <c r="U11" s="709"/>
      <c r="V11" s="1118"/>
      <c r="W11" s="1133"/>
      <c r="X11" s="62"/>
      <c r="Y11" s="712"/>
      <c r="Z11" s="709"/>
      <c r="AA11" s="709"/>
      <c r="AB11" s="709"/>
      <c r="AC11" s="712"/>
      <c r="AD11" s="709"/>
      <c r="AE11" s="709"/>
      <c r="AF11" s="709"/>
      <c r="AG11" s="709"/>
      <c r="AH11" s="709"/>
      <c r="AI11" s="709"/>
      <c r="AJ11" s="709"/>
      <c r="AK11" s="709"/>
      <c r="AL11" s="709"/>
      <c r="AM11" s="709"/>
      <c r="AN11" s="709"/>
      <c r="AO11" s="709"/>
      <c r="AP11" s="709"/>
      <c r="AQ11" s="1367"/>
      <c r="AR11" s="1367"/>
      <c r="AS11" s="714"/>
    </row>
    <row r="12" spans="1:65" ht="60" x14ac:dyDescent="0.25">
      <c r="A12" s="3650"/>
      <c r="B12" s="3651"/>
      <c r="C12" s="422"/>
      <c r="D12" s="423"/>
      <c r="E12" s="525"/>
      <c r="F12" s="525"/>
      <c r="G12" s="2309">
        <v>1903009</v>
      </c>
      <c r="H12" s="3163" t="s">
        <v>1690</v>
      </c>
      <c r="I12" s="2309">
        <v>1903009</v>
      </c>
      <c r="J12" s="3163" t="s">
        <v>1691</v>
      </c>
      <c r="K12" s="3197">
        <v>190300900</v>
      </c>
      <c r="L12" s="3163" t="s">
        <v>1690</v>
      </c>
      <c r="M12" s="3197">
        <v>190300900</v>
      </c>
      <c r="N12" s="3163" t="s">
        <v>1692</v>
      </c>
      <c r="O12" s="2309">
        <v>600</v>
      </c>
      <c r="P12" s="2309" t="s">
        <v>1693</v>
      </c>
      <c r="Q12" s="3163" t="s">
        <v>1694</v>
      </c>
      <c r="R12" s="3652">
        <f>SUM(W12:W14)/S12</f>
        <v>2.249477175495207E-2</v>
      </c>
      <c r="S12" s="3656">
        <f>SUM(W12:W45)</f>
        <v>1689281421.21</v>
      </c>
      <c r="T12" s="3163" t="s">
        <v>1695</v>
      </c>
      <c r="U12" s="3658" t="s">
        <v>1696</v>
      </c>
      <c r="V12" s="1693" t="s">
        <v>1697</v>
      </c>
      <c r="W12" s="1116">
        <v>10000000</v>
      </c>
      <c r="X12" s="182" t="s">
        <v>1698</v>
      </c>
      <c r="Y12" s="983">
        <v>61</v>
      </c>
      <c r="Z12" s="1060" t="s">
        <v>1699</v>
      </c>
      <c r="AA12" s="2480">
        <v>289394</v>
      </c>
      <c r="AB12" s="2480">
        <v>279112</v>
      </c>
      <c r="AC12" s="2480">
        <v>63164</v>
      </c>
      <c r="AD12" s="2480">
        <v>45607</v>
      </c>
      <c r="AE12" s="2480">
        <v>365607</v>
      </c>
      <c r="AF12" s="2480">
        <v>75612</v>
      </c>
      <c r="AG12" s="2480">
        <v>2145</v>
      </c>
      <c r="AH12" s="2480">
        <v>12718</v>
      </c>
      <c r="AI12" s="2480">
        <v>26</v>
      </c>
      <c r="AJ12" s="2480">
        <v>37</v>
      </c>
      <c r="AK12" s="2480">
        <v>0</v>
      </c>
      <c r="AL12" s="2480">
        <v>0</v>
      </c>
      <c r="AM12" s="2480">
        <v>78</v>
      </c>
      <c r="AN12" s="2480">
        <v>16897</v>
      </c>
      <c r="AO12" s="2480">
        <v>852</v>
      </c>
      <c r="AP12" s="2480">
        <v>568506</v>
      </c>
      <c r="AQ12" s="3653">
        <v>44197</v>
      </c>
      <c r="AR12" s="3653">
        <v>44561</v>
      </c>
      <c r="AS12" s="3197" t="s">
        <v>1700</v>
      </c>
    </row>
    <row r="13" spans="1:65" ht="45" x14ac:dyDescent="0.25">
      <c r="A13" s="3650"/>
      <c r="B13" s="3651"/>
      <c r="C13" s="422"/>
      <c r="D13" s="423"/>
      <c r="E13" s="525"/>
      <c r="F13" s="525"/>
      <c r="G13" s="2197"/>
      <c r="H13" s="2182"/>
      <c r="I13" s="2197"/>
      <c r="J13" s="2182"/>
      <c r="K13" s="3647"/>
      <c r="L13" s="2182"/>
      <c r="M13" s="3647"/>
      <c r="N13" s="2182"/>
      <c r="O13" s="2197"/>
      <c r="P13" s="2197"/>
      <c r="Q13" s="2182"/>
      <c r="R13" s="3646"/>
      <c r="S13" s="3657"/>
      <c r="T13" s="2182"/>
      <c r="U13" s="3658"/>
      <c r="V13" s="1471" t="s">
        <v>1701</v>
      </c>
      <c r="W13" s="1368">
        <v>10000000</v>
      </c>
      <c r="X13" s="182" t="s">
        <v>1698</v>
      </c>
      <c r="Y13" s="972">
        <v>61</v>
      </c>
      <c r="Z13" s="1047" t="s">
        <v>1699</v>
      </c>
      <c r="AA13" s="2480"/>
      <c r="AB13" s="2480"/>
      <c r="AC13" s="2480"/>
      <c r="AD13" s="2480"/>
      <c r="AE13" s="2480"/>
      <c r="AF13" s="2480"/>
      <c r="AG13" s="2480"/>
      <c r="AH13" s="2480"/>
      <c r="AI13" s="2480"/>
      <c r="AJ13" s="2480"/>
      <c r="AK13" s="2480"/>
      <c r="AL13" s="2480"/>
      <c r="AM13" s="2480"/>
      <c r="AN13" s="2480"/>
      <c r="AO13" s="2480"/>
      <c r="AP13" s="2480"/>
      <c r="AQ13" s="3653"/>
      <c r="AR13" s="3653"/>
      <c r="AS13" s="3647"/>
    </row>
    <row r="14" spans="1:65" ht="60" x14ac:dyDescent="0.25">
      <c r="A14" s="3650"/>
      <c r="B14" s="3651"/>
      <c r="C14" s="422"/>
      <c r="D14" s="423"/>
      <c r="E14" s="525"/>
      <c r="F14" s="1082"/>
      <c r="G14" s="2197"/>
      <c r="H14" s="2182"/>
      <c r="I14" s="2197"/>
      <c r="J14" s="2182"/>
      <c r="K14" s="3647"/>
      <c r="L14" s="2182"/>
      <c r="M14" s="3647"/>
      <c r="N14" s="2182"/>
      <c r="O14" s="2197"/>
      <c r="P14" s="2197"/>
      <c r="Q14" s="2182"/>
      <c r="R14" s="3646"/>
      <c r="S14" s="3657"/>
      <c r="T14" s="2182"/>
      <c r="U14" s="3658"/>
      <c r="V14" s="1471" t="s">
        <v>1702</v>
      </c>
      <c r="W14" s="1368">
        <v>18000000</v>
      </c>
      <c r="X14" s="182" t="s">
        <v>1698</v>
      </c>
      <c r="Y14" s="972">
        <v>61</v>
      </c>
      <c r="Z14" s="1047" t="s">
        <v>1699</v>
      </c>
      <c r="AA14" s="2480"/>
      <c r="AB14" s="2480"/>
      <c r="AC14" s="2480"/>
      <c r="AD14" s="2480"/>
      <c r="AE14" s="2480"/>
      <c r="AF14" s="2480"/>
      <c r="AG14" s="2480"/>
      <c r="AH14" s="2480"/>
      <c r="AI14" s="2480"/>
      <c r="AJ14" s="2480"/>
      <c r="AK14" s="2480"/>
      <c r="AL14" s="2480"/>
      <c r="AM14" s="2480"/>
      <c r="AN14" s="2480"/>
      <c r="AO14" s="2480"/>
      <c r="AP14" s="2480"/>
      <c r="AQ14" s="3653"/>
      <c r="AR14" s="3653"/>
      <c r="AS14" s="3647"/>
    </row>
    <row r="15" spans="1:65" ht="30" x14ac:dyDescent="0.25">
      <c r="A15" s="3650"/>
      <c r="B15" s="3651"/>
      <c r="C15" s="422"/>
      <c r="D15" s="423"/>
      <c r="E15" s="525"/>
      <c r="F15" s="525"/>
      <c r="G15" s="2198">
        <v>1903031</v>
      </c>
      <c r="H15" s="2196" t="s">
        <v>1703</v>
      </c>
      <c r="I15" s="2198">
        <v>1903031</v>
      </c>
      <c r="J15" s="2196" t="s">
        <v>1703</v>
      </c>
      <c r="K15" s="3195">
        <v>190303100</v>
      </c>
      <c r="L15" s="2196" t="s">
        <v>1704</v>
      </c>
      <c r="M15" s="3195">
        <v>190303100</v>
      </c>
      <c r="N15" s="2196" t="s">
        <v>1704</v>
      </c>
      <c r="O15" s="2198">
        <v>12</v>
      </c>
      <c r="P15" s="2197"/>
      <c r="Q15" s="2182"/>
      <c r="R15" s="3646">
        <f>SUM(W15:W17)/S12</f>
        <v>4.3805608154380345E-2</v>
      </c>
      <c r="S15" s="3657"/>
      <c r="T15" s="2182"/>
      <c r="U15" s="3658"/>
      <c r="V15" s="1471" t="s">
        <v>1705</v>
      </c>
      <c r="W15" s="1368">
        <v>28000000</v>
      </c>
      <c r="X15" s="182" t="s">
        <v>1706</v>
      </c>
      <c r="Y15" s="972">
        <v>61</v>
      </c>
      <c r="Z15" s="1047" t="s">
        <v>1699</v>
      </c>
      <c r="AA15" s="2480"/>
      <c r="AB15" s="2480"/>
      <c r="AC15" s="2480"/>
      <c r="AD15" s="2480"/>
      <c r="AE15" s="2480"/>
      <c r="AF15" s="2480"/>
      <c r="AG15" s="2480"/>
      <c r="AH15" s="2480"/>
      <c r="AI15" s="2480"/>
      <c r="AJ15" s="2480"/>
      <c r="AK15" s="2480"/>
      <c r="AL15" s="2480"/>
      <c r="AM15" s="2480"/>
      <c r="AN15" s="2480"/>
      <c r="AO15" s="2480"/>
      <c r="AP15" s="2480"/>
      <c r="AQ15" s="3653"/>
      <c r="AR15" s="3653"/>
      <c r="AS15" s="3647"/>
    </row>
    <row r="16" spans="1:65" ht="60" x14ac:dyDescent="0.25">
      <c r="A16" s="3650"/>
      <c r="B16" s="3651"/>
      <c r="C16" s="422"/>
      <c r="D16" s="423"/>
      <c r="E16" s="525"/>
      <c r="F16" s="525"/>
      <c r="G16" s="2308"/>
      <c r="H16" s="3162"/>
      <c r="I16" s="2308"/>
      <c r="J16" s="3162"/>
      <c r="K16" s="3196"/>
      <c r="L16" s="3162"/>
      <c r="M16" s="3196"/>
      <c r="N16" s="3162"/>
      <c r="O16" s="2308"/>
      <c r="P16" s="2197"/>
      <c r="Q16" s="2182"/>
      <c r="R16" s="3646"/>
      <c r="S16" s="3657"/>
      <c r="T16" s="2182"/>
      <c r="U16" s="3658"/>
      <c r="V16" s="1471" t="s">
        <v>1707</v>
      </c>
      <c r="W16" s="1368">
        <v>32000000</v>
      </c>
      <c r="X16" s="182" t="s">
        <v>1706</v>
      </c>
      <c r="Y16" s="972">
        <v>61</v>
      </c>
      <c r="Z16" s="1047" t="s">
        <v>1699</v>
      </c>
      <c r="AA16" s="2480"/>
      <c r="AB16" s="2480"/>
      <c r="AC16" s="2480"/>
      <c r="AD16" s="2480"/>
      <c r="AE16" s="2480"/>
      <c r="AF16" s="2480"/>
      <c r="AG16" s="2480"/>
      <c r="AH16" s="2480"/>
      <c r="AI16" s="2480"/>
      <c r="AJ16" s="2480"/>
      <c r="AK16" s="2480"/>
      <c r="AL16" s="2480"/>
      <c r="AM16" s="2480"/>
      <c r="AN16" s="2480"/>
      <c r="AO16" s="2480"/>
      <c r="AP16" s="2480"/>
      <c r="AQ16" s="3653"/>
      <c r="AR16" s="3653"/>
      <c r="AS16" s="3647"/>
    </row>
    <row r="17" spans="1:45" ht="30" x14ac:dyDescent="0.25">
      <c r="A17" s="3650"/>
      <c r="B17" s="3651"/>
      <c r="C17" s="422"/>
      <c r="D17" s="423"/>
      <c r="E17" s="525"/>
      <c r="F17" s="525"/>
      <c r="G17" s="2309"/>
      <c r="H17" s="3163"/>
      <c r="I17" s="2309"/>
      <c r="J17" s="3163"/>
      <c r="K17" s="3197"/>
      <c r="L17" s="3163"/>
      <c r="M17" s="3197"/>
      <c r="N17" s="3163"/>
      <c r="O17" s="2309"/>
      <c r="P17" s="2197"/>
      <c r="Q17" s="2182"/>
      <c r="R17" s="3646"/>
      <c r="S17" s="3657"/>
      <c r="T17" s="2182"/>
      <c r="U17" s="3658"/>
      <c r="V17" s="1471" t="s">
        <v>1708</v>
      </c>
      <c r="W17" s="1368">
        <v>14000000</v>
      </c>
      <c r="X17" s="182" t="s">
        <v>1706</v>
      </c>
      <c r="Y17" s="972">
        <v>61</v>
      </c>
      <c r="Z17" s="1047" t="s">
        <v>1699</v>
      </c>
      <c r="AA17" s="2480"/>
      <c r="AB17" s="2480"/>
      <c r="AC17" s="2480"/>
      <c r="AD17" s="2480"/>
      <c r="AE17" s="2480"/>
      <c r="AF17" s="2480"/>
      <c r="AG17" s="2480"/>
      <c r="AH17" s="2480"/>
      <c r="AI17" s="2480"/>
      <c r="AJ17" s="2480"/>
      <c r="AK17" s="2480"/>
      <c r="AL17" s="2480"/>
      <c r="AM17" s="2480"/>
      <c r="AN17" s="2480"/>
      <c r="AO17" s="2480"/>
      <c r="AP17" s="2480"/>
      <c r="AQ17" s="3653"/>
      <c r="AR17" s="3653"/>
      <c r="AS17" s="3647"/>
    </row>
    <row r="18" spans="1:45" ht="30" x14ac:dyDescent="0.25">
      <c r="A18" s="3650"/>
      <c r="B18" s="3651"/>
      <c r="C18" s="422"/>
      <c r="D18" s="423"/>
      <c r="E18" s="525"/>
      <c r="F18" s="525"/>
      <c r="G18" s="2197">
        <v>1903023</v>
      </c>
      <c r="H18" s="2182" t="s">
        <v>1709</v>
      </c>
      <c r="I18" s="2197">
        <v>1903023</v>
      </c>
      <c r="J18" s="2182" t="s">
        <v>1709</v>
      </c>
      <c r="K18" s="3649">
        <v>190302300</v>
      </c>
      <c r="L18" s="2313" t="s">
        <v>1710</v>
      </c>
      <c r="M18" s="3649">
        <v>190302300</v>
      </c>
      <c r="N18" s="2313" t="s">
        <v>1710</v>
      </c>
      <c r="O18" s="2197">
        <v>12</v>
      </c>
      <c r="P18" s="2197"/>
      <c r="Q18" s="2182"/>
      <c r="R18" s="3646">
        <f>SUM(W18:W20)/S12</f>
        <v>1.6575094977333105E-2</v>
      </c>
      <c r="S18" s="3657"/>
      <c r="T18" s="2182"/>
      <c r="U18" s="3658"/>
      <c r="V18" s="1471" t="s">
        <v>1711</v>
      </c>
      <c r="W18" s="1368">
        <v>14000000</v>
      </c>
      <c r="X18" s="182" t="s">
        <v>1712</v>
      </c>
      <c r="Y18" s="972">
        <v>61</v>
      </c>
      <c r="Z18" s="1047" t="s">
        <v>1699</v>
      </c>
      <c r="AA18" s="2480"/>
      <c r="AB18" s="2480"/>
      <c r="AC18" s="2480"/>
      <c r="AD18" s="2480"/>
      <c r="AE18" s="2480"/>
      <c r="AF18" s="2480"/>
      <c r="AG18" s="2480"/>
      <c r="AH18" s="2480"/>
      <c r="AI18" s="2480"/>
      <c r="AJ18" s="2480"/>
      <c r="AK18" s="2480"/>
      <c r="AL18" s="2480"/>
      <c r="AM18" s="2480"/>
      <c r="AN18" s="2480"/>
      <c r="AO18" s="2480"/>
      <c r="AP18" s="2480"/>
      <c r="AQ18" s="3653"/>
      <c r="AR18" s="3653"/>
      <c r="AS18" s="3647"/>
    </row>
    <row r="19" spans="1:45" ht="45" x14ac:dyDescent="0.25">
      <c r="A19" s="3650"/>
      <c r="B19" s="3651"/>
      <c r="C19" s="422"/>
      <c r="D19" s="423"/>
      <c r="E19" s="525"/>
      <c r="F19" s="525"/>
      <c r="G19" s="2197"/>
      <c r="H19" s="2182"/>
      <c r="I19" s="2197"/>
      <c r="J19" s="2182"/>
      <c r="K19" s="3649"/>
      <c r="L19" s="2313"/>
      <c r="M19" s="3649"/>
      <c r="N19" s="2313"/>
      <c r="O19" s="2197"/>
      <c r="P19" s="2197"/>
      <c r="Q19" s="2182"/>
      <c r="R19" s="3646"/>
      <c r="S19" s="3657"/>
      <c r="T19" s="2182"/>
      <c r="U19" s="3658"/>
      <c r="V19" s="1471" t="s">
        <v>1713</v>
      </c>
      <c r="W19" s="1368">
        <v>7000000</v>
      </c>
      <c r="X19" s="182" t="s">
        <v>1712</v>
      </c>
      <c r="Y19" s="972">
        <v>61</v>
      </c>
      <c r="Z19" s="1047" t="s">
        <v>1699</v>
      </c>
      <c r="AA19" s="2480"/>
      <c r="AB19" s="2480"/>
      <c r="AC19" s="2480"/>
      <c r="AD19" s="2480"/>
      <c r="AE19" s="2480"/>
      <c r="AF19" s="2480"/>
      <c r="AG19" s="2480"/>
      <c r="AH19" s="2480"/>
      <c r="AI19" s="2480"/>
      <c r="AJ19" s="2480"/>
      <c r="AK19" s="2480"/>
      <c r="AL19" s="2480"/>
      <c r="AM19" s="2480"/>
      <c r="AN19" s="2480"/>
      <c r="AO19" s="2480"/>
      <c r="AP19" s="2480"/>
      <c r="AQ19" s="3653"/>
      <c r="AR19" s="3653"/>
      <c r="AS19" s="3647"/>
    </row>
    <row r="20" spans="1:45" ht="42" customHeight="1" x14ac:dyDescent="0.25">
      <c r="A20" s="3650"/>
      <c r="B20" s="3651"/>
      <c r="C20" s="422"/>
      <c r="D20" s="423"/>
      <c r="E20" s="525"/>
      <c r="F20" s="525"/>
      <c r="G20" s="2197"/>
      <c r="H20" s="2182"/>
      <c r="I20" s="2197"/>
      <c r="J20" s="2182"/>
      <c r="K20" s="3649"/>
      <c r="L20" s="2313"/>
      <c r="M20" s="3649"/>
      <c r="N20" s="2313"/>
      <c r="O20" s="2197"/>
      <c r="P20" s="2197"/>
      <c r="Q20" s="2182"/>
      <c r="R20" s="3646"/>
      <c r="S20" s="3657"/>
      <c r="T20" s="2182"/>
      <c r="U20" s="3658"/>
      <c r="V20" s="1471" t="s">
        <v>1714</v>
      </c>
      <c r="W20" s="1368">
        <v>7000000</v>
      </c>
      <c r="X20" s="182" t="s">
        <v>1712</v>
      </c>
      <c r="Y20" s="972">
        <v>61</v>
      </c>
      <c r="Z20" s="1047" t="s">
        <v>1699</v>
      </c>
      <c r="AA20" s="2480"/>
      <c r="AB20" s="2480"/>
      <c r="AC20" s="2480"/>
      <c r="AD20" s="2480"/>
      <c r="AE20" s="2480"/>
      <c r="AF20" s="2480"/>
      <c r="AG20" s="2480"/>
      <c r="AH20" s="2480"/>
      <c r="AI20" s="2480"/>
      <c r="AJ20" s="2480"/>
      <c r="AK20" s="2480"/>
      <c r="AL20" s="2480"/>
      <c r="AM20" s="2480"/>
      <c r="AN20" s="2480"/>
      <c r="AO20" s="2480"/>
      <c r="AP20" s="2480"/>
      <c r="AQ20" s="3653"/>
      <c r="AR20" s="3653"/>
      <c r="AS20" s="3647"/>
    </row>
    <row r="21" spans="1:45" ht="30" x14ac:dyDescent="0.25">
      <c r="A21" s="3650"/>
      <c r="B21" s="3651"/>
      <c r="C21" s="422"/>
      <c r="D21" s="423"/>
      <c r="E21" s="525"/>
      <c r="F21" s="525"/>
      <c r="G21" s="2197" t="s">
        <v>62</v>
      </c>
      <c r="H21" s="2182" t="s">
        <v>1715</v>
      </c>
      <c r="I21" s="2197">
        <v>1903050</v>
      </c>
      <c r="J21" s="2182" t="s">
        <v>1716</v>
      </c>
      <c r="K21" s="3647" t="s">
        <v>62</v>
      </c>
      <c r="L21" s="2182" t="s">
        <v>1717</v>
      </c>
      <c r="M21" s="3647">
        <v>190305000</v>
      </c>
      <c r="N21" s="2182" t="s">
        <v>1718</v>
      </c>
      <c r="O21" s="2197">
        <v>12</v>
      </c>
      <c r="P21" s="2197"/>
      <c r="Q21" s="2182"/>
      <c r="R21" s="3646">
        <f>SUM(W21:W24)/S12</f>
        <v>1.6575094977333105E-2</v>
      </c>
      <c r="S21" s="3657"/>
      <c r="T21" s="2182"/>
      <c r="U21" s="3658"/>
      <c r="V21" s="1471" t="s">
        <v>1719</v>
      </c>
      <c r="W21" s="1369">
        <v>7000000</v>
      </c>
      <c r="X21" s="182" t="s">
        <v>1720</v>
      </c>
      <c r="Y21" s="972">
        <v>61</v>
      </c>
      <c r="Z21" s="1047" t="s">
        <v>1699</v>
      </c>
      <c r="AA21" s="2480"/>
      <c r="AB21" s="2480"/>
      <c r="AC21" s="2480"/>
      <c r="AD21" s="2480"/>
      <c r="AE21" s="2480"/>
      <c r="AF21" s="2480"/>
      <c r="AG21" s="2480"/>
      <c r="AH21" s="2480"/>
      <c r="AI21" s="2480"/>
      <c r="AJ21" s="2480"/>
      <c r="AK21" s="2480"/>
      <c r="AL21" s="2480"/>
      <c r="AM21" s="2480"/>
      <c r="AN21" s="2480"/>
      <c r="AO21" s="2480"/>
      <c r="AP21" s="2480"/>
      <c r="AQ21" s="3653"/>
      <c r="AR21" s="3653"/>
      <c r="AS21" s="3647"/>
    </row>
    <row r="22" spans="1:45" ht="54" customHeight="1" x14ac:dyDescent="0.25">
      <c r="A22" s="3650"/>
      <c r="B22" s="3651"/>
      <c r="C22" s="422"/>
      <c r="D22" s="423"/>
      <c r="E22" s="525"/>
      <c r="F22" s="525"/>
      <c r="G22" s="2197"/>
      <c r="H22" s="2182"/>
      <c r="I22" s="2197"/>
      <c r="J22" s="2182"/>
      <c r="K22" s="3647"/>
      <c r="L22" s="2182"/>
      <c r="M22" s="3647"/>
      <c r="N22" s="2182"/>
      <c r="O22" s="2197"/>
      <c r="P22" s="2197"/>
      <c r="Q22" s="2182"/>
      <c r="R22" s="3646"/>
      <c r="S22" s="3657"/>
      <c r="T22" s="2182"/>
      <c r="U22" s="3658"/>
      <c r="V22" s="1484" t="s">
        <v>1721</v>
      </c>
      <c r="W22" s="1114">
        <v>7000000</v>
      </c>
      <c r="X22" s="182" t="s">
        <v>1720</v>
      </c>
      <c r="Y22" s="972">
        <v>61</v>
      </c>
      <c r="Z22" s="1047" t="s">
        <v>1699</v>
      </c>
      <c r="AA22" s="2480"/>
      <c r="AB22" s="2480"/>
      <c r="AC22" s="2480"/>
      <c r="AD22" s="2480"/>
      <c r="AE22" s="2480"/>
      <c r="AF22" s="2480"/>
      <c r="AG22" s="2480"/>
      <c r="AH22" s="2480"/>
      <c r="AI22" s="2480"/>
      <c r="AJ22" s="2480"/>
      <c r="AK22" s="2480"/>
      <c r="AL22" s="2480"/>
      <c r="AM22" s="2480"/>
      <c r="AN22" s="2480"/>
      <c r="AO22" s="2480"/>
      <c r="AP22" s="2480"/>
      <c r="AQ22" s="3653"/>
      <c r="AR22" s="3653"/>
      <c r="AS22" s="3647"/>
    </row>
    <row r="23" spans="1:45" ht="60" x14ac:dyDescent="0.25">
      <c r="A23" s="3650"/>
      <c r="B23" s="3651"/>
      <c r="C23" s="422"/>
      <c r="D23" s="423"/>
      <c r="E23" s="525"/>
      <c r="F23" s="525"/>
      <c r="G23" s="2197"/>
      <c r="H23" s="2182"/>
      <c r="I23" s="2197"/>
      <c r="J23" s="2182"/>
      <c r="K23" s="3647"/>
      <c r="L23" s="2182"/>
      <c r="M23" s="3647"/>
      <c r="N23" s="2182"/>
      <c r="O23" s="2197"/>
      <c r="P23" s="2197"/>
      <c r="Q23" s="2182"/>
      <c r="R23" s="3646"/>
      <c r="S23" s="3657"/>
      <c r="T23" s="2182"/>
      <c r="U23" s="3658"/>
      <c r="V23" s="1484" t="s">
        <v>1722</v>
      </c>
      <c r="W23" s="1114">
        <v>7000000</v>
      </c>
      <c r="X23" s="182" t="s">
        <v>1720</v>
      </c>
      <c r="Y23" s="972">
        <v>61</v>
      </c>
      <c r="Z23" s="1047" t="s">
        <v>1699</v>
      </c>
      <c r="AA23" s="2480"/>
      <c r="AB23" s="2480"/>
      <c r="AC23" s="2480"/>
      <c r="AD23" s="2480"/>
      <c r="AE23" s="2480"/>
      <c r="AF23" s="2480"/>
      <c r="AG23" s="2480"/>
      <c r="AH23" s="2480"/>
      <c r="AI23" s="2480"/>
      <c r="AJ23" s="2480"/>
      <c r="AK23" s="2480"/>
      <c r="AL23" s="2480"/>
      <c r="AM23" s="2480"/>
      <c r="AN23" s="2480"/>
      <c r="AO23" s="2480"/>
      <c r="AP23" s="2480"/>
      <c r="AQ23" s="3653"/>
      <c r="AR23" s="3653"/>
      <c r="AS23" s="3647"/>
    </row>
    <row r="24" spans="1:45" ht="60" x14ac:dyDescent="0.25">
      <c r="A24" s="3650"/>
      <c r="B24" s="3651"/>
      <c r="C24" s="422"/>
      <c r="D24" s="423"/>
      <c r="E24" s="525"/>
      <c r="F24" s="525"/>
      <c r="G24" s="2198"/>
      <c r="H24" s="2196"/>
      <c r="I24" s="2198"/>
      <c r="J24" s="2196"/>
      <c r="K24" s="3195"/>
      <c r="L24" s="2196"/>
      <c r="M24" s="3195"/>
      <c r="N24" s="2196"/>
      <c r="O24" s="2198"/>
      <c r="P24" s="2197"/>
      <c r="Q24" s="2182"/>
      <c r="R24" s="3646"/>
      <c r="S24" s="3657"/>
      <c r="T24" s="2182"/>
      <c r="U24" s="2489"/>
      <c r="V24" s="1471" t="s">
        <v>1723</v>
      </c>
      <c r="W24" s="1116">
        <v>7000000</v>
      </c>
      <c r="X24" s="182" t="s">
        <v>1720</v>
      </c>
      <c r="Y24" s="972">
        <v>61</v>
      </c>
      <c r="Z24" s="1047" t="s">
        <v>1699</v>
      </c>
      <c r="AA24" s="2480"/>
      <c r="AB24" s="2480"/>
      <c r="AC24" s="2480"/>
      <c r="AD24" s="2480"/>
      <c r="AE24" s="2480"/>
      <c r="AF24" s="2480"/>
      <c r="AG24" s="2480"/>
      <c r="AH24" s="2480"/>
      <c r="AI24" s="2480"/>
      <c r="AJ24" s="2480"/>
      <c r="AK24" s="2480"/>
      <c r="AL24" s="2480"/>
      <c r="AM24" s="2480"/>
      <c r="AN24" s="2480"/>
      <c r="AO24" s="2480"/>
      <c r="AP24" s="2480"/>
      <c r="AQ24" s="3653"/>
      <c r="AR24" s="3653"/>
      <c r="AS24" s="3647"/>
    </row>
    <row r="25" spans="1:45" ht="45" customHeight="1" x14ac:dyDescent="0.25">
      <c r="A25" s="3650"/>
      <c r="B25" s="3651"/>
      <c r="C25" s="422"/>
      <c r="D25" s="423"/>
      <c r="E25" s="525"/>
      <c r="F25" s="525"/>
      <c r="G25" s="2260" t="s">
        <v>62</v>
      </c>
      <c r="H25" s="2793" t="s">
        <v>1724</v>
      </c>
      <c r="I25" s="2260">
        <v>1903038</v>
      </c>
      <c r="J25" s="2793" t="s">
        <v>1725</v>
      </c>
      <c r="K25" s="3655" t="s">
        <v>62</v>
      </c>
      <c r="L25" s="2793" t="s">
        <v>1726</v>
      </c>
      <c r="M25" s="3655">
        <v>190303801</v>
      </c>
      <c r="N25" s="2793" t="s">
        <v>1727</v>
      </c>
      <c r="O25" s="2260">
        <v>1</v>
      </c>
      <c r="P25" s="3648"/>
      <c r="Q25" s="2182"/>
      <c r="R25" s="3660">
        <f>SUM(W25:W41)/S12</f>
        <v>0.86680727250357326</v>
      </c>
      <c r="S25" s="3657"/>
      <c r="T25" s="2182"/>
      <c r="U25" s="2488" t="s">
        <v>1728</v>
      </c>
      <c r="V25" s="1471" t="s">
        <v>1729</v>
      </c>
      <c r="W25" s="1368">
        <v>24000000</v>
      </c>
      <c r="X25" s="182" t="s">
        <v>1730</v>
      </c>
      <c r="Y25" s="972">
        <v>61</v>
      </c>
      <c r="Z25" s="1047" t="s">
        <v>1699</v>
      </c>
      <c r="AA25" s="2480"/>
      <c r="AB25" s="2480"/>
      <c r="AC25" s="2480"/>
      <c r="AD25" s="2480"/>
      <c r="AE25" s="2480"/>
      <c r="AF25" s="2480"/>
      <c r="AG25" s="2480"/>
      <c r="AH25" s="2480"/>
      <c r="AI25" s="2480"/>
      <c r="AJ25" s="2480"/>
      <c r="AK25" s="2480"/>
      <c r="AL25" s="2480"/>
      <c r="AM25" s="2480"/>
      <c r="AN25" s="2480"/>
      <c r="AO25" s="2480"/>
      <c r="AP25" s="2480"/>
      <c r="AQ25" s="3653"/>
      <c r="AR25" s="3653"/>
      <c r="AS25" s="3647"/>
    </row>
    <row r="26" spans="1:45" ht="60" x14ac:dyDescent="0.25">
      <c r="A26" s="3650"/>
      <c r="B26" s="3651"/>
      <c r="C26" s="422"/>
      <c r="D26" s="423"/>
      <c r="E26" s="525"/>
      <c r="F26" s="525"/>
      <c r="G26" s="2260"/>
      <c r="H26" s="2793"/>
      <c r="I26" s="2260"/>
      <c r="J26" s="2793"/>
      <c r="K26" s="3655"/>
      <c r="L26" s="2793"/>
      <c r="M26" s="3655"/>
      <c r="N26" s="2793"/>
      <c r="O26" s="2260"/>
      <c r="P26" s="3648"/>
      <c r="Q26" s="2182"/>
      <c r="R26" s="3661"/>
      <c r="S26" s="3657"/>
      <c r="T26" s="2182"/>
      <c r="U26" s="3658"/>
      <c r="V26" s="1471" t="s">
        <v>1731</v>
      </c>
      <c r="W26" s="1368">
        <v>24000000</v>
      </c>
      <c r="X26" s="182" t="s">
        <v>1730</v>
      </c>
      <c r="Y26" s="972">
        <v>61</v>
      </c>
      <c r="Z26" s="1047" t="s">
        <v>1699</v>
      </c>
      <c r="AA26" s="2480"/>
      <c r="AB26" s="2480"/>
      <c r="AC26" s="2480"/>
      <c r="AD26" s="2480"/>
      <c r="AE26" s="2480"/>
      <c r="AF26" s="2480"/>
      <c r="AG26" s="2480"/>
      <c r="AH26" s="2480"/>
      <c r="AI26" s="2480"/>
      <c r="AJ26" s="2480"/>
      <c r="AK26" s="2480"/>
      <c r="AL26" s="2480"/>
      <c r="AM26" s="2480"/>
      <c r="AN26" s="2480"/>
      <c r="AO26" s="2480"/>
      <c r="AP26" s="2480"/>
      <c r="AQ26" s="3653"/>
      <c r="AR26" s="3653"/>
      <c r="AS26" s="3647"/>
    </row>
    <row r="27" spans="1:45" ht="33" customHeight="1" x14ac:dyDescent="0.25">
      <c r="A27" s="3650"/>
      <c r="B27" s="3651"/>
      <c r="C27" s="422"/>
      <c r="D27" s="423"/>
      <c r="E27" s="525"/>
      <c r="F27" s="525"/>
      <c r="G27" s="2260"/>
      <c r="H27" s="2793"/>
      <c r="I27" s="2260"/>
      <c r="J27" s="2793"/>
      <c r="K27" s="3655"/>
      <c r="L27" s="2793"/>
      <c r="M27" s="3655"/>
      <c r="N27" s="2793"/>
      <c r="O27" s="2260"/>
      <c r="P27" s="3648"/>
      <c r="Q27" s="2182"/>
      <c r="R27" s="3661"/>
      <c r="S27" s="3657"/>
      <c r="T27" s="2182"/>
      <c r="U27" s="3658"/>
      <c r="V27" s="2196" t="s">
        <v>1732</v>
      </c>
      <c r="W27" s="1368">
        <v>12000000</v>
      </c>
      <c r="X27" s="182" t="s">
        <v>1733</v>
      </c>
      <c r="Y27" s="972">
        <v>63</v>
      </c>
      <c r="Z27" s="1047" t="s">
        <v>1734</v>
      </c>
      <c r="AA27" s="2480"/>
      <c r="AB27" s="2480"/>
      <c r="AC27" s="2480"/>
      <c r="AD27" s="2480"/>
      <c r="AE27" s="2480"/>
      <c r="AF27" s="2480"/>
      <c r="AG27" s="2480"/>
      <c r="AH27" s="2480"/>
      <c r="AI27" s="2480"/>
      <c r="AJ27" s="2480"/>
      <c r="AK27" s="2480"/>
      <c r="AL27" s="2480"/>
      <c r="AM27" s="2480"/>
      <c r="AN27" s="2480"/>
      <c r="AO27" s="2480"/>
      <c r="AP27" s="2480"/>
      <c r="AQ27" s="3653"/>
      <c r="AR27" s="3653"/>
      <c r="AS27" s="3647"/>
    </row>
    <row r="28" spans="1:45" ht="30.75" customHeight="1" x14ac:dyDescent="0.25">
      <c r="A28" s="3650"/>
      <c r="B28" s="3651"/>
      <c r="C28" s="422"/>
      <c r="D28" s="423"/>
      <c r="E28" s="525"/>
      <c r="F28" s="525"/>
      <c r="G28" s="2260"/>
      <c r="H28" s="2793"/>
      <c r="I28" s="2260"/>
      <c r="J28" s="2793"/>
      <c r="K28" s="3655"/>
      <c r="L28" s="2793"/>
      <c r="M28" s="3655"/>
      <c r="N28" s="2793"/>
      <c r="O28" s="2260"/>
      <c r="P28" s="3648"/>
      <c r="Q28" s="2182"/>
      <c r="R28" s="3661"/>
      <c r="S28" s="3657"/>
      <c r="T28" s="2182"/>
      <c r="U28" s="3658"/>
      <c r="V28" s="3163"/>
      <c r="W28" s="1368">
        <v>128231421.20999999</v>
      </c>
      <c r="X28" s="182" t="s">
        <v>1735</v>
      </c>
      <c r="Y28" s="972">
        <v>99</v>
      </c>
      <c r="Z28" s="1047" t="s">
        <v>1736</v>
      </c>
      <c r="AA28" s="2480"/>
      <c r="AB28" s="2480"/>
      <c r="AC28" s="2480"/>
      <c r="AD28" s="2480"/>
      <c r="AE28" s="2480"/>
      <c r="AF28" s="2480"/>
      <c r="AG28" s="2480"/>
      <c r="AH28" s="2480"/>
      <c r="AI28" s="2480"/>
      <c r="AJ28" s="2480"/>
      <c r="AK28" s="2480"/>
      <c r="AL28" s="2480"/>
      <c r="AM28" s="2480"/>
      <c r="AN28" s="2480"/>
      <c r="AO28" s="2480"/>
      <c r="AP28" s="2480"/>
      <c r="AQ28" s="3653"/>
      <c r="AR28" s="3653"/>
      <c r="AS28" s="3647"/>
    </row>
    <row r="29" spans="1:45" ht="34.5" customHeight="1" x14ac:dyDescent="0.25">
      <c r="A29" s="3650"/>
      <c r="B29" s="3651"/>
      <c r="C29" s="422"/>
      <c r="D29" s="423"/>
      <c r="E29" s="525"/>
      <c r="F29" s="525"/>
      <c r="G29" s="2260"/>
      <c r="H29" s="2793"/>
      <c r="I29" s="2260"/>
      <c r="J29" s="2793"/>
      <c r="K29" s="3655"/>
      <c r="L29" s="2793"/>
      <c r="M29" s="3655"/>
      <c r="N29" s="2793"/>
      <c r="O29" s="2260"/>
      <c r="P29" s="3648"/>
      <c r="Q29" s="2182"/>
      <c r="R29" s="3661"/>
      <c r="S29" s="3657"/>
      <c r="T29" s="2182"/>
      <c r="U29" s="3658"/>
      <c r="V29" s="2196" t="s">
        <v>1737</v>
      </c>
      <c r="W29" s="1368">
        <v>100000000</v>
      </c>
      <c r="X29" s="182" t="s">
        <v>1733</v>
      </c>
      <c r="Y29" s="972">
        <v>63</v>
      </c>
      <c r="Z29" s="1047" t="s">
        <v>1734</v>
      </c>
      <c r="AA29" s="2480"/>
      <c r="AB29" s="2480"/>
      <c r="AC29" s="2480"/>
      <c r="AD29" s="2480"/>
      <c r="AE29" s="2480"/>
      <c r="AF29" s="2480"/>
      <c r="AG29" s="2480"/>
      <c r="AH29" s="2480"/>
      <c r="AI29" s="2480"/>
      <c r="AJ29" s="2480"/>
      <c r="AK29" s="2480"/>
      <c r="AL29" s="2480"/>
      <c r="AM29" s="2480"/>
      <c r="AN29" s="2480"/>
      <c r="AO29" s="2480"/>
      <c r="AP29" s="2480"/>
      <c r="AQ29" s="3653"/>
      <c r="AR29" s="3653"/>
      <c r="AS29" s="3647"/>
    </row>
    <row r="30" spans="1:45" ht="35.25" customHeight="1" x14ac:dyDescent="0.25">
      <c r="A30" s="3650"/>
      <c r="B30" s="3651"/>
      <c r="C30" s="422"/>
      <c r="D30" s="423"/>
      <c r="E30" s="525"/>
      <c r="F30" s="525"/>
      <c r="G30" s="2260"/>
      <c r="H30" s="2793"/>
      <c r="I30" s="2260"/>
      <c r="J30" s="2793"/>
      <c r="K30" s="3655"/>
      <c r="L30" s="2793"/>
      <c r="M30" s="3655"/>
      <c r="N30" s="2793"/>
      <c r="O30" s="2260"/>
      <c r="P30" s="3648"/>
      <c r="Q30" s="2182"/>
      <c r="R30" s="3661"/>
      <c r="S30" s="3657"/>
      <c r="T30" s="2182"/>
      <c r="U30" s="3658"/>
      <c r="V30" s="3163"/>
      <c r="W30" s="1368">
        <v>66600000</v>
      </c>
      <c r="X30" s="182" t="s">
        <v>1735</v>
      </c>
      <c r="Y30" s="972">
        <v>99</v>
      </c>
      <c r="Z30" s="1047" t="s">
        <v>1736</v>
      </c>
      <c r="AA30" s="2480"/>
      <c r="AB30" s="2480"/>
      <c r="AC30" s="2480"/>
      <c r="AD30" s="2480"/>
      <c r="AE30" s="2480"/>
      <c r="AF30" s="2480"/>
      <c r="AG30" s="2480"/>
      <c r="AH30" s="2480"/>
      <c r="AI30" s="2480"/>
      <c r="AJ30" s="2480"/>
      <c r="AK30" s="2480"/>
      <c r="AL30" s="2480"/>
      <c r="AM30" s="2480"/>
      <c r="AN30" s="2480"/>
      <c r="AO30" s="2480"/>
      <c r="AP30" s="2480"/>
      <c r="AQ30" s="3653"/>
      <c r="AR30" s="3653"/>
      <c r="AS30" s="3647"/>
    </row>
    <row r="31" spans="1:45" ht="51.75" customHeight="1" x14ac:dyDescent="0.25">
      <c r="A31" s="3650"/>
      <c r="B31" s="3651"/>
      <c r="C31" s="422"/>
      <c r="D31" s="423"/>
      <c r="E31" s="525"/>
      <c r="F31" s="525"/>
      <c r="G31" s="2260"/>
      <c r="H31" s="2793"/>
      <c r="I31" s="2260"/>
      <c r="J31" s="2793"/>
      <c r="K31" s="3655"/>
      <c r="L31" s="2793"/>
      <c r="M31" s="3655"/>
      <c r="N31" s="2793"/>
      <c r="O31" s="2260"/>
      <c r="P31" s="3648"/>
      <c r="Q31" s="2182"/>
      <c r="R31" s="3661"/>
      <c r="S31" s="3657"/>
      <c r="T31" s="2182"/>
      <c r="U31" s="3658"/>
      <c r="V31" s="1471" t="s">
        <v>1738</v>
      </c>
      <c r="W31" s="1368">
        <v>22000000</v>
      </c>
      <c r="X31" s="182" t="s">
        <v>1739</v>
      </c>
      <c r="Y31" s="972">
        <v>63</v>
      </c>
      <c r="Z31" s="1047" t="s">
        <v>1734</v>
      </c>
      <c r="AA31" s="2480"/>
      <c r="AB31" s="2480"/>
      <c r="AC31" s="2480"/>
      <c r="AD31" s="2480"/>
      <c r="AE31" s="2480"/>
      <c r="AF31" s="2480"/>
      <c r="AG31" s="2480"/>
      <c r="AH31" s="2480"/>
      <c r="AI31" s="2480"/>
      <c r="AJ31" s="2480"/>
      <c r="AK31" s="2480"/>
      <c r="AL31" s="2480"/>
      <c r="AM31" s="2480"/>
      <c r="AN31" s="2480"/>
      <c r="AO31" s="2480"/>
      <c r="AP31" s="2480"/>
      <c r="AQ31" s="3653"/>
      <c r="AR31" s="3653"/>
      <c r="AS31" s="3647"/>
    </row>
    <row r="32" spans="1:45" ht="48.75" customHeight="1" x14ac:dyDescent="0.25">
      <c r="A32" s="3650"/>
      <c r="B32" s="3651"/>
      <c r="C32" s="422"/>
      <c r="D32" s="423"/>
      <c r="E32" s="525"/>
      <c r="F32" s="525"/>
      <c r="G32" s="2260"/>
      <c r="H32" s="2793"/>
      <c r="I32" s="2260"/>
      <c r="J32" s="2793"/>
      <c r="K32" s="3655"/>
      <c r="L32" s="2793"/>
      <c r="M32" s="3655"/>
      <c r="N32" s="2793"/>
      <c r="O32" s="2260"/>
      <c r="P32" s="3648"/>
      <c r="Q32" s="2182"/>
      <c r="R32" s="3661"/>
      <c r="S32" s="3657"/>
      <c r="T32" s="2182"/>
      <c r="U32" s="3658"/>
      <c r="V32" s="2196" t="s">
        <v>1740</v>
      </c>
      <c r="W32" s="1368">
        <v>10000000</v>
      </c>
      <c r="X32" s="182" t="s">
        <v>1733</v>
      </c>
      <c r="Y32" s="972">
        <v>63</v>
      </c>
      <c r="Z32" s="1047" t="s">
        <v>1734</v>
      </c>
      <c r="AA32" s="2480"/>
      <c r="AB32" s="2480"/>
      <c r="AC32" s="2480"/>
      <c r="AD32" s="2480"/>
      <c r="AE32" s="2480"/>
      <c r="AF32" s="2480"/>
      <c r="AG32" s="2480"/>
      <c r="AH32" s="2480"/>
      <c r="AI32" s="2480"/>
      <c r="AJ32" s="2480"/>
      <c r="AK32" s="2480"/>
      <c r="AL32" s="2480"/>
      <c r="AM32" s="2480"/>
      <c r="AN32" s="2480"/>
      <c r="AO32" s="2480"/>
      <c r="AP32" s="2480"/>
      <c r="AQ32" s="3653"/>
      <c r="AR32" s="3653"/>
      <c r="AS32" s="3647"/>
    </row>
    <row r="33" spans="1:45" ht="30.75" customHeight="1" x14ac:dyDescent="0.25">
      <c r="A33" s="3650"/>
      <c r="B33" s="3651"/>
      <c r="C33" s="422"/>
      <c r="D33" s="423"/>
      <c r="E33" s="525"/>
      <c r="F33" s="525"/>
      <c r="G33" s="2260"/>
      <c r="H33" s="2793"/>
      <c r="I33" s="2260"/>
      <c r="J33" s="2793"/>
      <c r="K33" s="3655"/>
      <c r="L33" s="2793"/>
      <c r="M33" s="3655"/>
      <c r="N33" s="2793"/>
      <c r="O33" s="2260"/>
      <c r="P33" s="3648"/>
      <c r="Q33" s="2182"/>
      <c r="R33" s="3661"/>
      <c r="S33" s="3657"/>
      <c r="T33" s="2182"/>
      <c r="U33" s="3658"/>
      <c r="V33" s="3163"/>
      <c r="W33" s="1368">
        <v>28700000</v>
      </c>
      <c r="X33" s="182" t="s">
        <v>1735</v>
      </c>
      <c r="Y33" s="972">
        <v>99</v>
      </c>
      <c r="Z33" s="1047" t="s">
        <v>1736</v>
      </c>
      <c r="AA33" s="2480"/>
      <c r="AB33" s="2480"/>
      <c r="AC33" s="2480"/>
      <c r="AD33" s="2480"/>
      <c r="AE33" s="2480"/>
      <c r="AF33" s="2480"/>
      <c r="AG33" s="2480"/>
      <c r="AH33" s="2480"/>
      <c r="AI33" s="2480"/>
      <c r="AJ33" s="2480"/>
      <c r="AK33" s="2480"/>
      <c r="AL33" s="2480"/>
      <c r="AM33" s="2480"/>
      <c r="AN33" s="2480"/>
      <c r="AO33" s="2480"/>
      <c r="AP33" s="2480"/>
      <c r="AQ33" s="3653"/>
      <c r="AR33" s="3653"/>
      <c r="AS33" s="3647"/>
    </row>
    <row r="34" spans="1:45" ht="32.25" customHeight="1" x14ac:dyDescent="0.25">
      <c r="A34" s="3650"/>
      <c r="B34" s="3651"/>
      <c r="C34" s="422"/>
      <c r="D34" s="423"/>
      <c r="E34" s="525"/>
      <c r="F34" s="525"/>
      <c r="G34" s="2260"/>
      <c r="H34" s="2793"/>
      <c r="I34" s="2260"/>
      <c r="J34" s="2793"/>
      <c r="K34" s="3655"/>
      <c r="L34" s="2793"/>
      <c r="M34" s="3655"/>
      <c r="N34" s="2793"/>
      <c r="O34" s="2260"/>
      <c r="P34" s="3648"/>
      <c r="Q34" s="2182"/>
      <c r="R34" s="3661"/>
      <c r="S34" s="3657"/>
      <c r="T34" s="2182"/>
      <c r="U34" s="3658"/>
      <c r="V34" s="2196" t="s">
        <v>1741</v>
      </c>
      <c r="W34" s="1368">
        <v>10000000</v>
      </c>
      <c r="X34" s="182" t="s">
        <v>1733</v>
      </c>
      <c r="Y34" s="972">
        <v>63</v>
      </c>
      <c r="Z34" s="1047" t="s">
        <v>1734</v>
      </c>
      <c r="AA34" s="2480"/>
      <c r="AB34" s="2480"/>
      <c r="AC34" s="2480"/>
      <c r="AD34" s="2480"/>
      <c r="AE34" s="2480"/>
      <c r="AF34" s="2480"/>
      <c r="AG34" s="2480"/>
      <c r="AH34" s="2480"/>
      <c r="AI34" s="2480"/>
      <c r="AJ34" s="2480"/>
      <c r="AK34" s="2480"/>
      <c r="AL34" s="2480"/>
      <c r="AM34" s="2480"/>
      <c r="AN34" s="2480"/>
      <c r="AO34" s="2480"/>
      <c r="AP34" s="2480"/>
      <c r="AQ34" s="3653"/>
      <c r="AR34" s="3653"/>
      <c r="AS34" s="3647"/>
    </row>
    <row r="35" spans="1:45" ht="30" customHeight="1" x14ac:dyDescent="0.25">
      <c r="A35" s="3650"/>
      <c r="B35" s="3651"/>
      <c r="C35" s="422"/>
      <c r="D35" s="423"/>
      <c r="E35" s="525"/>
      <c r="F35" s="525"/>
      <c r="G35" s="2260"/>
      <c r="H35" s="2793"/>
      <c r="I35" s="2260"/>
      <c r="J35" s="2793"/>
      <c r="K35" s="3655"/>
      <c r="L35" s="2793"/>
      <c r="M35" s="3655"/>
      <c r="N35" s="2793"/>
      <c r="O35" s="2260"/>
      <c r="P35" s="3648"/>
      <c r="Q35" s="2182"/>
      <c r="R35" s="3661"/>
      <c r="S35" s="3657"/>
      <c r="T35" s="2182"/>
      <c r="U35" s="3658"/>
      <c r="V35" s="3163"/>
      <c r="W35" s="1368">
        <v>28700000</v>
      </c>
      <c r="X35" s="182" t="s">
        <v>1735</v>
      </c>
      <c r="Y35" s="972">
        <v>99</v>
      </c>
      <c r="Z35" s="1047" t="s">
        <v>1736</v>
      </c>
      <c r="AA35" s="2480"/>
      <c r="AB35" s="2480"/>
      <c r="AC35" s="2480"/>
      <c r="AD35" s="2480"/>
      <c r="AE35" s="2480"/>
      <c r="AF35" s="2480"/>
      <c r="AG35" s="2480"/>
      <c r="AH35" s="2480"/>
      <c r="AI35" s="2480"/>
      <c r="AJ35" s="2480"/>
      <c r="AK35" s="2480"/>
      <c r="AL35" s="2480"/>
      <c r="AM35" s="2480"/>
      <c r="AN35" s="2480"/>
      <c r="AO35" s="2480"/>
      <c r="AP35" s="2480"/>
      <c r="AQ35" s="3653"/>
      <c r="AR35" s="3653"/>
      <c r="AS35" s="3647"/>
    </row>
    <row r="36" spans="1:45" ht="42" customHeight="1" x14ac:dyDescent="0.25">
      <c r="A36" s="3650"/>
      <c r="B36" s="3651"/>
      <c r="C36" s="422"/>
      <c r="D36" s="423"/>
      <c r="E36" s="525"/>
      <c r="F36" s="525"/>
      <c r="G36" s="2260"/>
      <c r="H36" s="2793"/>
      <c r="I36" s="2260"/>
      <c r="J36" s="2793"/>
      <c r="K36" s="3655"/>
      <c r="L36" s="2793"/>
      <c r="M36" s="3655"/>
      <c r="N36" s="2793"/>
      <c r="O36" s="2260"/>
      <c r="P36" s="3648"/>
      <c r="Q36" s="2182"/>
      <c r="R36" s="3661"/>
      <c r="S36" s="3657"/>
      <c r="T36" s="2182"/>
      <c r="U36" s="3658"/>
      <c r="V36" s="2196" t="s">
        <v>1742</v>
      </c>
      <c r="W36" s="1368">
        <v>4000000</v>
      </c>
      <c r="X36" s="182" t="s">
        <v>1739</v>
      </c>
      <c r="Y36" s="972">
        <v>63</v>
      </c>
      <c r="Z36" s="1047" t="s">
        <v>1734</v>
      </c>
      <c r="AA36" s="2480"/>
      <c r="AB36" s="2480"/>
      <c r="AC36" s="2480"/>
      <c r="AD36" s="2480"/>
      <c r="AE36" s="2480"/>
      <c r="AF36" s="2480"/>
      <c r="AG36" s="2480"/>
      <c r="AH36" s="2480"/>
      <c r="AI36" s="2480"/>
      <c r="AJ36" s="2480"/>
      <c r="AK36" s="2480"/>
      <c r="AL36" s="2480"/>
      <c r="AM36" s="2480"/>
      <c r="AN36" s="2480"/>
      <c r="AO36" s="2480"/>
      <c r="AP36" s="2480"/>
      <c r="AQ36" s="3653"/>
      <c r="AR36" s="3653"/>
      <c r="AS36" s="3647"/>
    </row>
    <row r="37" spans="1:45" ht="43.5" customHeight="1" x14ac:dyDescent="0.2">
      <c r="A37" s="3650"/>
      <c r="B37" s="3651"/>
      <c r="C37" s="422"/>
      <c r="D37" s="423"/>
      <c r="E37" s="525"/>
      <c r="F37" s="525"/>
      <c r="G37" s="2260"/>
      <c r="H37" s="2793"/>
      <c r="I37" s="2260"/>
      <c r="J37" s="2793"/>
      <c r="K37" s="3655"/>
      <c r="L37" s="2793"/>
      <c r="M37" s="3655"/>
      <c r="N37" s="2793"/>
      <c r="O37" s="2260"/>
      <c r="P37" s="3648"/>
      <c r="Q37" s="2182"/>
      <c r="R37" s="3661"/>
      <c r="S37" s="3657"/>
      <c r="T37" s="2182"/>
      <c r="U37" s="3658"/>
      <c r="V37" s="3162"/>
      <c r="W37" s="1368">
        <v>18000000</v>
      </c>
      <c r="X37" s="1370" t="s">
        <v>1733</v>
      </c>
      <c r="Y37" s="972">
        <v>63</v>
      </c>
      <c r="Z37" s="1047" t="s">
        <v>1734</v>
      </c>
      <c r="AA37" s="2480"/>
      <c r="AB37" s="2480"/>
      <c r="AC37" s="2480"/>
      <c r="AD37" s="2480"/>
      <c r="AE37" s="2480"/>
      <c r="AF37" s="2480"/>
      <c r="AG37" s="2480"/>
      <c r="AH37" s="2480"/>
      <c r="AI37" s="2480"/>
      <c r="AJ37" s="2480"/>
      <c r="AK37" s="2480"/>
      <c r="AL37" s="2480"/>
      <c r="AM37" s="2480"/>
      <c r="AN37" s="2480"/>
      <c r="AO37" s="2480"/>
      <c r="AP37" s="2480"/>
      <c r="AQ37" s="3653"/>
      <c r="AR37" s="3653"/>
      <c r="AS37" s="3647"/>
    </row>
    <row r="38" spans="1:45" ht="30.75" customHeight="1" x14ac:dyDescent="0.25">
      <c r="A38" s="3650"/>
      <c r="B38" s="3651"/>
      <c r="C38" s="422"/>
      <c r="D38" s="423"/>
      <c r="E38" s="525"/>
      <c r="F38" s="525"/>
      <c r="G38" s="2260"/>
      <c r="H38" s="2793"/>
      <c r="I38" s="2260"/>
      <c r="J38" s="2793"/>
      <c r="K38" s="3655"/>
      <c r="L38" s="2793"/>
      <c r="M38" s="3655"/>
      <c r="N38" s="2793"/>
      <c r="O38" s="2260"/>
      <c r="P38" s="3648"/>
      <c r="Q38" s="2182"/>
      <c r="R38" s="3661"/>
      <c r="S38" s="3657"/>
      <c r="T38" s="2182"/>
      <c r="U38" s="3658"/>
      <c r="V38" s="3163"/>
      <c r="W38" s="1368">
        <v>19350000</v>
      </c>
      <c r="X38" s="182" t="s">
        <v>1735</v>
      </c>
      <c r="Y38" s="972">
        <v>99</v>
      </c>
      <c r="Z38" s="1047" t="s">
        <v>1736</v>
      </c>
      <c r="AA38" s="2480"/>
      <c r="AB38" s="2480"/>
      <c r="AC38" s="2480"/>
      <c r="AD38" s="2480"/>
      <c r="AE38" s="2480"/>
      <c r="AF38" s="2480"/>
      <c r="AG38" s="2480"/>
      <c r="AH38" s="2480"/>
      <c r="AI38" s="2480"/>
      <c r="AJ38" s="2480"/>
      <c r="AK38" s="2480"/>
      <c r="AL38" s="2480"/>
      <c r="AM38" s="2480"/>
      <c r="AN38" s="2480"/>
      <c r="AO38" s="2480"/>
      <c r="AP38" s="2480"/>
      <c r="AQ38" s="3653"/>
      <c r="AR38" s="3653"/>
      <c r="AS38" s="3647"/>
    </row>
    <row r="39" spans="1:45" ht="63" customHeight="1" x14ac:dyDescent="0.25">
      <c r="A39" s="3650"/>
      <c r="B39" s="3651"/>
      <c r="C39" s="422"/>
      <c r="D39" s="423"/>
      <c r="E39" s="525"/>
      <c r="F39" s="525"/>
      <c r="G39" s="2260"/>
      <c r="H39" s="2793"/>
      <c r="I39" s="2260"/>
      <c r="J39" s="2793"/>
      <c r="K39" s="3655"/>
      <c r="L39" s="2793"/>
      <c r="M39" s="3655"/>
      <c r="N39" s="2793"/>
      <c r="O39" s="2260"/>
      <c r="P39" s="3648"/>
      <c r="Q39" s="2182"/>
      <c r="R39" s="3661"/>
      <c r="S39" s="3657"/>
      <c r="T39" s="2182"/>
      <c r="U39" s="3658"/>
      <c r="V39" s="1473" t="s">
        <v>1743</v>
      </c>
      <c r="W39" s="1368">
        <v>40000000</v>
      </c>
      <c r="X39" s="182" t="s">
        <v>1733</v>
      </c>
      <c r="Y39" s="972">
        <v>63</v>
      </c>
      <c r="Z39" s="1047"/>
      <c r="AA39" s="2480"/>
      <c r="AB39" s="2480"/>
      <c r="AC39" s="2480"/>
      <c r="AD39" s="2480"/>
      <c r="AE39" s="2480"/>
      <c r="AF39" s="2480"/>
      <c r="AG39" s="2480"/>
      <c r="AH39" s="2480"/>
      <c r="AI39" s="2480"/>
      <c r="AJ39" s="2480"/>
      <c r="AK39" s="2480"/>
      <c r="AL39" s="2480"/>
      <c r="AM39" s="2480"/>
      <c r="AN39" s="2480"/>
      <c r="AO39" s="2480"/>
      <c r="AP39" s="2480"/>
      <c r="AQ39" s="3653"/>
      <c r="AR39" s="3653"/>
      <c r="AS39" s="3647"/>
    </row>
    <row r="40" spans="1:45" ht="39" customHeight="1" x14ac:dyDescent="0.25">
      <c r="A40" s="3650"/>
      <c r="B40" s="3651"/>
      <c r="C40" s="422"/>
      <c r="D40" s="423"/>
      <c r="E40" s="525"/>
      <c r="F40" s="525"/>
      <c r="G40" s="2260"/>
      <c r="H40" s="2793"/>
      <c r="I40" s="2260"/>
      <c r="J40" s="2793"/>
      <c r="K40" s="3655"/>
      <c r="L40" s="2793"/>
      <c r="M40" s="3655"/>
      <c r="N40" s="2793"/>
      <c r="O40" s="2260"/>
      <c r="P40" s="3648"/>
      <c r="Q40" s="2182"/>
      <c r="R40" s="3661"/>
      <c r="S40" s="3657"/>
      <c r="T40" s="2182"/>
      <c r="U40" s="3658"/>
      <c r="V40" s="2196" t="s">
        <v>1744</v>
      </c>
      <c r="W40" s="1368">
        <f>632700000+36000000-40000000</f>
        <v>628700000</v>
      </c>
      <c r="X40" s="1213" t="s">
        <v>1739</v>
      </c>
      <c r="Y40" s="972">
        <v>63</v>
      </c>
      <c r="Z40" s="1047" t="s">
        <v>1734</v>
      </c>
      <c r="AA40" s="2480"/>
      <c r="AB40" s="2480"/>
      <c r="AC40" s="2480"/>
      <c r="AD40" s="2480"/>
      <c r="AE40" s="2480"/>
      <c r="AF40" s="2480"/>
      <c r="AG40" s="2480"/>
      <c r="AH40" s="2480"/>
      <c r="AI40" s="2480"/>
      <c r="AJ40" s="2480"/>
      <c r="AK40" s="2480"/>
      <c r="AL40" s="2480"/>
      <c r="AM40" s="2480"/>
      <c r="AN40" s="2480"/>
      <c r="AO40" s="2480"/>
      <c r="AP40" s="2480"/>
      <c r="AQ40" s="3653"/>
      <c r="AR40" s="3653"/>
      <c r="AS40" s="3647"/>
    </row>
    <row r="41" spans="1:45" ht="41.25" customHeight="1" x14ac:dyDescent="0.25">
      <c r="A41" s="3650"/>
      <c r="B41" s="3651"/>
      <c r="C41" s="422"/>
      <c r="D41" s="423"/>
      <c r="E41" s="525"/>
      <c r="F41" s="525"/>
      <c r="G41" s="2260"/>
      <c r="H41" s="2793"/>
      <c r="I41" s="2260"/>
      <c r="J41" s="2793"/>
      <c r="K41" s="3655"/>
      <c r="L41" s="2793"/>
      <c r="M41" s="3655"/>
      <c r="N41" s="2793"/>
      <c r="O41" s="2260"/>
      <c r="P41" s="3648"/>
      <c r="Q41" s="2182"/>
      <c r="R41" s="3652"/>
      <c r="S41" s="3657"/>
      <c r="T41" s="2182"/>
      <c r="U41" s="3658"/>
      <c r="V41" s="3163"/>
      <c r="W41" s="1368">
        <v>300000000</v>
      </c>
      <c r="X41" s="1213" t="s">
        <v>1745</v>
      </c>
      <c r="Y41" s="972">
        <v>99</v>
      </c>
      <c r="Z41" s="1047" t="s">
        <v>1736</v>
      </c>
      <c r="AA41" s="2480"/>
      <c r="AB41" s="2480"/>
      <c r="AC41" s="2480"/>
      <c r="AD41" s="2480"/>
      <c r="AE41" s="2480"/>
      <c r="AF41" s="2480"/>
      <c r="AG41" s="2480"/>
      <c r="AH41" s="2480"/>
      <c r="AI41" s="2480"/>
      <c r="AJ41" s="2480"/>
      <c r="AK41" s="2480"/>
      <c r="AL41" s="2480"/>
      <c r="AM41" s="2480"/>
      <c r="AN41" s="2480"/>
      <c r="AO41" s="2480"/>
      <c r="AP41" s="2480"/>
      <c r="AQ41" s="3653"/>
      <c r="AR41" s="3653"/>
      <c r="AS41" s="3647"/>
    </row>
    <row r="42" spans="1:45" ht="110.25" customHeight="1" x14ac:dyDescent="0.25">
      <c r="A42" s="3650"/>
      <c r="B42" s="3651"/>
      <c r="C42" s="422"/>
      <c r="D42" s="423"/>
      <c r="E42" s="525"/>
      <c r="F42" s="525"/>
      <c r="G42" s="1052">
        <v>1903038</v>
      </c>
      <c r="H42" s="1510" t="s">
        <v>1725</v>
      </c>
      <c r="I42" s="1052">
        <v>1903038</v>
      </c>
      <c r="J42" s="1510" t="s">
        <v>1725</v>
      </c>
      <c r="K42" s="1007">
        <v>190303801</v>
      </c>
      <c r="L42" s="1494" t="s">
        <v>1746</v>
      </c>
      <c r="M42" s="1007">
        <v>190303801</v>
      </c>
      <c r="N42" s="1494" t="s">
        <v>1746</v>
      </c>
      <c r="O42" s="1060">
        <v>11</v>
      </c>
      <c r="P42" s="2197"/>
      <c r="Q42" s="2182"/>
      <c r="R42" s="954">
        <f>W42/S12</f>
        <v>1.1247385877476035E-2</v>
      </c>
      <c r="S42" s="3657"/>
      <c r="T42" s="2182"/>
      <c r="U42" s="3658"/>
      <c r="V42" s="1537" t="s">
        <v>1747</v>
      </c>
      <c r="W42" s="1368">
        <v>19000000</v>
      </c>
      <c r="X42" s="182" t="s">
        <v>1748</v>
      </c>
      <c r="Y42" s="972">
        <v>61</v>
      </c>
      <c r="Z42" s="1047" t="s">
        <v>1699</v>
      </c>
      <c r="AA42" s="2480"/>
      <c r="AB42" s="2480"/>
      <c r="AC42" s="2480"/>
      <c r="AD42" s="2480"/>
      <c r="AE42" s="2480"/>
      <c r="AF42" s="2480"/>
      <c r="AG42" s="2480"/>
      <c r="AH42" s="2480"/>
      <c r="AI42" s="2480"/>
      <c r="AJ42" s="2480"/>
      <c r="AK42" s="2480"/>
      <c r="AL42" s="2480"/>
      <c r="AM42" s="2480"/>
      <c r="AN42" s="2480"/>
      <c r="AO42" s="2480"/>
      <c r="AP42" s="2480"/>
      <c r="AQ42" s="3653"/>
      <c r="AR42" s="3653"/>
      <c r="AS42" s="3647"/>
    </row>
    <row r="43" spans="1:45" ht="110.25" customHeight="1" x14ac:dyDescent="0.25">
      <c r="A43" s="3650"/>
      <c r="B43" s="3651"/>
      <c r="C43" s="422"/>
      <c r="D43" s="423"/>
      <c r="E43" s="525"/>
      <c r="F43" s="525"/>
      <c r="G43" s="1054">
        <v>1903027</v>
      </c>
      <c r="H43" s="1520" t="s">
        <v>1749</v>
      </c>
      <c r="I43" s="1054">
        <v>1903027</v>
      </c>
      <c r="J43" s="1520" t="s">
        <v>1749</v>
      </c>
      <c r="K43" s="1371">
        <v>190302700</v>
      </c>
      <c r="L43" s="1682" t="s">
        <v>1750</v>
      </c>
      <c r="M43" s="1371">
        <v>190302700</v>
      </c>
      <c r="N43" s="1682" t="s">
        <v>1750</v>
      </c>
      <c r="O43" s="1048">
        <v>5</v>
      </c>
      <c r="P43" s="2197"/>
      <c r="Q43" s="2182"/>
      <c r="R43" s="954">
        <f>W43/S12</f>
        <v>1.1247385877476035E-2</v>
      </c>
      <c r="S43" s="3657"/>
      <c r="T43" s="2182"/>
      <c r="U43" s="3658"/>
      <c r="V43" s="1694" t="s">
        <v>1751</v>
      </c>
      <c r="W43" s="1368">
        <v>19000000</v>
      </c>
      <c r="X43" s="182" t="s">
        <v>1752</v>
      </c>
      <c r="Y43" s="972">
        <v>61</v>
      </c>
      <c r="Z43" s="1047" t="s">
        <v>1699</v>
      </c>
      <c r="AA43" s="2480"/>
      <c r="AB43" s="2480"/>
      <c r="AC43" s="2480"/>
      <c r="AD43" s="2480"/>
      <c r="AE43" s="2480"/>
      <c r="AF43" s="2480"/>
      <c r="AG43" s="2480"/>
      <c r="AH43" s="2480"/>
      <c r="AI43" s="2480"/>
      <c r="AJ43" s="2480"/>
      <c r="AK43" s="2480"/>
      <c r="AL43" s="2480"/>
      <c r="AM43" s="2480"/>
      <c r="AN43" s="2480"/>
      <c r="AO43" s="2480"/>
      <c r="AP43" s="2480"/>
      <c r="AQ43" s="3653"/>
      <c r="AR43" s="3653"/>
      <c r="AS43" s="3647"/>
    </row>
    <row r="44" spans="1:45" ht="60" x14ac:dyDescent="0.25">
      <c r="A44" s="3650"/>
      <c r="B44" s="3651"/>
      <c r="C44" s="422"/>
      <c r="D44" s="423"/>
      <c r="E44" s="525"/>
      <c r="F44" s="525"/>
      <c r="G44" s="2195">
        <v>1903011</v>
      </c>
      <c r="H44" s="2257" t="s">
        <v>1753</v>
      </c>
      <c r="I44" s="2195">
        <v>1903011</v>
      </c>
      <c r="J44" s="2257" t="s">
        <v>1753</v>
      </c>
      <c r="K44" s="3649">
        <v>190301100</v>
      </c>
      <c r="L44" s="2313" t="s">
        <v>1754</v>
      </c>
      <c r="M44" s="3649">
        <v>190301100</v>
      </c>
      <c r="N44" s="2313" t="s">
        <v>1754</v>
      </c>
      <c r="O44" s="2197">
        <v>140</v>
      </c>
      <c r="P44" s="2197"/>
      <c r="Q44" s="2182"/>
      <c r="R44" s="3646">
        <f>SUM(W44:W45)/S12</f>
        <v>1.1247385877476035E-2</v>
      </c>
      <c r="S44" s="3657"/>
      <c r="T44" s="2182"/>
      <c r="U44" s="3658"/>
      <c r="V44" s="1471" t="s">
        <v>1755</v>
      </c>
      <c r="W44" s="1368">
        <v>10000000</v>
      </c>
      <c r="X44" s="182" t="s">
        <v>1756</v>
      </c>
      <c r="Y44" s="972">
        <v>61</v>
      </c>
      <c r="Z44" s="1047" t="s">
        <v>1699</v>
      </c>
      <c r="AA44" s="2480"/>
      <c r="AB44" s="2480"/>
      <c r="AC44" s="2480"/>
      <c r="AD44" s="2480"/>
      <c r="AE44" s="2480"/>
      <c r="AF44" s="2480"/>
      <c r="AG44" s="2480"/>
      <c r="AH44" s="2480"/>
      <c r="AI44" s="2480"/>
      <c r="AJ44" s="2480"/>
      <c r="AK44" s="2480"/>
      <c r="AL44" s="2480"/>
      <c r="AM44" s="2480"/>
      <c r="AN44" s="2480"/>
      <c r="AO44" s="2480"/>
      <c r="AP44" s="2480"/>
      <c r="AQ44" s="3653"/>
      <c r="AR44" s="3653"/>
      <c r="AS44" s="3647"/>
    </row>
    <row r="45" spans="1:45" ht="60" x14ac:dyDescent="0.25">
      <c r="A45" s="3650"/>
      <c r="B45" s="3651"/>
      <c r="C45" s="422"/>
      <c r="D45" s="423"/>
      <c r="E45" s="525"/>
      <c r="F45" s="525"/>
      <c r="G45" s="2287"/>
      <c r="H45" s="2280" t="s">
        <v>1753</v>
      </c>
      <c r="I45" s="2287"/>
      <c r="J45" s="2280" t="s">
        <v>1753</v>
      </c>
      <c r="K45" s="3659"/>
      <c r="L45" s="2732"/>
      <c r="M45" s="3659"/>
      <c r="N45" s="2732"/>
      <c r="O45" s="2198"/>
      <c r="P45" s="2197"/>
      <c r="Q45" s="2182"/>
      <c r="R45" s="3660"/>
      <c r="S45" s="3657"/>
      <c r="T45" s="2182"/>
      <c r="U45" s="2489"/>
      <c r="V45" s="1472" t="s">
        <v>1757</v>
      </c>
      <c r="W45" s="1369">
        <v>9000000</v>
      </c>
      <c r="X45" s="182" t="s">
        <v>1756</v>
      </c>
      <c r="Y45" s="972">
        <v>61</v>
      </c>
      <c r="Z45" s="1048" t="s">
        <v>1699</v>
      </c>
      <c r="AA45" s="3645"/>
      <c r="AB45" s="3645"/>
      <c r="AC45" s="3645"/>
      <c r="AD45" s="3645"/>
      <c r="AE45" s="3645"/>
      <c r="AF45" s="3645"/>
      <c r="AG45" s="3645"/>
      <c r="AH45" s="3645"/>
      <c r="AI45" s="3645"/>
      <c r="AJ45" s="3645"/>
      <c r="AK45" s="3645"/>
      <c r="AL45" s="3645"/>
      <c r="AM45" s="3645"/>
      <c r="AN45" s="3645"/>
      <c r="AO45" s="3645"/>
      <c r="AP45" s="3645"/>
      <c r="AQ45" s="3654"/>
      <c r="AR45" s="3654"/>
      <c r="AS45" s="3647"/>
    </row>
    <row r="46" spans="1:45" ht="30" x14ac:dyDescent="0.25">
      <c r="A46" s="3650"/>
      <c r="B46" s="3651"/>
      <c r="C46" s="422"/>
      <c r="D46" s="423"/>
      <c r="E46" s="525"/>
      <c r="F46" s="525"/>
      <c r="G46" s="2166">
        <v>1903001</v>
      </c>
      <c r="H46" s="2829" t="s">
        <v>242</v>
      </c>
      <c r="I46" s="2166">
        <v>1903001</v>
      </c>
      <c r="J46" s="2829" t="s">
        <v>242</v>
      </c>
      <c r="K46" s="3663">
        <v>190300100</v>
      </c>
      <c r="L46" s="3665" t="s">
        <v>1758</v>
      </c>
      <c r="M46" s="3663">
        <v>190300100</v>
      </c>
      <c r="N46" s="3665" t="s">
        <v>1758</v>
      </c>
      <c r="O46" s="2198">
        <v>1</v>
      </c>
      <c r="P46" s="2197" t="s">
        <v>1759</v>
      </c>
      <c r="Q46" s="2182" t="s">
        <v>1760</v>
      </c>
      <c r="R46" s="3646">
        <f>SUM(W46:W49)/S46</f>
        <v>0.27805460750853245</v>
      </c>
      <c r="S46" s="3657">
        <f>SUM(W46:W62)</f>
        <v>293000000</v>
      </c>
      <c r="T46" s="2182" t="s">
        <v>1761</v>
      </c>
      <c r="U46" s="3676" t="s">
        <v>1762</v>
      </c>
      <c r="V46" s="1538" t="s">
        <v>1763</v>
      </c>
      <c r="W46" s="1114">
        <v>40000000</v>
      </c>
      <c r="X46" s="182" t="s">
        <v>1764</v>
      </c>
      <c r="Y46" s="1372">
        <v>61</v>
      </c>
      <c r="Z46" s="1047" t="s">
        <v>1699</v>
      </c>
      <c r="AA46" s="2261">
        <v>289394</v>
      </c>
      <c r="AB46" s="2261">
        <v>279112</v>
      </c>
      <c r="AC46" s="3677">
        <v>63164</v>
      </c>
      <c r="AD46" s="2261">
        <v>45607</v>
      </c>
      <c r="AE46" s="2261">
        <v>365607</v>
      </c>
      <c r="AF46" s="2261">
        <v>75612</v>
      </c>
      <c r="AG46" s="2261">
        <v>2145</v>
      </c>
      <c r="AH46" s="2261">
        <v>12718</v>
      </c>
      <c r="AI46" s="2261">
        <v>26</v>
      </c>
      <c r="AJ46" s="2261">
        <v>37</v>
      </c>
      <c r="AK46" s="2261">
        <v>0</v>
      </c>
      <c r="AL46" s="2261">
        <v>0</v>
      </c>
      <c r="AM46" s="2261">
        <v>78</v>
      </c>
      <c r="AN46" s="2261">
        <v>16897</v>
      </c>
      <c r="AO46" s="2261">
        <v>852</v>
      </c>
      <c r="AP46" s="2261">
        <v>568506</v>
      </c>
      <c r="AQ46" s="2270">
        <v>44197</v>
      </c>
      <c r="AR46" s="2270">
        <v>44561</v>
      </c>
      <c r="AS46" s="2261" t="s">
        <v>1700</v>
      </c>
    </row>
    <row r="47" spans="1:45" ht="30" x14ac:dyDescent="0.25">
      <c r="A47" s="3650"/>
      <c r="B47" s="3651"/>
      <c r="C47" s="422"/>
      <c r="D47" s="423"/>
      <c r="E47" s="525"/>
      <c r="F47" s="525"/>
      <c r="G47" s="2191"/>
      <c r="H47" s="2824"/>
      <c r="I47" s="2191"/>
      <c r="J47" s="2824"/>
      <c r="K47" s="3664"/>
      <c r="L47" s="3666"/>
      <c r="M47" s="3664"/>
      <c r="N47" s="3666"/>
      <c r="O47" s="2308"/>
      <c r="P47" s="2197"/>
      <c r="Q47" s="2182"/>
      <c r="R47" s="3646"/>
      <c r="S47" s="3657"/>
      <c r="T47" s="2182"/>
      <c r="U47" s="3676"/>
      <c r="V47" s="1538" t="s">
        <v>1765</v>
      </c>
      <c r="W47" s="1114">
        <v>20000000</v>
      </c>
      <c r="X47" s="182" t="s">
        <v>1764</v>
      </c>
      <c r="Y47" s="1372">
        <v>61</v>
      </c>
      <c r="Z47" s="1047" t="s">
        <v>1699</v>
      </c>
      <c r="AA47" s="2262"/>
      <c r="AB47" s="2262"/>
      <c r="AC47" s="3678"/>
      <c r="AD47" s="2262"/>
      <c r="AE47" s="2262"/>
      <c r="AF47" s="2262"/>
      <c r="AG47" s="2262"/>
      <c r="AH47" s="2262"/>
      <c r="AI47" s="2262"/>
      <c r="AJ47" s="2262"/>
      <c r="AK47" s="2262"/>
      <c r="AL47" s="2262"/>
      <c r="AM47" s="2262"/>
      <c r="AN47" s="2262"/>
      <c r="AO47" s="2262"/>
      <c r="AP47" s="2262"/>
      <c r="AQ47" s="2651"/>
      <c r="AR47" s="2651"/>
      <c r="AS47" s="2262"/>
    </row>
    <row r="48" spans="1:45" ht="30" x14ac:dyDescent="0.25">
      <c r="A48" s="3650"/>
      <c r="B48" s="3651"/>
      <c r="C48" s="422"/>
      <c r="D48" s="423"/>
      <c r="E48" s="525"/>
      <c r="F48" s="525"/>
      <c r="G48" s="2191"/>
      <c r="H48" s="2824"/>
      <c r="I48" s="2191"/>
      <c r="J48" s="2824"/>
      <c r="K48" s="3664"/>
      <c r="L48" s="3666"/>
      <c r="M48" s="3664"/>
      <c r="N48" s="3666"/>
      <c r="O48" s="2308"/>
      <c r="P48" s="2197"/>
      <c r="Q48" s="2182"/>
      <c r="R48" s="3646"/>
      <c r="S48" s="3657"/>
      <c r="T48" s="2182"/>
      <c r="U48" s="3676"/>
      <c r="V48" s="1538" t="s">
        <v>1766</v>
      </c>
      <c r="W48" s="1114">
        <v>10000000</v>
      </c>
      <c r="X48" s="182" t="s">
        <v>1764</v>
      </c>
      <c r="Y48" s="1372">
        <v>61</v>
      </c>
      <c r="Z48" s="1047" t="s">
        <v>1699</v>
      </c>
      <c r="AA48" s="2262"/>
      <c r="AB48" s="2262"/>
      <c r="AC48" s="3678"/>
      <c r="AD48" s="2262"/>
      <c r="AE48" s="2262"/>
      <c r="AF48" s="2262"/>
      <c r="AG48" s="2262"/>
      <c r="AH48" s="2262"/>
      <c r="AI48" s="2262"/>
      <c r="AJ48" s="2262"/>
      <c r="AK48" s="2262"/>
      <c r="AL48" s="2262"/>
      <c r="AM48" s="2262"/>
      <c r="AN48" s="2262"/>
      <c r="AO48" s="2262"/>
      <c r="AP48" s="2262"/>
      <c r="AQ48" s="2651"/>
      <c r="AR48" s="2651"/>
      <c r="AS48" s="2262"/>
    </row>
    <row r="49" spans="1:45" ht="30" x14ac:dyDescent="0.25">
      <c r="A49" s="3650"/>
      <c r="B49" s="3651"/>
      <c r="C49" s="422"/>
      <c r="D49" s="423"/>
      <c r="E49" s="525"/>
      <c r="F49" s="525"/>
      <c r="G49" s="2191"/>
      <c r="H49" s="2824"/>
      <c r="I49" s="2191"/>
      <c r="J49" s="2824"/>
      <c r="K49" s="3664"/>
      <c r="L49" s="3666"/>
      <c r="M49" s="3664"/>
      <c r="N49" s="3666"/>
      <c r="O49" s="2309"/>
      <c r="P49" s="2197"/>
      <c r="Q49" s="2182"/>
      <c r="R49" s="3646"/>
      <c r="S49" s="3657"/>
      <c r="T49" s="2182"/>
      <c r="U49" s="3676"/>
      <c r="V49" s="1538" t="s">
        <v>1767</v>
      </c>
      <c r="W49" s="1114">
        <v>11470000</v>
      </c>
      <c r="X49" s="182" t="s">
        <v>1764</v>
      </c>
      <c r="Y49" s="1372">
        <v>61</v>
      </c>
      <c r="Z49" s="1047" t="s">
        <v>1699</v>
      </c>
      <c r="AA49" s="2262"/>
      <c r="AB49" s="2262"/>
      <c r="AC49" s="3678"/>
      <c r="AD49" s="2262"/>
      <c r="AE49" s="2262"/>
      <c r="AF49" s="2262"/>
      <c r="AG49" s="2262"/>
      <c r="AH49" s="2262"/>
      <c r="AI49" s="2262"/>
      <c r="AJ49" s="2262"/>
      <c r="AK49" s="2262"/>
      <c r="AL49" s="2262"/>
      <c r="AM49" s="2262"/>
      <c r="AN49" s="2262"/>
      <c r="AO49" s="2262"/>
      <c r="AP49" s="2262"/>
      <c r="AQ49" s="2651"/>
      <c r="AR49" s="2651"/>
      <c r="AS49" s="2262"/>
    </row>
    <row r="50" spans="1:45" ht="30" x14ac:dyDescent="0.25">
      <c r="A50" s="3650"/>
      <c r="B50" s="3651"/>
      <c r="C50" s="422"/>
      <c r="D50" s="423"/>
      <c r="E50" s="525"/>
      <c r="F50" s="525"/>
      <c r="G50" s="2195">
        <v>1903015</v>
      </c>
      <c r="H50" s="2257" t="s">
        <v>1768</v>
      </c>
      <c r="I50" s="2195">
        <v>1903015</v>
      </c>
      <c r="J50" s="2257" t="s">
        <v>1768</v>
      </c>
      <c r="K50" s="3662">
        <v>190301500</v>
      </c>
      <c r="L50" s="2257" t="s">
        <v>1769</v>
      </c>
      <c r="M50" s="3662">
        <v>190301500</v>
      </c>
      <c r="N50" s="2257" t="s">
        <v>1769</v>
      </c>
      <c r="O50" s="2197">
        <v>12</v>
      </c>
      <c r="P50" s="2197"/>
      <c r="Q50" s="2182"/>
      <c r="R50" s="3646">
        <f>SUM(W50:W62)/S46</f>
        <v>0.72194539249146761</v>
      </c>
      <c r="S50" s="3657"/>
      <c r="T50" s="2182"/>
      <c r="U50" s="2488" t="s">
        <v>1770</v>
      </c>
      <c r="V50" s="1484" t="s">
        <v>1771</v>
      </c>
      <c r="W50" s="1114">
        <v>15000000</v>
      </c>
      <c r="X50" s="182" t="s">
        <v>1772</v>
      </c>
      <c r="Y50" s="1372">
        <v>61</v>
      </c>
      <c r="Z50" s="1047" t="s">
        <v>1699</v>
      </c>
      <c r="AA50" s="2262"/>
      <c r="AB50" s="2262"/>
      <c r="AC50" s="3678"/>
      <c r="AD50" s="2262"/>
      <c r="AE50" s="2262"/>
      <c r="AF50" s="2262"/>
      <c r="AG50" s="2262"/>
      <c r="AH50" s="2262"/>
      <c r="AI50" s="2262"/>
      <c r="AJ50" s="2262"/>
      <c r="AK50" s="2262"/>
      <c r="AL50" s="2262"/>
      <c r="AM50" s="2262"/>
      <c r="AN50" s="2262"/>
      <c r="AO50" s="2262"/>
      <c r="AP50" s="2262"/>
      <c r="AQ50" s="2651"/>
      <c r="AR50" s="2651"/>
      <c r="AS50" s="2262"/>
    </row>
    <row r="51" spans="1:45" ht="30" x14ac:dyDescent="0.25">
      <c r="A51" s="3650"/>
      <c r="B51" s="3651"/>
      <c r="C51" s="422"/>
      <c r="D51" s="423"/>
      <c r="E51" s="525"/>
      <c r="F51" s="525"/>
      <c r="G51" s="2195"/>
      <c r="H51" s="2257"/>
      <c r="I51" s="2195"/>
      <c r="J51" s="2257"/>
      <c r="K51" s="3662"/>
      <c r="L51" s="2257"/>
      <c r="M51" s="3662"/>
      <c r="N51" s="2257"/>
      <c r="O51" s="2197"/>
      <c r="P51" s="2197"/>
      <c r="Q51" s="2182"/>
      <c r="R51" s="3646"/>
      <c r="S51" s="3657"/>
      <c r="T51" s="2182"/>
      <c r="U51" s="3658"/>
      <c r="V51" s="1484" t="s">
        <v>1773</v>
      </c>
      <c r="W51" s="1114">
        <v>15000000</v>
      </c>
      <c r="X51" s="182" t="s">
        <v>1772</v>
      </c>
      <c r="Y51" s="1372">
        <v>61</v>
      </c>
      <c r="Z51" s="1047" t="s">
        <v>1699</v>
      </c>
      <c r="AA51" s="2262"/>
      <c r="AB51" s="2262"/>
      <c r="AC51" s="3678"/>
      <c r="AD51" s="2262"/>
      <c r="AE51" s="2262"/>
      <c r="AF51" s="2262"/>
      <c r="AG51" s="2262"/>
      <c r="AH51" s="2262"/>
      <c r="AI51" s="2262"/>
      <c r="AJ51" s="2262"/>
      <c r="AK51" s="2262"/>
      <c r="AL51" s="2262"/>
      <c r="AM51" s="2262"/>
      <c r="AN51" s="2262"/>
      <c r="AO51" s="2262"/>
      <c r="AP51" s="2262"/>
      <c r="AQ51" s="2651"/>
      <c r="AR51" s="2651"/>
      <c r="AS51" s="2262"/>
    </row>
    <row r="52" spans="1:45" ht="30" x14ac:dyDescent="0.25">
      <c r="A52" s="3650"/>
      <c r="B52" s="3651"/>
      <c r="C52" s="422"/>
      <c r="D52" s="423"/>
      <c r="E52" s="525"/>
      <c r="F52" s="525"/>
      <c r="G52" s="2195"/>
      <c r="H52" s="2257"/>
      <c r="I52" s="2195"/>
      <c r="J52" s="2257"/>
      <c r="K52" s="3662"/>
      <c r="L52" s="2257"/>
      <c r="M52" s="3662"/>
      <c r="N52" s="2257"/>
      <c r="O52" s="2197"/>
      <c r="P52" s="2197"/>
      <c r="Q52" s="2182"/>
      <c r="R52" s="3646"/>
      <c r="S52" s="3657"/>
      <c r="T52" s="2182"/>
      <c r="U52" s="3658"/>
      <c r="V52" s="1484" t="s">
        <v>1774</v>
      </c>
      <c r="W52" s="1114">
        <v>15000000</v>
      </c>
      <c r="X52" s="182" t="s">
        <v>1772</v>
      </c>
      <c r="Y52" s="1372">
        <v>61</v>
      </c>
      <c r="Z52" s="1047" t="s">
        <v>1699</v>
      </c>
      <c r="AA52" s="2262"/>
      <c r="AB52" s="2262"/>
      <c r="AC52" s="3678"/>
      <c r="AD52" s="2262"/>
      <c r="AE52" s="2262"/>
      <c r="AF52" s="2262"/>
      <c r="AG52" s="2262"/>
      <c r="AH52" s="2262"/>
      <c r="AI52" s="2262"/>
      <c r="AJ52" s="2262"/>
      <c r="AK52" s="2262"/>
      <c r="AL52" s="2262"/>
      <c r="AM52" s="2262"/>
      <c r="AN52" s="2262"/>
      <c r="AO52" s="2262"/>
      <c r="AP52" s="2262"/>
      <c r="AQ52" s="2651"/>
      <c r="AR52" s="2651"/>
      <c r="AS52" s="2262"/>
    </row>
    <row r="53" spans="1:45" ht="60" x14ac:dyDescent="0.25">
      <c r="A53" s="3650"/>
      <c r="B53" s="3651"/>
      <c r="C53" s="422"/>
      <c r="D53" s="423"/>
      <c r="E53" s="525"/>
      <c r="F53" s="525"/>
      <c r="G53" s="2195"/>
      <c r="H53" s="2257"/>
      <c r="I53" s="2195"/>
      <c r="J53" s="2257"/>
      <c r="K53" s="3662"/>
      <c r="L53" s="2257"/>
      <c r="M53" s="3662"/>
      <c r="N53" s="2257"/>
      <c r="O53" s="2197"/>
      <c r="P53" s="2197"/>
      <c r="Q53" s="2182"/>
      <c r="R53" s="3646"/>
      <c r="S53" s="3657"/>
      <c r="T53" s="2182"/>
      <c r="U53" s="3658"/>
      <c r="V53" s="1484" t="s">
        <v>1775</v>
      </c>
      <c r="W53" s="1114">
        <v>15000000</v>
      </c>
      <c r="X53" s="182" t="s">
        <v>1772</v>
      </c>
      <c r="Y53" s="1372">
        <v>61</v>
      </c>
      <c r="Z53" s="1047" t="s">
        <v>1699</v>
      </c>
      <c r="AA53" s="2262"/>
      <c r="AB53" s="2262"/>
      <c r="AC53" s="3678"/>
      <c r="AD53" s="2262"/>
      <c r="AE53" s="2262"/>
      <c r="AF53" s="2262"/>
      <c r="AG53" s="2262"/>
      <c r="AH53" s="2262"/>
      <c r="AI53" s="2262"/>
      <c r="AJ53" s="2262"/>
      <c r="AK53" s="2262"/>
      <c r="AL53" s="2262"/>
      <c r="AM53" s="2262"/>
      <c r="AN53" s="2262"/>
      <c r="AO53" s="2262"/>
      <c r="AP53" s="2262"/>
      <c r="AQ53" s="2651"/>
      <c r="AR53" s="2651"/>
      <c r="AS53" s="2262"/>
    </row>
    <row r="54" spans="1:45" ht="30" x14ac:dyDescent="0.25">
      <c r="A54" s="3650"/>
      <c r="B54" s="3651"/>
      <c r="C54" s="422"/>
      <c r="D54" s="423"/>
      <c r="E54" s="525"/>
      <c r="F54" s="525"/>
      <c r="G54" s="2195"/>
      <c r="H54" s="2257"/>
      <c r="I54" s="2195"/>
      <c r="J54" s="2257"/>
      <c r="K54" s="3662"/>
      <c r="L54" s="2257"/>
      <c r="M54" s="3662"/>
      <c r="N54" s="2257"/>
      <c r="O54" s="2197"/>
      <c r="P54" s="2197"/>
      <c r="Q54" s="2182"/>
      <c r="R54" s="3646"/>
      <c r="S54" s="3657"/>
      <c r="T54" s="2182"/>
      <c r="U54" s="3658"/>
      <c r="V54" s="1484" t="s">
        <v>1776</v>
      </c>
      <c r="W54" s="1114">
        <v>8000000</v>
      </c>
      <c r="X54" s="182" t="s">
        <v>1772</v>
      </c>
      <c r="Y54" s="1372">
        <v>61</v>
      </c>
      <c r="Z54" s="1047" t="s">
        <v>1699</v>
      </c>
      <c r="AA54" s="2262"/>
      <c r="AB54" s="2262"/>
      <c r="AC54" s="3678"/>
      <c r="AD54" s="2262"/>
      <c r="AE54" s="2262"/>
      <c r="AF54" s="2262"/>
      <c r="AG54" s="2262"/>
      <c r="AH54" s="2262"/>
      <c r="AI54" s="2262"/>
      <c r="AJ54" s="2262"/>
      <c r="AK54" s="2262"/>
      <c r="AL54" s="2262"/>
      <c r="AM54" s="2262"/>
      <c r="AN54" s="2262"/>
      <c r="AO54" s="2262"/>
      <c r="AP54" s="2262"/>
      <c r="AQ54" s="2651"/>
      <c r="AR54" s="2651"/>
      <c r="AS54" s="2262"/>
    </row>
    <row r="55" spans="1:45" ht="75" x14ac:dyDescent="0.25">
      <c r="A55" s="3650"/>
      <c r="B55" s="3651"/>
      <c r="C55" s="422"/>
      <c r="D55" s="423"/>
      <c r="E55" s="525"/>
      <c r="F55" s="525"/>
      <c r="G55" s="2195"/>
      <c r="H55" s="2257"/>
      <c r="I55" s="2195"/>
      <c r="J55" s="2257"/>
      <c r="K55" s="3662"/>
      <c r="L55" s="2257"/>
      <c r="M55" s="3662"/>
      <c r="N55" s="2257"/>
      <c r="O55" s="2197"/>
      <c r="P55" s="2197"/>
      <c r="Q55" s="2182"/>
      <c r="R55" s="3646"/>
      <c r="S55" s="3657"/>
      <c r="T55" s="2182"/>
      <c r="U55" s="3658"/>
      <c r="V55" s="1484" t="s">
        <v>1777</v>
      </c>
      <c r="W55" s="1114">
        <v>40000000</v>
      </c>
      <c r="X55" s="182" t="s">
        <v>1772</v>
      </c>
      <c r="Y55" s="1372">
        <v>61</v>
      </c>
      <c r="Z55" s="1047" t="s">
        <v>1699</v>
      </c>
      <c r="AA55" s="2262"/>
      <c r="AB55" s="2262"/>
      <c r="AC55" s="3678"/>
      <c r="AD55" s="2262"/>
      <c r="AE55" s="2262"/>
      <c r="AF55" s="2262"/>
      <c r="AG55" s="2262"/>
      <c r="AH55" s="2262"/>
      <c r="AI55" s="2262"/>
      <c r="AJ55" s="2262"/>
      <c r="AK55" s="2262"/>
      <c r="AL55" s="2262"/>
      <c r="AM55" s="2262"/>
      <c r="AN55" s="2262"/>
      <c r="AO55" s="2262"/>
      <c r="AP55" s="2262"/>
      <c r="AQ55" s="2651"/>
      <c r="AR55" s="2651"/>
      <c r="AS55" s="2262"/>
    </row>
    <row r="56" spans="1:45" ht="45" x14ac:dyDescent="0.25">
      <c r="A56" s="3650"/>
      <c r="B56" s="3651"/>
      <c r="C56" s="422"/>
      <c r="D56" s="423"/>
      <c r="E56" s="525"/>
      <c r="F56" s="525"/>
      <c r="G56" s="2195"/>
      <c r="H56" s="2257"/>
      <c r="I56" s="2195"/>
      <c r="J56" s="2257"/>
      <c r="K56" s="3662"/>
      <c r="L56" s="2257"/>
      <c r="M56" s="3662"/>
      <c r="N56" s="2257"/>
      <c r="O56" s="2197"/>
      <c r="P56" s="2197"/>
      <c r="Q56" s="2182"/>
      <c r="R56" s="3646"/>
      <c r="S56" s="3657"/>
      <c r="T56" s="2182"/>
      <c r="U56" s="3658"/>
      <c r="V56" s="1484" t="s">
        <v>1778</v>
      </c>
      <c r="W56" s="1114">
        <v>20000000</v>
      </c>
      <c r="X56" s="182" t="s">
        <v>1772</v>
      </c>
      <c r="Y56" s="1372">
        <v>61</v>
      </c>
      <c r="Z56" s="1047" t="s">
        <v>1699</v>
      </c>
      <c r="AA56" s="2262"/>
      <c r="AB56" s="2262"/>
      <c r="AC56" s="3678"/>
      <c r="AD56" s="2262"/>
      <c r="AE56" s="2262"/>
      <c r="AF56" s="2262"/>
      <c r="AG56" s="2262"/>
      <c r="AH56" s="2262"/>
      <c r="AI56" s="2262"/>
      <c r="AJ56" s="2262"/>
      <c r="AK56" s="2262"/>
      <c r="AL56" s="2262"/>
      <c r="AM56" s="2262"/>
      <c r="AN56" s="2262"/>
      <c r="AO56" s="2262"/>
      <c r="AP56" s="2262"/>
      <c r="AQ56" s="2651"/>
      <c r="AR56" s="2651"/>
      <c r="AS56" s="2262"/>
    </row>
    <row r="57" spans="1:45" ht="90" x14ac:dyDescent="0.25">
      <c r="A57" s="3650"/>
      <c r="B57" s="3651"/>
      <c r="C57" s="422"/>
      <c r="D57" s="423"/>
      <c r="E57" s="525"/>
      <c r="F57" s="525"/>
      <c r="G57" s="2195"/>
      <c r="H57" s="2257"/>
      <c r="I57" s="2195"/>
      <c r="J57" s="2257"/>
      <c r="K57" s="3662"/>
      <c r="L57" s="2257"/>
      <c r="M57" s="3662"/>
      <c r="N57" s="2257"/>
      <c r="O57" s="2197"/>
      <c r="P57" s="2197"/>
      <c r="Q57" s="2182"/>
      <c r="R57" s="3646"/>
      <c r="S57" s="3657"/>
      <c r="T57" s="2182"/>
      <c r="U57" s="3658"/>
      <c r="V57" s="1484" t="s">
        <v>1779</v>
      </c>
      <c r="W57" s="1114">
        <v>10000000</v>
      </c>
      <c r="X57" s="182" t="s">
        <v>1772</v>
      </c>
      <c r="Y57" s="1372">
        <v>61</v>
      </c>
      <c r="Z57" s="1047" t="s">
        <v>1699</v>
      </c>
      <c r="AA57" s="2262"/>
      <c r="AB57" s="2262"/>
      <c r="AC57" s="3678"/>
      <c r="AD57" s="2262"/>
      <c r="AE57" s="2262"/>
      <c r="AF57" s="2262"/>
      <c r="AG57" s="2262"/>
      <c r="AH57" s="2262"/>
      <c r="AI57" s="2262"/>
      <c r="AJ57" s="2262"/>
      <c r="AK57" s="2262"/>
      <c r="AL57" s="2262"/>
      <c r="AM57" s="2262"/>
      <c r="AN57" s="2262"/>
      <c r="AO57" s="2262"/>
      <c r="AP57" s="2262"/>
      <c r="AQ57" s="2651"/>
      <c r="AR57" s="2651"/>
      <c r="AS57" s="2262"/>
    </row>
    <row r="58" spans="1:45" ht="45" x14ac:dyDescent="0.25">
      <c r="A58" s="3650"/>
      <c r="B58" s="3651"/>
      <c r="C58" s="422"/>
      <c r="D58" s="423"/>
      <c r="E58" s="525"/>
      <c r="F58" s="525"/>
      <c r="G58" s="2195"/>
      <c r="H58" s="2257"/>
      <c r="I58" s="2195"/>
      <c r="J58" s="2257"/>
      <c r="K58" s="3662"/>
      <c r="L58" s="2257"/>
      <c r="M58" s="3662"/>
      <c r="N58" s="2257"/>
      <c r="O58" s="2197"/>
      <c r="P58" s="2197"/>
      <c r="Q58" s="2182"/>
      <c r="R58" s="3646"/>
      <c r="S58" s="3657"/>
      <c r="T58" s="2182"/>
      <c r="U58" s="3658"/>
      <c r="V58" s="1484" t="s">
        <v>1780</v>
      </c>
      <c r="W58" s="1114">
        <v>10000000</v>
      </c>
      <c r="X58" s="182" t="s">
        <v>1772</v>
      </c>
      <c r="Y58" s="1372">
        <v>61</v>
      </c>
      <c r="Z58" s="1047" t="s">
        <v>1699</v>
      </c>
      <c r="AA58" s="2262"/>
      <c r="AB58" s="2262"/>
      <c r="AC58" s="3678"/>
      <c r="AD58" s="2262"/>
      <c r="AE58" s="2262"/>
      <c r="AF58" s="2262"/>
      <c r="AG58" s="2262"/>
      <c r="AH58" s="2262"/>
      <c r="AI58" s="2262"/>
      <c r="AJ58" s="2262"/>
      <c r="AK58" s="2262"/>
      <c r="AL58" s="2262"/>
      <c r="AM58" s="2262"/>
      <c r="AN58" s="2262"/>
      <c r="AO58" s="2262"/>
      <c r="AP58" s="2262"/>
      <c r="AQ58" s="2651"/>
      <c r="AR58" s="2651"/>
      <c r="AS58" s="2262"/>
    </row>
    <row r="59" spans="1:45" ht="60" x14ac:dyDescent="0.25">
      <c r="A59" s="3650"/>
      <c r="B59" s="3651"/>
      <c r="C59" s="422"/>
      <c r="D59" s="423"/>
      <c r="E59" s="525"/>
      <c r="F59" s="525"/>
      <c r="G59" s="2195"/>
      <c r="H59" s="2257"/>
      <c r="I59" s="2195"/>
      <c r="J59" s="2257"/>
      <c r="K59" s="3662"/>
      <c r="L59" s="2257"/>
      <c r="M59" s="3662"/>
      <c r="N59" s="2257"/>
      <c r="O59" s="2197"/>
      <c r="P59" s="2197"/>
      <c r="Q59" s="2182"/>
      <c r="R59" s="3646"/>
      <c r="S59" s="3657"/>
      <c r="T59" s="2182"/>
      <c r="U59" s="3658"/>
      <c r="V59" s="1484" t="s">
        <v>1781</v>
      </c>
      <c r="W59" s="1114">
        <v>25000000</v>
      </c>
      <c r="X59" s="182" t="s">
        <v>1772</v>
      </c>
      <c r="Y59" s="1372">
        <v>61</v>
      </c>
      <c r="Z59" s="1047" t="s">
        <v>1699</v>
      </c>
      <c r="AA59" s="2262"/>
      <c r="AB59" s="2262"/>
      <c r="AC59" s="3678"/>
      <c r="AD59" s="2262"/>
      <c r="AE59" s="2262"/>
      <c r="AF59" s="2262"/>
      <c r="AG59" s="2262"/>
      <c r="AH59" s="2262"/>
      <c r="AI59" s="2262"/>
      <c r="AJ59" s="2262"/>
      <c r="AK59" s="2262"/>
      <c r="AL59" s="2262"/>
      <c r="AM59" s="2262"/>
      <c r="AN59" s="2262"/>
      <c r="AO59" s="2262"/>
      <c r="AP59" s="2262"/>
      <c r="AQ59" s="2651"/>
      <c r="AR59" s="2651"/>
      <c r="AS59" s="2262"/>
    </row>
    <row r="60" spans="1:45" ht="45" x14ac:dyDescent="0.25">
      <c r="A60" s="3650"/>
      <c r="B60" s="3651"/>
      <c r="C60" s="422"/>
      <c r="D60" s="423"/>
      <c r="E60" s="525"/>
      <c r="F60" s="525"/>
      <c r="G60" s="2195"/>
      <c r="H60" s="2257"/>
      <c r="I60" s="2195"/>
      <c r="J60" s="2257"/>
      <c r="K60" s="3662"/>
      <c r="L60" s="2257"/>
      <c r="M60" s="3662"/>
      <c r="N60" s="2257"/>
      <c r="O60" s="2197"/>
      <c r="P60" s="2197"/>
      <c r="Q60" s="2182"/>
      <c r="R60" s="3646"/>
      <c r="S60" s="3657"/>
      <c r="T60" s="2182"/>
      <c r="U60" s="3658"/>
      <c r="V60" s="1484" t="s">
        <v>1782</v>
      </c>
      <c r="W60" s="1114">
        <v>20000000</v>
      </c>
      <c r="X60" s="182" t="s">
        <v>1772</v>
      </c>
      <c r="Y60" s="1372">
        <v>61</v>
      </c>
      <c r="Z60" s="1047" t="s">
        <v>1699</v>
      </c>
      <c r="AA60" s="2262"/>
      <c r="AB60" s="2262"/>
      <c r="AC60" s="3678"/>
      <c r="AD60" s="2262"/>
      <c r="AE60" s="2262"/>
      <c r="AF60" s="2262"/>
      <c r="AG60" s="2262"/>
      <c r="AH60" s="2262"/>
      <c r="AI60" s="2262"/>
      <c r="AJ60" s="2262"/>
      <c r="AK60" s="2262"/>
      <c r="AL60" s="2262"/>
      <c r="AM60" s="2262"/>
      <c r="AN60" s="2262"/>
      <c r="AO60" s="2262"/>
      <c r="AP60" s="2262"/>
      <c r="AQ60" s="2651"/>
      <c r="AR60" s="2651"/>
      <c r="AS60" s="2262"/>
    </row>
    <row r="61" spans="1:45" ht="30" x14ac:dyDescent="0.25">
      <c r="A61" s="3650"/>
      <c r="B61" s="3651"/>
      <c r="C61" s="422"/>
      <c r="D61" s="423"/>
      <c r="E61" s="525"/>
      <c r="F61" s="525"/>
      <c r="G61" s="2195"/>
      <c r="H61" s="2257"/>
      <c r="I61" s="2195"/>
      <c r="J61" s="2257"/>
      <c r="K61" s="3662"/>
      <c r="L61" s="2257"/>
      <c r="M61" s="3662"/>
      <c r="N61" s="2257"/>
      <c r="O61" s="2197"/>
      <c r="P61" s="2197"/>
      <c r="Q61" s="2182"/>
      <c r="R61" s="3646"/>
      <c r="S61" s="3657"/>
      <c r="T61" s="2182"/>
      <c r="U61" s="3658"/>
      <c r="V61" s="1484" t="s">
        <v>1783</v>
      </c>
      <c r="W61" s="1114">
        <v>15000000</v>
      </c>
      <c r="X61" s="182" t="s">
        <v>1772</v>
      </c>
      <c r="Y61" s="1372">
        <v>61</v>
      </c>
      <c r="Z61" s="1047" t="s">
        <v>1699</v>
      </c>
      <c r="AA61" s="2262"/>
      <c r="AB61" s="2262"/>
      <c r="AC61" s="3678"/>
      <c r="AD61" s="2262"/>
      <c r="AE61" s="2262"/>
      <c r="AF61" s="2262"/>
      <c r="AG61" s="2262"/>
      <c r="AH61" s="2262"/>
      <c r="AI61" s="2262"/>
      <c r="AJ61" s="2262"/>
      <c r="AK61" s="2262"/>
      <c r="AL61" s="2262"/>
      <c r="AM61" s="2262"/>
      <c r="AN61" s="2262"/>
      <c r="AO61" s="2262"/>
      <c r="AP61" s="2262"/>
      <c r="AQ61" s="2651"/>
      <c r="AR61" s="2651"/>
      <c r="AS61" s="2262"/>
    </row>
    <row r="62" spans="1:45" ht="30" x14ac:dyDescent="0.25">
      <c r="A62" s="3650"/>
      <c r="B62" s="3651"/>
      <c r="C62" s="422"/>
      <c r="D62" s="423"/>
      <c r="E62" s="525"/>
      <c r="F62" s="525"/>
      <c r="G62" s="2287"/>
      <c r="H62" s="2280"/>
      <c r="I62" s="2287"/>
      <c r="J62" s="2280"/>
      <c r="K62" s="3327"/>
      <c r="L62" s="2280"/>
      <c r="M62" s="3327"/>
      <c r="N62" s="2280"/>
      <c r="O62" s="2198"/>
      <c r="P62" s="2198"/>
      <c r="Q62" s="2196"/>
      <c r="R62" s="3660"/>
      <c r="S62" s="3675"/>
      <c r="T62" s="2196"/>
      <c r="U62" s="3658"/>
      <c r="V62" s="1485" t="s">
        <v>1784</v>
      </c>
      <c r="W62" s="1374">
        <v>3530000</v>
      </c>
      <c r="X62" s="182" t="s">
        <v>1772</v>
      </c>
      <c r="Y62" s="1373">
        <v>61</v>
      </c>
      <c r="Z62" s="1048" t="s">
        <v>1699</v>
      </c>
      <c r="AA62" s="2263"/>
      <c r="AB62" s="2262"/>
      <c r="AC62" s="3678"/>
      <c r="AD62" s="2262"/>
      <c r="AE62" s="2262"/>
      <c r="AF62" s="2262"/>
      <c r="AG62" s="2262"/>
      <c r="AH62" s="2262"/>
      <c r="AI62" s="2262"/>
      <c r="AJ62" s="2262"/>
      <c r="AK62" s="2262"/>
      <c r="AL62" s="2262"/>
      <c r="AM62" s="2262"/>
      <c r="AN62" s="2262"/>
      <c r="AO62" s="2262"/>
      <c r="AP62" s="2262"/>
      <c r="AQ62" s="2651"/>
      <c r="AR62" s="2651"/>
      <c r="AS62" s="2262"/>
    </row>
    <row r="63" spans="1:45" ht="42.75" customHeight="1" x14ac:dyDescent="0.25">
      <c r="A63" s="3650"/>
      <c r="B63" s="3651"/>
      <c r="C63" s="422"/>
      <c r="D63" s="423"/>
      <c r="E63" s="525"/>
      <c r="F63" s="525"/>
      <c r="G63" s="2166">
        <v>1903012</v>
      </c>
      <c r="H63" s="2829" t="s">
        <v>1785</v>
      </c>
      <c r="I63" s="2166">
        <v>1903012</v>
      </c>
      <c r="J63" s="2829" t="s">
        <v>1785</v>
      </c>
      <c r="K63" s="3672">
        <v>190301200</v>
      </c>
      <c r="L63" s="2829" t="s">
        <v>1786</v>
      </c>
      <c r="M63" s="3672">
        <v>190301200</v>
      </c>
      <c r="N63" s="2829" t="s">
        <v>1786</v>
      </c>
      <c r="O63" s="2464">
        <v>4000</v>
      </c>
      <c r="P63" s="3679" t="s">
        <v>1787</v>
      </c>
      <c r="Q63" s="3683" t="s">
        <v>1788</v>
      </c>
      <c r="R63" s="3646">
        <f>SUM(W63:W74)/S63</f>
        <v>0.76911669484986112</v>
      </c>
      <c r="S63" s="3686">
        <f>SUM(W63:W79)</f>
        <v>947714309</v>
      </c>
      <c r="T63" s="2182" t="s">
        <v>1789</v>
      </c>
      <c r="U63" s="2488" t="s">
        <v>1790</v>
      </c>
      <c r="V63" s="2320" t="s">
        <v>1791</v>
      </c>
      <c r="W63" s="1369">
        <f>264488588+54700000-319188588</f>
        <v>0</v>
      </c>
      <c r="X63" s="182" t="s">
        <v>1792</v>
      </c>
      <c r="Y63" s="1373">
        <v>61</v>
      </c>
      <c r="Z63" s="1048" t="s">
        <v>1699</v>
      </c>
      <c r="AA63" s="2287">
        <v>289394</v>
      </c>
      <c r="AB63" s="2287">
        <v>279112</v>
      </c>
      <c r="AC63" s="3327">
        <v>63164</v>
      </c>
      <c r="AD63" s="2287">
        <v>45607</v>
      </c>
      <c r="AE63" s="2287">
        <v>365607</v>
      </c>
      <c r="AF63" s="2287">
        <v>75612</v>
      </c>
      <c r="AG63" s="2287">
        <v>2145</v>
      </c>
      <c r="AH63" s="2287">
        <v>12718</v>
      </c>
      <c r="AI63" s="2287">
        <v>26</v>
      </c>
      <c r="AJ63" s="2287">
        <v>37</v>
      </c>
      <c r="AK63" s="2287">
        <v>0</v>
      </c>
      <c r="AL63" s="2287">
        <v>0</v>
      </c>
      <c r="AM63" s="2287">
        <v>78</v>
      </c>
      <c r="AN63" s="2287">
        <v>16897</v>
      </c>
      <c r="AO63" s="2287">
        <v>852</v>
      </c>
      <c r="AP63" s="2287">
        <v>568506</v>
      </c>
      <c r="AQ63" s="3673">
        <v>44197</v>
      </c>
      <c r="AR63" s="3673">
        <v>44561</v>
      </c>
      <c r="AS63" s="2287" t="s">
        <v>1700</v>
      </c>
    </row>
    <row r="64" spans="1:45" ht="42.75" customHeight="1" x14ac:dyDescent="0.25">
      <c r="A64" s="3650"/>
      <c r="B64" s="3651"/>
      <c r="C64" s="422"/>
      <c r="D64" s="423"/>
      <c r="E64" s="525"/>
      <c r="F64" s="525"/>
      <c r="G64" s="2191"/>
      <c r="H64" s="2824"/>
      <c r="I64" s="2191"/>
      <c r="J64" s="2824"/>
      <c r="K64" s="3668"/>
      <c r="L64" s="2824"/>
      <c r="M64" s="3668"/>
      <c r="N64" s="2824"/>
      <c r="O64" s="2485"/>
      <c r="P64" s="3680"/>
      <c r="Q64" s="3683"/>
      <c r="R64" s="3646"/>
      <c r="S64" s="3687"/>
      <c r="T64" s="2182"/>
      <c r="U64" s="3658"/>
      <c r="V64" s="3165"/>
      <c r="W64" s="1369">
        <v>319188588</v>
      </c>
      <c r="X64" s="182" t="s">
        <v>1793</v>
      </c>
      <c r="Y64" s="1373">
        <v>61</v>
      </c>
      <c r="Z64" s="1048" t="s">
        <v>1699</v>
      </c>
      <c r="AA64" s="2157"/>
      <c r="AB64" s="2157"/>
      <c r="AC64" s="3685"/>
      <c r="AD64" s="2157"/>
      <c r="AE64" s="2157"/>
      <c r="AF64" s="2157"/>
      <c r="AG64" s="2157"/>
      <c r="AH64" s="2157"/>
      <c r="AI64" s="2157"/>
      <c r="AJ64" s="2157"/>
      <c r="AK64" s="2157"/>
      <c r="AL64" s="2157"/>
      <c r="AM64" s="2157"/>
      <c r="AN64" s="2157"/>
      <c r="AO64" s="2157"/>
      <c r="AP64" s="2157"/>
      <c r="AQ64" s="3674"/>
      <c r="AR64" s="3674"/>
      <c r="AS64" s="2157"/>
    </row>
    <row r="65" spans="1:45" ht="30" x14ac:dyDescent="0.25">
      <c r="A65" s="3650"/>
      <c r="B65" s="3651"/>
      <c r="C65" s="422"/>
      <c r="D65" s="423"/>
      <c r="E65" s="525"/>
      <c r="F65" s="525"/>
      <c r="G65" s="2191"/>
      <c r="H65" s="2824" t="s">
        <v>1785</v>
      </c>
      <c r="I65" s="2191"/>
      <c r="J65" s="2824" t="s">
        <v>1785</v>
      </c>
      <c r="K65" s="3668">
        <v>190301200</v>
      </c>
      <c r="L65" s="2824" t="s">
        <v>1786</v>
      </c>
      <c r="M65" s="3668">
        <v>190301200</v>
      </c>
      <c r="N65" s="2824" t="s">
        <v>1786</v>
      </c>
      <c r="O65" s="2485"/>
      <c r="P65" s="3681"/>
      <c r="Q65" s="3683"/>
      <c r="R65" s="3646"/>
      <c r="S65" s="3687"/>
      <c r="T65" s="2182"/>
      <c r="U65" s="3658"/>
      <c r="V65" s="2320" t="s">
        <v>1794</v>
      </c>
      <c r="W65" s="1532">
        <f>30811412-30811412</f>
        <v>0</v>
      </c>
      <c r="X65" s="182" t="s">
        <v>1792</v>
      </c>
      <c r="Y65" s="1373">
        <v>61</v>
      </c>
      <c r="Z65" s="1048" t="s">
        <v>1699</v>
      </c>
      <c r="AA65" s="2157"/>
      <c r="AB65" s="2157"/>
      <c r="AC65" s="3685"/>
      <c r="AD65" s="2157"/>
      <c r="AE65" s="2157"/>
      <c r="AF65" s="2157"/>
      <c r="AG65" s="2157"/>
      <c r="AH65" s="2157"/>
      <c r="AI65" s="2157"/>
      <c r="AJ65" s="2157"/>
      <c r="AK65" s="2157"/>
      <c r="AL65" s="2157"/>
      <c r="AM65" s="2157"/>
      <c r="AN65" s="2157"/>
      <c r="AO65" s="2157"/>
      <c r="AP65" s="2157"/>
      <c r="AQ65" s="3674"/>
      <c r="AR65" s="3674"/>
      <c r="AS65" s="2157"/>
    </row>
    <row r="66" spans="1:45" ht="23.25" customHeight="1" x14ac:dyDescent="0.25">
      <c r="A66" s="3650"/>
      <c r="B66" s="3651"/>
      <c r="C66" s="422"/>
      <c r="D66" s="423"/>
      <c r="E66" s="525"/>
      <c r="F66" s="525"/>
      <c r="G66" s="2191"/>
      <c r="H66" s="2824"/>
      <c r="I66" s="2191"/>
      <c r="J66" s="2824"/>
      <c r="K66" s="3668"/>
      <c r="L66" s="2824"/>
      <c r="M66" s="3668"/>
      <c r="N66" s="2824"/>
      <c r="O66" s="2485"/>
      <c r="P66" s="3681"/>
      <c r="Q66" s="3683"/>
      <c r="R66" s="3646"/>
      <c r="S66" s="3687"/>
      <c r="T66" s="2182"/>
      <c r="U66" s="3658"/>
      <c r="V66" s="3164"/>
      <c r="W66" s="1532">
        <v>7490065</v>
      </c>
      <c r="X66" s="182" t="s">
        <v>1795</v>
      </c>
      <c r="Y66" s="1373">
        <v>61</v>
      </c>
      <c r="Z66" s="1048" t="s">
        <v>1699</v>
      </c>
      <c r="AA66" s="2157"/>
      <c r="AB66" s="2157"/>
      <c r="AC66" s="3685"/>
      <c r="AD66" s="2157"/>
      <c r="AE66" s="2157"/>
      <c r="AF66" s="2157"/>
      <c r="AG66" s="2157"/>
      <c r="AH66" s="2157"/>
      <c r="AI66" s="2157"/>
      <c r="AJ66" s="2157"/>
      <c r="AK66" s="2157"/>
      <c r="AL66" s="2157"/>
      <c r="AM66" s="2157"/>
      <c r="AN66" s="2157"/>
      <c r="AO66" s="2157"/>
      <c r="AP66" s="2157"/>
      <c r="AQ66" s="3674"/>
      <c r="AR66" s="3674"/>
      <c r="AS66" s="2157"/>
    </row>
    <row r="67" spans="1:45" ht="33" customHeight="1" x14ac:dyDescent="0.25">
      <c r="A67" s="3650"/>
      <c r="B67" s="3651"/>
      <c r="C67" s="422"/>
      <c r="D67" s="423"/>
      <c r="E67" s="525"/>
      <c r="F67" s="525"/>
      <c r="G67" s="2191"/>
      <c r="H67" s="2824"/>
      <c r="I67" s="2191"/>
      <c r="J67" s="2824"/>
      <c r="K67" s="3668"/>
      <c r="L67" s="2824"/>
      <c r="M67" s="3668"/>
      <c r="N67" s="2824"/>
      <c r="O67" s="2485"/>
      <c r="P67" s="3681"/>
      <c r="Q67" s="3683"/>
      <c r="R67" s="3646"/>
      <c r="S67" s="3687"/>
      <c r="T67" s="2182"/>
      <c r="U67" s="3658"/>
      <c r="V67" s="3164"/>
      <c r="W67" s="1532">
        <v>33078292</v>
      </c>
      <c r="X67" s="182" t="s">
        <v>1796</v>
      </c>
      <c r="Y67" s="1373">
        <v>184</v>
      </c>
      <c r="Z67" s="1048" t="s">
        <v>1797</v>
      </c>
      <c r="AA67" s="2157"/>
      <c r="AB67" s="2157"/>
      <c r="AC67" s="3685"/>
      <c r="AD67" s="2157"/>
      <c r="AE67" s="2157"/>
      <c r="AF67" s="2157"/>
      <c r="AG67" s="2157"/>
      <c r="AH67" s="2157"/>
      <c r="AI67" s="2157"/>
      <c r="AJ67" s="2157"/>
      <c r="AK67" s="2157"/>
      <c r="AL67" s="2157"/>
      <c r="AM67" s="2157"/>
      <c r="AN67" s="2157"/>
      <c r="AO67" s="2157"/>
      <c r="AP67" s="2157"/>
      <c r="AQ67" s="3674"/>
      <c r="AR67" s="3674"/>
      <c r="AS67" s="2157"/>
    </row>
    <row r="68" spans="1:45" ht="38.25" customHeight="1" x14ac:dyDescent="0.25">
      <c r="A68" s="3650"/>
      <c r="B68" s="3651"/>
      <c r="C68" s="422"/>
      <c r="D68" s="423"/>
      <c r="E68" s="525"/>
      <c r="F68" s="525"/>
      <c r="G68" s="2191"/>
      <c r="H68" s="2824"/>
      <c r="I68" s="2191"/>
      <c r="J68" s="2824"/>
      <c r="K68" s="3668"/>
      <c r="L68" s="2824"/>
      <c r="M68" s="3668"/>
      <c r="N68" s="2824"/>
      <c r="O68" s="2485"/>
      <c r="P68" s="3681"/>
      <c r="Q68" s="3683"/>
      <c r="R68" s="3646"/>
      <c r="S68" s="3687"/>
      <c r="T68" s="2182"/>
      <c r="U68" s="3658"/>
      <c r="V68" s="3165"/>
      <c r="W68" s="1369">
        <v>90734569</v>
      </c>
      <c r="X68" s="182" t="s">
        <v>1798</v>
      </c>
      <c r="Y68" s="1373">
        <v>88</v>
      </c>
      <c r="Z68" s="1048" t="s">
        <v>149</v>
      </c>
      <c r="AA68" s="2157"/>
      <c r="AB68" s="2157"/>
      <c r="AC68" s="3685"/>
      <c r="AD68" s="2157"/>
      <c r="AE68" s="2157"/>
      <c r="AF68" s="2157"/>
      <c r="AG68" s="2157"/>
      <c r="AH68" s="2157"/>
      <c r="AI68" s="2157"/>
      <c r="AJ68" s="2157"/>
      <c r="AK68" s="2157"/>
      <c r="AL68" s="2157"/>
      <c r="AM68" s="2157"/>
      <c r="AN68" s="2157"/>
      <c r="AO68" s="2157"/>
      <c r="AP68" s="2157"/>
      <c r="AQ68" s="3674"/>
      <c r="AR68" s="3674"/>
      <c r="AS68" s="2157"/>
    </row>
    <row r="69" spans="1:45" ht="39" customHeight="1" x14ac:dyDescent="0.25">
      <c r="A69" s="3650"/>
      <c r="B69" s="3651"/>
      <c r="C69" s="422"/>
      <c r="D69" s="423"/>
      <c r="E69" s="525"/>
      <c r="F69" s="525"/>
      <c r="G69" s="2191"/>
      <c r="H69" s="2824" t="s">
        <v>1785</v>
      </c>
      <c r="I69" s="2191"/>
      <c r="J69" s="2824" t="s">
        <v>1785</v>
      </c>
      <c r="K69" s="3668">
        <v>190301200</v>
      </c>
      <c r="L69" s="2824" t="s">
        <v>1786</v>
      </c>
      <c r="M69" s="3668">
        <v>190301200</v>
      </c>
      <c r="N69" s="2824" t="s">
        <v>1786</v>
      </c>
      <c r="O69" s="2485"/>
      <c r="P69" s="3681"/>
      <c r="Q69" s="3683"/>
      <c r="R69" s="3646"/>
      <c r="S69" s="3687"/>
      <c r="T69" s="2182"/>
      <c r="U69" s="3658"/>
      <c r="V69" s="2320" t="s">
        <v>1799</v>
      </c>
      <c r="W69" s="1711">
        <f>57498731+40000000</f>
        <v>97498731</v>
      </c>
      <c r="X69" s="182" t="s">
        <v>1800</v>
      </c>
      <c r="Y69" s="1373">
        <v>61</v>
      </c>
      <c r="Z69" s="1048" t="s">
        <v>1699</v>
      </c>
      <c r="AA69" s="2157"/>
      <c r="AB69" s="2157"/>
      <c r="AC69" s="3685"/>
      <c r="AD69" s="2157"/>
      <c r="AE69" s="2157"/>
      <c r="AF69" s="2157"/>
      <c r="AG69" s="2157"/>
      <c r="AH69" s="2157"/>
      <c r="AI69" s="2157"/>
      <c r="AJ69" s="2157"/>
      <c r="AK69" s="2157"/>
      <c r="AL69" s="2157"/>
      <c r="AM69" s="2157"/>
      <c r="AN69" s="2157"/>
      <c r="AO69" s="2157"/>
      <c r="AP69" s="2157"/>
      <c r="AQ69" s="3674"/>
      <c r="AR69" s="3674"/>
      <c r="AS69" s="2157"/>
    </row>
    <row r="70" spans="1:45" ht="24.75" customHeight="1" x14ac:dyDescent="0.25">
      <c r="A70" s="3650"/>
      <c r="B70" s="3651"/>
      <c r="C70" s="422"/>
      <c r="D70" s="423"/>
      <c r="E70" s="525"/>
      <c r="F70" s="525"/>
      <c r="G70" s="2191"/>
      <c r="H70" s="2824"/>
      <c r="I70" s="2191"/>
      <c r="J70" s="2824"/>
      <c r="K70" s="3668"/>
      <c r="L70" s="2824"/>
      <c r="M70" s="3668"/>
      <c r="N70" s="2824"/>
      <c r="O70" s="2485"/>
      <c r="P70" s="3681"/>
      <c r="Q70" s="3683"/>
      <c r="R70" s="3646"/>
      <c r="S70" s="3687"/>
      <c r="T70" s="2182"/>
      <c r="U70" s="3658"/>
      <c r="V70" s="3164"/>
      <c r="W70" s="1711">
        <f>40000000-40000000</f>
        <v>0</v>
      </c>
      <c r="X70" s="182" t="s">
        <v>1793</v>
      </c>
      <c r="Y70" s="1373">
        <v>61</v>
      </c>
      <c r="Z70" s="1048" t="s">
        <v>1699</v>
      </c>
      <c r="AA70" s="2157"/>
      <c r="AB70" s="2157"/>
      <c r="AC70" s="3685"/>
      <c r="AD70" s="2157"/>
      <c r="AE70" s="2157"/>
      <c r="AF70" s="2157"/>
      <c r="AG70" s="2157"/>
      <c r="AH70" s="2157"/>
      <c r="AI70" s="2157"/>
      <c r="AJ70" s="2157"/>
      <c r="AK70" s="2157"/>
      <c r="AL70" s="2157"/>
      <c r="AM70" s="2157"/>
      <c r="AN70" s="2157"/>
      <c r="AO70" s="2157"/>
      <c r="AP70" s="2157"/>
      <c r="AQ70" s="3674"/>
      <c r="AR70" s="3674"/>
      <c r="AS70" s="2157"/>
    </row>
    <row r="71" spans="1:45" ht="27" customHeight="1" x14ac:dyDescent="0.25">
      <c r="A71" s="3650"/>
      <c r="B71" s="3651"/>
      <c r="C71" s="422"/>
      <c r="D71" s="423"/>
      <c r="E71" s="525"/>
      <c r="F71" s="525"/>
      <c r="G71" s="2191"/>
      <c r="H71" s="2824"/>
      <c r="I71" s="2191"/>
      <c r="J71" s="2824"/>
      <c r="K71" s="3668"/>
      <c r="L71" s="2824"/>
      <c r="M71" s="3668"/>
      <c r="N71" s="2824"/>
      <c r="O71" s="2485"/>
      <c r="P71" s="3681"/>
      <c r="Q71" s="3683"/>
      <c r="R71" s="3646"/>
      <c r="S71" s="3687"/>
      <c r="T71" s="2182"/>
      <c r="U71" s="3658"/>
      <c r="V71" s="3165"/>
      <c r="W71" s="1711">
        <v>42509935</v>
      </c>
      <c r="X71" s="182" t="s">
        <v>1795</v>
      </c>
      <c r="Y71" s="1373">
        <v>61</v>
      </c>
      <c r="Z71" s="1048" t="s">
        <v>1699</v>
      </c>
      <c r="AA71" s="2157"/>
      <c r="AB71" s="2157"/>
      <c r="AC71" s="3685"/>
      <c r="AD71" s="2157"/>
      <c r="AE71" s="2157"/>
      <c r="AF71" s="2157"/>
      <c r="AG71" s="2157"/>
      <c r="AH71" s="2157"/>
      <c r="AI71" s="2157"/>
      <c r="AJ71" s="2157"/>
      <c r="AK71" s="2157"/>
      <c r="AL71" s="2157"/>
      <c r="AM71" s="2157"/>
      <c r="AN71" s="2157"/>
      <c r="AO71" s="2157"/>
      <c r="AP71" s="2157"/>
      <c r="AQ71" s="3674"/>
      <c r="AR71" s="3674"/>
      <c r="AS71" s="2157"/>
    </row>
    <row r="72" spans="1:45" ht="30" x14ac:dyDescent="0.25">
      <c r="A72" s="3650"/>
      <c r="B72" s="3651"/>
      <c r="C72" s="422"/>
      <c r="D72" s="423"/>
      <c r="E72" s="525"/>
      <c r="F72" s="525"/>
      <c r="G72" s="2191"/>
      <c r="H72" s="2824" t="s">
        <v>1785</v>
      </c>
      <c r="I72" s="2191"/>
      <c r="J72" s="2824" t="s">
        <v>1785</v>
      </c>
      <c r="K72" s="3668">
        <v>190301200</v>
      </c>
      <c r="L72" s="2824" t="s">
        <v>1786</v>
      </c>
      <c r="M72" s="3668">
        <v>190301200</v>
      </c>
      <c r="N72" s="2824" t="s">
        <v>1786</v>
      </c>
      <c r="O72" s="2485"/>
      <c r="P72" s="3681"/>
      <c r="Q72" s="3683"/>
      <c r="R72" s="3646"/>
      <c r="S72" s="3687"/>
      <c r="T72" s="2182"/>
      <c r="U72" s="3658"/>
      <c r="V72" s="1485" t="s">
        <v>1801</v>
      </c>
      <c r="W72" s="1711">
        <f>136102667-30000000</f>
        <v>106102667</v>
      </c>
      <c r="X72" s="182" t="s">
        <v>1800</v>
      </c>
      <c r="Y72" s="1373">
        <v>61</v>
      </c>
      <c r="Z72" s="1048" t="s">
        <v>1699</v>
      </c>
      <c r="AA72" s="2157"/>
      <c r="AB72" s="2157"/>
      <c r="AC72" s="3685"/>
      <c r="AD72" s="2157"/>
      <c r="AE72" s="2157"/>
      <c r="AF72" s="2157"/>
      <c r="AG72" s="2157"/>
      <c r="AH72" s="2157"/>
      <c r="AI72" s="2157"/>
      <c r="AJ72" s="2157"/>
      <c r="AK72" s="2157"/>
      <c r="AL72" s="2157"/>
      <c r="AM72" s="2157"/>
      <c r="AN72" s="2157"/>
      <c r="AO72" s="2157"/>
      <c r="AP72" s="2157"/>
      <c r="AQ72" s="3674"/>
      <c r="AR72" s="3674"/>
      <c r="AS72" s="2157"/>
    </row>
    <row r="73" spans="1:45" ht="30" x14ac:dyDescent="0.25">
      <c r="A73" s="3650"/>
      <c r="B73" s="3651"/>
      <c r="C73" s="422"/>
      <c r="D73" s="423"/>
      <c r="E73" s="525"/>
      <c r="F73" s="525"/>
      <c r="G73" s="2191"/>
      <c r="H73" s="2824" t="s">
        <v>1785</v>
      </c>
      <c r="I73" s="2191"/>
      <c r="J73" s="2824" t="s">
        <v>1785</v>
      </c>
      <c r="K73" s="3668">
        <v>190301200</v>
      </c>
      <c r="L73" s="2824" t="s">
        <v>1786</v>
      </c>
      <c r="M73" s="3668">
        <v>190301200</v>
      </c>
      <c r="N73" s="2824" t="s">
        <v>1786</v>
      </c>
      <c r="O73" s="2485"/>
      <c r="P73" s="3681"/>
      <c r="Q73" s="3683"/>
      <c r="R73" s="3646"/>
      <c r="S73" s="3687"/>
      <c r="T73" s="2182"/>
      <c r="U73" s="3658"/>
      <c r="V73" s="1484" t="s">
        <v>1802</v>
      </c>
      <c r="W73" s="1711">
        <v>15500050</v>
      </c>
      <c r="X73" s="182" t="s">
        <v>1800</v>
      </c>
      <c r="Y73" s="1373">
        <v>61</v>
      </c>
      <c r="Z73" s="1048" t="s">
        <v>1699</v>
      </c>
      <c r="AA73" s="2157"/>
      <c r="AB73" s="2157"/>
      <c r="AC73" s="3685"/>
      <c r="AD73" s="2157"/>
      <c r="AE73" s="2157"/>
      <c r="AF73" s="2157"/>
      <c r="AG73" s="2157"/>
      <c r="AH73" s="2157"/>
      <c r="AI73" s="2157"/>
      <c r="AJ73" s="2157"/>
      <c r="AK73" s="2157"/>
      <c r="AL73" s="2157"/>
      <c r="AM73" s="2157"/>
      <c r="AN73" s="2157"/>
      <c r="AO73" s="2157"/>
      <c r="AP73" s="2157"/>
      <c r="AQ73" s="3674"/>
      <c r="AR73" s="3674"/>
      <c r="AS73" s="2157"/>
    </row>
    <row r="74" spans="1:45" ht="30" x14ac:dyDescent="0.25">
      <c r="A74" s="3650"/>
      <c r="B74" s="3651"/>
      <c r="C74" s="422"/>
      <c r="D74" s="423"/>
      <c r="E74" s="525"/>
      <c r="F74" s="525"/>
      <c r="G74" s="3671"/>
      <c r="H74" s="2835" t="s">
        <v>1785</v>
      </c>
      <c r="I74" s="3671"/>
      <c r="J74" s="2835" t="s">
        <v>1785</v>
      </c>
      <c r="K74" s="3669">
        <v>190301200</v>
      </c>
      <c r="L74" s="2835" t="s">
        <v>1786</v>
      </c>
      <c r="M74" s="3669">
        <v>190301200</v>
      </c>
      <c r="N74" s="2835" t="s">
        <v>1786</v>
      </c>
      <c r="O74" s="2466"/>
      <c r="P74" s="3681"/>
      <c r="Q74" s="3683"/>
      <c r="R74" s="3646"/>
      <c r="S74" s="3687"/>
      <c r="T74" s="2182"/>
      <c r="U74" s="3658"/>
      <c r="V74" s="1484" t="s">
        <v>1803</v>
      </c>
      <c r="W74" s="1711">
        <v>16800000</v>
      </c>
      <c r="X74" s="182" t="s">
        <v>1800</v>
      </c>
      <c r="Y74" s="1373">
        <v>61</v>
      </c>
      <c r="Z74" s="1048" t="s">
        <v>1699</v>
      </c>
      <c r="AA74" s="2157"/>
      <c r="AB74" s="2157"/>
      <c r="AC74" s="3685"/>
      <c r="AD74" s="2157"/>
      <c r="AE74" s="2157"/>
      <c r="AF74" s="2157"/>
      <c r="AG74" s="2157"/>
      <c r="AH74" s="2157"/>
      <c r="AI74" s="2157"/>
      <c r="AJ74" s="2157"/>
      <c r="AK74" s="2157"/>
      <c r="AL74" s="2157"/>
      <c r="AM74" s="2157"/>
      <c r="AN74" s="2157"/>
      <c r="AO74" s="2157"/>
      <c r="AP74" s="2157"/>
      <c r="AQ74" s="3674"/>
      <c r="AR74" s="3674"/>
      <c r="AS74" s="2157"/>
    </row>
    <row r="75" spans="1:45" ht="30" x14ac:dyDescent="0.25">
      <c r="A75" s="3650"/>
      <c r="B75" s="3651"/>
      <c r="C75" s="422"/>
      <c r="D75" s="423"/>
      <c r="E75" s="525"/>
      <c r="F75" s="525"/>
      <c r="G75" s="2190">
        <v>1903016</v>
      </c>
      <c r="H75" s="2834" t="s">
        <v>1804</v>
      </c>
      <c r="I75" s="2190">
        <v>1903016</v>
      </c>
      <c r="J75" s="2834" t="s">
        <v>1804</v>
      </c>
      <c r="K75" s="3667">
        <v>190301600</v>
      </c>
      <c r="L75" s="2834" t="s">
        <v>1805</v>
      </c>
      <c r="M75" s="3667">
        <v>190301600</v>
      </c>
      <c r="N75" s="2834" t="s">
        <v>1805</v>
      </c>
      <c r="O75" s="3670">
        <v>240</v>
      </c>
      <c r="P75" s="3681"/>
      <c r="Q75" s="3683"/>
      <c r="R75" s="3646">
        <f>SUM(W75:W77)/S63</f>
        <v>9.9186009019095647E-2</v>
      </c>
      <c r="S75" s="3687"/>
      <c r="T75" s="2182"/>
      <c r="U75" s="3658"/>
      <c r="V75" s="1484" t="s">
        <v>1806</v>
      </c>
      <c r="W75" s="1711">
        <v>34000000</v>
      </c>
      <c r="X75" s="182" t="s">
        <v>1807</v>
      </c>
      <c r="Y75" s="1373">
        <v>61</v>
      </c>
      <c r="Z75" s="1048" t="s">
        <v>1699</v>
      </c>
      <c r="AA75" s="2157"/>
      <c r="AB75" s="2157"/>
      <c r="AC75" s="3685"/>
      <c r="AD75" s="2157"/>
      <c r="AE75" s="2157"/>
      <c r="AF75" s="2157"/>
      <c r="AG75" s="2157"/>
      <c r="AH75" s="2157"/>
      <c r="AI75" s="2157"/>
      <c r="AJ75" s="2157"/>
      <c r="AK75" s="2157"/>
      <c r="AL75" s="2157"/>
      <c r="AM75" s="2157"/>
      <c r="AN75" s="2157"/>
      <c r="AO75" s="2157"/>
      <c r="AP75" s="2157"/>
      <c r="AQ75" s="3674"/>
      <c r="AR75" s="3674"/>
      <c r="AS75" s="2157"/>
    </row>
    <row r="76" spans="1:45" ht="45" x14ac:dyDescent="0.25">
      <c r="A76" s="3650"/>
      <c r="B76" s="3651"/>
      <c r="C76" s="422"/>
      <c r="D76" s="423"/>
      <c r="E76" s="525"/>
      <c r="F76" s="525"/>
      <c r="G76" s="2191"/>
      <c r="H76" s="2824" t="s">
        <v>1804</v>
      </c>
      <c r="I76" s="2191"/>
      <c r="J76" s="2824" t="s">
        <v>1804</v>
      </c>
      <c r="K76" s="3668">
        <v>190301600</v>
      </c>
      <c r="L76" s="2824" t="s">
        <v>1805</v>
      </c>
      <c r="M76" s="3668">
        <v>190301600</v>
      </c>
      <c r="N76" s="2824" t="s">
        <v>1805</v>
      </c>
      <c r="O76" s="3670"/>
      <c r="P76" s="3681"/>
      <c r="Q76" s="3683"/>
      <c r="R76" s="3646"/>
      <c r="S76" s="3687"/>
      <c r="T76" s="2182"/>
      <c r="U76" s="3658"/>
      <c r="V76" s="1484" t="s">
        <v>1808</v>
      </c>
      <c r="W76" s="1711">
        <v>35000000</v>
      </c>
      <c r="X76" s="182" t="s">
        <v>1807</v>
      </c>
      <c r="Y76" s="1373">
        <v>61</v>
      </c>
      <c r="Z76" s="1048" t="s">
        <v>1699</v>
      </c>
      <c r="AA76" s="2157"/>
      <c r="AB76" s="2157"/>
      <c r="AC76" s="3685"/>
      <c r="AD76" s="2157"/>
      <c r="AE76" s="2157"/>
      <c r="AF76" s="2157"/>
      <c r="AG76" s="2157"/>
      <c r="AH76" s="2157"/>
      <c r="AI76" s="2157"/>
      <c r="AJ76" s="2157"/>
      <c r="AK76" s="2157"/>
      <c r="AL76" s="2157"/>
      <c r="AM76" s="2157"/>
      <c r="AN76" s="2157"/>
      <c r="AO76" s="2157"/>
      <c r="AP76" s="2157"/>
      <c r="AQ76" s="3674"/>
      <c r="AR76" s="3674"/>
      <c r="AS76" s="2157"/>
    </row>
    <row r="77" spans="1:45" ht="30" x14ac:dyDescent="0.25">
      <c r="A77" s="3650"/>
      <c r="B77" s="3651"/>
      <c r="C77" s="422"/>
      <c r="D77" s="423"/>
      <c r="E77" s="525"/>
      <c r="F77" s="525"/>
      <c r="G77" s="3671"/>
      <c r="H77" s="2835" t="s">
        <v>1804</v>
      </c>
      <c r="I77" s="3671"/>
      <c r="J77" s="2835" t="s">
        <v>1804</v>
      </c>
      <c r="K77" s="3669">
        <v>190301600</v>
      </c>
      <c r="L77" s="2835" t="s">
        <v>1805</v>
      </c>
      <c r="M77" s="3669">
        <v>190301600</v>
      </c>
      <c r="N77" s="2835" t="s">
        <v>1805</v>
      </c>
      <c r="O77" s="3670"/>
      <c r="P77" s="3681"/>
      <c r="Q77" s="3683"/>
      <c r="R77" s="3646"/>
      <c r="S77" s="3687"/>
      <c r="T77" s="2182"/>
      <c r="U77" s="3658"/>
      <c r="V77" s="1484" t="s">
        <v>1809</v>
      </c>
      <c r="W77" s="1528">
        <v>25000000</v>
      </c>
      <c r="X77" s="182" t="s">
        <v>1807</v>
      </c>
      <c r="Y77" s="1373">
        <v>61</v>
      </c>
      <c r="Z77" s="1048" t="s">
        <v>1699</v>
      </c>
      <c r="AA77" s="2157"/>
      <c r="AB77" s="2157"/>
      <c r="AC77" s="3685"/>
      <c r="AD77" s="2157"/>
      <c r="AE77" s="2157"/>
      <c r="AF77" s="2157"/>
      <c r="AG77" s="2157"/>
      <c r="AH77" s="2157"/>
      <c r="AI77" s="2157"/>
      <c r="AJ77" s="2157"/>
      <c r="AK77" s="2157"/>
      <c r="AL77" s="2157"/>
      <c r="AM77" s="2157"/>
      <c r="AN77" s="2157"/>
      <c r="AO77" s="2157"/>
      <c r="AP77" s="2157"/>
      <c r="AQ77" s="3674"/>
      <c r="AR77" s="3674"/>
      <c r="AS77" s="2157"/>
    </row>
    <row r="78" spans="1:45" ht="30" x14ac:dyDescent="0.25">
      <c r="A78" s="3650"/>
      <c r="B78" s="3651"/>
      <c r="C78" s="422"/>
      <c r="D78" s="423"/>
      <c r="E78" s="525"/>
      <c r="F78" s="525"/>
      <c r="G78" s="2190">
        <v>1903011</v>
      </c>
      <c r="H78" s="2834" t="s">
        <v>1753</v>
      </c>
      <c r="I78" s="2190">
        <v>1903011</v>
      </c>
      <c r="J78" s="2834" t="s">
        <v>1753</v>
      </c>
      <c r="K78" s="3667">
        <v>190301101</v>
      </c>
      <c r="L78" s="2834" t="s">
        <v>1810</v>
      </c>
      <c r="M78" s="3667">
        <v>190301101</v>
      </c>
      <c r="N78" s="2834" t="s">
        <v>1810</v>
      </c>
      <c r="O78" s="3670">
        <v>12</v>
      </c>
      <c r="P78" s="3681"/>
      <c r="Q78" s="3683"/>
      <c r="R78" s="3646">
        <f>SUM(W78:W79)/S63</f>
        <v>0.13169729613104322</v>
      </c>
      <c r="S78" s="3687"/>
      <c r="T78" s="2182"/>
      <c r="U78" s="3658"/>
      <c r="V78" s="1484" t="s">
        <v>1811</v>
      </c>
      <c r="W78" s="1532">
        <f>54000000+30811412</f>
        <v>84811412</v>
      </c>
      <c r="X78" s="182" t="s">
        <v>1812</v>
      </c>
      <c r="Y78" s="1373">
        <v>61</v>
      </c>
      <c r="Z78" s="1048" t="s">
        <v>1699</v>
      </c>
      <c r="AA78" s="2157"/>
      <c r="AB78" s="2157"/>
      <c r="AC78" s="3685"/>
      <c r="AD78" s="2157"/>
      <c r="AE78" s="2157"/>
      <c r="AF78" s="2157"/>
      <c r="AG78" s="2157"/>
      <c r="AH78" s="2157"/>
      <c r="AI78" s="2157"/>
      <c r="AJ78" s="2157"/>
      <c r="AK78" s="2157"/>
      <c r="AL78" s="2157"/>
      <c r="AM78" s="2157"/>
      <c r="AN78" s="2157"/>
      <c r="AO78" s="2157"/>
      <c r="AP78" s="2157"/>
      <c r="AQ78" s="3674"/>
      <c r="AR78" s="3674"/>
      <c r="AS78" s="2157"/>
    </row>
    <row r="79" spans="1:45" ht="30" x14ac:dyDescent="0.25">
      <c r="A79" s="3650"/>
      <c r="B79" s="3651"/>
      <c r="C79" s="422"/>
      <c r="D79" s="423"/>
      <c r="E79" s="525"/>
      <c r="F79" s="525"/>
      <c r="G79" s="2191"/>
      <c r="H79" s="2824" t="s">
        <v>1753</v>
      </c>
      <c r="I79" s="2191"/>
      <c r="J79" s="2824" t="s">
        <v>1753</v>
      </c>
      <c r="K79" s="3668">
        <v>190301101</v>
      </c>
      <c r="L79" s="2824" t="s">
        <v>1810</v>
      </c>
      <c r="M79" s="3668">
        <v>190301101</v>
      </c>
      <c r="N79" s="2824" t="s">
        <v>1810</v>
      </c>
      <c r="O79" s="2464"/>
      <c r="P79" s="3682"/>
      <c r="Q79" s="3684"/>
      <c r="R79" s="3660"/>
      <c r="S79" s="3687"/>
      <c r="T79" s="2196"/>
      <c r="U79" s="2489"/>
      <c r="V79" s="1485" t="s">
        <v>1813</v>
      </c>
      <c r="W79" s="1369">
        <v>40000000</v>
      </c>
      <c r="X79" s="182" t="s">
        <v>1812</v>
      </c>
      <c r="Y79" s="1373">
        <v>61</v>
      </c>
      <c r="Z79" s="1048" t="s">
        <v>1699</v>
      </c>
      <c r="AA79" s="2304"/>
      <c r="AB79" s="2157"/>
      <c r="AC79" s="3685"/>
      <c r="AD79" s="2157"/>
      <c r="AE79" s="2157"/>
      <c r="AF79" s="2157"/>
      <c r="AG79" s="2157"/>
      <c r="AH79" s="2157"/>
      <c r="AI79" s="2157"/>
      <c r="AJ79" s="2157"/>
      <c r="AK79" s="2157"/>
      <c r="AL79" s="2157"/>
      <c r="AM79" s="2157"/>
      <c r="AN79" s="2157"/>
      <c r="AO79" s="2157"/>
      <c r="AP79" s="2157"/>
      <c r="AQ79" s="3674"/>
      <c r="AR79" s="3674"/>
      <c r="AS79" s="2157"/>
    </row>
    <row r="80" spans="1:45" ht="30" x14ac:dyDescent="0.25">
      <c r="A80" s="3650"/>
      <c r="B80" s="3651"/>
      <c r="C80" s="422"/>
      <c r="D80" s="423"/>
      <c r="E80" s="525"/>
      <c r="F80" s="525"/>
      <c r="G80" s="2195">
        <v>1903034</v>
      </c>
      <c r="H80" s="2257" t="s">
        <v>287</v>
      </c>
      <c r="I80" s="2195">
        <v>1903034</v>
      </c>
      <c r="J80" s="2257" t="s">
        <v>287</v>
      </c>
      <c r="K80" s="3649">
        <v>190303400</v>
      </c>
      <c r="L80" s="2257" t="s">
        <v>1814</v>
      </c>
      <c r="M80" s="3649">
        <v>190303400</v>
      </c>
      <c r="N80" s="2257" t="s">
        <v>1814</v>
      </c>
      <c r="O80" s="2197">
        <v>12</v>
      </c>
      <c r="P80" s="2309" t="s">
        <v>1815</v>
      </c>
      <c r="Q80" s="2182" t="s">
        <v>1816</v>
      </c>
      <c r="R80" s="3646">
        <f>SUM(W80:W82)/S80</f>
        <v>1</v>
      </c>
      <c r="S80" s="3657">
        <f>SUM(W80:W82)</f>
        <v>96954000</v>
      </c>
      <c r="T80" s="2182" t="s">
        <v>1817</v>
      </c>
      <c r="U80" s="3676" t="s">
        <v>1818</v>
      </c>
      <c r="V80" s="1484" t="s">
        <v>1819</v>
      </c>
      <c r="W80" s="1532">
        <v>30000000</v>
      </c>
      <c r="X80" s="182" t="s">
        <v>1820</v>
      </c>
      <c r="Y80" s="972">
        <v>20</v>
      </c>
      <c r="Z80" s="1047" t="s">
        <v>73</v>
      </c>
      <c r="AA80" s="2287">
        <v>292684</v>
      </c>
      <c r="AB80" s="3688">
        <v>282326</v>
      </c>
      <c r="AC80" s="3692">
        <v>135912</v>
      </c>
      <c r="AD80" s="3688">
        <v>45122</v>
      </c>
      <c r="AE80" s="3688">
        <v>365607</v>
      </c>
      <c r="AF80" s="3688">
        <v>86875</v>
      </c>
      <c r="AG80" s="3688">
        <v>2145</v>
      </c>
      <c r="AH80" s="3688">
        <v>12718</v>
      </c>
      <c r="AI80" s="3688">
        <v>26</v>
      </c>
      <c r="AJ80" s="3688">
        <v>37</v>
      </c>
      <c r="AK80" s="3688" t="s">
        <v>1821</v>
      </c>
      <c r="AL80" s="3688" t="s">
        <v>1821</v>
      </c>
      <c r="AM80" s="3688">
        <v>53164</v>
      </c>
      <c r="AN80" s="3688">
        <v>16982</v>
      </c>
      <c r="AO80" s="3688">
        <v>60013</v>
      </c>
      <c r="AP80" s="3688">
        <v>575010</v>
      </c>
      <c r="AQ80" s="3690">
        <v>44197</v>
      </c>
      <c r="AR80" s="3690">
        <v>44561</v>
      </c>
      <c r="AS80" s="3688" t="s">
        <v>1700</v>
      </c>
    </row>
    <row r="81" spans="1:45" ht="30" x14ac:dyDescent="0.25">
      <c r="A81" s="3650"/>
      <c r="B81" s="3651"/>
      <c r="C81" s="422"/>
      <c r="D81" s="423"/>
      <c r="E81" s="525"/>
      <c r="F81" s="525"/>
      <c r="G81" s="2195"/>
      <c r="H81" s="2257"/>
      <c r="I81" s="2195"/>
      <c r="J81" s="2257"/>
      <c r="K81" s="3649"/>
      <c r="L81" s="2257"/>
      <c r="M81" s="3649"/>
      <c r="N81" s="2257"/>
      <c r="O81" s="2197"/>
      <c r="P81" s="2197"/>
      <c r="Q81" s="2182"/>
      <c r="R81" s="3646"/>
      <c r="S81" s="3657"/>
      <c r="T81" s="2182"/>
      <c r="U81" s="3676"/>
      <c r="V81" s="1484" t="s">
        <v>1822</v>
      </c>
      <c r="W81" s="1532">
        <v>30000000</v>
      </c>
      <c r="X81" s="182" t="s">
        <v>1820</v>
      </c>
      <c r="Y81" s="972">
        <v>20</v>
      </c>
      <c r="Z81" s="1047" t="s">
        <v>73</v>
      </c>
      <c r="AA81" s="2157"/>
      <c r="AB81" s="3689"/>
      <c r="AC81" s="3693"/>
      <c r="AD81" s="3689"/>
      <c r="AE81" s="3689"/>
      <c r="AF81" s="3689"/>
      <c r="AG81" s="3689"/>
      <c r="AH81" s="3689"/>
      <c r="AI81" s="3689"/>
      <c r="AJ81" s="3689"/>
      <c r="AK81" s="3689"/>
      <c r="AL81" s="3689"/>
      <c r="AM81" s="3689"/>
      <c r="AN81" s="3689"/>
      <c r="AO81" s="3689"/>
      <c r="AP81" s="3689"/>
      <c r="AQ81" s="3691"/>
      <c r="AR81" s="3691"/>
      <c r="AS81" s="3689"/>
    </row>
    <row r="82" spans="1:45" ht="45" x14ac:dyDescent="0.25">
      <c r="A82" s="3650"/>
      <c r="B82" s="3651"/>
      <c r="C82" s="422"/>
      <c r="D82" s="423"/>
      <c r="E82" s="525"/>
      <c r="F82" s="525"/>
      <c r="G82" s="2287"/>
      <c r="H82" s="2280"/>
      <c r="I82" s="2287"/>
      <c r="J82" s="2280"/>
      <c r="K82" s="3659"/>
      <c r="L82" s="2280"/>
      <c r="M82" s="3659"/>
      <c r="N82" s="2280"/>
      <c r="O82" s="2198"/>
      <c r="P82" s="2198"/>
      <c r="Q82" s="2196"/>
      <c r="R82" s="3660"/>
      <c r="S82" s="3675"/>
      <c r="T82" s="2196"/>
      <c r="U82" s="3676"/>
      <c r="V82" s="1485" t="s">
        <v>1823</v>
      </c>
      <c r="W82" s="1375">
        <v>36954000</v>
      </c>
      <c r="X82" s="182" t="s">
        <v>1820</v>
      </c>
      <c r="Y82" s="990">
        <v>20</v>
      </c>
      <c r="Z82" s="1048" t="s">
        <v>73</v>
      </c>
      <c r="AA82" s="2304"/>
      <c r="AB82" s="3689"/>
      <c r="AC82" s="3693"/>
      <c r="AD82" s="3689"/>
      <c r="AE82" s="3689"/>
      <c r="AF82" s="3689"/>
      <c r="AG82" s="3689"/>
      <c r="AH82" s="3689"/>
      <c r="AI82" s="3689"/>
      <c r="AJ82" s="3689"/>
      <c r="AK82" s="3689"/>
      <c r="AL82" s="3689"/>
      <c r="AM82" s="3689"/>
      <c r="AN82" s="3689"/>
      <c r="AO82" s="3689"/>
      <c r="AP82" s="3689"/>
      <c r="AQ82" s="3691"/>
      <c r="AR82" s="3691"/>
      <c r="AS82" s="3689"/>
    </row>
    <row r="83" spans="1:45" ht="45" x14ac:dyDescent="0.25">
      <c r="A83" s="3650"/>
      <c r="B83" s="3651"/>
      <c r="C83" s="422"/>
      <c r="D83" s="423"/>
      <c r="E83" s="525"/>
      <c r="F83" s="525"/>
      <c r="G83" s="1046">
        <v>1903045</v>
      </c>
      <c r="H83" s="1486" t="s">
        <v>1824</v>
      </c>
      <c r="I83" s="1046">
        <v>1903045</v>
      </c>
      <c r="J83" s="1486" t="s">
        <v>1824</v>
      </c>
      <c r="K83" s="1376">
        <v>190304500</v>
      </c>
      <c r="L83" s="1480" t="s">
        <v>1825</v>
      </c>
      <c r="M83" s="1376">
        <v>190304500</v>
      </c>
      <c r="N83" s="1480" t="s">
        <v>1825</v>
      </c>
      <c r="O83" s="1047">
        <v>725</v>
      </c>
      <c r="P83" s="2197" t="s">
        <v>1826</v>
      </c>
      <c r="Q83" s="2182" t="s">
        <v>1827</v>
      </c>
      <c r="R83" s="954">
        <f>W83/S83</f>
        <v>0.30379355158116222</v>
      </c>
      <c r="S83" s="3657">
        <f>SUM(W83:W90)</f>
        <v>64636000</v>
      </c>
      <c r="T83" s="2196" t="s">
        <v>1828</v>
      </c>
      <c r="U83" s="2196" t="s">
        <v>1829</v>
      </c>
      <c r="V83" s="1484" t="s">
        <v>1830</v>
      </c>
      <c r="W83" s="1532">
        <v>19636000</v>
      </c>
      <c r="X83" s="182" t="s">
        <v>1831</v>
      </c>
      <c r="Y83" s="990">
        <v>20</v>
      </c>
      <c r="Z83" s="1048" t="s">
        <v>73</v>
      </c>
      <c r="AA83" s="2287">
        <v>292684</v>
      </c>
      <c r="AB83" s="2287">
        <v>282326</v>
      </c>
      <c r="AC83" s="3327">
        <v>135912</v>
      </c>
      <c r="AD83" s="2287">
        <v>45122</v>
      </c>
      <c r="AE83" s="2287">
        <v>365607</v>
      </c>
      <c r="AF83" s="2287">
        <v>86875</v>
      </c>
      <c r="AG83" s="2287">
        <v>2145</v>
      </c>
      <c r="AH83" s="2287">
        <v>12718</v>
      </c>
      <c r="AI83" s="2287">
        <v>26</v>
      </c>
      <c r="AJ83" s="2287">
        <v>37</v>
      </c>
      <c r="AK83" s="2287" t="s">
        <v>1821</v>
      </c>
      <c r="AL83" s="2287" t="s">
        <v>1821</v>
      </c>
      <c r="AM83" s="2287">
        <v>53164</v>
      </c>
      <c r="AN83" s="2287">
        <v>16982</v>
      </c>
      <c r="AO83" s="2287">
        <v>60013</v>
      </c>
      <c r="AP83" s="2287">
        <v>575010</v>
      </c>
      <c r="AQ83" s="3673">
        <v>44197</v>
      </c>
      <c r="AR83" s="3673">
        <v>44561</v>
      </c>
      <c r="AS83" s="2287" t="s">
        <v>1700</v>
      </c>
    </row>
    <row r="84" spans="1:45" ht="30" x14ac:dyDescent="0.25">
      <c r="A84" s="3650"/>
      <c r="B84" s="3651"/>
      <c r="C84" s="422"/>
      <c r="D84" s="423"/>
      <c r="E84" s="525"/>
      <c r="F84" s="525"/>
      <c r="G84" s="1046">
        <v>1903001</v>
      </c>
      <c r="H84" s="1486" t="s">
        <v>242</v>
      </c>
      <c r="I84" s="1046">
        <v>1903001</v>
      </c>
      <c r="J84" s="1486" t="s">
        <v>242</v>
      </c>
      <c r="K84" s="1376">
        <v>190300100</v>
      </c>
      <c r="L84" s="1480" t="s">
        <v>1758</v>
      </c>
      <c r="M84" s="1376">
        <v>190300100</v>
      </c>
      <c r="N84" s="1480" t="s">
        <v>1758</v>
      </c>
      <c r="O84" s="1047">
        <v>1</v>
      </c>
      <c r="P84" s="2197"/>
      <c r="Q84" s="2182"/>
      <c r="R84" s="954">
        <f>W84/S83</f>
        <v>0.23206881613961261</v>
      </c>
      <c r="S84" s="3657"/>
      <c r="T84" s="3162"/>
      <c r="U84" s="3162"/>
      <c r="V84" s="1484" t="s">
        <v>1832</v>
      </c>
      <c r="W84" s="1532">
        <v>15000000</v>
      </c>
      <c r="X84" s="182" t="s">
        <v>1833</v>
      </c>
      <c r="Y84" s="990">
        <v>20</v>
      </c>
      <c r="Z84" s="1048" t="s">
        <v>73</v>
      </c>
      <c r="AA84" s="2157"/>
      <c r="AB84" s="2157"/>
      <c r="AC84" s="3685"/>
      <c r="AD84" s="2157"/>
      <c r="AE84" s="2157"/>
      <c r="AF84" s="2157"/>
      <c r="AG84" s="2157"/>
      <c r="AH84" s="2157"/>
      <c r="AI84" s="2157"/>
      <c r="AJ84" s="2157"/>
      <c r="AK84" s="2157"/>
      <c r="AL84" s="2157"/>
      <c r="AM84" s="2157"/>
      <c r="AN84" s="2157"/>
      <c r="AO84" s="2157"/>
      <c r="AP84" s="2157"/>
      <c r="AQ84" s="3674"/>
      <c r="AR84" s="3674"/>
      <c r="AS84" s="2157"/>
    </row>
    <row r="85" spans="1:45" ht="45" x14ac:dyDescent="0.25">
      <c r="A85" s="3650"/>
      <c r="B85" s="3651"/>
      <c r="C85" s="422"/>
      <c r="D85" s="423"/>
      <c r="E85" s="525"/>
      <c r="F85" s="525"/>
      <c r="G85" s="2491">
        <v>1903010</v>
      </c>
      <c r="H85" s="2313" t="s">
        <v>1834</v>
      </c>
      <c r="I85" s="2491">
        <v>1903010</v>
      </c>
      <c r="J85" s="2313" t="s">
        <v>1834</v>
      </c>
      <c r="K85" s="3649">
        <v>190301000</v>
      </c>
      <c r="L85" s="2313" t="s">
        <v>1835</v>
      </c>
      <c r="M85" s="3649">
        <v>190301000</v>
      </c>
      <c r="N85" s="2313" t="s">
        <v>1835</v>
      </c>
      <c r="O85" s="2197">
        <v>12</v>
      </c>
      <c r="P85" s="2197"/>
      <c r="Q85" s="2182"/>
      <c r="R85" s="3646">
        <f>SUM(W85:W88)/S83</f>
        <v>0.23206881613961261</v>
      </c>
      <c r="S85" s="3657"/>
      <c r="T85" s="3162"/>
      <c r="U85" s="3162"/>
      <c r="V85" s="1484" t="s">
        <v>1836</v>
      </c>
      <c r="W85" s="1532">
        <v>4000000</v>
      </c>
      <c r="X85" s="182" t="s">
        <v>1837</v>
      </c>
      <c r="Y85" s="990">
        <v>20</v>
      </c>
      <c r="Z85" s="1048" t="s">
        <v>73</v>
      </c>
      <c r="AA85" s="2157"/>
      <c r="AB85" s="2157"/>
      <c r="AC85" s="3685"/>
      <c r="AD85" s="2157"/>
      <c r="AE85" s="2157"/>
      <c r="AF85" s="2157"/>
      <c r="AG85" s="2157"/>
      <c r="AH85" s="2157"/>
      <c r="AI85" s="2157"/>
      <c r="AJ85" s="2157"/>
      <c r="AK85" s="2157"/>
      <c r="AL85" s="2157"/>
      <c r="AM85" s="2157"/>
      <c r="AN85" s="2157"/>
      <c r="AO85" s="2157"/>
      <c r="AP85" s="2157"/>
      <c r="AQ85" s="3674"/>
      <c r="AR85" s="3674"/>
      <c r="AS85" s="2157"/>
    </row>
    <row r="86" spans="1:45" ht="30" x14ac:dyDescent="0.25">
      <c r="A86" s="3650"/>
      <c r="B86" s="3651"/>
      <c r="C86" s="422"/>
      <c r="D86" s="423"/>
      <c r="E86" s="525"/>
      <c r="F86" s="525"/>
      <c r="G86" s="2491"/>
      <c r="H86" s="2313"/>
      <c r="I86" s="2491"/>
      <c r="J86" s="2313"/>
      <c r="K86" s="3649"/>
      <c r="L86" s="2313"/>
      <c r="M86" s="3649"/>
      <c r="N86" s="2313"/>
      <c r="O86" s="2197"/>
      <c r="P86" s="2197"/>
      <c r="Q86" s="2182"/>
      <c r="R86" s="3646"/>
      <c r="S86" s="3657"/>
      <c r="T86" s="3162"/>
      <c r="U86" s="3162"/>
      <c r="V86" s="1484" t="s">
        <v>1838</v>
      </c>
      <c r="W86" s="1532">
        <v>4000000</v>
      </c>
      <c r="X86" s="182" t="s">
        <v>1837</v>
      </c>
      <c r="Y86" s="990">
        <v>20</v>
      </c>
      <c r="Z86" s="1048" t="s">
        <v>73</v>
      </c>
      <c r="AA86" s="2157"/>
      <c r="AB86" s="2157"/>
      <c r="AC86" s="3685"/>
      <c r="AD86" s="2157"/>
      <c r="AE86" s="2157"/>
      <c r="AF86" s="2157"/>
      <c r="AG86" s="2157"/>
      <c r="AH86" s="2157"/>
      <c r="AI86" s="2157"/>
      <c r="AJ86" s="2157"/>
      <c r="AK86" s="2157"/>
      <c r="AL86" s="2157"/>
      <c r="AM86" s="2157"/>
      <c r="AN86" s="2157"/>
      <c r="AO86" s="2157"/>
      <c r="AP86" s="2157"/>
      <c r="AQ86" s="3674"/>
      <c r="AR86" s="3674"/>
      <c r="AS86" s="2157"/>
    </row>
    <row r="87" spans="1:45" ht="45" x14ac:dyDescent="0.25">
      <c r="A87" s="3650"/>
      <c r="B87" s="3651"/>
      <c r="C87" s="422"/>
      <c r="D87" s="423"/>
      <c r="E87" s="525"/>
      <c r="F87" s="525"/>
      <c r="G87" s="2491"/>
      <c r="H87" s="2313"/>
      <c r="I87" s="2491"/>
      <c r="J87" s="2313"/>
      <c r="K87" s="3649"/>
      <c r="L87" s="2313"/>
      <c r="M87" s="3649"/>
      <c r="N87" s="2313"/>
      <c r="O87" s="2197"/>
      <c r="P87" s="2197"/>
      <c r="Q87" s="2182"/>
      <c r="R87" s="3646"/>
      <c r="S87" s="3657"/>
      <c r="T87" s="3162"/>
      <c r="U87" s="3162"/>
      <c r="V87" s="1484" t="s">
        <v>1839</v>
      </c>
      <c r="W87" s="1532">
        <v>4000000</v>
      </c>
      <c r="X87" s="182" t="s">
        <v>1837</v>
      </c>
      <c r="Y87" s="990">
        <v>20</v>
      </c>
      <c r="Z87" s="1048" t="s">
        <v>73</v>
      </c>
      <c r="AA87" s="2157"/>
      <c r="AB87" s="2157"/>
      <c r="AC87" s="3685"/>
      <c r="AD87" s="2157"/>
      <c r="AE87" s="2157"/>
      <c r="AF87" s="2157"/>
      <c r="AG87" s="2157"/>
      <c r="AH87" s="2157"/>
      <c r="AI87" s="2157"/>
      <c r="AJ87" s="2157"/>
      <c r="AK87" s="2157"/>
      <c r="AL87" s="2157"/>
      <c r="AM87" s="2157"/>
      <c r="AN87" s="2157"/>
      <c r="AO87" s="2157"/>
      <c r="AP87" s="2157"/>
      <c r="AQ87" s="3674"/>
      <c r="AR87" s="3674"/>
      <c r="AS87" s="2157"/>
    </row>
    <row r="88" spans="1:45" ht="30" x14ac:dyDescent="0.25">
      <c r="A88" s="3650"/>
      <c r="B88" s="3651"/>
      <c r="C88" s="422"/>
      <c r="D88" s="423"/>
      <c r="E88" s="525"/>
      <c r="F88" s="525"/>
      <c r="G88" s="2491"/>
      <c r="H88" s="2313"/>
      <c r="I88" s="2491"/>
      <c r="J88" s="2313"/>
      <c r="K88" s="3649"/>
      <c r="L88" s="2313"/>
      <c r="M88" s="3649"/>
      <c r="N88" s="2313"/>
      <c r="O88" s="2197"/>
      <c r="P88" s="2197"/>
      <c r="Q88" s="2182"/>
      <c r="R88" s="3646"/>
      <c r="S88" s="3657"/>
      <c r="T88" s="3162"/>
      <c r="U88" s="3162"/>
      <c r="V88" s="1484" t="s">
        <v>1840</v>
      </c>
      <c r="W88" s="1532">
        <v>3000000</v>
      </c>
      <c r="X88" s="182" t="s">
        <v>1837</v>
      </c>
      <c r="Y88" s="990">
        <v>20</v>
      </c>
      <c r="Z88" s="1048" t="s">
        <v>73</v>
      </c>
      <c r="AA88" s="2157"/>
      <c r="AB88" s="2157"/>
      <c r="AC88" s="3685"/>
      <c r="AD88" s="2157"/>
      <c r="AE88" s="2157"/>
      <c r="AF88" s="2157"/>
      <c r="AG88" s="2157"/>
      <c r="AH88" s="2157"/>
      <c r="AI88" s="2157"/>
      <c r="AJ88" s="2157"/>
      <c r="AK88" s="2157"/>
      <c r="AL88" s="2157"/>
      <c r="AM88" s="2157"/>
      <c r="AN88" s="2157"/>
      <c r="AO88" s="2157"/>
      <c r="AP88" s="2157"/>
      <c r="AQ88" s="3674"/>
      <c r="AR88" s="3674"/>
      <c r="AS88" s="2157"/>
    </row>
    <row r="89" spans="1:45" ht="45" x14ac:dyDescent="0.25">
      <c r="A89" s="3650"/>
      <c r="B89" s="3651"/>
      <c r="C89" s="422"/>
      <c r="D89" s="423"/>
      <c r="E89" s="525"/>
      <c r="F89" s="525"/>
      <c r="G89" s="2195">
        <v>1903011</v>
      </c>
      <c r="H89" s="2257" t="s">
        <v>1753</v>
      </c>
      <c r="I89" s="2195">
        <v>1903011</v>
      </c>
      <c r="J89" s="2257" t="s">
        <v>1753</v>
      </c>
      <c r="K89" s="3649">
        <v>190301101</v>
      </c>
      <c r="L89" s="2257" t="s">
        <v>1810</v>
      </c>
      <c r="M89" s="3649">
        <v>190301101</v>
      </c>
      <c r="N89" s="2257" t="s">
        <v>1810</v>
      </c>
      <c r="O89" s="2197">
        <v>12</v>
      </c>
      <c r="P89" s="2197"/>
      <c r="Q89" s="2182"/>
      <c r="R89" s="3646">
        <f>SUM(W89:W90)/S83</f>
        <v>0.23206881613961261</v>
      </c>
      <c r="S89" s="3657"/>
      <c r="T89" s="3162"/>
      <c r="U89" s="3162"/>
      <c r="V89" s="1484" t="s">
        <v>1841</v>
      </c>
      <c r="W89" s="1532">
        <v>7500000</v>
      </c>
      <c r="X89" s="182" t="s">
        <v>1842</v>
      </c>
      <c r="Y89" s="990">
        <v>20</v>
      </c>
      <c r="Z89" s="1048" t="s">
        <v>73</v>
      </c>
      <c r="AA89" s="2157"/>
      <c r="AB89" s="2157"/>
      <c r="AC89" s="3685"/>
      <c r="AD89" s="2157"/>
      <c r="AE89" s="2157"/>
      <c r="AF89" s="2157"/>
      <c r="AG89" s="2157"/>
      <c r="AH89" s="2157"/>
      <c r="AI89" s="2157"/>
      <c r="AJ89" s="2157"/>
      <c r="AK89" s="2157"/>
      <c r="AL89" s="2157"/>
      <c r="AM89" s="2157"/>
      <c r="AN89" s="2157"/>
      <c r="AO89" s="2157"/>
      <c r="AP89" s="2157"/>
      <c r="AQ89" s="3674"/>
      <c r="AR89" s="3674"/>
      <c r="AS89" s="2157"/>
    </row>
    <row r="90" spans="1:45" ht="60" x14ac:dyDescent="0.25">
      <c r="A90" s="3650"/>
      <c r="B90" s="3651"/>
      <c r="C90" s="422"/>
      <c r="D90" s="423"/>
      <c r="E90" s="525"/>
      <c r="F90" s="525"/>
      <c r="G90" s="2195"/>
      <c r="H90" s="2257"/>
      <c r="I90" s="2195"/>
      <c r="J90" s="2257"/>
      <c r="K90" s="3649"/>
      <c r="L90" s="2257"/>
      <c r="M90" s="3649"/>
      <c r="N90" s="2257"/>
      <c r="O90" s="2197"/>
      <c r="P90" s="2197"/>
      <c r="Q90" s="2182"/>
      <c r="R90" s="3646"/>
      <c r="S90" s="3657"/>
      <c r="T90" s="3163"/>
      <c r="U90" s="3163"/>
      <c r="V90" s="1485" t="s">
        <v>1843</v>
      </c>
      <c r="W90" s="1369">
        <v>7500000</v>
      </c>
      <c r="X90" s="182" t="s">
        <v>1842</v>
      </c>
      <c r="Y90" s="990">
        <v>20</v>
      </c>
      <c r="Z90" s="1048" t="s">
        <v>73</v>
      </c>
      <c r="AA90" s="2304"/>
      <c r="AB90" s="2157"/>
      <c r="AC90" s="3685"/>
      <c r="AD90" s="2157"/>
      <c r="AE90" s="2157"/>
      <c r="AF90" s="2157"/>
      <c r="AG90" s="2157"/>
      <c r="AH90" s="2157"/>
      <c r="AI90" s="2157"/>
      <c r="AJ90" s="2157"/>
      <c r="AK90" s="2157"/>
      <c r="AL90" s="2157"/>
      <c r="AM90" s="2157"/>
      <c r="AN90" s="2157"/>
      <c r="AO90" s="2157"/>
      <c r="AP90" s="2157"/>
      <c r="AQ90" s="3674"/>
      <c r="AR90" s="3674"/>
      <c r="AS90" s="2157"/>
    </row>
    <row r="91" spans="1:45" ht="45" x14ac:dyDescent="0.25">
      <c r="A91" s="3650"/>
      <c r="B91" s="3651"/>
      <c r="C91" s="422"/>
      <c r="D91" s="423"/>
      <c r="E91" s="525"/>
      <c r="F91" s="525"/>
      <c r="G91" s="1053">
        <v>1903047</v>
      </c>
      <c r="H91" s="1511" t="s">
        <v>1844</v>
      </c>
      <c r="I91" s="1053">
        <v>1903047</v>
      </c>
      <c r="J91" s="1511" t="s">
        <v>1844</v>
      </c>
      <c r="K91" s="1009">
        <v>190304701</v>
      </c>
      <c r="L91" s="1010" t="s">
        <v>1845</v>
      </c>
      <c r="M91" s="1009">
        <v>190304701</v>
      </c>
      <c r="N91" s="1010" t="s">
        <v>1845</v>
      </c>
      <c r="O91" s="1047">
        <v>1</v>
      </c>
      <c r="P91" s="2197" t="s">
        <v>1846</v>
      </c>
      <c r="Q91" s="2182" t="s">
        <v>1847</v>
      </c>
      <c r="R91" s="954">
        <f>W91/S91</f>
        <v>0.1097923765773116</v>
      </c>
      <c r="S91" s="3657">
        <f>SUM(W91:W95)</f>
        <v>91081005</v>
      </c>
      <c r="T91" s="2182" t="s">
        <v>1848</v>
      </c>
      <c r="U91" s="2488" t="s">
        <v>1849</v>
      </c>
      <c r="V91" s="1484" t="s">
        <v>1850</v>
      </c>
      <c r="W91" s="1532">
        <v>10000000</v>
      </c>
      <c r="X91" s="182" t="s">
        <v>1851</v>
      </c>
      <c r="Y91" s="972">
        <v>72</v>
      </c>
      <c r="Z91" s="1047" t="s">
        <v>1852</v>
      </c>
      <c r="AA91" s="2287">
        <v>292684</v>
      </c>
      <c r="AB91" s="2287">
        <v>282326</v>
      </c>
      <c r="AC91" s="3327">
        <v>135912</v>
      </c>
      <c r="AD91" s="2287">
        <v>45122</v>
      </c>
      <c r="AE91" s="2287">
        <v>365607</v>
      </c>
      <c r="AF91" s="2287">
        <v>86875</v>
      </c>
      <c r="AG91" s="2287">
        <v>2145</v>
      </c>
      <c r="AH91" s="2287">
        <v>12718</v>
      </c>
      <c r="AI91" s="2287">
        <v>26</v>
      </c>
      <c r="AJ91" s="2287">
        <v>37</v>
      </c>
      <c r="AK91" s="2287" t="s">
        <v>1821</v>
      </c>
      <c r="AL91" s="2287" t="s">
        <v>1821</v>
      </c>
      <c r="AM91" s="2287">
        <v>53164</v>
      </c>
      <c r="AN91" s="2287">
        <v>16982</v>
      </c>
      <c r="AO91" s="2287">
        <v>60013</v>
      </c>
      <c r="AP91" s="2287">
        <v>575010</v>
      </c>
      <c r="AQ91" s="3673">
        <v>44197</v>
      </c>
      <c r="AR91" s="3673">
        <v>44561</v>
      </c>
      <c r="AS91" s="2287" t="s">
        <v>1853</v>
      </c>
    </row>
    <row r="92" spans="1:45" ht="60" x14ac:dyDescent="0.25">
      <c r="A92" s="3650"/>
      <c r="B92" s="3651"/>
      <c r="C92" s="422"/>
      <c r="D92" s="423"/>
      <c r="E92" s="525"/>
      <c r="F92" s="525"/>
      <c r="G92" s="1053">
        <v>1903019</v>
      </c>
      <c r="H92" s="1511" t="s">
        <v>1854</v>
      </c>
      <c r="I92" s="1053">
        <v>1903019</v>
      </c>
      <c r="J92" s="1511" t="s">
        <v>1854</v>
      </c>
      <c r="K92" s="1009">
        <v>190301900</v>
      </c>
      <c r="L92" s="1010" t="s">
        <v>1855</v>
      </c>
      <c r="M92" s="1009">
        <v>190301900</v>
      </c>
      <c r="N92" s="1010" t="s">
        <v>1855</v>
      </c>
      <c r="O92" s="1047">
        <v>75</v>
      </c>
      <c r="P92" s="2197"/>
      <c r="Q92" s="2182"/>
      <c r="R92" s="954">
        <f>W92/S91</f>
        <v>0.29732878990520584</v>
      </c>
      <c r="S92" s="3657"/>
      <c r="T92" s="2182"/>
      <c r="U92" s="3658"/>
      <c r="V92" s="1484" t="s">
        <v>1856</v>
      </c>
      <c r="W92" s="1532">
        <v>27081005</v>
      </c>
      <c r="X92" s="182" t="s">
        <v>1857</v>
      </c>
      <c r="Y92" s="972">
        <v>72</v>
      </c>
      <c r="Z92" s="1047" t="s">
        <v>1852</v>
      </c>
      <c r="AA92" s="2157"/>
      <c r="AB92" s="2157"/>
      <c r="AC92" s="3685"/>
      <c r="AD92" s="2157"/>
      <c r="AE92" s="2157"/>
      <c r="AF92" s="2157"/>
      <c r="AG92" s="2157"/>
      <c r="AH92" s="2157"/>
      <c r="AI92" s="2157"/>
      <c r="AJ92" s="2157"/>
      <c r="AK92" s="2157"/>
      <c r="AL92" s="2157"/>
      <c r="AM92" s="2157"/>
      <c r="AN92" s="2157"/>
      <c r="AO92" s="2157"/>
      <c r="AP92" s="2157"/>
      <c r="AQ92" s="3674"/>
      <c r="AR92" s="3674"/>
      <c r="AS92" s="2157"/>
    </row>
    <row r="93" spans="1:45" ht="45" x14ac:dyDescent="0.25">
      <c r="A93" s="3650"/>
      <c r="B93" s="3651"/>
      <c r="C93" s="422"/>
      <c r="D93" s="423"/>
      <c r="E93" s="525"/>
      <c r="F93" s="525"/>
      <c r="G93" s="1053">
        <v>1903028</v>
      </c>
      <c r="H93" s="1511" t="s">
        <v>1858</v>
      </c>
      <c r="I93" s="1053">
        <v>1903028</v>
      </c>
      <c r="J93" s="1511" t="s">
        <v>1858</v>
      </c>
      <c r="K93" s="1009">
        <v>190302800</v>
      </c>
      <c r="L93" s="1514" t="s">
        <v>1859</v>
      </c>
      <c r="M93" s="1009">
        <v>190302800</v>
      </c>
      <c r="N93" s="1514" t="s">
        <v>1859</v>
      </c>
      <c r="O93" s="1047">
        <v>250</v>
      </c>
      <c r="P93" s="2197"/>
      <c r="Q93" s="2182"/>
      <c r="R93" s="954">
        <f>W93/S91</f>
        <v>0.15370932720823624</v>
      </c>
      <c r="S93" s="3657"/>
      <c r="T93" s="2182"/>
      <c r="U93" s="3658"/>
      <c r="V93" s="1484" t="s">
        <v>1860</v>
      </c>
      <c r="W93" s="1532">
        <v>14000000</v>
      </c>
      <c r="X93" s="182" t="s">
        <v>1861</v>
      </c>
      <c r="Y93" s="972">
        <v>72</v>
      </c>
      <c r="Z93" s="1047" t="s">
        <v>1852</v>
      </c>
      <c r="AA93" s="2157"/>
      <c r="AB93" s="2157"/>
      <c r="AC93" s="3685"/>
      <c r="AD93" s="2157"/>
      <c r="AE93" s="2157"/>
      <c r="AF93" s="2157"/>
      <c r="AG93" s="2157"/>
      <c r="AH93" s="2157"/>
      <c r="AI93" s="2157"/>
      <c r="AJ93" s="2157"/>
      <c r="AK93" s="2157"/>
      <c r="AL93" s="2157"/>
      <c r="AM93" s="2157"/>
      <c r="AN93" s="2157"/>
      <c r="AO93" s="2157"/>
      <c r="AP93" s="2157"/>
      <c r="AQ93" s="3674"/>
      <c r="AR93" s="3674"/>
      <c r="AS93" s="2157"/>
    </row>
    <row r="94" spans="1:45" ht="30" x14ac:dyDescent="0.25">
      <c r="A94" s="3650"/>
      <c r="B94" s="3651"/>
      <c r="C94" s="422"/>
      <c r="D94" s="423"/>
      <c r="E94" s="525"/>
      <c r="F94" s="525"/>
      <c r="G94" s="2166">
        <v>1903025</v>
      </c>
      <c r="H94" s="2829" t="s">
        <v>1862</v>
      </c>
      <c r="I94" s="2166">
        <v>1903025</v>
      </c>
      <c r="J94" s="2829" t="s">
        <v>1862</v>
      </c>
      <c r="K94" s="3663">
        <v>190302500</v>
      </c>
      <c r="L94" s="3665" t="s">
        <v>1863</v>
      </c>
      <c r="M94" s="3663">
        <v>190302500</v>
      </c>
      <c r="N94" s="3665" t="s">
        <v>1863</v>
      </c>
      <c r="O94" s="2198">
        <v>12</v>
      </c>
      <c r="P94" s="2197"/>
      <c r="Q94" s="2182"/>
      <c r="R94" s="3660">
        <f>SUM(W94:W95)/S91</f>
        <v>0.43916950630924639</v>
      </c>
      <c r="S94" s="3657"/>
      <c r="T94" s="2182"/>
      <c r="U94" s="3658"/>
      <c r="V94" s="1484" t="s">
        <v>1864</v>
      </c>
      <c r="W94" s="1532">
        <v>20000000</v>
      </c>
      <c r="X94" s="182" t="s">
        <v>1865</v>
      </c>
      <c r="Y94" s="3698">
        <v>72</v>
      </c>
      <c r="Z94" s="2197" t="s">
        <v>1852</v>
      </c>
      <c r="AA94" s="2157"/>
      <c r="AB94" s="2157"/>
      <c r="AC94" s="3685"/>
      <c r="AD94" s="2157"/>
      <c r="AE94" s="2157"/>
      <c r="AF94" s="2157"/>
      <c r="AG94" s="2157"/>
      <c r="AH94" s="2157"/>
      <c r="AI94" s="2157"/>
      <c r="AJ94" s="2157"/>
      <c r="AK94" s="2157"/>
      <c r="AL94" s="2157"/>
      <c r="AM94" s="2157"/>
      <c r="AN94" s="2157"/>
      <c r="AO94" s="2157"/>
      <c r="AP94" s="2157"/>
      <c r="AQ94" s="3674"/>
      <c r="AR94" s="3674"/>
      <c r="AS94" s="2157"/>
    </row>
    <row r="95" spans="1:45" ht="30" x14ac:dyDescent="0.25">
      <c r="A95" s="3650"/>
      <c r="B95" s="3651"/>
      <c r="C95" s="422"/>
      <c r="D95" s="423"/>
      <c r="E95" s="525"/>
      <c r="F95" s="525"/>
      <c r="G95" s="2164"/>
      <c r="H95" s="2825"/>
      <c r="I95" s="2164"/>
      <c r="J95" s="2825"/>
      <c r="K95" s="3695"/>
      <c r="L95" s="3696"/>
      <c r="M95" s="3695"/>
      <c r="N95" s="3696"/>
      <c r="O95" s="3717"/>
      <c r="P95" s="3700"/>
      <c r="Q95" s="3701"/>
      <c r="R95" s="3694"/>
      <c r="S95" s="3697"/>
      <c r="T95" s="2196"/>
      <c r="U95" s="3658"/>
      <c r="V95" s="1485" t="s">
        <v>1866</v>
      </c>
      <c r="W95" s="1369">
        <v>20000000</v>
      </c>
      <c r="X95" s="182" t="s">
        <v>1865</v>
      </c>
      <c r="Y95" s="3699"/>
      <c r="Z95" s="2198"/>
      <c r="AA95" s="2157"/>
      <c r="AB95" s="2157"/>
      <c r="AC95" s="3685"/>
      <c r="AD95" s="2157"/>
      <c r="AE95" s="2157"/>
      <c r="AF95" s="2157"/>
      <c r="AG95" s="2157"/>
      <c r="AH95" s="2157"/>
      <c r="AI95" s="2157"/>
      <c r="AJ95" s="2157"/>
      <c r="AK95" s="2157"/>
      <c r="AL95" s="2157"/>
      <c r="AM95" s="2157"/>
      <c r="AN95" s="2157"/>
      <c r="AO95" s="2157"/>
      <c r="AP95" s="2157"/>
      <c r="AQ95" s="3674"/>
      <c r="AR95" s="3674"/>
      <c r="AS95" s="2157"/>
    </row>
    <row r="96" spans="1:45" ht="21" customHeight="1" x14ac:dyDescent="0.25">
      <c r="A96" s="3650"/>
      <c r="B96" s="3651"/>
      <c r="C96" s="422"/>
      <c r="D96" s="423"/>
      <c r="E96" s="65">
        <v>1905</v>
      </c>
      <c r="F96" s="1683" t="s">
        <v>707</v>
      </c>
      <c r="G96" s="1684"/>
      <c r="H96" s="1684"/>
      <c r="I96" s="1684"/>
      <c r="J96" s="1684"/>
      <c r="K96" s="1684"/>
      <c r="L96" s="1684"/>
      <c r="M96" s="1684"/>
      <c r="N96" s="1684"/>
      <c r="O96" s="1684"/>
      <c r="P96" s="1684"/>
      <c r="Q96" s="791"/>
      <c r="R96" s="1684"/>
      <c r="S96" s="1690"/>
      <c r="T96" s="767"/>
      <c r="U96" s="767"/>
      <c r="V96" s="767"/>
      <c r="W96" s="1712"/>
      <c r="X96" s="942"/>
      <c r="Y96" s="712"/>
      <c r="Z96" s="709"/>
      <c r="AA96" s="709"/>
      <c r="AB96" s="709"/>
      <c r="AC96" s="712"/>
      <c r="AD96" s="709"/>
      <c r="AE96" s="709"/>
      <c r="AF96" s="709"/>
      <c r="AG96" s="709"/>
      <c r="AH96" s="709"/>
      <c r="AI96" s="709"/>
      <c r="AJ96" s="709"/>
      <c r="AK96" s="709"/>
      <c r="AL96" s="709"/>
      <c r="AM96" s="709"/>
      <c r="AN96" s="709"/>
      <c r="AO96" s="709"/>
      <c r="AP96" s="709"/>
      <c r="AQ96" s="1367"/>
      <c r="AR96" s="1367"/>
      <c r="AS96" s="714"/>
    </row>
    <row r="97" spans="1:45" ht="30" x14ac:dyDescent="0.25">
      <c r="A97" s="968"/>
      <c r="B97" s="1051"/>
      <c r="C97" s="1069"/>
      <c r="D97" s="1051"/>
      <c r="E97" s="3707"/>
      <c r="F97" s="3708"/>
      <c r="G97" s="3711">
        <v>1905028</v>
      </c>
      <c r="H97" s="2676" t="s">
        <v>1867</v>
      </c>
      <c r="I97" s="3711">
        <v>1905028</v>
      </c>
      <c r="J97" s="2676" t="s">
        <v>1867</v>
      </c>
      <c r="K97" s="3713">
        <v>190502800</v>
      </c>
      <c r="L97" s="2282" t="s">
        <v>1868</v>
      </c>
      <c r="M97" s="3713">
        <v>190502800</v>
      </c>
      <c r="N97" s="2282" t="s">
        <v>1868</v>
      </c>
      <c r="O97" s="2309">
        <v>12</v>
      </c>
      <c r="P97" s="2309" t="s">
        <v>1869</v>
      </c>
      <c r="Q97" s="3162" t="s">
        <v>1870</v>
      </c>
      <c r="R97" s="3702">
        <f>SUM(W97:W100)/S97</f>
        <v>0.5</v>
      </c>
      <c r="S97" s="3704">
        <f>SUM(W97:W105)</f>
        <v>76000000</v>
      </c>
      <c r="T97" s="3163" t="s">
        <v>1871</v>
      </c>
      <c r="U97" s="3163" t="s">
        <v>1872</v>
      </c>
      <c r="V97" s="1536" t="s">
        <v>1873</v>
      </c>
      <c r="W97" s="1528">
        <v>13000000</v>
      </c>
      <c r="X97" s="182" t="s">
        <v>1874</v>
      </c>
      <c r="Y97" s="1377">
        <v>61</v>
      </c>
      <c r="Z97" s="1060" t="s">
        <v>1699</v>
      </c>
      <c r="AA97" s="3720" t="s">
        <v>1821</v>
      </c>
      <c r="AB97" s="3720" t="s">
        <v>1821</v>
      </c>
      <c r="AC97" s="3722">
        <v>64149</v>
      </c>
      <c r="AD97" s="3720" t="s">
        <v>1821</v>
      </c>
      <c r="AE97" s="3720" t="s">
        <v>1821</v>
      </c>
      <c r="AF97" s="3720" t="s">
        <v>1821</v>
      </c>
      <c r="AG97" s="3720" t="s">
        <v>1821</v>
      </c>
      <c r="AH97" s="3720" t="s">
        <v>1821</v>
      </c>
      <c r="AI97" s="3720" t="s">
        <v>1821</v>
      </c>
      <c r="AJ97" s="3720" t="s">
        <v>1821</v>
      </c>
      <c r="AK97" s="3720" t="s">
        <v>1821</v>
      </c>
      <c r="AL97" s="3720" t="s">
        <v>1821</v>
      </c>
      <c r="AM97" s="3720" t="s">
        <v>1821</v>
      </c>
      <c r="AN97" s="3720" t="s">
        <v>1821</v>
      </c>
      <c r="AO97" s="3720" t="s">
        <v>1821</v>
      </c>
      <c r="AP97" s="3720" t="s">
        <v>1821</v>
      </c>
      <c r="AQ97" s="3718">
        <v>44197</v>
      </c>
      <c r="AR97" s="3718">
        <v>44561</v>
      </c>
      <c r="AS97" s="2666" t="s">
        <v>1700</v>
      </c>
    </row>
    <row r="98" spans="1:45" ht="30" x14ac:dyDescent="0.25">
      <c r="A98" s="968"/>
      <c r="B98" s="1051"/>
      <c r="C98" s="1069"/>
      <c r="D98" s="1051"/>
      <c r="E98" s="3707"/>
      <c r="F98" s="3708"/>
      <c r="G98" s="2305"/>
      <c r="H98" s="3712"/>
      <c r="I98" s="2305"/>
      <c r="J98" s="3712"/>
      <c r="K98" s="3649"/>
      <c r="L98" s="2257"/>
      <c r="M98" s="3649"/>
      <c r="N98" s="2257"/>
      <c r="O98" s="2197"/>
      <c r="P98" s="2197"/>
      <c r="Q98" s="3162"/>
      <c r="R98" s="3702"/>
      <c r="S98" s="3705"/>
      <c r="T98" s="2182"/>
      <c r="U98" s="2182"/>
      <c r="V98" s="1484" t="s">
        <v>1875</v>
      </c>
      <c r="W98" s="1532">
        <v>13000000</v>
      </c>
      <c r="X98" s="182" t="s">
        <v>1874</v>
      </c>
      <c r="Y98" s="1378">
        <v>61</v>
      </c>
      <c r="Z98" s="1047" t="s">
        <v>1699</v>
      </c>
      <c r="AA98" s="3720"/>
      <c r="AB98" s="3720"/>
      <c r="AC98" s="3722"/>
      <c r="AD98" s="3720"/>
      <c r="AE98" s="3720"/>
      <c r="AF98" s="3720"/>
      <c r="AG98" s="3720"/>
      <c r="AH98" s="3720"/>
      <c r="AI98" s="3720"/>
      <c r="AJ98" s="3720"/>
      <c r="AK98" s="3720"/>
      <c r="AL98" s="3720"/>
      <c r="AM98" s="3720"/>
      <c r="AN98" s="3720"/>
      <c r="AO98" s="3720"/>
      <c r="AP98" s="3720"/>
      <c r="AQ98" s="3718"/>
      <c r="AR98" s="3718"/>
      <c r="AS98" s="2666"/>
    </row>
    <row r="99" spans="1:45" ht="45" x14ac:dyDescent="0.25">
      <c r="A99" s="968"/>
      <c r="B99" s="1051"/>
      <c r="C99" s="1069"/>
      <c r="D99" s="1051"/>
      <c r="E99" s="3707"/>
      <c r="F99" s="3708"/>
      <c r="G99" s="2305"/>
      <c r="H99" s="3712"/>
      <c r="I99" s="2305"/>
      <c r="J99" s="3712"/>
      <c r="K99" s="3649"/>
      <c r="L99" s="2257"/>
      <c r="M99" s="3649"/>
      <c r="N99" s="2257"/>
      <c r="O99" s="2197"/>
      <c r="P99" s="2197"/>
      <c r="Q99" s="3162"/>
      <c r="R99" s="3702"/>
      <c r="S99" s="3705"/>
      <c r="T99" s="2182"/>
      <c r="U99" s="2182"/>
      <c r="V99" s="1484" t="s">
        <v>1876</v>
      </c>
      <c r="W99" s="1532">
        <v>5000000</v>
      </c>
      <c r="X99" s="182" t="s">
        <v>1874</v>
      </c>
      <c r="Y99" s="1378">
        <v>61</v>
      </c>
      <c r="Z99" s="1047" t="s">
        <v>1699</v>
      </c>
      <c r="AA99" s="3720"/>
      <c r="AB99" s="3720"/>
      <c r="AC99" s="3722"/>
      <c r="AD99" s="3720"/>
      <c r="AE99" s="3720"/>
      <c r="AF99" s="3720"/>
      <c r="AG99" s="3720"/>
      <c r="AH99" s="3720"/>
      <c r="AI99" s="3720"/>
      <c r="AJ99" s="3720"/>
      <c r="AK99" s="3720"/>
      <c r="AL99" s="3720"/>
      <c r="AM99" s="3720"/>
      <c r="AN99" s="3720"/>
      <c r="AO99" s="3720"/>
      <c r="AP99" s="3720"/>
      <c r="AQ99" s="3718"/>
      <c r="AR99" s="3718"/>
      <c r="AS99" s="2666"/>
    </row>
    <row r="100" spans="1:45" ht="45" x14ac:dyDescent="0.25">
      <c r="A100" s="968"/>
      <c r="B100" s="1051"/>
      <c r="C100" s="1069"/>
      <c r="D100" s="1051"/>
      <c r="E100" s="3707"/>
      <c r="F100" s="3708"/>
      <c r="G100" s="2305"/>
      <c r="H100" s="3712"/>
      <c r="I100" s="2305"/>
      <c r="J100" s="3712"/>
      <c r="K100" s="3649"/>
      <c r="L100" s="2257"/>
      <c r="M100" s="3649"/>
      <c r="N100" s="2257"/>
      <c r="O100" s="2197"/>
      <c r="P100" s="2197"/>
      <c r="Q100" s="3162"/>
      <c r="R100" s="3703"/>
      <c r="S100" s="3705"/>
      <c r="T100" s="2182"/>
      <c r="U100" s="2182"/>
      <c r="V100" s="1484" t="s">
        <v>1877</v>
      </c>
      <c r="W100" s="1532">
        <v>7000000</v>
      </c>
      <c r="X100" s="182" t="s">
        <v>1874</v>
      </c>
      <c r="Y100" s="1378">
        <v>61</v>
      </c>
      <c r="Z100" s="1047" t="s">
        <v>1699</v>
      </c>
      <c r="AA100" s="3720"/>
      <c r="AB100" s="3720"/>
      <c r="AC100" s="3722"/>
      <c r="AD100" s="3720"/>
      <c r="AE100" s="3720"/>
      <c r="AF100" s="3720"/>
      <c r="AG100" s="3720"/>
      <c r="AH100" s="3720"/>
      <c r="AI100" s="3720"/>
      <c r="AJ100" s="3720"/>
      <c r="AK100" s="3720"/>
      <c r="AL100" s="3720"/>
      <c r="AM100" s="3720"/>
      <c r="AN100" s="3720"/>
      <c r="AO100" s="3720"/>
      <c r="AP100" s="3720"/>
      <c r="AQ100" s="3718"/>
      <c r="AR100" s="3718"/>
      <c r="AS100" s="2666"/>
    </row>
    <row r="101" spans="1:45" ht="60" x14ac:dyDescent="0.25">
      <c r="A101" s="968"/>
      <c r="B101" s="1051"/>
      <c r="C101" s="1069"/>
      <c r="D101" s="1051"/>
      <c r="E101" s="3707"/>
      <c r="F101" s="3708"/>
      <c r="G101" s="2305">
        <v>1905031</v>
      </c>
      <c r="H101" s="3712" t="s">
        <v>1878</v>
      </c>
      <c r="I101" s="2305">
        <v>1905031</v>
      </c>
      <c r="J101" s="3712" t="s">
        <v>1878</v>
      </c>
      <c r="K101" s="3649">
        <v>190503100</v>
      </c>
      <c r="L101" s="2257" t="s">
        <v>1879</v>
      </c>
      <c r="M101" s="3649">
        <v>190503100</v>
      </c>
      <c r="N101" s="2257" t="s">
        <v>1879</v>
      </c>
      <c r="O101" s="2197">
        <v>12</v>
      </c>
      <c r="P101" s="2197"/>
      <c r="Q101" s="3162"/>
      <c r="R101" s="3706">
        <f>SUM(W101:W105)/S97</f>
        <v>0.5</v>
      </c>
      <c r="S101" s="3705"/>
      <c r="T101" s="2182"/>
      <c r="U101" s="2182" t="s">
        <v>1880</v>
      </c>
      <c r="V101" s="1484" t="s">
        <v>1881</v>
      </c>
      <c r="W101" s="1532">
        <v>8000000</v>
      </c>
      <c r="X101" s="182" t="s">
        <v>1882</v>
      </c>
      <c r="Y101" s="1378">
        <v>61</v>
      </c>
      <c r="Z101" s="1047" t="s">
        <v>1699</v>
      </c>
      <c r="AA101" s="3720"/>
      <c r="AB101" s="3720"/>
      <c r="AC101" s="3722"/>
      <c r="AD101" s="3720"/>
      <c r="AE101" s="3720"/>
      <c r="AF101" s="3720"/>
      <c r="AG101" s="3720"/>
      <c r="AH101" s="3720"/>
      <c r="AI101" s="3720"/>
      <c r="AJ101" s="3720"/>
      <c r="AK101" s="3720"/>
      <c r="AL101" s="3720"/>
      <c r="AM101" s="3720"/>
      <c r="AN101" s="3720"/>
      <c r="AO101" s="3720"/>
      <c r="AP101" s="3720"/>
      <c r="AQ101" s="3718"/>
      <c r="AR101" s="3718"/>
      <c r="AS101" s="2666"/>
    </row>
    <row r="102" spans="1:45" ht="75" x14ac:dyDescent="0.25">
      <c r="A102" s="968"/>
      <c r="B102" s="1051"/>
      <c r="C102" s="1069"/>
      <c r="D102" s="1051"/>
      <c r="E102" s="3707"/>
      <c r="F102" s="3708"/>
      <c r="G102" s="2305"/>
      <c r="H102" s="3712"/>
      <c r="I102" s="2305"/>
      <c r="J102" s="3712"/>
      <c r="K102" s="3649"/>
      <c r="L102" s="2257"/>
      <c r="M102" s="3649"/>
      <c r="N102" s="2257"/>
      <c r="O102" s="2197"/>
      <c r="P102" s="2197"/>
      <c r="Q102" s="3162"/>
      <c r="R102" s="3702"/>
      <c r="S102" s="3705"/>
      <c r="T102" s="2182"/>
      <c r="U102" s="2182"/>
      <c r="V102" s="1484" t="s">
        <v>1883</v>
      </c>
      <c r="W102" s="1532">
        <v>8000000</v>
      </c>
      <c r="X102" s="182" t="s">
        <v>1882</v>
      </c>
      <c r="Y102" s="1378">
        <v>61</v>
      </c>
      <c r="Z102" s="1047" t="s">
        <v>1699</v>
      </c>
      <c r="AA102" s="3720"/>
      <c r="AB102" s="3720"/>
      <c r="AC102" s="3722"/>
      <c r="AD102" s="3720"/>
      <c r="AE102" s="3720"/>
      <c r="AF102" s="3720"/>
      <c r="AG102" s="3720"/>
      <c r="AH102" s="3720"/>
      <c r="AI102" s="3720"/>
      <c r="AJ102" s="3720"/>
      <c r="AK102" s="3720"/>
      <c r="AL102" s="3720"/>
      <c r="AM102" s="3720"/>
      <c r="AN102" s="3720"/>
      <c r="AO102" s="3720"/>
      <c r="AP102" s="3720"/>
      <c r="AQ102" s="3718"/>
      <c r="AR102" s="3718"/>
      <c r="AS102" s="2666"/>
    </row>
    <row r="103" spans="1:45" ht="30" x14ac:dyDescent="0.25">
      <c r="A103" s="968"/>
      <c r="B103" s="1051"/>
      <c r="C103" s="1069"/>
      <c r="D103" s="1051"/>
      <c r="E103" s="3707"/>
      <c r="F103" s="3708"/>
      <c r="G103" s="2305"/>
      <c r="H103" s="3712"/>
      <c r="I103" s="2305"/>
      <c r="J103" s="3712"/>
      <c r="K103" s="3649"/>
      <c r="L103" s="2257"/>
      <c r="M103" s="3649"/>
      <c r="N103" s="2257"/>
      <c r="O103" s="2197"/>
      <c r="P103" s="2197"/>
      <c r="Q103" s="3162"/>
      <c r="R103" s="3702"/>
      <c r="S103" s="3705"/>
      <c r="T103" s="2182"/>
      <c r="U103" s="2182"/>
      <c r="V103" s="1484" t="s">
        <v>1884</v>
      </c>
      <c r="W103" s="1532">
        <v>8000000</v>
      </c>
      <c r="X103" s="182" t="s">
        <v>1882</v>
      </c>
      <c r="Y103" s="1378">
        <v>61</v>
      </c>
      <c r="Z103" s="1047" t="s">
        <v>1699</v>
      </c>
      <c r="AA103" s="3720"/>
      <c r="AB103" s="3720"/>
      <c r="AC103" s="3722"/>
      <c r="AD103" s="3720"/>
      <c r="AE103" s="3720"/>
      <c r="AF103" s="3720"/>
      <c r="AG103" s="3720"/>
      <c r="AH103" s="3720"/>
      <c r="AI103" s="3720"/>
      <c r="AJ103" s="3720"/>
      <c r="AK103" s="3720"/>
      <c r="AL103" s="3720"/>
      <c r="AM103" s="3720"/>
      <c r="AN103" s="3720"/>
      <c r="AO103" s="3720"/>
      <c r="AP103" s="3720"/>
      <c r="AQ103" s="3718"/>
      <c r="AR103" s="3718"/>
      <c r="AS103" s="2666"/>
    </row>
    <row r="104" spans="1:45" ht="45" x14ac:dyDescent="0.25">
      <c r="A104" s="968"/>
      <c r="B104" s="1051"/>
      <c r="C104" s="1069"/>
      <c r="D104" s="1051"/>
      <c r="E104" s="3707"/>
      <c r="F104" s="3708"/>
      <c r="G104" s="2305"/>
      <c r="H104" s="3712"/>
      <c r="I104" s="2305"/>
      <c r="J104" s="3712"/>
      <c r="K104" s="3649"/>
      <c r="L104" s="2257"/>
      <c r="M104" s="3649"/>
      <c r="N104" s="2257"/>
      <c r="O104" s="2197"/>
      <c r="P104" s="2197"/>
      <c r="Q104" s="3162"/>
      <c r="R104" s="3702"/>
      <c r="S104" s="3705"/>
      <c r="T104" s="2182"/>
      <c r="U104" s="2182"/>
      <c r="V104" s="1484" t="s">
        <v>1885</v>
      </c>
      <c r="W104" s="1532">
        <v>6000000</v>
      </c>
      <c r="X104" s="182" t="s">
        <v>1882</v>
      </c>
      <c r="Y104" s="1378">
        <v>61</v>
      </c>
      <c r="Z104" s="1047" t="s">
        <v>1699</v>
      </c>
      <c r="AA104" s="3720"/>
      <c r="AB104" s="3720"/>
      <c r="AC104" s="3722"/>
      <c r="AD104" s="3720"/>
      <c r="AE104" s="3720"/>
      <c r="AF104" s="3720"/>
      <c r="AG104" s="3720"/>
      <c r="AH104" s="3720"/>
      <c r="AI104" s="3720"/>
      <c r="AJ104" s="3720"/>
      <c r="AK104" s="3720"/>
      <c r="AL104" s="3720"/>
      <c r="AM104" s="3720"/>
      <c r="AN104" s="3720"/>
      <c r="AO104" s="3720"/>
      <c r="AP104" s="3720"/>
      <c r="AQ104" s="3718"/>
      <c r="AR104" s="3718"/>
      <c r="AS104" s="2666"/>
    </row>
    <row r="105" spans="1:45" ht="60" x14ac:dyDescent="0.25">
      <c r="A105" s="968"/>
      <c r="B105" s="1051"/>
      <c r="C105" s="1069"/>
      <c r="D105" s="1051"/>
      <c r="E105" s="3707"/>
      <c r="F105" s="3708"/>
      <c r="G105" s="2305"/>
      <c r="H105" s="3712"/>
      <c r="I105" s="2305"/>
      <c r="J105" s="3712"/>
      <c r="K105" s="3649"/>
      <c r="L105" s="2257"/>
      <c r="M105" s="3649"/>
      <c r="N105" s="2257"/>
      <c r="O105" s="2197"/>
      <c r="P105" s="2197"/>
      <c r="Q105" s="3163"/>
      <c r="R105" s="3703"/>
      <c r="S105" s="3705"/>
      <c r="T105" s="2182"/>
      <c r="U105" s="2182"/>
      <c r="V105" s="1484" t="s">
        <v>1886</v>
      </c>
      <c r="W105" s="1532">
        <v>8000000</v>
      </c>
      <c r="X105" s="182" t="s">
        <v>1882</v>
      </c>
      <c r="Y105" s="1378">
        <v>61</v>
      </c>
      <c r="Z105" s="1047" t="s">
        <v>1699</v>
      </c>
      <c r="AA105" s="3721"/>
      <c r="AB105" s="3721"/>
      <c r="AC105" s="3723"/>
      <c r="AD105" s="3721"/>
      <c r="AE105" s="3721"/>
      <c r="AF105" s="3721"/>
      <c r="AG105" s="3721"/>
      <c r="AH105" s="3721"/>
      <c r="AI105" s="3721"/>
      <c r="AJ105" s="3721"/>
      <c r="AK105" s="3721"/>
      <c r="AL105" s="3721"/>
      <c r="AM105" s="3721"/>
      <c r="AN105" s="3721"/>
      <c r="AO105" s="3721"/>
      <c r="AP105" s="3721"/>
      <c r="AQ105" s="3719"/>
      <c r="AR105" s="3719"/>
      <c r="AS105" s="2667"/>
    </row>
    <row r="106" spans="1:45" ht="45" x14ac:dyDescent="0.25">
      <c r="A106" s="968"/>
      <c r="B106" s="1051"/>
      <c r="C106" s="1069"/>
      <c r="D106" s="1051"/>
      <c r="E106" s="3707"/>
      <c r="F106" s="3708"/>
      <c r="G106" s="1061">
        <v>1905019</v>
      </c>
      <c r="H106" s="1685" t="s">
        <v>1887</v>
      </c>
      <c r="I106" s="1061">
        <v>1905019</v>
      </c>
      <c r="J106" s="1685" t="s">
        <v>1887</v>
      </c>
      <c r="K106" s="1379">
        <v>190501900</v>
      </c>
      <c r="L106" s="1514" t="s">
        <v>1028</v>
      </c>
      <c r="M106" s="1379">
        <v>190501900</v>
      </c>
      <c r="N106" s="1514" t="s">
        <v>1028</v>
      </c>
      <c r="O106" s="1380">
        <v>60</v>
      </c>
      <c r="P106" s="2197" t="s">
        <v>1888</v>
      </c>
      <c r="Q106" s="2182" t="s">
        <v>1889</v>
      </c>
      <c r="R106" s="1381">
        <f>W106/S106</f>
        <v>0.1</v>
      </c>
      <c r="S106" s="3705">
        <f>SUM(W106:W122)</f>
        <v>200000000</v>
      </c>
      <c r="T106" s="2182" t="s">
        <v>1890</v>
      </c>
      <c r="U106" s="2196" t="s">
        <v>1891</v>
      </c>
      <c r="V106" s="1710" t="s">
        <v>1892</v>
      </c>
      <c r="W106" s="1382">
        <v>20000000</v>
      </c>
      <c r="X106" s="182" t="s">
        <v>1893</v>
      </c>
      <c r="Y106" s="1378">
        <v>61</v>
      </c>
      <c r="Z106" s="1060" t="s">
        <v>1699</v>
      </c>
      <c r="AA106" s="2287">
        <v>292684</v>
      </c>
      <c r="AB106" s="2287">
        <v>282326</v>
      </c>
      <c r="AC106" s="3327">
        <v>135912</v>
      </c>
      <c r="AD106" s="2287">
        <v>45122</v>
      </c>
      <c r="AE106" s="2287">
        <v>307101</v>
      </c>
      <c r="AF106" s="2287">
        <v>86875</v>
      </c>
      <c r="AG106" s="2287">
        <v>2145</v>
      </c>
      <c r="AH106" s="2287">
        <v>12718</v>
      </c>
      <c r="AI106" s="2287">
        <v>26</v>
      </c>
      <c r="AJ106" s="2287">
        <v>37</v>
      </c>
      <c r="AK106" s="2287">
        <v>16897</v>
      </c>
      <c r="AL106" s="2287" t="s">
        <v>1821</v>
      </c>
      <c r="AM106" s="2287">
        <v>53164</v>
      </c>
      <c r="AN106" s="2287">
        <v>16982</v>
      </c>
      <c r="AO106" s="2287">
        <v>60013</v>
      </c>
      <c r="AP106" s="2287">
        <v>575010</v>
      </c>
      <c r="AQ106" s="3673">
        <v>44197</v>
      </c>
      <c r="AR106" s="3673">
        <v>44561</v>
      </c>
      <c r="AS106" s="2287" t="s">
        <v>1700</v>
      </c>
    </row>
    <row r="107" spans="1:45" ht="45" x14ac:dyDescent="0.25">
      <c r="A107" s="968"/>
      <c r="B107" s="1051"/>
      <c r="C107" s="1069"/>
      <c r="D107" s="1051"/>
      <c r="E107" s="3707"/>
      <c r="F107" s="3708"/>
      <c r="G107" s="2305" t="s">
        <v>62</v>
      </c>
      <c r="H107" s="3358" t="s">
        <v>1894</v>
      </c>
      <c r="I107" s="2305">
        <v>1905031</v>
      </c>
      <c r="J107" s="3358" t="s">
        <v>1894</v>
      </c>
      <c r="K107" s="3672" t="s">
        <v>62</v>
      </c>
      <c r="L107" s="3716" t="s">
        <v>1895</v>
      </c>
      <c r="M107" s="3672">
        <v>190503100</v>
      </c>
      <c r="N107" s="3716" t="s">
        <v>1895</v>
      </c>
      <c r="O107" s="2261">
        <v>11</v>
      </c>
      <c r="P107" s="2197"/>
      <c r="Q107" s="2182"/>
      <c r="R107" s="3706">
        <f>SUM(W107:W108)/S106</f>
        <v>0.1</v>
      </c>
      <c r="S107" s="3705"/>
      <c r="T107" s="2182"/>
      <c r="U107" s="3162"/>
      <c r="V107" s="1484" t="s">
        <v>1896</v>
      </c>
      <c r="W107" s="1382">
        <v>10000000</v>
      </c>
      <c r="X107" s="182" t="s">
        <v>1897</v>
      </c>
      <c r="Y107" s="1378">
        <v>61</v>
      </c>
      <c r="Z107" s="1047" t="s">
        <v>1699</v>
      </c>
      <c r="AA107" s="2157"/>
      <c r="AB107" s="2157"/>
      <c r="AC107" s="3685"/>
      <c r="AD107" s="2157"/>
      <c r="AE107" s="2157"/>
      <c r="AF107" s="2157"/>
      <c r="AG107" s="2157"/>
      <c r="AH107" s="2157"/>
      <c r="AI107" s="2157"/>
      <c r="AJ107" s="2157"/>
      <c r="AK107" s="2157"/>
      <c r="AL107" s="2157"/>
      <c r="AM107" s="2157"/>
      <c r="AN107" s="2157"/>
      <c r="AO107" s="2157"/>
      <c r="AP107" s="2157"/>
      <c r="AQ107" s="3674"/>
      <c r="AR107" s="3674"/>
      <c r="AS107" s="2157"/>
    </row>
    <row r="108" spans="1:45" ht="45" x14ac:dyDescent="0.25">
      <c r="A108" s="968"/>
      <c r="B108" s="1051"/>
      <c r="C108" s="1069"/>
      <c r="D108" s="1051"/>
      <c r="E108" s="3707"/>
      <c r="F108" s="3708"/>
      <c r="G108" s="2305"/>
      <c r="H108" s="3360"/>
      <c r="I108" s="2305"/>
      <c r="J108" s="3360"/>
      <c r="K108" s="3715"/>
      <c r="L108" s="3259"/>
      <c r="M108" s="3715"/>
      <c r="N108" s="3259"/>
      <c r="O108" s="2263"/>
      <c r="P108" s="2197"/>
      <c r="Q108" s="2182"/>
      <c r="R108" s="3703"/>
      <c r="S108" s="3705"/>
      <c r="T108" s="2182"/>
      <c r="U108" s="3163"/>
      <c r="V108" s="1484" t="s">
        <v>1898</v>
      </c>
      <c r="W108" s="1382">
        <v>10000000</v>
      </c>
      <c r="X108" s="182" t="s">
        <v>1897</v>
      </c>
      <c r="Y108" s="1378">
        <v>61</v>
      </c>
      <c r="Z108" s="1047" t="s">
        <v>1699</v>
      </c>
      <c r="AA108" s="2157"/>
      <c r="AB108" s="2157"/>
      <c r="AC108" s="3685"/>
      <c r="AD108" s="2157"/>
      <c r="AE108" s="2157"/>
      <c r="AF108" s="2157"/>
      <c r="AG108" s="2157"/>
      <c r="AH108" s="2157"/>
      <c r="AI108" s="2157"/>
      <c r="AJ108" s="2157"/>
      <c r="AK108" s="2157"/>
      <c r="AL108" s="2157"/>
      <c r="AM108" s="2157"/>
      <c r="AN108" s="2157"/>
      <c r="AO108" s="2157"/>
      <c r="AP108" s="2157"/>
      <c r="AQ108" s="3674"/>
      <c r="AR108" s="3674"/>
      <c r="AS108" s="2157"/>
    </row>
    <row r="109" spans="1:45" ht="60" x14ac:dyDescent="0.25">
      <c r="A109" s="968"/>
      <c r="B109" s="1051"/>
      <c r="C109" s="1069"/>
      <c r="D109" s="1051"/>
      <c r="E109" s="3707"/>
      <c r="F109" s="3708"/>
      <c r="G109" s="2305" t="s">
        <v>62</v>
      </c>
      <c r="H109" s="3358" t="s">
        <v>1899</v>
      </c>
      <c r="I109" s="2305">
        <v>1905015</v>
      </c>
      <c r="J109" s="3358" t="s">
        <v>1337</v>
      </c>
      <c r="K109" s="3672" t="s">
        <v>62</v>
      </c>
      <c r="L109" s="3716" t="s">
        <v>1900</v>
      </c>
      <c r="M109" s="3672">
        <v>190501501</v>
      </c>
      <c r="N109" s="3716" t="s">
        <v>1901</v>
      </c>
      <c r="O109" s="2261">
        <v>1</v>
      </c>
      <c r="P109" s="2197"/>
      <c r="Q109" s="2182"/>
      <c r="R109" s="3706">
        <f>SUM(W109:W110)/S106</f>
        <v>0.1</v>
      </c>
      <c r="S109" s="3705"/>
      <c r="T109" s="2182"/>
      <c r="U109" s="2196" t="s">
        <v>1902</v>
      </c>
      <c r="V109" s="1484" t="s">
        <v>1903</v>
      </c>
      <c r="W109" s="1713">
        <v>10000000</v>
      </c>
      <c r="X109" s="182" t="s">
        <v>1904</v>
      </c>
      <c r="Y109" s="1378">
        <v>61</v>
      </c>
      <c r="Z109" s="1047" t="s">
        <v>1699</v>
      </c>
      <c r="AA109" s="2157"/>
      <c r="AB109" s="2157"/>
      <c r="AC109" s="3685"/>
      <c r="AD109" s="2157"/>
      <c r="AE109" s="2157"/>
      <c r="AF109" s="2157"/>
      <c r="AG109" s="2157"/>
      <c r="AH109" s="2157"/>
      <c r="AI109" s="2157"/>
      <c r="AJ109" s="2157"/>
      <c r="AK109" s="2157"/>
      <c r="AL109" s="2157"/>
      <c r="AM109" s="2157"/>
      <c r="AN109" s="2157"/>
      <c r="AO109" s="2157"/>
      <c r="AP109" s="2157"/>
      <c r="AQ109" s="3674"/>
      <c r="AR109" s="3674"/>
      <c r="AS109" s="2157"/>
    </row>
    <row r="110" spans="1:45" ht="45" x14ac:dyDescent="0.25">
      <c r="A110" s="968"/>
      <c r="B110" s="1051"/>
      <c r="C110" s="1069"/>
      <c r="D110" s="1051"/>
      <c r="E110" s="3707"/>
      <c r="F110" s="3708"/>
      <c r="G110" s="2305"/>
      <c r="H110" s="3360"/>
      <c r="I110" s="2305"/>
      <c r="J110" s="3360"/>
      <c r="K110" s="3715"/>
      <c r="L110" s="3259"/>
      <c r="M110" s="3715"/>
      <c r="N110" s="3259"/>
      <c r="O110" s="2263"/>
      <c r="P110" s="2197"/>
      <c r="Q110" s="2182"/>
      <c r="R110" s="3703"/>
      <c r="S110" s="3705"/>
      <c r="T110" s="2182"/>
      <c r="U110" s="3162"/>
      <c r="V110" s="1484" t="s">
        <v>1905</v>
      </c>
      <c r="W110" s="1382">
        <v>10000000</v>
      </c>
      <c r="X110" s="182" t="s">
        <v>1904</v>
      </c>
      <c r="Y110" s="1378">
        <v>61</v>
      </c>
      <c r="Z110" s="1047" t="s">
        <v>1699</v>
      </c>
      <c r="AA110" s="2157"/>
      <c r="AB110" s="2157"/>
      <c r="AC110" s="3685"/>
      <c r="AD110" s="2157"/>
      <c r="AE110" s="2157"/>
      <c r="AF110" s="2157"/>
      <c r="AG110" s="2157"/>
      <c r="AH110" s="2157"/>
      <c r="AI110" s="2157"/>
      <c r="AJ110" s="2157"/>
      <c r="AK110" s="2157"/>
      <c r="AL110" s="2157"/>
      <c r="AM110" s="2157"/>
      <c r="AN110" s="2157"/>
      <c r="AO110" s="2157"/>
      <c r="AP110" s="2157"/>
      <c r="AQ110" s="3674"/>
      <c r="AR110" s="3674"/>
      <c r="AS110" s="2157"/>
    </row>
    <row r="111" spans="1:45" ht="45" x14ac:dyDescent="0.25">
      <c r="A111" s="968"/>
      <c r="B111" s="1051"/>
      <c r="C111" s="1069"/>
      <c r="D111" s="1051"/>
      <c r="E111" s="3707"/>
      <c r="F111" s="3708"/>
      <c r="G111" s="2305" t="s">
        <v>62</v>
      </c>
      <c r="H111" s="3358" t="s">
        <v>1906</v>
      </c>
      <c r="I111" s="2305">
        <v>1905024</v>
      </c>
      <c r="J111" s="3358" t="s">
        <v>1907</v>
      </c>
      <c r="K111" s="3672" t="s">
        <v>62</v>
      </c>
      <c r="L111" s="3665" t="s">
        <v>1908</v>
      </c>
      <c r="M111" s="3672">
        <v>190502400</v>
      </c>
      <c r="N111" s="3665" t="s">
        <v>1909</v>
      </c>
      <c r="O111" s="2261">
        <v>3</v>
      </c>
      <c r="P111" s="2197"/>
      <c r="Q111" s="2182"/>
      <c r="R111" s="3706">
        <f>SUM(W111:W115)/S106</f>
        <v>0.32</v>
      </c>
      <c r="S111" s="3705"/>
      <c r="T111" s="2182"/>
      <c r="U111" s="3162"/>
      <c r="V111" s="1484" t="s">
        <v>1910</v>
      </c>
      <c r="W111" s="1532">
        <v>5000000</v>
      </c>
      <c r="X111" s="182" t="s">
        <v>1911</v>
      </c>
      <c r="Y111" s="1378">
        <v>61</v>
      </c>
      <c r="Z111" s="1047" t="s">
        <v>1699</v>
      </c>
      <c r="AA111" s="2157"/>
      <c r="AB111" s="2157"/>
      <c r="AC111" s="3685"/>
      <c r="AD111" s="2157"/>
      <c r="AE111" s="2157"/>
      <c r="AF111" s="2157"/>
      <c r="AG111" s="2157"/>
      <c r="AH111" s="2157"/>
      <c r="AI111" s="2157"/>
      <c r="AJ111" s="2157"/>
      <c r="AK111" s="2157"/>
      <c r="AL111" s="2157"/>
      <c r="AM111" s="2157"/>
      <c r="AN111" s="2157"/>
      <c r="AO111" s="2157"/>
      <c r="AP111" s="2157"/>
      <c r="AQ111" s="3674"/>
      <c r="AR111" s="3674"/>
      <c r="AS111" s="2157"/>
    </row>
    <row r="112" spans="1:45" ht="30" x14ac:dyDescent="0.25">
      <c r="A112" s="968"/>
      <c r="B112" s="1051"/>
      <c r="C112" s="1069"/>
      <c r="D112" s="1051"/>
      <c r="E112" s="3707"/>
      <c r="F112" s="3708"/>
      <c r="G112" s="2305"/>
      <c r="H112" s="3359"/>
      <c r="I112" s="2305"/>
      <c r="J112" s="3359"/>
      <c r="K112" s="3668"/>
      <c r="L112" s="3666"/>
      <c r="M112" s="3668"/>
      <c r="N112" s="3666"/>
      <c r="O112" s="2262"/>
      <c r="P112" s="2197"/>
      <c r="Q112" s="2182"/>
      <c r="R112" s="3702"/>
      <c r="S112" s="3705"/>
      <c r="T112" s="2182"/>
      <c r="U112" s="3162"/>
      <c r="V112" s="1471" t="s">
        <v>1912</v>
      </c>
      <c r="W112" s="1368">
        <v>5000000</v>
      </c>
      <c r="X112" s="182" t="s">
        <v>1911</v>
      </c>
      <c r="Y112" s="1378">
        <v>61</v>
      </c>
      <c r="Z112" s="1047" t="s">
        <v>1699</v>
      </c>
      <c r="AA112" s="2157"/>
      <c r="AB112" s="2157"/>
      <c r="AC112" s="3685"/>
      <c r="AD112" s="2157"/>
      <c r="AE112" s="2157"/>
      <c r="AF112" s="2157"/>
      <c r="AG112" s="2157"/>
      <c r="AH112" s="2157"/>
      <c r="AI112" s="2157"/>
      <c r="AJ112" s="2157"/>
      <c r="AK112" s="2157"/>
      <c r="AL112" s="2157"/>
      <c r="AM112" s="2157"/>
      <c r="AN112" s="2157"/>
      <c r="AO112" s="2157"/>
      <c r="AP112" s="2157"/>
      <c r="AQ112" s="3674"/>
      <c r="AR112" s="3674"/>
      <c r="AS112" s="2157"/>
    </row>
    <row r="113" spans="1:45" ht="45" x14ac:dyDescent="0.25">
      <c r="A113" s="968"/>
      <c r="B113" s="1051"/>
      <c r="C113" s="1069"/>
      <c r="D113" s="1051"/>
      <c r="E113" s="3707"/>
      <c r="F113" s="3708"/>
      <c r="G113" s="2305"/>
      <c r="H113" s="3359"/>
      <c r="I113" s="2305"/>
      <c r="J113" s="3359"/>
      <c r="K113" s="3668"/>
      <c r="L113" s="3666"/>
      <c r="M113" s="3668"/>
      <c r="N113" s="3666"/>
      <c r="O113" s="2262"/>
      <c r="P113" s="2197"/>
      <c r="Q113" s="2182"/>
      <c r="R113" s="3702"/>
      <c r="S113" s="3705"/>
      <c r="T113" s="2182"/>
      <c r="U113" s="3162"/>
      <c r="V113" s="1471" t="s">
        <v>1713</v>
      </c>
      <c r="W113" s="1368">
        <v>34000000</v>
      </c>
      <c r="X113" s="182" t="s">
        <v>1911</v>
      </c>
      <c r="Y113" s="1378">
        <v>61</v>
      </c>
      <c r="Z113" s="1047" t="s">
        <v>1699</v>
      </c>
      <c r="AA113" s="2157"/>
      <c r="AB113" s="2157"/>
      <c r="AC113" s="3685"/>
      <c r="AD113" s="2157"/>
      <c r="AE113" s="2157"/>
      <c r="AF113" s="2157"/>
      <c r="AG113" s="2157"/>
      <c r="AH113" s="2157"/>
      <c r="AI113" s="2157"/>
      <c r="AJ113" s="2157"/>
      <c r="AK113" s="2157"/>
      <c r="AL113" s="2157"/>
      <c r="AM113" s="2157"/>
      <c r="AN113" s="2157"/>
      <c r="AO113" s="2157"/>
      <c r="AP113" s="2157"/>
      <c r="AQ113" s="3674"/>
      <c r="AR113" s="3674"/>
      <c r="AS113" s="2157"/>
    </row>
    <row r="114" spans="1:45" ht="45" x14ac:dyDescent="0.25">
      <c r="A114" s="968"/>
      <c r="B114" s="1051"/>
      <c r="C114" s="1069"/>
      <c r="D114" s="1051"/>
      <c r="E114" s="3707"/>
      <c r="F114" s="3708"/>
      <c r="G114" s="2305"/>
      <c r="H114" s="3359"/>
      <c r="I114" s="2305"/>
      <c r="J114" s="3359"/>
      <c r="K114" s="3668"/>
      <c r="L114" s="3666"/>
      <c r="M114" s="3668"/>
      <c r="N114" s="3666"/>
      <c r="O114" s="2262"/>
      <c r="P114" s="2197"/>
      <c r="Q114" s="2182"/>
      <c r="R114" s="3702"/>
      <c r="S114" s="3705"/>
      <c r="T114" s="2182"/>
      <c r="U114" s="3162"/>
      <c r="V114" s="1471" t="s">
        <v>1913</v>
      </c>
      <c r="W114" s="1368">
        <v>10000000</v>
      </c>
      <c r="X114" s="182" t="s">
        <v>1911</v>
      </c>
      <c r="Y114" s="1378">
        <v>61</v>
      </c>
      <c r="Z114" s="1047" t="s">
        <v>1699</v>
      </c>
      <c r="AA114" s="2157"/>
      <c r="AB114" s="2157"/>
      <c r="AC114" s="3685"/>
      <c r="AD114" s="2157"/>
      <c r="AE114" s="2157"/>
      <c r="AF114" s="2157"/>
      <c r="AG114" s="2157"/>
      <c r="AH114" s="2157"/>
      <c r="AI114" s="2157"/>
      <c r="AJ114" s="2157"/>
      <c r="AK114" s="2157"/>
      <c r="AL114" s="2157"/>
      <c r="AM114" s="2157"/>
      <c r="AN114" s="2157"/>
      <c r="AO114" s="2157"/>
      <c r="AP114" s="2157"/>
      <c r="AQ114" s="3674"/>
      <c r="AR114" s="3674"/>
      <c r="AS114" s="2157"/>
    </row>
    <row r="115" spans="1:45" ht="45" x14ac:dyDescent="0.25">
      <c r="A115" s="968"/>
      <c r="B115" s="1051"/>
      <c r="C115" s="1069"/>
      <c r="D115" s="1051"/>
      <c r="E115" s="3707"/>
      <c r="F115" s="3708"/>
      <c r="G115" s="2305"/>
      <c r="H115" s="3360"/>
      <c r="I115" s="2305"/>
      <c r="J115" s="3360"/>
      <c r="K115" s="3715"/>
      <c r="L115" s="3696"/>
      <c r="M115" s="3715"/>
      <c r="N115" s="3696"/>
      <c r="O115" s="2263"/>
      <c r="P115" s="2197"/>
      <c r="Q115" s="2182"/>
      <c r="R115" s="3703"/>
      <c r="S115" s="3705"/>
      <c r="T115" s="2182"/>
      <c r="U115" s="3162"/>
      <c r="V115" s="1471" t="s">
        <v>1914</v>
      </c>
      <c r="W115" s="1368">
        <v>10000000</v>
      </c>
      <c r="X115" s="182" t="s">
        <v>1911</v>
      </c>
      <c r="Y115" s="1378">
        <v>61</v>
      </c>
      <c r="Z115" s="1047" t="s">
        <v>1699</v>
      </c>
      <c r="AA115" s="2157"/>
      <c r="AB115" s="2157"/>
      <c r="AC115" s="3685"/>
      <c r="AD115" s="2157"/>
      <c r="AE115" s="2157"/>
      <c r="AF115" s="2157"/>
      <c r="AG115" s="2157"/>
      <c r="AH115" s="2157"/>
      <c r="AI115" s="2157"/>
      <c r="AJ115" s="2157"/>
      <c r="AK115" s="2157"/>
      <c r="AL115" s="2157"/>
      <c r="AM115" s="2157"/>
      <c r="AN115" s="2157"/>
      <c r="AO115" s="2157"/>
      <c r="AP115" s="2157"/>
      <c r="AQ115" s="3674"/>
      <c r="AR115" s="3674"/>
      <c r="AS115" s="2157"/>
    </row>
    <row r="116" spans="1:45" ht="30" x14ac:dyDescent="0.25">
      <c r="A116" s="968"/>
      <c r="B116" s="1051"/>
      <c r="C116" s="1069"/>
      <c r="D116" s="1051"/>
      <c r="E116" s="3707"/>
      <c r="F116" s="3708"/>
      <c r="G116" s="2305" t="s">
        <v>62</v>
      </c>
      <c r="H116" s="3358" t="s">
        <v>1915</v>
      </c>
      <c r="I116" s="2305">
        <v>1905015</v>
      </c>
      <c r="J116" s="3358" t="s">
        <v>1337</v>
      </c>
      <c r="K116" s="3672" t="s">
        <v>62</v>
      </c>
      <c r="L116" s="3716" t="s">
        <v>1916</v>
      </c>
      <c r="M116" s="3672">
        <v>190501500</v>
      </c>
      <c r="N116" s="3716" t="s">
        <v>1901</v>
      </c>
      <c r="O116" s="2261">
        <v>4</v>
      </c>
      <c r="P116" s="2197"/>
      <c r="Q116" s="2182"/>
      <c r="R116" s="3706">
        <f>SUM(W116:W117)/S106</f>
        <v>0.1</v>
      </c>
      <c r="S116" s="3705"/>
      <c r="T116" s="2182"/>
      <c r="U116" s="3162"/>
      <c r="V116" s="1471" t="s">
        <v>1917</v>
      </c>
      <c r="W116" s="1382">
        <v>10000000</v>
      </c>
      <c r="X116" s="182" t="s">
        <v>1918</v>
      </c>
      <c r="Y116" s="1378">
        <v>61</v>
      </c>
      <c r="Z116" s="1047" t="s">
        <v>1699</v>
      </c>
      <c r="AA116" s="2157"/>
      <c r="AB116" s="2157"/>
      <c r="AC116" s="3685"/>
      <c r="AD116" s="2157"/>
      <c r="AE116" s="2157"/>
      <c r="AF116" s="2157"/>
      <c r="AG116" s="2157"/>
      <c r="AH116" s="2157"/>
      <c r="AI116" s="2157"/>
      <c r="AJ116" s="2157"/>
      <c r="AK116" s="2157"/>
      <c r="AL116" s="2157"/>
      <c r="AM116" s="2157"/>
      <c r="AN116" s="2157"/>
      <c r="AO116" s="2157"/>
      <c r="AP116" s="2157"/>
      <c r="AQ116" s="3674"/>
      <c r="AR116" s="3674"/>
      <c r="AS116" s="2157"/>
    </row>
    <row r="117" spans="1:45" ht="30" x14ac:dyDescent="0.25">
      <c r="A117" s="968"/>
      <c r="B117" s="1051"/>
      <c r="C117" s="1069"/>
      <c r="D117" s="1051"/>
      <c r="E117" s="3707"/>
      <c r="F117" s="3708"/>
      <c r="G117" s="2305"/>
      <c r="H117" s="3360"/>
      <c r="I117" s="2305"/>
      <c r="J117" s="3360"/>
      <c r="K117" s="3715"/>
      <c r="L117" s="3259"/>
      <c r="M117" s="3715"/>
      <c r="N117" s="3259"/>
      <c r="O117" s="2263"/>
      <c r="P117" s="2197"/>
      <c r="Q117" s="2182"/>
      <c r="R117" s="3703"/>
      <c r="S117" s="3705"/>
      <c r="T117" s="2182"/>
      <c r="U117" s="3162"/>
      <c r="V117" s="1471" t="s">
        <v>1919</v>
      </c>
      <c r="W117" s="1382">
        <v>10000000</v>
      </c>
      <c r="X117" s="182" t="s">
        <v>1918</v>
      </c>
      <c r="Y117" s="1378">
        <v>61</v>
      </c>
      <c r="Z117" s="1047" t="s">
        <v>1699</v>
      </c>
      <c r="AA117" s="2157"/>
      <c r="AB117" s="2157"/>
      <c r="AC117" s="3685"/>
      <c r="AD117" s="2157"/>
      <c r="AE117" s="2157"/>
      <c r="AF117" s="2157"/>
      <c r="AG117" s="2157"/>
      <c r="AH117" s="2157"/>
      <c r="AI117" s="2157"/>
      <c r="AJ117" s="2157"/>
      <c r="AK117" s="2157"/>
      <c r="AL117" s="2157"/>
      <c r="AM117" s="2157"/>
      <c r="AN117" s="2157"/>
      <c r="AO117" s="2157"/>
      <c r="AP117" s="2157"/>
      <c r="AQ117" s="3674"/>
      <c r="AR117" s="3674"/>
      <c r="AS117" s="2157"/>
    </row>
    <row r="118" spans="1:45" ht="75" x14ac:dyDescent="0.25">
      <c r="A118" s="968"/>
      <c r="B118" s="1051"/>
      <c r="C118" s="1069"/>
      <c r="D118" s="1051"/>
      <c r="E118" s="3707"/>
      <c r="F118" s="3708"/>
      <c r="G118" s="2305" t="s">
        <v>62</v>
      </c>
      <c r="H118" s="3358" t="s">
        <v>1920</v>
      </c>
      <c r="I118" s="2305">
        <v>1905024</v>
      </c>
      <c r="J118" s="3358" t="s">
        <v>1907</v>
      </c>
      <c r="K118" s="3663" t="s">
        <v>62</v>
      </c>
      <c r="L118" s="3665" t="s">
        <v>1921</v>
      </c>
      <c r="M118" s="3663">
        <v>190502400</v>
      </c>
      <c r="N118" s="3665" t="s">
        <v>1909</v>
      </c>
      <c r="O118" s="2261">
        <v>4</v>
      </c>
      <c r="P118" s="2197"/>
      <c r="Q118" s="2182"/>
      <c r="R118" s="3706">
        <f>SUM(W118:W120)/S106</f>
        <v>0.14000000000000001</v>
      </c>
      <c r="S118" s="3705"/>
      <c r="T118" s="2182"/>
      <c r="U118" s="3162"/>
      <c r="V118" s="1471" t="s">
        <v>1922</v>
      </c>
      <c r="W118" s="1368">
        <v>10000000</v>
      </c>
      <c r="X118" s="182" t="s">
        <v>1923</v>
      </c>
      <c r="Y118" s="1378">
        <v>61</v>
      </c>
      <c r="Z118" s="1047" t="s">
        <v>1699</v>
      </c>
      <c r="AA118" s="2157"/>
      <c r="AB118" s="2157"/>
      <c r="AC118" s="3685"/>
      <c r="AD118" s="2157"/>
      <c r="AE118" s="2157"/>
      <c r="AF118" s="2157"/>
      <c r="AG118" s="2157"/>
      <c r="AH118" s="2157"/>
      <c r="AI118" s="2157"/>
      <c r="AJ118" s="2157"/>
      <c r="AK118" s="2157"/>
      <c r="AL118" s="2157"/>
      <c r="AM118" s="2157"/>
      <c r="AN118" s="2157"/>
      <c r="AO118" s="2157"/>
      <c r="AP118" s="2157"/>
      <c r="AQ118" s="3674"/>
      <c r="AR118" s="3674"/>
      <c r="AS118" s="2157"/>
    </row>
    <row r="119" spans="1:45" ht="45" x14ac:dyDescent="0.25">
      <c r="A119" s="968"/>
      <c r="B119" s="1051"/>
      <c r="C119" s="1069"/>
      <c r="D119" s="1051"/>
      <c r="E119" s="3707"/>
      <c r="F119" s="3708"/>
      <c r="G119" s="2305"/>
      <c r="H119" s="3359"/>
      <c r="I119" s="2305"/>
      <c r="J119" s="3359"/>
      <c r="K119" s="3664"/>
      <c r="L119" s="3666"/>
      <c r="M119" s="3664"/>
      <c r="N119" s="3666"/>
      <c r="O119" s="2262"/>
      <c r="P119" s="2197"/>
      <c r="Q119" s="2182"/>
      <c r="R119" s="3702"/>
      <c r="S119" s="3705"/>
      <c r="T119" s="2182"/>
      <c r="U119" s="3162"/>
      <c r="V119" s="1471" t="s">
        <v>1924</v>
      </c>
      <c r="W119" s="1368">
        <v>10000000</v>
      </c>
      <c r="X119" s="182" t="s">
        <v>1923</v>
      </c>
      <c r="Y119" s="1378">
        <v>61</v>
      </c>
      <c r="Z119" s="1047" t="s">
        <v>1699</v>
      </c>
      <c r="AA119" s="2157"/>
      <c r="AB119" s="2157"/>
      <c r="AC119" s="3685"/>
      <c r="AD119" s="2157"/>
      <c r="AE119" s="2157"/>
      <c r="AF119" s="2157"/>
      <c r="AG119" s="2157"/>
      <c r="AH119" s="2157"/>
      <c r="AI119" s="2157"/>
      <c r="AJ119" s="2157"/>
      <c r="AK119" s="2157"/>
      <c r="AL119" s="2157"/>
      <c r="AM119" s="2157"/>
      <c r="AN119" s="2157"/>
      <c r="AO119" s="2157"/>
      <c r="AP119" s="2157"/>
      <c r="AQ119" s="3674"/>
      <c r="AR119" s="3674"/>
      <c r="AS119" s="2157"/>
    </row>
    <row r="120" spans="1:45" ht="45" x14ac:dyDescent="0.25">
      <c r="A120" s="968"/>
      <c r="B120" s="1051"/>
      <c r="C120" s="1069"/>
      <c r="D120" s="1051"/>
      <c r="E120" s="3707"/>
      <c r="F120" s="3708"/>
      <c r="G120" s="2305"/>
      <c r="H120" s="3360"/>
      <c r="I120" s="2305"/>
      <c r="J120" s="3360"/>
      <c r="K120" s="3695"/>
      <c r="L120" s="3696"/>
      <c r="M120" s="3695"/>
      <c r="N120" s="3696"/>
      <c r="O120" s="2263"/>
      <c r="P120" s="2197"/>
      <c r="Q120" s="2182"/>
      <c r="R120" s="3703"/>
      <c r="S120" s="3705"/>
      <c r="T120" s="2182"/>
      <c r="U120" s="3162"/>
      <c r="V120" s="1471" t="s">
        <v>1925</v>
      </c>
      <c r="W120" s="1368">
        <v>8000000</v>
      </c>
      <c r="X120" s="182" t="s">
        <v>1923</v>
      </c>
      <c r="Y120" s="1378">
        <v>61</v>
      </c>
      <c r="Z120" s="1047" t="s">
        <v>1699</v>
      </c>
      <c r="AA120" s="2157"/>
      <c r="AB120" s="2157"/>
      <c r="AC120" s="3685"/>
      <c r="AD120" s="2157"/>
      <c r="AE120" s="2157"/>
      <c r="AF120" s="2157"/>
      <c r="AG120" s="2157"/>
      <c r="AH120" s="2157"/>
      <c r="AI120" s="2157"/>
      <c r="AJ120" s="2157"/>
      <c r="AK120" s="2157"/>
      <c r="AL120" s="2157"/>
      <c r="AM120" s="2157"/>
      <c r="AN120" s="2157"/>
      <c r="AO120" s="2157"/>
      <c r="AP120" s="2157"/>
      <c r="AQ120" s="3674"/>
      <c r="AR120" s="3674"/>
      <c r="AS120" s="2157"/>
    </row>
    <row r="121" spans="1:45" ht="30" x14ac:dyDescent="0.25">
      <c r="A121" s="968"/>
      <c r="B121" s="1051"/>
      <c r="C121" s="1069"/>
      <c r="D121" s="1051"/>
      <c r="E121" s="3707"/>
      <c r="F121" s="3708"/>
      <c r="G121" s="2305" t="s">
        <v>62</v>
      </c>
      <c r="H121" s="3358" t="s">
        <v>1926</v>
      </c>
      <c r="I121" s="2305">
        <v>1905024</v>
      </c>
      <c r="J121" s="3358" t="s">
        <v>1907</v>
      </c>
      <c r="K121" s="3663" t="s">
        <v>62</v>
      </c>
      <c r="L121" s="3665" t="s">
        <v>1550</v>
      </c>
      <c r="M121" s="3663">
        <v>190502401</v>
      </c>
      <c r="N121" s="3665" t="s">
        <v>1927</v>
      </c>
      <c r="O121" s="2261">
        <v>12</v>
      </c>
      <c r="P121" s="2197"/>
      <c r="Q121" s="2182"/>
      <c r="R121" s="3706">
        <f>SUM(W121:W122)/S106</f>
        <v>0.14000000000000001</v>
      </c>
      <c r="S121" s="3705"/>
      <c r="T121" s="2182"/>
      <c r="U121" s="3162"/>
      <c r="V121" s="1471" t="s">
        <v>1928</v>
      </c>
      <c r="W121" s="1368">
        <v>13000000</v>
      </c>
      <c r="X121" s="182" t="s">
        <v>1929</v>
      </c>
      <c r="Y121" s="1378">
        <v>61</v>
      </c>
      <c r="Z121" s="1047" t="s">
        <v>1699</v>
      </c>
      <c r="AA121" s="2157"/>
      <c r="AB121" s="2157"/>
      <c r="AC121" s="3685"/>
      <c r="AD121" s="2157"/>
      <c r="AE121" s="2157"/>
      <c r="AF121" s="2157"/>
      <c r="AG121" s="2157"/>
      <c r="AH121" s="2157"/>
      <c r="AI121" s="2157"/>
      <c r="AJ121" s="2157"/>
      <c r="AK121" s="2157"/>
      <c r="AL121" s="2157"/>
      <c r="AM121" s="2157"/>
      <c r="AN121" s="2157"/>
      <c r="AO121" s="2157"/>
      <c r="AP121" s="2157"/>
      <c r="AQ121" s="3674"/>
      <c r="AR121" s="3674"/>
      <c r="AS121" s="2157"/>
    </row>
    <row r="122" spans="1:45" ht="45" x14ac:dyDescent="0.25">
      <c r="A122" s="968"/>
      <c r="B122" s="1051"/>
      <c r="C122" s="1069"/>
      <c r="D122" s="1051"/>
      <c r="E122" s="3707"/>
      <c r="F122" s="3708"/>
      <c r="G122" s="2305"/>
      <c r="H122" s="3360"/>
      <c r="I122" s="2305"/>
      <c r="J122" s="3360"/>
      <c r="K122" s="3695"/>
      <c r="L122" s="3696"/>
      <c r="M122" s="3695"/>
      <c r="N122" s="3696"/>
      <c r="O122" s="2263"/>
      <c r="P122" s="2197"/>
      <c r="Q122" s="2182"/>
      <c r="R122" s="3703"/>
      <c r="S122" s="3705"/>
      <c r="T122" s="2182"/>
      <c r="U122" s="3163"/>
      <c r="V122" s="1471" t="s">
        <v>1930</v>
      </c>
      <c r="W122" s="1383">
        <v>15000000</v>
      </c>
      <c r="X122" s="182" t="s">
        <v>1929</v>
      </c>
      <c r="Y122" s="1378">
        <v>61</v>
      </c>
      <c r="Z122" s="1047" t="s">
        <v>1699</v>
      </c>
      <c r="AA122" s="2304"/>
      <c r="AB122" s="2304"/>
      <c r="AC122" s="3326"/>
      <c r="AD122" s="2304"/>
      <c r="AE122" s="2304"/>
      <c r="AF122" s="2304"/>
      <c r="AG122" s="2304"/>
      <c r="AH122" s="2304"/>
      <c r="AI122" s="2304"/>
      <c r="AJ122" s="2304"/>
      <c r="AK122" s="2304"/>
      <c r="AL122" s="2304"/>
      <c r="AM122" s="2304"/>
      <c r="AN122" s="2304"/>
      <c r="AO122" s="2304"/>
      <c r="AP122" s="2304"/>
      <c r="AQ122" s="3714"/>
      <c r="AR122" s="3714"/>
      <c r="AS122" s="2304"/>
    </row>
    <row r="123" spans="1:45" ht="60" customHeight="1" x14ac:dyDescent="0.25">
      <c r="A123" s="968"/>
      <c r="B123" s="1051"/>
      <c r="C123" s="1069"/>
      <c r="D123" s="1051"/>
      <c r="E123" s="3707"/>
      <c r="F123" s="3708"/>
      <c r="G123" s="2305">
        <v>1905021</v>
      </c>
      <c r="H123" s="3358" t="s">
        <v>708</v>
      </c>
      <c r="I123" s="2305">
        <v>1905021</v>
      </c>
      <c r="J123" s="3358" t="s">
        <v>708</v>
      </c>
      <c r="K123" s="3672">
        <v>190502100</v>
      </c>
      <c r="L123" s="2829" t="s">
        <v>709</v>
      </c>
      <c r="M123" s="3672">
        <v>190502100</v>
      </c>
      <c r="N123" s="2829" t="s">
        <v>709</v>
      </c>
      <c r="O123" s="3727">
        <v>12</v>
      </c>
      <c r="P123" s="2197" t="s">
        <v>1931</v>
      </c>
      <c r="Q123" s="2182" t="s">
        <v>1932</v>
      </c>
      <c r="R123" s="3726">
        <f>SUM(W123:W134)/S123</f>
        <v>0.65217391304347827</v>
      </c>
      <c r="S123" s="3705">
        <f>SUM(W123:W144)</f>
        <v>161000000</v>
      </c>
      <c r="T123" s="2182" t="s">
        <v>1933</v>
      </c>
      <c r="U123" s="2196" t="s">
        <v>1934</v>
      </c>
      <c r="V123" s="1471" t="s">
        <v>1935</v>
      </c>
      <c r="W123" s="1368">
        <v>5000000</v>
      </c>
      <c r="X123" s="182" t="s">
        <v>1936</v>
      </c>
      <c r="Y123" s="1378">
        <v>61</v>
      </c>
      <c r="Z123" s="1047" t="s">
        <v>1699</v>
      </c>
      <c r="AA123" s="3724">
        <v>289394</v>
      </c>
      <c r="AB123" s="3724">
        <v>279112</v>
      </c>
      <c r="AC123" s="3738">
        <v>63164</v>
      </c>
      <c r="AD123" s="3724">
        <v>45607</v>
      </c>
      <c r="AE123" s="3724">
        <v>365607</v>
      </c>
      <c r="AF123" s="3724">
        <v>75612</v>
      </c>
      <c r="AG123" s="3724">
        <v>2145</v>
      </c>
      <c r="AH123" s="3724">
        <v>12718</v>
      </c>
      <c r="AI123" s="3724">
        <v>26</v>
      </c>
      <c r="AJ123" s="3724">
        <v>37</v>
      </c>
      <c r="AK123" s="3724">
        <v>0</v>
      </c>
      <c r="AL123" s="3724">
        <v>0</v>
      </c>
      <c r="AM123" s="3724">
        <v>78</v>
      </c>
      <c r="AN123" s="3724">
        <v>16897</v>
      </c>
      <c r="AO123" s="3724">
        <v>852</v>
      </c>
      <c r="AP123" s="3724">
        <v>568506</v>
      </c>
      <c r="AQ123" s="3733">
        <v>44197</v>
      </c>
      <c r="AR123" s="3733">
        <v>44561</v>
      </c>
      <c r="AS123" s="2287" t="s">
        <v>1700</v>
      </c>
    </row>
    <row r="124" spans="1:45" ht="60" customHeight="1" x14ac:dyDescent="0.25">
      <c r="A124" s="968"/>
      <c r="B124" s="1051"/>
      <c r="C124" s="1069"/>
      <c r="D124" s="1051"/>
      <c r="E124" s="3707"/>
      <c r="F124" s="3708"/>
      <c r="G124" s="2305"/>
      <c r="H124" s="3359"/>
      <c r="I124" s="2305"/>
      <c r="J124" s="3359"/>
      <c r="K124" s="3668"/>
      <c r="L124" s="2824"/>
      <c r="M124" s="3668"/>
      <c r="N124" s="2824"/>
      <c r="O124" s="3113"/>
      <c r="P124" s="2197"/>
      <c r="Q124" s="2182"/>
      <c r="R124" s="3726"/>
      <c r="S124" s="3705"/>
      <c r="T124" s="2182"/>
      <c r="U124" s="3162"/>
      <c r="V124" s="1471" t="s">
        <v>1937</v>
      </c>
      <c r="W124" s="1368">
        <v>5000000</v>
      </c>
      <c r="X124" s="182" t="s">
        <v>1936</v>
      </c>
      <c r="Y124" s="1378">
        <v>61</v>
      </c>
      <c r="Z124" s="1047" t="s">
        <v>1699</v>
      </c>
      <c r="AA124" s="3725"/>
      <c r="AB124" s="3725"/>
      <c r="AC124" s="3739"/>
      <c r="AD124" s="3725"/>
      <c r="AE124" s="3725"/>
      <c r="AF124" s="3725"/>
      <c r="AG124" s="3725"/>
      <c r="AH124" s="3725"/>
      <c r="AI124" s="3725"/>
      <c r="AJ124" s="3725"/>
      <c r="AK124" s="3725"/>
      <c r="AL124" s="3725"/>
      <c r="AM124" s="3725"/>
      <c r="AN124" s="3725"/>
      <c r="AO124" s="3725"/>
      <c r="AP124" s="3725"/>
      <c r="AQ124" s="3734"/>
      <c r="AR124" s="3734"/>
      <c r="AS124" s="2157"/>
    </row>
    <row r="125" spans="1:45" ht="57.75" customHeight="1" x14ac:dyDescent="0.25">
      <c r="A125" s="968"/>
      <c r="B125" s="1051"/>
      <c r="C125" s="1069"/>
      <c r="D125" s="1051"/>
      <c r="E125" s="3707"/>
      <c r="F125" s="3708"/>
      <c r="G125" s="2305"/>
      <c r="H125" s="3359"/>
      <c r="I125" s="2305"/>
      <c r="J125" s="3359"/>
      <c r="K125" s="3668"/>
      <c r="L125" s="2824"/>
      <c r="M125" s="3668"/>
      <c r="N125" s="2824"/>
      <c r="O125" s="3113"/>
      <c r="P125" s="2197"/>
      <c r="Q125" s="2182"/>
      <c r="R125" s="3726"/>
      <c r="S125" s="3705"/>
      <c r="T125" s="2182"/>
      <c r="U125" s="3162"/>
      <c r="V125" s="1471" t="s">
        <v>1938</v>
      </c>
      <c r="W125" s="1368">
        <v>6000000</v>
      </c>
      <c r="X125" s="182" t="s">
        <v>1936</v>
      </c>
      <c r="Y125" s="1378">
        <v>61</v>
      </c>
      <c r="Z125" s="1047" t="s">
        <v>1699</v>
      </c>
      <c r="AA125" s="3725"/>
      <c r="AB125" s="3725"/>
      <c r="AC125" s="3739"/>
      <c r="AD125" s="3725"/>
      <c r="AE125" s="3725"/>
      <c r="AF125" s="3725"/>
      <c r="AG125" s="3725"/>
      <c r="AH125" s="3725"/>
      <c r="AI125" s="3725"/>
      <c r="AJ125" s="3725"/>
      <c r="AK125" s="3725"/>
      <c r="AL125" s="3725"/>
      <c r="AM125" s="3725"/>
      <c r="AN125" s="3725"/>
      <c r="AO125" s="3725"/>
      <c r="AP125" s="3725"/>
      <c r="AQ125" s="3734"/>
      <c r="AR125" s="3734"/>
      <c r="AS125" s="2157"/>
    </row>
    <row r="126" spans="1:45" ht="70.5" customHeight="1" x14ac:dyDescent="0.25">
      <c r="A126" s="968"/>
      <c r="B126" s="1051"/>
      <c r="C126" s="1069"/>
      <c r="D126" s="1051"/>
      <c r="E126" s="3707"/>
      <c r="F126" s="3708"/>
      <c r="G126" s="2305"/>
      <c r="H126" s="3359"/>
      <c r="I126" s="2305"/>
      <c r="J126" s="3359"/>
      <c r="K126" s="3668"/>
      <c r="L126" s="2824"/>
      <c r="M126" s="3668"/>
      <c r="N126" s="2824"/>
      <c r="O126" s="3113"/>
      <c r="P126" s="2197"/>
      <c r="Q126" s="2182"/>
      <c r="R126" s="3726"/>
      <c r="S126" s="3705"/>
      <c r="T126" s="2182"/>
      <c r="U126" s="3162"/>
      <c r="V126" s="1471" t="s">
        <v>1939</v>
      </c>
      <c r="W126" s="1368">
        <v>6000000</v>
      </c>
      <c r="X126" s="182" t="s">
        <v>1936</v>
      </c>
      <c r="Y126" s="1378">
        <v>61</v>
      </c>
      <c r="Z126" s="1047" t="s">
        <v>1699</v>
      </c>
      <c r="AA126" s="3725"/>
      <c r="AB126" s="3725"/>
      <c r="AC126" s="3739"/>
      <c r="AD126" s="3725"/>
      <c r="AE126" s="3725"/>
      <c r="AF126" s="3725"/>
      <c r="AG126" s="3725"/>
      <c r="AH126" s="3725"/>
      <c r="AI126" s="3725"/>
      <c r="AJ126" s="3725"/>
      <c r="AK126" s="3725"/>
      <c r="AL126" s="3725"/>
      <c r="AM126" s="3725"/>
      <c r="AN126" s="3725"/>
      <c r="AO126" s="3725"/>
      <c r="AP126" s="3725"/>
      <c r="AQ126" s="3734"/>
      <c r="AR126" s="3734"/>
      <c r="AS126" s="2157"/>
    </row>
    <row r="127" spans="1:45" ht="30" x14ac:dyDescent="0.25">
      <c r="A127" s="968"/>
      <c r="B127" s="1051"/>
      <c r="C127" s="1069"/>
      <c r="D127" s="1051"/>
      <c r="E127" s="3707"/>
      <c r="F127" s="3708"/>
      <c r="G127" s="2305"/>
      <c r="H127" s="3359"/>
      <c r="I127" s="2305"/>
      <c r="J127" s="3359"/>
      <c r="K127" s="3668"/>
      <c r="L127" s="2824"/>
      <c r="M127" s="3668"/>
      <c r="N127" s="2824"/>
      <c r="O127" s="3113"/>
      <c r="P127" s="2197"/>
      <c r="Q127" s="2182"/>
      <c r="R127" s="3726"/>
      <c r="S127" s="3705"/>
      <c r="T127" s="2182"/>
      <c r="U127" s="3162"/>
      <c r="V127" s="1471" t="s">
        <v>1940</v>
      </c>
      <c r="W127" s="1368">
        <v>6000000</v>
      </c>
      <c r="X127" s="182" t="s">
        <v>1936</v>
      </c>
      <c r="Y127" s="1378">
        <v>61</v>
      </c>
      <c r="Z127" s="1047" t="s">
        <v>1699</v>
      </c>
      <c r="AA127" s="3725"/>
      <c r="AB127" s="3725"/>
      <c r="AC127" s="3739"/>
      <c r="AD127" s="3725"/>
      <c r="AE127" s="3725"/>
      <c r="AF127" s="3725"/>
      <c r="AG127" s="3725"/>
      <c r="AH127" s="3725"/>
      <c r="AI127" s="3725"/>
      <c r="AJ127" s="3725"/>
      <c r="AK127" s="3725"/>
      <c r="AL127" s="3725"/>
      <c r="AM127" s="3725"/>
      <c r="AN127" s="3725"/>
      <c r="AO127" s="3725"/>
      <c r="AP127" s="3725"/>
      <c r="AQ127" s="3734"/>
      <c r="AR127" s="3734"/>
      <c r="AS127" s="2157"/>
    </row>
    <row r="128" spans="1:45" ht="60" customHeight="1" x14ac:dyDescent="0.25">
      <c r="A128" s="968"/>
      <c r="B128" s="1051"/>
      <c r="C128" s="1069"/>
      <c r="D128" s="1051"/>
      <c r="E128" s="3707"/>
      <c r="F128" s="3708"/>
      <c r="G128" s="2305"/>
      <c r="H128" s="3359"/>
      <c r="I128" s="2305"/>
      <c r="J128" s="3359"/>
      <c r="K128" s="3668"/>
      <c r="L128" s="2824"/>
      <c r="M128" s="3668"/>
      <c r="N128" s="2824"/>
      <c r="O128" s="3113"/>
      <c r="P128" s="2197"/>
      <c r="Q128" s="2182"/>
      <c r="R128" s="3726"/>
      <c r="S128" s="3705"/>
      <c r="T128" s="2182"/>
      <c r="U128" s="3162"/>
      <c r="V128" s="1471" t="s">
        <v>1941</v>
      </c>
      <c r="W128" s="1368">
        <v>7000000</v>
      </c>
      <c r="X128" s="182" t="s">
        <v>1936</v>
      </c>
      <c r="Y128" s="1378">
        <v>61</v>
      </c>
      <c r="Z128" s="1047" t="s">
        <v>1699</v>
      </c>
      <c r="AA128" s="3725"/>
      <c r="AB128" s="3725"/>
      <c r="AC128" s="3739"/>
      <c r="AD128" s="3725"/>
      <c r="AE128" s="3725"/>
      <c r="AF128" s="3725"/>
      <c r="AG128" s="3725"/>
      <c r="AH128" s="3725"/>
      <c r="AI128" s="3725"/>
      <c r="AJ128" s="3725"/>
      <c r="AK128" s="3725"/>
      <c r="AL128" s="3725"/>
      <c r="AM128" s="3725"/>
      <c r="AN128" s="3725"/>
      <c r="AO128" s="3725"/>
      <c r="AP128" s="3725"/>
      <c r="AQ128" s="3734"/>
      <c r="AR128" s="3734"/>
      <c r="AS128" s="2157"/>
    </row>
    <row r="129" spans="1:45" ht="51.75" customHeight="1" x14ac:dyDescent="0.25">
      <c r="A129" s="968"/>
      <c r="B129" s="1051"/>
      <c r="C129" s="1069"/>
      <c r="D129" s="1051"/>
      <c r="E129" s="3707"/>
      <c r="F129" s="3708"/>
      <c r="G129" s="2305"/>
      <c r="H129" s="3359"/>
      <c r="I129" s="2305"/>
      <c r="J129" s="3359"/>
      <c r="K129" s="3668"/>
      <c r="L129" s="2824"/>
      <c r="M129" s="3668"/>
      <c r="N129" s="2824"/>
      <c r="O129" s="3113"/>
      <c r="P129" s="2197"/>
      <c r="Q129" s="2182"/>
      <c r="R129" s="3726"/>
      <c r="S129" s="3705"/>
      <c r="T129" s="2182"/>
      <c r="U129" s="3162"/>
      <c r="V129" s="1471" t="s">
        <v>1942</v>
      </c>
      <c r="W129" s="1368">
        <v>14000000</v>
      </c>
      <c r="X129" s="182" t="s">
        <v>1936</v>
      </c>
      <c r="Y129" s="1378">
        <v>61</v>
      </c>
      <c r="Z129" s="1047" t="s">
        <v>1699</v>
      </c>
      <c r="AA129" s="3725"/>
      <c r="AB129" s="3725"/>
      <c r="AC129" s="3739"/>
      <c r="AD129" s="3725"/>
      <c r="AE129" s="3725"/>
      <c r="AF129" s="3725"/>
      <c r="AG129" s="3725"/>
      <c r="AH129" s="3725"/>
      <c r="AI129" s="3725"/>
      <c r="AJ129" s="3725"/>
      <c r="AK129" s="3725"/>
      <c r="AL129" s="3725"/>
      <c r="AM129" s="3725"/>
      <c r="AN129" s="3725"/>
      <c r="AO129" s="3725"/>
      <c r="AP129" s="3725"/>
      <c r="AQ129" s="3734"/>
      <c r="AR129" s="3734"/>
      <c r="AS129" s="2157"/>
    </row>
    <row r="130" spans="1:45" ht="30" x14ac:dyDescent="0.25">
      <c r="A130" s="968"/>
      <c r="B130" s="1051"/>
      <c r="C130" s="1069"/>
      <c r="D130" s="1051"/>
      <c r="E130" s="3707"/>
      <c r="F130" s="3708"/>
      <c r="G130" s="2305"/>
      <c r="H130" s="3359"/>
      <c r="I130" s="2305"/>
      <c r="J130" s="3359"/>
      <c r="K130" s="3668"/>
      <c r="L130" s="2824"/>
      <c r="M130" s="3668"/>
      <c r="N130" s="2824"/>
      <c r="O130" s="3113"/>
      <c r="P130" s="2197"/>
      <c r="Q130" s="2182"/>
      <c r="R130" s="3726"/>
      <c r="S130" s="3705"/>
      <c r="T130" s="2182"/>
      <c r="U130" s="3162"/>
      <c r="V130" s="1471" t="s">
        <v>1943</v>
      </c>
      <c r="W130" s="1368">
        <v>7000000</v>
      </c>
      <c r="X130" s="182" t="s">
        <v>1936</v>
      </c>
      <c r="Y130" s="1378">
        <v>61</v>
      </c>
      <c r="Z130" s="1047" t="s">
        <v>1699</v>
      </c>
      <c r="AA130" s="3725"/>
      <c r="AB130" s="3725"/>
      <c r="AC130" s="3739"/>
      <c r="AD130" s="3725"/>
      <c r="AE130" s="3725"/>
      <c r="AF130" s="3725"/>
      <c r="AG130" s="3725"/>
      <c r="AH130" s="3725"/>
      <c r="AI130" s="3725"/>
      <c r="AJ130" s="3725"/>
      <c r="AK130" s="3725"/>
      <c r="AL130" s="3725"/>
      <c r="AM130" s="3725"/>
      <c r="AN130" s="3725"/>
      <c r="AO130" s="3725"/>
      <c r="AP130" s="3725"/>
      <c r="AQ130" s="3734"/>
      <c r="AR130" s="3734"/>
      <c r="AS130" s="2157"/>
    </row>
    <row r="131" spans="1:45" ht="45" x14ac:dyDescent="0.25">
      <c r="A131" s="968"/>
      <c r="B131" s="1051"/>
      <c r="C131" s="1069"/>
      <c r="D131" s="1051"/>
      <c r="E131" s="3707"/>
      <c r="F131" s="3708"/>
      <c r="G131" s="2305"/>
      <c r="H131" s="3359"/>
      <c r="I131" s="2305"/>
      <c r="J131" s="3359"/>
      <c r="K131" s="3668"/>
      <c r="L131" s="2824"/>
      <c r="M131" s="3668"/>
      <c r="N131" s="2824"/>
      <c r="O131" s="3113"/>
      <c r="P131" s="2197"/>
      <c r="Q131" s="2182"/>
      <c r="R131" s="3726"/>
      <c r="S131" s="3705"/>
      <c r="T131" s="2182"/>
      <c r="U131" s="3162"/>
      <c r="V131" s="1471" t="s">
        <v>1944</v>
      </c>
      <c r="W131" s="1116">
        <v>15000000</v>
      </c>
      <c r="X131" s="182" t="s">
        <v>1936</v>
      </c>
      <c r="Y131" s="1378">
        <v>61</v>
      </c>
      <c r="Z131" s="1047" t="s">
        <v>1699</v>
      </c>
      <c r="AA131" s="3725"/>
      <c r="AB131" s="3725"/>
      <c r="AC131" s="3739"/>
      <c r="AD131" s="3725"/>
      <c r="AE131" s="3725"/>
      <c r="AF131" s="3725"/>
      <c r="AG131" s="3725"/>
      <c r="AH131" s="3725"/>
      <c r="AI131" s="3725"/>
      <c r="AJ131" s="3725"/>
      <c r="AK131" s="3725"/>
      <c r="AL131" s="3725"/>
      <c r="AM131" s="3725"/>
      <c r="AN131" s="3725"/>
      <c r="AO131" s="3725"/>
      <c r="AP131" s="3725"/>
      <c r="AQ131" s="3734"/>
      <c r="AR131" s="3734"/>
      <c r="AS131" s="2157"/>
    </row>
    <row r="132" spans="1:45" ht="30" x14ac:dyDescent="0.25">
      <c r="A132" s="968"/>
      <c r="B132" s="1051"/>
      <c r="C132" s="1069"/>
      <c r="D132" s="1051"/>
      <c r="E132" s="3707"/>
      <c r="F132" s="3708"/>
      <c r="G132" s="2305"/>
      <c r="H132" s="3359"/>
      <c r="I132" s="2305"/>
      <c r="J132" s="3359"/>
      <c r="K132" s="3668"/>
      <c r="L132" s="2824"/>
      <c r="M132" s="3668"/>
      <c r="N132" s="2824"/>
      <c r="O132" s="3113"/>
      <c r="P132" s="2197"/>
      <c r="Q132" s="2182"/>
      <c r="R132" s="3726"/>
      <c r="S132" s="3705"/>
      <c r="T132" s="2182"/>
      <c r="U132" s="3162"/>
      <c r="V132" s="1471" t="s">
        <v>1945</v>
      </c>
      <c r="W132" s="1368">
        <v>8000000</v>
      </c>
      <c r="X132" s="182" t="s">
        <v>1936</v>
      </c>
      <c r="Y132" s="1378">
        <v>61</v>
      </c>
      <c r="Z132" s="1047" t="s">
        <v>1699</v>
      </c>
      <c r="AA132" s="3725"/>
      <c r="AB132" s="3725"/>
      <c r="AC132" s="3739"/>
      <c r="AD132" s="3725"/>
      <c r="AE132" s="3725"/>
      <c r="AF132" s="3725"/>
      <c r="AG132" s="3725"/>
      <c r="AH132" s="3725"/>
      <c r="AI132" s="3725"/>
      <c r="AJ132" s="3725"/>
      <c r="AK132" s="3725"/>
      <c r="AL132" s="3725"/>
      <c r="AM132" s="3725"/>
      <c r="AN132" s="3725"/>
      <c r="AO132" s="3725"/>
      <c r="AP132" s="3725"/>
      <c r="AQ132" s="3734"/>
      <c r="AR132" s="3734"/>
      <c r="AS132" s="2157"/>
    </row>
    <row r="133" spans="1:45" ht="45" x14ac:dyDescent="0.25">
      <c r="A133" s="968"/>
      <c r="B133" s="1051"/>
      <c r="C133" s="1069"/>
      <c r="D133" s="1051"/>
      <c r="E133" s="3707"/>
      <c r="F133" s="3708"/>
      <c r="G133" s="2305"/>
      <c r="H133" s="3359"/>
      <c r="I133" s="2305"/>
      <c r="J133" s="3359"/>
      <c r="K133" s="3668"/>
      <c r="L133" s="2824"/>
      <c r="M133" s="3668"/>
      <c r="N133" s="2824"/>
      <c r="O133" s="3113"/>
      <c r="P133" s="2197"/>
      <c r="Q133" s="2182"/>
      <c r="R133" s="3726"/>
      <c r="S133" s="3705"/>
      <c r="T133" s="2182"/>
      <c r="U133" s="3162"/>
      <c r="V133" s="1471" t="s">
        <v>1946</v>
      </c>
      <c r="W133" s="1368">
        <v>12000000</v>
      </c>
      <c r="X133" s="182" t="s">
        <v>1936</v>
      </c>
      <c r="Y133" s="1378">
        <v>61</v>
      </c>
      <c r="Z133" s="1047" t="s">
        <v>1699</v>
      </c>
      <c r="AA133" s="3725"/>
      <c r="AB133" s="3725"/>
      <c r="AC133" s="3739"/>
      <c r="AD133" s="3725"/>
      <c r="AE133" s="3725"/>
      <c r="AF133" s="3725"/>
      <c r="AG133" s="3725"/>
      <c r="AH133" s="3725"/>
      <c r="AI133" s="3725"/>
      <c r="AJ133" s="3725"/>
      <c r="AK133" s="3725"/>
      <c r="AL133" s="3725"/>
      <c r="AM133" s="3725"/>
      <c r="AN133" s="3725"/>
      <c r="AO133" s="3725"/>
      <c r="AP133" s="3725"/>
      <c r="AQ133" s="3734"/>
      <c r="AR133" s="3734"/>
      <c r="AS133" s="2157"/>
    </row>
    <row r="134" spans="1:45" ht="45" x14ac:dyDescent="0.25">
      <c r="A134" s="968"/>
      <c r="B134" s="1051"/>
      <c r="C134" s="1069"/>
      <c r="D134" s="1051"/>
      <c r="E134" s="3707"/>
      <c r="F134" s="3708"/>
      <c r="G134" s="2305"/>
      <c r="H134" s="3359"/>
      <c r="I134" s="2305"/>
      <c r="J134" s="3359"/>
      <c r="K134" s="3668"/>
      <c r="L134" s="2824"/>
      <c r="M134" s="3668"/>
      <c r="N134" s="2824"/>
      <c r="O134" s="3113"/>
      <c r="P134" s="2197"/>
      <c r="Q134" s="2182"/>
      <c r="R134" s="3726"/>
      <c r="S134" s="3705"/>
      <c r="T134" s="2182"/>
      <c r="U134" s="3162"/>
      <c r="V134" s="1472" t="s">
        <v>1947</v>
      </c>
      <c r="W134" s="1369">
        <v>14000000</v>
      </c>
      <c r="X134" s="182" t="s">
        <v>1936</v>
      </c>
      <c r="Y134" s="1378">
        <v>61</v>
      </c>
      <c r="Z134" s="1047" t="s">
        <v>1699</v>
      </c>
      <c r="AA134" s="3725"/>
      <c r="AB134" s="3725"/>
      <c r="AC134" s="3739"/>
      <c r="AD134" s="3725"/>
      <c r="AE134" s="3725"/>
      <c r="AF134" s="3725"/>
      <c r="AG134" s="3725"/>
      <c r="AH134" s="3725"/>
      <c r="AI134" s="3725"/>
      <c r="AJ134" s="3725"/>
      <c r="AK134" s="3725"/>
      <c r="AL134" s="3725"/>
      <c r="AM134" s="3725"/>
      <c r="AN134" s="3725"/>
      <c r="AO134" s="3725"/>
      <c r="AP134" s="3725"/>
      <c r="AQ134" s="3734"/>
      <c r="AR134" s="3734"/>
      <c r="AS134" s="2157"/>
    </row>
    <row r="135" spans="1:45" ht="60" x14ac:dyDescent="0.25">
      <c r="A135" s="968"/>
      <c r="B135" s="1051"/>
      <c r="C135" s="1069"/>
      <c r="D135" s="1051"/>
      <c r="E135" s="3707"/>
      <c r="F135" s="3708"/>
      <c r="G135" s="3735" t="s">
        <v>62</v>
      </c>
      <c r="H135" s="2707" t="s">
        <v>1948</v>
      </c>
      <c r="I135" s="3735">
        <v>1905021</v>
      </c>
      <c r="J135" s="2707" t="s">
        <v>1948</v>
      </c>
      <c r="K135" s="3663" t="s">
        <v>62</v>
      </c>
      <c r="L135" s="2177" t="s">
        <v>1895</v>
      </c>
      <c r="M135" s="3663">
        <v>190502100</v>
      </c>
      <c r="N135" s="2177" t="s">
        <v>1895</v>
      </c>
      <c r="O135" s="3730">
        <v>11</v>
      </c>
      <c r="P135" s="2197"/>
      <c r="Q135" s="2182"/>
      <c r="R135" s="3726">
        <f>SUM(W135:W144)/S123</f>
        <v>0.34782608695652173</v>
      </c>
      <c r="S135" s="3705"/>
      <c r="T135" s="2182"/>
      <c r="U135" s="3162"/>
      <c r="V135" s="1471" t="s">
        <v>1949</v>
      </c>
      <c r="W135" s="1368">
        <v>6000000</v>
      </c>
      <c r="X135" s="182" t="s">
        <v>1950</v>
      </c>
      <c r="Y135" s="1378">
        <v>61</v>
      </c>
      <c r="Z135" s="1047" t="s">
        <v>1699</v>
      </c>
      <c r="AA135" s="3725"/>
      <c r="AB135" s="3725"/>
      <c r="AC135" s="3739"/>
      <c r="AD135" s="3725"/>
      <c r="AE135" s="3725"/>
      <c r="AF135" s="3725"/>
      <c r="AG135" s="3725"/>
      <c r="AH135" s="3725"/>
      <c r="AI135" s="3725"/>
      <c r="AJ135" s="3725"/>
      <c r="AK135" s="3725"/>
      <c r="AL135" s="3725"/>
      <c r="AM135" s="3725"/>
      <c r="AN135" s="3725"/>
      <c r="AO135" s="3725"/>
      <c r="AP135" s="3725"/>
      <c r="AQ135" s="3734"/>
      <c r="AR135" s="3734"/>
      <c r="AS135" s="2157"/>
    </row>
    <row r="136" spans="1:45" ht="60" x14ac:dyDescent="0.25">
      <c r="A136" s="968"/>
      <c r="B136" s="1051"/>
      <c r="C136" s="1069"/>
      <c r="D136" s="1051"/>
      <c r="E136" s="3707"/>
      <c r="F136" s="3708"/>
      <c r="G136" s="3735"/>
      <c r="H136" s="3736"/>
      <c r="I136" s="3735"/>
      <c r="J136" s="3736"/>
      <c r="K136" s="3664"/>
      <c r="L136" s="2178"/>
      <c r="M136" s="3664"/>
      <c r="N136" s="2178"/>
      <c r="O136" s="3731"/>
      <c r="P136" s="2197"/>
      <c r="Q136" s="2182"/>
      <c r="R136" s="3726"/>
      <c r="S136" s="3705"/>
      <c r="T136" s="2182"/>
      <c r="U136" s="3162"/>
      <c r="V136" s="1471" t="s">
        <v>1951</v>
      </c>
      <c r="W136" s="1368">
        <v>6000000</v>
      </c>
      <c r="X136" s="182" t="s">
        <v>1950</v>
      </c>
      <c r="Y136" s="1378">
        <v>61</v>
      </c>
      <c r="Z136" s="1047" t="s">
        <v>1699</v>
      </c>
      <c r="AA136" s="3725"/>
      <c r="AB136" s="3725"/>
      <c r="AC136" s="3739"/>
      <c r="AD136" s="3725"/>
      <c r="AE136" s="3725"/>
      <c r="AF136" s="3725"/>
      <c r="AG136" s="3725"/>
      <c r="AH136" s="3725"/>
      <c r="AI136" s="3725"/>
      <c r="AJ136" s="3725"/>
      <c r="AK136" s="3725"/>
      <c r="AL136" s="3725"/>
      <c r="AM136" s="3725"/>
      <c r="AN136" s="3725"/>
      <c r="AO136" s="3725"/>
      <c r="AP136" s="3725"/>
      <c r="AQ136" s="3734"/>
      <c r="AR136" s="3734"/>
      <c r="AS136" s="2157"/>
    </row>
    <row r="137" spans="1:45" ht="60" x14ac:dyDescent="0.25">
      <c r="A137" s="968"/>
      <c r="B137" s="1051"/>
      <c r="C137" s="1069"/>
      <c r="D137" s="1051"/>
      <c r="E137" s="3707"/>
      <c r="F137" s="3708"/>
      <c r="G137" s="3735"/>
      <c r="H137" s="3736"/>
      <c r="I137" s="3735"/>
      <c r="J137" s="3736"/>
      <c r="K137" s="3664"/>
      <c r="L137" s="2178"/>
      <c r="M137" s="3664"/>
      <c r="N137" s="2178"/>
      <c r="O137" s="3731"/>
      <c r="P137" s="2197"/>
      <c r="Q137" s="2182"/>
      <c r="R137" s="3726"/>
      <c r="S137" s="3705"/>
      <c r="T137" s="2182"/>
      <c r="U137" s="3162"/>
      <c r="V137" s="1471" t="s">
        <v>1952</v>
      </c>
      <c r="W137" s="1368">
        <v>6000000</v>
      </c>
      <c r="X137" s="182" t="s">
        <v>1950</v>
      </c>
      <c r="Y137" s="1378">
        <v>61</v>
      </c>
      <c r="Z137" s="1047" t="s">
        <v>1699</v>
      </c>
      <c r="AA137" s="3725"/>
      <c r="AB137" s="3725"/>
      <c r="AC137" s="3739"/>
      <c r="AD137" s="3725"/>
      <c r="AE137" s="3725"/>
      <c r="AF137" s="3725"/>
      <c r="AG137" s="3725"/>
      <c r="AH137" s="3725"/>
      <c r="AI137" s="3725"/>
      <c r="AJ137" s="3725"/>
      <c r="AK137" s="3725"/>
      <c r="AL137" s="3725"/>
      <c r="AM137" s="3725"/>
      <c r="AN137" s="3725"/>
      <c r="AO137" s="3725"/>
      <c r="AP137" s="3725"/>
      <c r="AQ137" s="3734"/>
      <c r="AR137" s="3734"/>
      <c r="AS137" s="2157"/>
    </row>
    <row r="138" spans="1:45" ht="45" x14ac:dyDescent="0.25">
      <c r="A138" s="968"/>
      <c r="B138" s="1051"/>
      <c r="C138" s="1069"/>
      <c r="D138" s="1051"/>
      <c r="E138" s="3707"/>
      <c r="F138" s="3708"/>
      <c r="G138" s="3735"/>
      <c r="H138" s="3736"/>
      <c r="I138" s="3735"/>
      <c r="J138" s="3736"/>
      <c r="K138" s="3664"/>
      <c r="L138" s="2178"/>
      <c r="M138" s="3664"/>
      <c r="N138" s="2178"/>
      <c r="O138" s="3731"/>
      <c r="P138" s="2197"/>
      <c r="Q138" s="2182"/>
      <c r="R138" s="3726"/>
      <c r="S138" s="3705"/>
      <c r="T138" s="2182"/>
      <c r="U138" s="3162"/>
      <c r="V138" s="1471" t="s">
        <v>1953</v>
      </c>
      <c r="W138" s="1368">
        <v>6000000</v>
      </c>
      <c r="X138" s="182" t="s">
        <v>1950</v>
      </c>
      <c r="Y138" s="1378">
        <v>61</v>
      </c>
      <c r="Z138" s="1047" t="s">
        <v>1699</v>
      </c>
      <c r="AA138" s="3725"/>
      <c r="AB138" s="3725"/>
      <c r="AC138" s="3739"/>
      <c r="AD138" s="3725"/>
      <c r="AE138" s="3725"/>
      <c r="AF138" s="3725"/>
      <c r="AG138" s="3725"/>
      <c r="AH138" s="3725"/>
      <c r="AI138" s="3725"/>
      <c r="AJ138" s="3725"/>
      <c r="AK138" s="3725"/>
      <c r="AL138" s="3725"/>
      <c r="AM138" s="3725"/>
      <c r="AN138" s="3725"/>
      <c r="AO138" s="3725"/>
      <c r="AP138" s="3725"/>
      <c r="AQ138" s="3734"/>
      <c r="AR138" s="3734"/>
      <c r="AS138" s="2157"/>
    </row>
    <row r="139" spans="1:45" ht="45" x14ac:dyDescent="0.25">
      <c r="A139" s="968"/>
      <c r="B139" s="1051"/>
      <c r="C139" s="1069"/>
      <c r="D139" s="1051"/>
      <c r="E139" s="3707"/>
      <c r="F139" s="3708"/>
      <c r="G139" s="3735"/>
      <c r="H139" s="3736"/>
      <c r="I139" s="3735"/>
      <c r="J139" s="3736"/>
      <c r="K139" s="3664"/>
      <c r="L139" s="2178"/>
      <c r="M139" s="3664"/>
      <c r="N139" s="2178"/>
      <c r="O139" s="3731"/>
      <c r="P139" s="2197"/>
      <c r="Q139" s="2182"/>
      <c r="R139" s="3726"/>
      <c r="S139" s="3705"/>
      <c r="T139" s="2182"/>
      <c r="U139" s="3162"/>
      <c r="V139" s="1471" t="s">
        <v>1954</v>
      </c>
      <c r="W139" s="1368">
        <v>6000000</v>
      </c>
      <c r="X139" s="182" t="s">
        <v>1950</v>
      </c>
      <c r="Y139" s="1378">
        <v>61</v>
      </c>
      <c r="Z139" s="1047" t="s">
        <v>1699</v>
      </c>
      <c r="AA139" s="3725"/>
      <c r="AB139" s="3725"/>
      <c r="AC139" s="3739"/>
      <c r="AD139" s="3725"/>
      <c r="AE139" s="3725"/>
      <c r="AF139" s="3725"/>
      <c r="AG139" s="3725"/>
      <c r="AH139" s="3725"/>
      <c r="AI139" s="3725"/>
      <c r="AJ139" s="3725"/>
      <c r="AK139" s="3725"/>
      <c r="AL139" s="3725"/>
      <c r="AM139" s="3725"/>
      <c r="AN139" s="3725"/>
      <c r="AO139" s="3725"/>
      <c r="AP139" s="3725"/>
      <c r="AQ139" s="3734"/>
      <c r="AR139" s="3734"/>
      <c r="AS139" s="2157"/>
    </row>
    <row r="140" spans="1:45" ht="45" x14ac:dyDescent="0.25">
      <c r="A140" s="968"/>
      <c r="B140" s="1051"/>
      <c r="C140" s="1069"/>
      <c r="D140" s="1051"/>
      <c r="E140" s="3707"/>
      <c r="F140" s="3708"/>
      <c r="G140" s="3735"/>
      <c r="H140" s="3736"/>
      <c r="I140" s="3735"/>
      <c r="J140" s="3736"/>
      <c r="K140" s="3664"/>
      <c r="L140" s="2178"/>
      <c r="M140" s="3664"/>
      <c r="N140" s="2178"/>
      <c r="O140" s="3731"/>
      <c r="P140" s="2197"/>
      <c r="Q140" s="2182"/>
      <c r="R140" s="3726"/>
      <c r="S140" s="3705"/>
      <c r="T140" s="2182"/>
      <c r="U140" s="3162"/>
      <c r="V140" s="1471" t="s">
        <v>1955</v>
      </c>
      <c r="W140" s="1368">
        <v>6000000</v>
      </c>
      <c r="X140" s="182" t="s">
        <v>1950</v>
      </c>
      <c r="Y140" s="1378">
        <v>61</v>
      </c>
      <c r="Z140" s="1047" t="s">
        <v>1699</v>
      </c>
      <c r="AA140" s="3725"/>
      <c r="AB140" s="3725"/>
      <c r="AC140" s="3739"/>
      <c r="AD140" s="3725"/>
      <c r="AE140" s="3725"/>
      <c r="AF140" s="3725"/>
      <c r="AG140" s="3725"/>
      <c r="AH140" s="3725"/>
      <c r="AI140" s="3725"/>
      <c r="AJ140" s="3725"/>
      <c r="AK140" s="3725"/>
      <c r="AL140" s="3725"/>
      <c r="AM140" s="3725"/>
      <c r="AN140" s="3725"/>
      <c r="AO140" s="3725"/>
      <c r="AP140" s="3725"/>
      <c r="AQ140" s="3734"/>
      <c r="AR140" s="3734"/>
      <c r="AS140" s="2157"/>
    </row>
    <row r="141" spans="1:45" ht="45" x14ac:dyDescent="0.25">
      <c r="A141" s="968"/>
      <c r="B141" s="1051"/>
      <c r="C141" s="1069"/>
      <c r="D141" s="1051"/>
      <c r="E141" s="3707"/>
      <c r="F141" s="3708"/>
      <c r="G141" s="3735"/>
      <c r="H141" s="3736"/>
      <c r="I141" s="3735"/>
      <c r="J141" s="3736"/>
      <c r="K141" s="3664"/>
      <c r="L141" s="2178"/>
      <c r="M141" s="3664"/>
      <c r="N141" s="2178"/>
      <c r="O141" s="3731"/>
      <c r="P141" s="2197"/>
      <c r="Q141" s="2182"/>
      <c r="R141" s="3726"/>
      <c r="S141" s="3705"/>
      <c r="T141" s="2182"/>
      <c r="U141" s="3162"/>
      <c r="V141" s="1471" t="s">
        <v>1956</v>
      </c>
      <c r="W141" s="1368">
        <v>6000000</v>
      </c>
      <c r="X141" s="182" t="s">
        <v>1950</v>
      </c>
      <c r="Y141" s="1378">
        <v>61</v>
      </c>
      <c r="Z141" s="1047" t="s">
        <v>1699</v>
      </c>
      <c r="AA141" s="3725"/>
      <c r="AB141" s="3725"/>
      <c r="AC141" s="3739"/>
      <c r="AD141" s="3725"/>
      <c r="AE141" s="3725"/>
      <c r="AF141" s="3725"/>
      <c r="AG141" s="3725"/>
      <c r="AH141" s="3725"/>
      <c r="AI141" s="3725"/>
      <c r="AJ141" s="3725"/>
      <c r="AK141" s="3725"/>
      <c r="AL141" s="3725"/>
      <c r="AM141" s="3725"/>
      <c r="AN141" s="3725"/>
      <c r="AO141" s="3725"/>
      <c r="AP141" s="3725"/>
      <c r="AQ141" s="3734"/>
      <c r="AR141" s="3734"/>
      <c r="AS141" s="2157"/>
    </row>
    <row r="142" spans="1:45" ht="30" x14ac:dyDescent="0.25">
      <c r="A142" s="968"/>
      <c r="B142" s="1051"/>
      <c r="C142" s="1069"/>
      <c r="D142" s="1051"/>
      <c r="E142" s="3707"/>
      <c r="F142" s="3708"/>
      <c r="G142" s="3735"/>
      <c r="H142" s="3736"/>
      <c r="I142" s="3735"/>
      <c r="J142" s="3736"/>
      <c r="K142" s="3664"/>
      <c r="L142" s="2178"/>
      <c r="M142" s="3664"/>
      <c r="N142" s="2178"/>
      <c r="O142" s="3731"/>
      <c r="P142" s="2197"/>
      <c r="Q142" s="2182"/>
      <c r="R142" s="3726"/>
      <c r="S142" s="3705"/>
      <c r="T142" s="2182"/>
      <c r="U142" s="3162"/>
      <c r="V142" s="1471" t="s">
        <v>1957</v>
      </c>
      <c r="W142" s="1368">
        <v>6000000</v>
      </c>
      <c r="X142" s="182" t="s">
        <v>1950</v>
      </c>
      <c r="Y142" s="1378">
        <v>61</v>
      </c>
      <c r="Z142" s="1047" t="s">
        <v>1699</v>
      </c>
      <c r="AA142" s="3725"/>
      <c r="AB142" s="3725"/>
      <c r="AC142" s="3739"/>
      <c r="AD142" s="3725"/>
      <c r="AE142" s="3725"/>
      <c r="AF142" s="3725"/>
      <c r="AG142" s="3725"/>
      <c r="AH142" s="3725"/>
      <c r="AI142" s="3725"/>
      <c r="AJ142" s="3725"/>
      <c r="AK142" s="3725"/>
      <c r="AL142" s="3725"/>
      <c r="AM142" s="3725"/>
      <c r="AN142" s="3725"/>
      <c r="AO142" s="3725"/>
      <c r="AP142" s="3725"/>
      <c r="AQ142" s="3734"/>
      <c r="AR142" s="3734"/>
      <c r="AS142" s="2157"/>
    </row>
    <row r="143" spans="1:45" ht="30" x14ac:dyDescent="0.25">
      <c r="A143" s="968"/>
      <c r="B143" s="1051"/>
      <c r="C143" s="1069"/>
      <c r="D143" s="1051"/>
      <c r="E143" s="3707"/>
      <c r="F143" s="3708"/>
      <c r="G143" s="3735"/>
      <c r="H143" s="3736"/>
      <c r="I143" s="3735"/>
      <c r="J143" s="3736"/>
      <c r="K143" s="3664"/>
      <c r="L143" s="2178"/>
      <c r="M143" s="3664"/>
      <c r="N143" s="2178"/>
      <c r="O143" s="3731"/>
      <c r="P143" s="2197"/>
      <c r="Q143" s="2182"/>
      <c r="R143" s="3726"/>
      <c r="S143" s="3705"/>
      <c r="T143" s="2182"/>
      <c r="U143" s="3162"/>
      <c r="V143" s="1471" t="s">
        <v>1958</v>
      </c>
      <c r="W143" s="1368">
        <v>4000000</v>
      </c>
      <c r="X143" s="182" t="s">
        <v>1950</v>
      </c>
      <c r="Y143" s="1378">
        <v>61</v>
      </c>
      <c r="Z143" s="1047" t="s">
        <v>1699</v>
      </c>
      <c r="AA143" s="3725"/>
      <c r="AB143" s="3725"/>
      <c r="AC143" s="3739"/>
      <c r="AD143" s="3725"/>
      <c r="AE143" s="3725"/>
      <c r="AF143" s="3725"/>
      <c r="AG143" s="3725"/>
      <c r="AH143" s="3725"/>
      <c r="AI143" s="3725"/>
      <c r="AJ143" s="3725"/>
      <c r="AK143" s="3725"/>
      <c r="AL143" s="3725"/>
      <c r="AM143" s="3725"/>
      <c r="AN143" s="3725"/>
      <c r="AO143" s="3725"/>
      <c r="AP143" s="3725"/>
      <c r="AQ143" s="3734"/>
      <c r="AR143" s="3734"/>
      <c r="AS143" s="2157"/>
    </row>
    <row r="144" spans="1:45" ht="30" x14ac:dyDescent="0.25">
      <c r="A144" s="968"/>
      <c r="B144" s="1051"/>
      <c r="C144" s="1069"/>
      <c r="D144" s="1051"/>
      <c r="E144" s="3707"/>
      <c r="F144" s="3708"/>
      <c r="G144" s="3735"/>
      <c r="H144" s="3737"/>
      <c r="I144" s="3735"/>
      <c r="J144" s="3737"/>
      <c r="K144" s="3729"/>
      <c r="L144" s="3728"/>
      <c r="M144" s="3729"/>
      <c r="N144" s="3728"/>
      <c r="O144" s="3732"/>
      <c r="P144" s="2197"/>
      <c r="Q144" s="2182"/>
      <c r="R144" s="3726"/>
      <c r="S144" s="3705"/>
      <c r="T144" s="2182"/>
      <c r="U144" s="3163"/>
      <c r="V144" s="1471" t="s">
        <v>1959</v>
      </c>
      <c r="W144" s="1368">
        <v>4000000</v>
      </c>
      <c r="X144" s="182" t="s">
        <v>1950</v>
      </c>
      <c r="Y144" s="1378">
        <v>61</v>
      </c>
      <c r="Z144" s="1047" t="s">
        <v>1699</v>
      </c>
      <c r="AA144" s="3725"/>
      <c r="AB144" s="3725"/>
      <c r="AC144" s="3739"/>
      <c r="AD144" s="3725"/>
      <c r="AE144" s="3725"/>
      <c r="AF144" s="3725"/>
      <c r="AG144" s="3725"/>
      <c r="AH144" s="3725"/>
      <c r="AI144" s="3725"/>
      <c r="AJ144" s="3725"/>
      <c r="AK144" s="3725"/>
      <c r="AL144" s="3725"/>
      <c r="AM144" s="3725"/>
      <c r="AN144" s="3725"/>
      <c r="AO144" s="3725"/>
      <c r="AP144" s="3725"/>
      <c r="AQ144" s="3734"/>
      <c r="AR144" s="3734"/>
      <c r="AS144" s="2304"/>
    </row>
    <row r="145" spans="1:45" ht="30" x14ac:dyDescent="0.25">
      <c r="A145" s="968"/>
      <c r="B145" s="1051"/>
      <c r="C145" s="1069"/>
      <c r="D145" s="1051"/>
      <c r="E145" s="3707"/>
      <c r="F145" s="3708"/>
      <c r="G145" s="2305">
        <v>1905020</v>
      </c>
      <c r="H145" s="3712" t="s">
        <v>1960</v>
      </c>
      <c r="I145" s="2305">
        <v>1905020</v>
      </c>
      <c r="J145" s="3712" t="s">
        <v>1960</v>
      </c>
      <c r="K145" s="3662">
        <v>190502000</v>
      </c>
      <c r="L145" s="2257" t="s">
        <v>1961</v>
      </c>
      <c r="M145" s="3662">
        <v>190502000</v>
      </c>
      <c r="N145" s="2257" t="s">
        <v>1961</v>
      </c>
      <c r="O145" s="2195">
        <v>12</v>
      </c>
      <c r="P145" s="2197" t="s">
        <v>1962</v>
      </c>
      <c r="Q145" s="2182" t="s">
        <v>1963</v>
      </c>
      <c r="R145" s="3706">
        <f>SUM(W145:W148)/S145</f>
        <v>0.24836601307189543</v>
      </c>
      <c r="S145" s="3705">
        <f>SUM(W145:W158)</f>
        <v>153000000</v>
      </c>
      <c r="T145" s="2182" t="s">
        <v>1964</v>
      </c>
      <c r="U145" s="2182" t="s">
        <v>1965</v>
      </c>
      <c r="V145" s="1471" t="s">
        <v>1966</v>
      </c>
      <c r="W145" s="1368">
        <v>10000000</v>
      </c>
      <c r="X145" s="182" t="s">
        <v>1967</v>
      </c>
      <c r="Y145" s="1378">
        <v>61</v>
      </c>
      <c r="Z145" s="1047" t="s">
        <v>1699</v>
      </c>
      <c r="AA145" s="2287">
        <v>283947</v>
      </c>
      <c r="AB145" s="2287">
        <v>294321</v>
      </c>
      <c r="AC145" s="3327">
        <v>135754</v>
      </c>
      <c r="AD145" s="2287">
        <v>44640</v>
      </c>
      <c r="AE145" s="2287">
        <v>308178</v>
      </c>
      <c r="AF145" s="2287">
        <v>89696</v>
      </c>
      <c r="AG145" s="2287">
        <v>2145</v>
      </c>
      <c r="AH145" s="2287">
        <v>12718</v>
      </c>
      <c r="AI145" s="2287">
        <v>26</v>
      </c>
      <c r="AJ145" s="2287">
        <v>37</v>
      </c>
      <c r="AK145" s="2287">
        <v>0</v>
      </c>
      <c r="AL145" s="2287">
        <v>0</v>
      </c>
      <c r="AM145" s="2287">
        <v>88560</v>
      </c>
      <c r="AN145" s="2287">
        <v>24486</v>
      </c>
      <c r="AO145" s="2287">
        <v>0</v>
      </c>
      <c r="AP145" s="2287">
        <v>578268</v>
      </c>
      <c r="AQ145" s="3673">
        <v>44197</v>
      </c>
      <c r="AR145" s="3673">
        <v>44561</v>
      </c>
      <c r="AS145" s="2287" t="s">
        <v>1700</v>
      </c>
    </row>
    <row r="146" spans="1:45" ht="30" x14ac:dyDescent="0.25">
      <c r="A146" s="968"/>
      <c r="B146" s="1051"/>
      <c r="C146" s="1069"/>
      <c r="D146" s="1051"/>
      <c r="E146" s="3707"/>
      <c r="F146" s="3708"/>
      <c r="G146" s="2305"/>
      <c r="H146" s="3712"/>
      <c r="I146" s="2305"/>
      <c r="J146" s="3712"/>
      <c r="K146" s="3662"/>
      <c r="L146" s="2257"/>
      <c r="M146" s="3662"/>
      <c r="N146" s="2257"/>
      <c r="O146" s="2195"/>
      <c r="P146" s="2197"/>
      <c r="Q146" s="2182"/>
      <c r="R146" s="3702"/>
      <c r="S146" s="3705"/>
      <c r="T146" s="2182"/>
      <c r="U146" s="2182"/>
      <c r="V146" s="1471" t="s">
        <v>1968</v>
      </c>
      <c r="W146" s="1368">
        <v>10000000</v>
      </c>
      <c r="X146" s="182" t="s">
        <v>1967</v>
      </c>
      <c r="Y146" s="1378">
        <v>61</v>
      </c>
      <c r="Z146" s="1047" t="s">
        <v>1699</v>
      </c>
      <c r="AA146" s="2157"/>
      <c r="AB146" s="2157"/>
      <c r="AC146" s="3685"/>
      <c r="AD146" s="2157"/>
      <c r="AE146" s="2157"/>
      <c r="AF146" s="2157"/>
      <c r="AG146" s="2157"/>
      <c r="AH146" s="2157"/>
      <c r="AI146" s="2157"/>
      <c r="AJ146" s="2157"/>
      <c r="AK146" s="2157"/>
      <c r="AL146" s="2157"/>
      <c r="AM146" s="2157"/>
      <c r="AN146" s="2157"/>
      <c r="AO146" s="2157"/>
      <c r="AP146" s="2157"/>
      <c r="AQ146" s="3674"/>
      <c r="AR146" s="3674"/>
      <c r="AS146" s="2157"/>
    </row>
    <row r="147" spans="1:45" ht="30" x14ac:dyDescent="0.25">
      <c r="A147" s="968"/>
      <c r="B147" s="1051"/>
      <c r="C147" s="1069"/>
      <c r="D147" s="1051"/>
      <c r="E147" s="3707"/>
      <c r="F147" s="3708"/>
      <c r="G147" s="2305"/>
      <c r="H147" s="3712"/>
      <c r="I147" s="2305"/>
      <c r="J147" s="3712"/>
      <c r="K147" s="3662"/>
      <c r="L147" s="2257"/>
      <c r="M147" s="3662"/>
      <c r="N147" s="2257"/>
      <c r="O147" s="2195"/>
      <c r="P147" s="2197"/>
      <c r="Q147" s="2182"/>
      <c r="R147" s="3702"/>
      <c r="S147" s="3705"/>
      <c r="T147" s="2182"/>
      <c r="U147" s="2182"/>
      <c r="V147" s="1471" t="s">
        <v>1969</v>
      </c>
      <c r="W147" s="1368">
        <v>8000000</v>
      </c>
      <c r="X147" s="182" t="s">
        <v>1967</v>
      </c>
      <c r="Y147" s="1378">
        <v>61</v>
      </c>
      <c r="Z147" s="1047" t="s">
        <v>1699</v>
      </c>
      <c r="AA147" s="2157"/>
      <c r="AB147" s="2157"/>
      <c r="AC147" s="3685"/>
      <c r="AD147" s="2157"/>
      <c r="AE147" s="2157"/>
      <c r="AF147" s="2157"/>
      <c r="AG147" s="2157"/>
      <c r="AH147" s="2157"/>
      <c r="AI147" s="2157"/>
      <c r="AJ147" s="2157"/>
      <c r="AK147" s="2157"/>
      <c r="AL147" s="2157"/>
      <c r="AM147" s="2157"/>
      <c r="AN147" s="2157"/>
      <c r="AO147" s="2157"/>
      <c r="AP147" s="2157"/>
      <c r="AQ147" s="3674"/>
      <c r="AR147" s="3674"/>
      <c r="AS147" s="2157"/>
    </row>
    <row r="148" spans="1:45" ht="30" x14ac:dyDescent="0.25">
      <c r="A148" s="968"/>
      <c r="B148" s="1051"/>
      <c r="C148" s="1069"/>
      <c r="D148" s="1051"/>
      <c r="E148" s="3707"/>
      <c r="F148" s="3708"/>
      <c r="G148" s="2305"/>
      <c r="H148" s="3712"/>
      <c r="I148" s="2305"/>
      <c r="J148" s="3712"/>
      <c r="K148" s="3662"/>
      <c r="L148" s="2257"/>
      <c r="M148" s="3662"/>
      <c r="N148" s="2257"/>
      <c r="O148" s="2195">
        <v>12</v>
      </c>
      <c r="P148" s="2197"/>
      <c r="Q148" s="2182"/>
      <c r="R148" s="3703"/>
      <c r="S148" s="3705"/>
      <c r="T148" s="2182"/>
      <c r="U148" s="2182"/>
      <c r="V148" s="1472" t="s">
        <v>1970</v>
      </c>
      <c r="W148" s="1369">
        <v>10000000</v>
      </c>
      <c r="X148" s="182" t="s">
        <v>1967</v>
      </c>
      <c r="Y148" s="1378">
        <v>61</v>
      </c>
      <c r="Z148" s="1047" t="s">
        <v>1699</v>
      </c>
      <c r="AA148" s="2157"/>
      <c r="AB148" s="2157"/>
      <c r="AC148" s="3685"/>
      <c r="AD148" s="2157"/>
      <c r="AE148" s="2157"/>
      <c r="AF148" s="2157"/>
      <c r="AG148" s="2157"/>
      <c r="AH148" s="2157"/>
      <c r="AI148" s="2157"/>
      <c r="AJ148" s="2157"/>
      <c r="AK148" s="2157"/>
      <c r="AL148" s="2157"/>
      <c r="AM148" s="2157"/>
      <c r="AN148" s="2157"/>
      <c r="AO148" s="2157"/>
      <c r="AP148" s="2157"/>
      <c r="AQ148" s="3674"/>
      <c r="AR148" s="3674"/>
      <c r="AS148" s="2157"/>
    </row>
    <row r="149" spans="1:45" ht="45" x14ac:dyDescent="0.25">
      <c r="A149" s="968"/>
      <c r="B149" s="1051"/>
      <c r="C149" s="1069"/>
      <c r="D149" s="1051"/>
      <c r="E149" s="3707"/>
      <c r="F149" s="3708"/>
      <c r="G149" s="2305">
        <v>1905022</v>
      </c>
      <c r="H149" s="2660" t="s">
        <v>719</v>
      </c>
      <c r="I149" s="2305">
        <v>1905022</v>
      </c>
      <c r="J149" s="2660" t="s">
        <v>719</v>
      </c>
      <c r="K149" s="3327">
        <v>190502200</v>
      </c>
      <c r="L149" s="2280" t="s">
        <v>720</v>
      </c>
      <c r="M149" s="3327">
        <v>190502200</v>
      </c>
      <c r="N149" s="2280" t="s">
        <v>720</v>
      </c>
      <c r="O149" s="2817">
        <v>12</v>
      </c>
      <c r="P149" s="2197"/>
      <c r="Q149" s="2182"/>
      <c r="R149" s="3706">
        <f>SUM(W149:W152)/S145</f>
        <v>0.37254901960784315</v>
      </c>
      <c r="S149" s="3705"/>
      <c r="T149" s="2182"/>
      <c r="U149" s="2182" t="s">
        <v>1971</v>
      </c>
      <c r="V149" s="1471" t="s">
        <v>1972</v>
      </c>
      <c r="W149" s="1368">
        <v>14000000</v>
      </c>
      <c r="X149" s="182" t="s">
        <v>1973</v>
      </c>
      <c r="Y149" s="1378">
        <v>61</v>
      </c>
      <c r="Z149" s="1047" t="s">
        <v>1699</v>
      </c>
      <c r="AA149" s="2157"/>
      <c r="AB149" s="2157"/>
      <c r="AC149" s="3685"/>
      <c r="AD149" s="2157"/>
      <c r="AE149" s="2157"/>
      <c r="AF149" s="2157"/>
      <c r="AG149" s="2157"/>
      <c r="AH149" s="2157"/>
      <c r="AI149" s="2157"/>
      <c r="AJ149" s="2157"/>
      <c r="AK149" s="2157"/>
      <c r="AL149" s="2157"/>
      <c r="AM149" s="2157"/>
      <c r="AN149" s="2157"/>
      <c r="AO149" s="2157"/>
      <c r="AP149" s="2157"/>
      <c r="AQ149" s="3674"/>
      <c r="AR149" s="3674"/>
      <c r="AS149" s="2157"/>
    </row>
    <row r="150" spans="1:45" ht="60" x14ac:dyDescent="0.25">
      <c r="A150" s="968"/>
      <c r="B150" s="1051"/>
      <c r="C150" s="1069"/>
      <c r="D150" s="1051"/>
      <c r="E150" s="3707"/>
      <c r="F150" s="3708"/>
      <c r="G150" s="2305"/>
      <c r="H150" s="2661"/>
      <c r="I150" s="2305"/>
      <c r="J150" s="2661"/>
      <c r="K150" s="3685"/>
      <c r="L150" s="2281"/>
      <c r="M150" s="3685"/>
      <c r="N150" s="2281"/>
      <c r="O150" s="2666"/>
      <c r="P150" s="2197"/>
      <c r="Q150" s="2182"/>
      <c r="R150" s="3702"/>
      <c r="S150" s="3705"/>
      <c r="T150" s="2182"/>
      <c r="U150" s="2182"/>
      <c r="V150" s="1471" t="s">
        <v>1974</v>
      </c>
      <c r="W150" s="1368">
        <v>19000000</v>
      </c>
      <c r="X150" s="182" t="s">
        <v>1973</v>
      </c>
      <c r="Y150" s="1378">
        <v>61</v>
      </c>
      <c r="Z150" s="1047" t="s">
        <v>1699</v>
      </c>
      <c r="AA150" s="2157"/>
      <c r="AB150" s="2157"/>
      <c r="AC150" s="3685"/>
      <c r="AD150" s="2157"/>
      <c r="AE150" s="2157"/>
      <c r="AF150" s="2157"/>
      <c r="AG150" s="2157"/>
      <c r="AH150" s="2157"/>
      <c r="AI150" s="2157"/>
      <c r="AJ150" s="2157"/>
      <c r="AK150" s="2157"/>
      <c r="AL150" s="2157"/>
      <c r="AM150" s="2157"/>
      <c r="AN150" s="2157"/>
      <c r="AO150" s="2157"/>
      <c r="AP150" s="2157"/>
      <c r="AQ150" s="3674"/>
      <c r="AR150" s="3674"/>
      <c r="AS150" s="2157"/>
    </row>
    <row r="151" spans="1:45" ht="45" x14ac:dyDescent="0.25">
      <c r="A151" s="968"/>
      <c r="B151" s="1051"/>
      <c r="C151" s="1069"/>
      <c r="D151" s="1051"/>
      <c r="E151" s="3707"/>
      <c r="F151" s="3708"/>
      <c r="G151" s="2305"/>
      <c r="H151" s="2661"/>
      <c r="I151" s="2305"/>
      <c r="J151" s="2661"/>
      <c r="K151" s="3685"/>
      <c r="L151" s="2281"/>
      <c r="M151" s="3685"/>
      <c r="N151" s="2281"/>
      <c r="O151" s="2666"/>
      <c r="P151" s="2197"/>
      <c r="Q151" s="2182"/>
      <c r="R151" s="3702"/>
      <c r="S151" s="3705"/>
      <c r="T151" s="2182"/>
      <c r="U151" s="2182"/>
      <c r="V151" s="1471" t="s">
        <v>1975</v>
      </c>
      <c r="W151" s="1368">
        <v>12000000</v>
      </c>
      <c r="X151" s="182" t="s">
        <v>1973</v>
      </c>
      <c r="Y151" s="1378">
        <v>61</v>
      </c>
      <c r="Z151" s="1047" t="s">
        <v>1699</v>
      </c>
      <c r="AA151" s="2157"/>
      <c r="AB151" s="2157"/>
      <c r="AC151" s="3685"/>
      <c r="AD151" s="2157"/>
      <c r="AE151" s="2157"/>
      <c r="AF151" s="2157"/>
      <c r="AG151" s="2157"/>
      <c r="AH151" s="2157"/>
      <c r="AI151" s="2157"/>
      <c r="AJ151" s="2157"/>
      <c r="AK151" s="2157"/>
      <c r="AL151" s="2157"/>
      <c r="AM151" s="2157"/>
      <c r="AN151" s="2157"/>
      <c r="AO151" s="2157"/>
      <c r="AP151" s="2157"/>
      <c r="AQ151" s="3674"/>
      <c r="AR151" s="3674"/>
      <c r="AS151" s="2157"/>
    </row>
    <row r="152" spans="1:45" ht="30" x14ac:dyDescent="0.25">
      <c r="A152" s="968"/>
      <c r="B152" s="1051"/>
      <c r="C152" s="1069"/>
      <c r="D152" s="1051"/>
      <c r="E152" s="3707"/>
      <c r="F152" s="3708"/>
      <c r="G152" s="2305"/>
      <c r="H152" s="2676"/>
      <c r="I152" s="2305"/>
      <c r="J152" s="2676"/>
      <c r="K152" s="3326"/>
      <c r="L152" s="2282"/>
      <c r="M152" s="3326"/>
      <c r="N152" s="2282"/>
      <c r="O152" s="2667"/>
      <c r="P152" s="2197"/>
      <c r="Q152" s="2182"/>
      <c r="R152" s="3703"/>
      <c r="S152" s="3705"/>
      <c r="T152" s="2182"/>
      <c r="U152" s="2182"/>
      <c r="V152" s="1472" t="s">
        <v>1976</v>
      </c>
      <c r="W152" s="1369">
        <v>12000000</v>
      </c>
      <c r="X152" s="182" t="s">
        <v>1973</v>
      </c>
      <c r="Y152" s="1378">
        <v>61</v>
      </c>
      <c r="Z152" s="1047" t="s">
        <v>1699</v>
      </c>
      <c r="AA152" s="2157"/>
      <c r="AB152" s="2157"/>
      <c r="AC152" s="3685"/>
      <c r="AD152" s="2157"/>
      <c r="AE152" s="2157"/>
      <c r="AF152" s="2157"/>
      <c r="AG152" s="2157"/>
      <c r="AH152" s="2157"/>
      <c r="AI152" s="2157"/>
      <c r="AJ152" s="2157"/>
      <c r="AK152" s="2157"/>
      <c r="AL152" s="2157"/>
      <c r="AM152" s="2157"/>
      <c r="AN152" s="2157"/>
      <c r="AO152" s="2157"/>
      <c r="AP152" s="2157"/>
      <c r="AQ152" s="3674"/>
      <c r="AR152" s="3674"/>
      <c r="AS152" s="2157"/>
    </row>
    <row r="153" spans="1:45" ht="60" x14ac:dyDescent="0.25">
      <c r="A153" s="968"/>
      <c r="B153" s="1051"/>
      <c r="C153" s="1069"/>
      <c r="D153" s="1051"/>
      <c r="E153" s="3707"/>
      <c r="F153" s="3708"/>
      <c r="G153" s="2305" t="s">
        <v>62</v>
      </c>
      <c r="H153" s="3712" t="s">
        <v>1977</v>
      </c>
      <c r="I153" s="2305">
        <v>1905015</v>
      </c>
      <c r="J153" s="3712" t="s">
        <v>1337</v>
      </c>
      <c r="K153" s="3662" t="s">
        <v>62</v>
      </c>
      <c r="L153" s="2257" t="s">
        <v>1978</v>
      </c>
      <c r="M153" s="3662" t="s">
        <v>1979</v>
      </c>
      <c r="N153" s="2257" t="s">
        <v>1901</v>
      </c>
      <c r="O153" s="3747">
        <v>1</v>
      </c>
      <c r="P153" s="2197"/>
      <c r="Q153" s="2182"/>
      <c r="R153" s="3726">
        <f>SUM(W153:W158)/S145</f>
        <v>0.37908496732026142</v>
      </c>
      <c r="S153" s="3705"/>
      <c r="T153" s="2182"/>
      <c r="U153" s="2182" t="s">
        <v>1980</v>
      </c>
      <c r="V153" s="1471" t="s">
        <v>1981</v>
      </c>
      <c r="W153" s="1368">
        <v>18000000</v>
      </c>
      <c r="X153" s="182" t="s">
        <v>1982</v>
      </c>
      <c r="Y153" s="1378">
        <v>61</v>
      </c>
      <c r="Z153" s="1047" t="s">
        <v>1699</v>
      </c>
      <c r="AA153" s="2157"/>
      <c r="AB153" s="2157"/>
      <c r="AC153" s="3685"/>
      <c r="AD153" s="2157"/>
      <c r="AE153" s="2157"/>
      <c r="AF153" s="2157"/>
      <c r="AG153" s="2157"/>
      <c r="AH153" s="2157"/>
      <c r="AI153" s="2157"/>
      <c r="AJ153" s="2157"/>
      <c r="AK153" s="2157"/>
      <c r="AL153" s="2157"/>
      <c r="AM153" s="2157"/>
      <c r="AN153" s="2157"/>
      <c r="AO153" s="2157"/>
      <c r="AP153" s="2157"/>
      <c r="AQ153" s="3674"/>
      <c r="AR153" s="3674"/>
      <c r="AS153" s="2157"/>
    </row>
    <row r="154" spans="1:45" ht="30" x14ac:dyDescent="0.25">
      <c r="A154" s="968"/>
      <c r="B154" s="1051"/>
      <c r="C154" s="1069"/>
      <c r="D154" s="1051"/>
      <c r="E154" s="3707"/>
      <c r="F154" s="3708"/>
      <c r="G154" s="2305"/>
      <c r="H154" s="3712"/>
      <c r="I154" s="2305"/>
      <c r="J154" s="3712"/>
      <c r="K154" s="3662"/>
      <c r="L154" s="2257"/>
      <c r="M154" s="3662"/>
      <c r="N154" s="2257"/>
      <c r="O154" s="3747"/>
      <c r="P154" s="2197"/>
      <c r="Q154" s="2182"/>
      <c r="R154" s="3726"/>
      <c r="S154" s="3705"/>
      <c r="T154" s="2182"/>
      <c r="U154" s="2182"/>
      <c r="V154" s="1471" t="s">
        <v>1983</v>
      </c>
      <c r="W154" s="1368">
        <v>8000000</v>
      </c>
      <c r="X154" s="182" t="s">
        <v>1982</v>
      </c>
      <c r="Y154" s="1378">
        <v>61</v>
      </c>
      <c r="Z154" s="1047" t="s">
        <v>1699</v>
      </c>
      <c r="AA154" s="2157"/>
      <c r="AB154" s="2157"/>
      <c r="AC154" s="3685"/>
      <c r="AD154" s="2157"/>
      <c r="AE154" s="2157"/>
      <c r="AF154" s="2157"/>
      <c r="AG154" s="2157"/>
      <c r="AH154" s="2157"/>
      <c r="AI154" s="2157"/>
      <c r="AJ154" s="2157"/>
      <c r="AK154" s="2157"/>
      <c r="AL154" s="2157"/>
      <c r="AM154" s="2157"/>
      <c r="AN154" s="2157"/>
      <c r="AO154" s="2157"/>
      <c r="AP154" s="2157"/>
      <c r="AQ154" s="3674"/>
      <c r="AR154" s="3674"/>
      <c r="AS154" s="2157"/>
    </row>
    <row r="155" spans="1:45" ht="30" x14ac:dyDescent="0.25">
      <c r="A155" s="968"/>
      <c r="B155" s="1051"/>
      <c r="C155" s="1069"/>
      <c r="D155" s="1051"/>
      <c r="E155" s="3707"/>
      <c r="F155" s="3708"/>
      <c r="G155" s="2305"/>
      <c r="H155" s="3712"/>
      <c r="I155" s="2305"/>
      <c r="J155" s="3712"/>
      <c r="K155" s="3662"/>
      <c r="L155" s="2257"/>
      <c r="M155" s="3662"/>
      <c r="N155" s="2257"/>
      <c r="O155" s="3747"/>
      <c r="P155" s="2197"/>
      <c r="Q155" s="2182"/>
      <c r="R155" s="3726"/>
      <c r="S155" s="3705"/>
      <c r="T155" s="2182"/>
      <c r="U155" s="2182"/>
      <c r="V155" s="1471" t="s">
        <v>1984</v>
      </c>
      <c r="W155" s="1368">
        <v>8000000</v>
      </c>
      <c r="X155" s="182" t="s">
        <v>1982</v>
      </c>
      <c r="Y155" s="1378">
        <v>61</v>
      </c>
      <c r="Z155" s="1047" t="s">
        <v>1699</v>
      </c>
      <c r="AA155" s="2157"/>
      <c r="AB155" s="2157"/>
      <c r="AC155" s="3685"/>
      <c r="AD155" s="2157"/>
      <c r="AE155" s="2157"/>
      <c r="AF155" s="2157"/>
      <c r="AG155" s="2157"/>
      <c r="AH155" s="2157"/>
      <c r="AI155" s="2157"/>
      <c r="AJ155" s="2157"/>
      <c r="AK155" s="2157"/>
      <c r="AL155" s="2157"/>
      <c r="AM155" s="2157"/>
      <c r="AN155" s="2157"/>
      <c r="AO155" s="2157"/>
      <c r="AP155" s="2157"/>
      <c r="AQ155" s="3674"/>
      <c r="AR155" s="3674"/>
      <c r="AS155" s="2157"/>
    </row>
    <row r="156" spans="1:45" ht="30" x14ac:dyDescent="0.25">
      <c r="A156" s="968"/>
      <c r="B156" s="1051"/>
      <c r="C156" s="1069"/>
      <c r="D156" s="1051"/>
      <c r="E156" s="3707"/>
      <c r="F156" s="3708"/>
      <c r="G156" s="2305"/>
      <c r="H156" s="3712"/>
      <c r="I156" s="2305"/>
      <c r="J156" s="3712"/>
      <c r="K156" s="3662"/>
      <c r="L156" s="2257"/>
      <c r="M156" s="3662"/>
      <c r="N156" s="2257"/>
      <c r="O156" s="3747"/>
      <c r="P156" s="2197"/>
      <c r="Q156" s="2182"/>
      <c r="R156" s="3726"/>
      <c r="S156" s="3705"/>
      <c r="T156" s="2182"/>
      <c r="U156" s="2182"/>
      <c r="V156" s="1471" t="s">
        <v>1985</v>
      </c>
      <c r="W156" s="1368">
        <v>8000000</v>
      </c>
      <c r="X156" s="182" t="s">
        <v>1982</v>
      </c>
      <c r="Y156" s="1378">
        <v>61</v>
      </c>
      <c r="Z156" s="1047" t="s">
        <v>1699</v>
      </c>
      <c r="AA156" s="2157"/>
      <c r="AB156" s="2157"/>
      <c r="AC156" s="3685"/>
      <c r="AD156" s="2157"/>
      <c r="AE156" s="2157"/>
      <c r="AF156" s="2157"/>
      <c r="AG156" s="2157"/>
      <c r="AH156" s="2157"/>
      <c r="AI156" s="2157"/>
      <c r="AJ156" s="2157"/>
      <c r="AK156" s="2157"/>
      <c r="AL156" s="2157"/>
      <c r="AM156" s="2157"/>
      <c r="AN156" s="2157"/>
      <c r="AO156" s="2157"/>
      <c r="AP156" s="2157"/>
      <c r="AQ156" s="3674"/>
      <c r="AR156" s="3674"/>
      <c r="AS156" s="2157"/>
    </row>
    <row r="157" spans="1:45" ht="45" x14ac:dyDescent="0.25">
      <c r="A157" s="968"/>
      <c r="B157" s="1051"/>
      <c r="C157" s="1069"/>
      <c r="D157" s="1051"/>
      <c r="E157" s="3707"/>
      <c r="F157" s="3708"/>
      <c r="G157" s="2305"/>
      <c r="H157" s="3712"/>
      <c r="I157" s="2305"/>
      <c r="J157" s="3712"/>
      <c r="K157" s="3662"/>
      <c r="L157" s="2257"/>
      <c r="M157" s="3662"/>
      <c r="N157" s="2257"/>
      <c r="O157" s="3747"/>
      <c r="P157" s="2197"/>
      <c r="Q157" s="2182"/>
      <c r="R157" s="3726"/>
      <c r="S157" s="3705"/>
      <c r="T157" s="2182"/>
      <c r="U157" s="2182"/>
      <c r="V157" s="1471" t="s">
        <v>1986</v>
      </c>
      <c r="W157" s="1368">
        <v>8000000</v>
      </c>
      <c r="X157" s="182" t="s">
        <v>1982</v>
      </c>
      <c r="Y157" s="1378">
        <v>61</v>
      </c>
      <c r="Z157" s="1047" t="s">
        <v>1699</v>
      </c>
      <c r="AA157" s="2157"/>
      <c r="AB157" s="2157"/>
      <c r="AC157" s="3685"/>
      <c r="AD157" s="2157"/>
      <c r="AE157" s="2157"/>
      <c r="AF157" s="2157"/>
      <c r="AG157" s="2157"/>
      <c r="AH157" s="2157"/>
      <c r="AI157" s="2157"/>
      <c r="AJ157" s="2157"/>
      <c r="AK157" s="2157"/>
      <c r="AL157" s="2157"/>
      <c r="AM157" s="2157"/>
      <c r="AN157" s="2157"/>
      <c r="AO157" s="2157"/>
      <c r="AP157" s="2157"/>
      <c r="AQ157" s="3674"/>
      <c r="AR157" s="3674"/>
      <c r="AS157" s="2157"/>
    </row>
    <row r="158" spans="1:45" ht="30" x14ac:dyDescent="0.25">
      <c r="A158" s="968"/>
      <c r="B158" s="1051"/>
      <c r="C158" s="1069"/>
      <c r="D158" s="1051"/>
      <c r="E158" s="3707"/>
      <c r="F158" s="3708"/>
      <c r="G158" s="2305"/>
      <c r="H158" s="3712"/>
      <c r="I158" s="2305"/>
      <c r="J158" s="3712"/>
      <c r="K158" s="3662"/>
      <c r="L158" s="2257"/>
      <c r="M158" s="3662"/>
      <c r="N158" s="2257"/>
      <c r="O158" s="3747"/>
      <c r="P158" s="2197"/>
      <c r="Q158" s="2182"/>
      <c r="R158" s="3726"/>
      <c r="S158" s="3705"/>
      <c r="T158" s="2182"/>
      <c r="U158" s="2182"/>
      <c r="V158" s="1471" t="s">
        <v>1987</v>
      </c>
      <c r="W158" s="1368">
        <v>8000000</v>
      </c>
      <c r="X158" s="182" t="s">
        <v>1982</v>
      </c>
      <c r="Y158" s="1378">
        <v>61</v>
      </c>
      <c r="Z158" s="1047" t="s">
        <v>1699</v>
      </c>
      <c r="AA158" s="2304"/>
      <c r="AB158" s="2157"/>
      <c r="AC158" s="3685"/>
      <c r="AD158" s="2157"/>
      <c r="AE158" s="2157"/>
      <c r="AF158" s="2157"/>
      <c r="AG158" s="2157"/>
      <c r="AH158" s="2157"/>
      <c r="AI158" s="2157"/>
      <c r="AJ158" s="2157"/>
      <c r="AK158" s="2157"/>
      <c r="AL158" s="2157"/>
      <c r="AM158" s="2157"/>
      <c r="AN158" s="2157"/>
      <c r="AO158" s="2157"/>
      <c r="AP158" s="2157"/>
      <c r="AQ158" s="3674"/>
      <c r="AR158" s="3674"/>
      <c r="AS158" s="2157"/>
    </row>
    <row r="159" spans="1:45" ht="75" x14ac:dyDescent="0.25">
      <c r="A159" s="968"/>
      <c r="B159" s="1051"/>
      <c r="C159" s="1069"/>
      <c r="D159" s="1051"/>
      <c r="E159" s="3707"/>
      <c r="F159" s="3708"/>
      <c r="G159" s="2305">
        <v>1905023</v>
      </c>
      <c r="H159" s="3740" t="s">
        <v>1988</v>
      </c>
      <c r="I159" s="2305">
        <v>1905023</v>
      </c>
      <c r="J159" s="3740" t="s">
        <v>1988</v>
      </c>
      <c r="K159" s="3741">
        <v>190502300</v>
      </c>
      <c r="L159" s="3742" t="s">
        <v>1989</v>
      </c>
      <c r="M159" s="3741">
        <v>190502300</v>
      </c>
      <c r="N159" s="3742" t="s">
        <v>1989</v>
      </c>
      <c r="O159" s="3743">
        <v>12</v>
      </c>
      <c r="P159" s="3682" t="s">
        <v>1990</v>
      </c>
      <c r="Q159" s="3744" t="s">
        <v>1991</v>
      </c>
      <c r="R159" s="3726">
        <f>SUM(W159:W163)/S159</f>
        <v>0.58011049723756902</v>
      </c>
      <c r="S159" s="3705">
        <f>SUM(W159:W167)</f>
        <v>181000000</v>
      </c>
      <c r="T159" s="2182" t="s">
        <v>1992</v>
      </c>
      <c r="U159" s="2182" t="s">
        <v>1993</v>
      </c>
      <c r="V159" s="1471" t="s">
        <v>1994</v>
      </c>
      <c r="W159" s="1368">
        <v>21000000</v>
      </c>
      <c r="X159" s="182" t="s">
        <v>1995</v>
      </c>
      <c r="Y159" s="1378">
        <v>61</v>
      </c>
      <c r="Z159" s="1047" t="s">
        <v>1699</v>
      </c>
      <c r="AA159" s="2287">
        <v>289394</v>
      </c>
      <c r="AB159" s="2287">
        <v>279112</v>
      </c>
      <c r="AC159" s="3327">
        <v>63164</v>
      </c>
      <c r="AD159" s="2287">
        <v>45607</v>
      </c>
      <c r="AE159" s="2287">
        <v>365607</v>
      </c>
      <c r="AF159" s="2287">
        <v>75612</v>
      </c>
      <c r="AG159" s="2287">
        <v>2145</v>
      </c>
      <c r="AH159" s="2287">
        <v>12718</v>
      </c>
      <c r="AI159" s="2287">
        <v>26</v>
      </c>
      <c r="AJ159" s="2287">
        <v>37</v>
      </c>
      <c r="AK159" s="2287">
        <v>0</v>
      </c>
      <c r="AL159" s="2287">
        <v>0</v>
      </c>
      <c r="AM159" s="2287">
        <v>78</v>
      </c>
      <c r="AN159" s="2287">
        <v>16897</v>
      </c>
      <c r="AO159" s="2287">
        <v>852</v>
      </c>
      <c r="AP159" s="2287">
        <v>568506</v>
      </c>
      <c r="AQ159" s="3673">
        <v>44197</v>
      </c>
      <c r="AR159" s="3673">
        <v>44561</v>
      </c>
      <c r="AS159" s="2287" t="s">
        <v>1700</v>
      </c>
    </row>
    <row r="160" spans="1:45" ht="60" x14ac:dyDescent="0.25">
      <c r="A160" s="968"/>
      <c r="B160" s="1051"/>
      <c r="C160" s="1069"/>
      <c r="D160" s="1051"/>
      <c r="E160" s="3707"/>
      <c r="F160" s="3708"/>
      <c r="G160" s="2305"/>
      <c r="H160" s="2802"/>
      <c r="I160" s="2305"/>
      <c r="J160" s="2802"/>
      <c r="K160" s="3655"/>
      <c r="L160" s="2793"/>
      <c r="M160" s="3655"/>
      <c r="N160" s="2793"/>
      <c r="O160" s="2165"/>
      <c r="P160" s="2260"/>
      <c r="Q160" s="3745"/>
      <c r="R160" s="3726"/>
      <c r="S160" s="3705"/>
      <c r="T160" s="2182"/>
      <c r="U160" s="2182"/>
      <c r="V160" s="1471" t="s">
        <v>1996</v>
      </c>
      <c r="W160" s="1368">
        <v>20000000</v>
      </c>
      <c r="X160" s="182" t="s">
        <v>1995</v>
      </c>
      <c r="Y160" s="1378">
        <v>61</v>
      </c>
      <c r="Z160" s="1047" t="s">
        <v>1699</v>
      </c>
      <c r="AA160" s="2157"/>
      <c r="AB160" s="2157"/>
      <c r="AC160" s="3685"/>
      <c r="AD160" s="2157"/>
      <c r="AE160" s="2157"/>
      <c r="AF160" s="2157"/>
      <c r="AG160" s="2157"/>
      <c r="AH160" s="2157"/>
      <c r="AI160" s="2157"/>
      <c r="AJ160" s="2157"/>
      <c r="AK160" s="2157"/>
      <c r="AL160" s="2157"/>
      <c r="AM160" s="2157"/>
      <c r="AN160" s="2157"/>
      <c r="AO160" s="2157"/>
      <c r="AP160" s="2157"/>
      <c r="AQ160" s="3674"/>
      <c r="AR160" s="3674"/>
      <c r="AS160" s="2157"/>
    </row>
    <row r="161" spans="1:45" ht="45" x14ac:dyDescent="0.25">
      <c r="A161" s="968"/>
      <c r="B161" s="1051"/>
      <c r="C161" s="1069"/>
      <c r="D161" s="1051"/>
      <c r="E161" s="3707"/>
      <c r="F161" s="3708"/>
      <c r="G161" s="2305"/>
      <c r="H161" s="2802"/>
      <c r="I161" s="2305"/>
      <c r="J161" s="2802"/>
      <c r="K161" s="3655"/>
      <c r="L161" s="2793"/>
      <c r="M161" s="3655"/>
      <c r="N161" s="2793"/>
      <c r="O161" s="2165"/>
      <c r="P161" s="2260"/>
      <c r="Q161" s="3745"/>
      <c r="R161" s="3726"/>
      <c r="S161" s="3705"/>
      <c r="T161" s="2182"/>
      <c r="U161" s="2182"/>
      <c r="V161" s="1471" t="s">
        <v>1997</v>
      </c>
      <c r="W161" s="1368">
        <v>22000000</v>
      </c>
      <c r="X161" s="182" t="s">
        <v>1995</v>
      </c>
      <c r="Y161" s="1378">
        <v>61</v>
      </c>
      <c r="Z161" s="1047" t="s">
        <v>1699</v>
      </c>
      <c r="AA161" s="2157"/>
      <c r="AB161" s="2157"/>
      <c r="AC161" s="3685"/>
      <c r="AD161" s="2157"/>
      <c r="AE161" s="2157"/>
      <c r="AF161" s="2157"/>
      <c r="AG161" s="2157"/>
      <c r="AH161" s="2157"/>
      <c r="AI161" s="2157"/>
      <c r="AJ161" s="2157"/>
      <c r="AK161" s="2157"/>
      <c r="AL161" s="2157"/>
      <c r="AM161" s="2157"/>
      <c r="AN161" s="2157"/>
      <c r="AO161" s="2157"/>
      <c r="AP161" s="2157"/>
      <c r="AQ161" s="3674"/>
      <c r="AR161" s="3674"/>
      <c r="AS161" s="2157"/>
    </row>
    <row r="162" spans="1:45" ht="30" x14ac:dyDescent="0.25">
      <c r="A162" s="968"/>
      <c r="B162" s="1051"/>
      <c r="C162" s="1069"/>
      <c r="D162" s="1051"/>
      <c r="E162" s="3707"/>
      <c r="F162" s="3708"/>
      <c r="G162" s="2305"/>
      <c r="H162" s="2802"/>
      <c r="I162" s="2305"/>
      <c r="J162" s="2802"/>
      <c r="K162" s="3655"/>
      <c r="L162" s="2793"/>
      <c r="M162" s="3655"/>
      <c r="N162" s="2793"/>
      <c r="O162" s="2165"/>
      <c r="P162" s="2260"/>
      <c r="Q162" s="3745"/>
      <c r="R162" s="3726"/>
      <c r="S162" s="3705"/>
      <c r="T162" s="2182"/>
      <c r="U162" s="2182"/>
      <c r="V162" s="1471" t="s">
        <v>1998</v>
      </c>
      <c r="W162" s="1368">
        <v>22000000</v>
      </c>
      <c r="X162" s="182" t="s">
        <v>1995</v>
      </c>
      <c r="Y162" s="1378">
        <v>61</v>
      </c>
      <c r="Z162" s="1047" t="s">
        <v>1699</v>
      </c>
      <c r="AA162" s="2157"/>
      <c r="AB162" s="2157"/>
      <c r="AC162" s="3685"/>
      <c r="AD162" s="2157"/>
      <c r="AE162" s="2157"/>
      <c r="AF162" s="2157"/>
      <c r="AG162" s="2157"/>
      <c r="AH162" s="2157"/>
      <c r="AI162" s="2157"/>
      <c r="AJ162" s="2157"/>
      <c r="AK162" s="2157"/>
      <c r="AL162" s="2157"/>
      <c r="AM162" s="2157"/>
      <c r="AN162" s="2157"/>
      <c r="AO162" s="2157"/>
      <c r="AP162" s="2157"/>
      <c r="AQ162" s="3674"/>
      <c r="AR162" s="3674"/>
      <c r="AS162" s="2157"/>
    </row>
    <row r="163" spans="1:45" ht="75" x14ac:dyDescent="0.25">
      <c r="A163" s="968"/>
      <c r="B163" s="1051"/>
      <c r="C163" s="1069"/>
      <c r="D163" s="1051"/>
      <c r="E163" s="3707"/>
      <c r="F163" s="3708"/>
      <c r="G163" s="2305"/>
      <c r="H163" s="2802"/>
      <c r="I163" s="2305"/>
      <c r="J163" s="2802"/>
      <c r="K163" s="3655"/>
      <c r="L163" s="2793"/>
      <c r="M163" s="3655"/>
      <c r="N163" s="2793"/>
      <c r="O163" s="2165"/>
      <c r="P163" s="2260"/>
      <c r="Q163" s="3745"/>
      <c r="R163" s="3726"/>
      <c r="S163" s="3705"/>
      <c r="T163" s="2182"/>
      <c r="U163" s="2182"/>
      <c r="V163" s="1471" t="s">
        <v>1999</v>
      </c>
      <c r="W163" s="1368">
        <v>20000000</v>
      </c>
      <c r="X163" s="182" t="s">
        <v>1995</v>
      </c>
      <c r="Y163" s="1378">
        <v>61</v>
      </c>
      <c r="Z163" s="1047" t="s">
        <v>1699</v>
      </c>
      <c r="AA163" s="2157"/>
      <c r="AB163" s="2157"/>
      <c r="AC163" s="3685"/>
      <c r="AD163" s="2157"/>
      <c r="AE163" s="2157"/>
      <c r="AF163" s="2157"/>
      <c r="AG163" s="2157"/>
      <c r="AH163" s="2157"/>
      <c r="AI163" s="2157"/>
      <c r="AJ163" s="2157"/>
      <c r="AK163" s="2157"/>
      <c r="AL163" s="2157"/>
      <c r="AM163" s="2157"/>
      <c r="AN163" s="2157"/>
      <c r="AO163" s="2157"/>
      <c r="AP163" s="2157"/>
      <c r="AQ163" s="3674"/>
      <c r="AR163" s="3674"/>
      <c r="AS163" s="2157"/>
    </row>
    <row r="164" spans="1:45" ht="30" x14ac:dyDescent="0.25">
      <c r="A164" s="968"/>
      <c r="B164" s="1051"/>
      <c r="C164" s="1069"/>
      <c r="D164" s="1051"/>
      <c r="E164" s="3707"/>
      <c r="F164" s="3708"/>
      <c r="G164" s="2305">
        <v>1905031</v>
      </c>
      <c r="H164" s="2802" t="s">
        <v>1878</v>
      </c>
      <c r="I164" s="2305">
        <v>1905031</v>
      </c>
      <c r="J164" s="2802" t="s">
        <v>1878</v>
      </c>
      <c r="K164" s="3655">
        <v>190503100</v>
      </c>
      <c r="L164" s="2793" t="s">
        <v>1879</v>
      </c>
      <c r="M164" s="3655">
        <v>190503100</v>
      </c>
      <c r="N164" s="2793" t="s">
        <v>1879</v>
      </c>
      <c r="O164" s="2716">
        <v>12</v>
      </c>
      <c r="P164" s="2260"/>
      <c r="Q164" s="3745"/>
      <c r="R164" s="3726">
        <f>SUM(W164:W167)/S159</f>
        <v>0.41988950276243092</v>
      </c>
      <c r="S164" s="3705"/>
      <c r="T164" s="2182"/>
      <c r="U164" s="2182" t="s">
        <v>2000</v>
      </c>
      <c r="V164" s="1471" t="s">
        <v>2001</v>
      </c>
      <c r="W164" s="1368">
        <v>26000000</v>
      </c>
      <c r="X164" s="182" t="s">
        <v>2002</v>
      </c>
      <c r="Y164" s="1378">
        <v>61</v>
      </c>
      <c r="Z164" s="1047" t="s">
        <v>1699</v>
      </c>
      <c r="AA164" s="2157"/>
      <c r="AB164" s="2157"/>
      <c r="AC164" s="3685"/>
      <c r="AD164" s="2157"/>
      <c r="AE164" s="2157"/>
      <c r="AF164" s="2157"/>
      <c r="AG164" s="2157"/>
      <c r="AH164" s="2157"/>
      <c r="AI164" s="2157"/>
      <c r="AJ164" s="2157"/>
      <c r="AK164" s="2157"/>
      <c r="AL164" s="2157"/>
      <c r="AM164" s="2157"/>
      <c r="AN164" s="2157"/>
      <c r="AO164" s="2157"/>
      <c r="AP164" s="2157"/>
      <c r="AQ164" s="3674"/>
      <c r="AR164" s="3674"/>
      <c r="AS164" s="2157"/>
    </row>
    <row r="165" spans="1:45" ht="60" x14ac:dyDescent="0.25">
      <c r="A165" s="968"/>
      <c r="B165" s="1051"/>
      <c r="C165" s="1069"/>
      <c r="D165" s="1051"/>
      <c r="E165" s="3707"/>
      <c r="F165" s="3708"/>
      <c r="G165" s="2305"/>
      <c r="H165" s="2802"/>
      <c r="I165" s="2305"/>
      <c r="J165" s="2802"/>
      <c r="K165" s="3655"/>
      <c r="L165" s="2793"/>
      <c r="M165" s="3655"/>
      <c r="N165" s="2793"/>
      <c r="O165" s="2716"/>
      <c r="P165" s="2260"/>
      <c r="Q165" s="3745"/>
      <c r="R165" s="3726"/>
      <c r="S165" s="3705"/>
      <c r="T165" s="2182"/>
      <c r="U165" s="2182"/>
      <c r="V165" s="1471" t="s">
        <v>1996</v>
      </c>
      <c r="W165" s="1368">
        <f>10000000+10000000</f>
        <v>20000000</v>
      </c>
      <c r="X165" s="182" t="s">
        <v>2002</v>
      </c>
      <c r="Y165" s="1378">
        <v>61</v>
      </c>
      <c r="Z165" s="1047" t="s">
        <v>1699</v>
      </c>
      <c r="AA165" s="2157"/>
      <c r="AB165" s="2157"/>
      <c r="AC165" s="3685"/>
      <c r="AD165" s="2157"/>
      <c r="AE165" s="2157"/>
      <c r="AF165" s="2157"/>
      <c r="AG165" s="2157"/>
      <c r="AH165" s="2157"/>
      <c r="AI165" s="2157"/>
      <c r="AJ165" s="2157"/>
      <c r="AK165" s="2157"/>
      <c r="AL165" s="2157"/>
      <c r="AM165" s="2157"/>
      <c r="AN165" s="2157"/>
      <c r="AO165" s="2157"/>
      <c r="AP165" s="2157"/>
      <c r="AQ165" s="3674"/>
      <c r="AR165" s="3674"/>
      <c r="AS165" s="2157"/>
    </row>
    <row r="166" spans="1:45" ht="30" x14ac:dyDescent="0.25">
      <c r="A166" s="968"/>
      <c r="B166" s="1051"/>
      <c r="C166" s="1069"/>
      <c r="D166" s="1051"/>
      <c r="E166" s="3707"/>
      <c r="F166" s="3708"/>
      <c r="G166" s="2305"/>
      <c r="H166" s="2802"/>
      <c r="I166" s="2305"/>
      <c r="J166" s="2802"/>
      <c r="K166" s="3655"/>
      <c r="L166" s="2793"/>
      <c r="M166" s="3655"/>
      <c r="N166" s="2793"/>
      <c r="O166" s="2716"/>
      <c r="P166" s="2260"/>
      <c r="Q166" s="3745"/>
      <c r="R166" s="3726"/>
      <c r="S166" s="3705"/>
      <c r="T166" s="2182"/>
      <c r="U166" s="2182"/>
      <c r="V166" s="1471" t="s">
        <v>2003</v>
      </c>
      <c r="W166" s="1368">
        <v>10000000</v>
      </c>
      <c r="X166" s="182" t="s">
        <v>2002</v>
      </c>
      <c r="Y166" s="1378">
        <v>61</v>
      </c>
      <c r="Z166" s="1047" t="s">
        <v>1699</v>
      </c>
      <c r="AA166" s="2157"/>
      <c r="AB166" s="2157"/>
      <c r="AC166" s="3685"/>
      <c r="AD166" s="2157"/>
      <c r="AE166" s="2157"/>
      <c r="AF166" s="2157"/>
      <c r="AG166" s="2157"/>
      <c r="AH166" s="2157"/>
      <c r="AI166" s="2157"/>
      <c r="AJ166" s="2157"/>
      <c r="AK166" s="2157"/>
      <c r="AL166" s="2157"/>
      <c r="AM166" s="2157"/>
      <c r="AN166" s="2157"/>
      <c r="AO166" s="2157"/>
      <c r="AP166" s="2157"/>
      <c r="AQ166" s="3674"/>
      <c r="AR166" s="3674"/>
      <c r="AS166" s="2157"/>
    </row>
    <row r="167" spans="1:45" ht="45" x14ac:dyDescent="0.25">
      <c r="A167" s="968"/>
      <c r="B167" s="1051"/>
      <c r="C167" s="1069"/>
      <c r="D167" s="1051"/>
      <c r="E167" s="3707"/>
      <c r="F167" s="3708"/>
      <c r="G167" s="2305"/>
      <c r="H167" s="2802"/>
      <c r="I167" s="2305"/>
      <c r="J167" s="2802"/>
      <c r="K167" s="3655"/>
      <c r="L167" s="2793"/>
      <c r="M167" s="3655"/>
      <c r="N167" s="2793"/>
      <c r="O167" s="2716"/>
      <c r="P167" s="2170"/>
      <c r="Q167" s="3746"/>
      <c r="R167" s="3706"/>
      <c r="S167" s="3748"/>
      <c r="T167" s="2196"/>
      <c r="U167" s="2182"/>
      <c r="V167" s="1471" t="s">
        <v>2004</v>
      </c>
      <c r="W167" s="1368">
        <v>20000000</v>
      </c>
      <c r="X167" s="182" t="s">
        <v>2002</v>
      </c>
      <c r="Y167" s="1378">
        <v>61</v>
      </c>
      <c r="Z167" s="1047" t="s">
        <v>1699</v>
      </c>
      <c r="AA167" s="2304"/>
      <c r="AB167" s="2157"/>
      <c r="AC167" s="3685"/>
      <c r="AD167" s="2157"/>
      <c r="AE167" s="2157"/>
      <c r="AF167" s="2157"/>
      <c r="AG167" s="2157"/>
      <c r="AH167" s="2157"/>
      <c r="AI167" s="2157"/>
      <c r="AJ167" s="2157"/>
      <c r="AK167" s="2157"/>
      <c r="AL167" s="2157"/>
      <c r="AM167" s="2157"/>
      <c r="AN167" s="2157"/>
      <c r="AO167" s="2157"/>
      <c r="AP167" s="2157"/>
      <c r="AQ167" s="3674"/>
      <c r="AR167" s="3674"/>
      <c r="AS167" s="2157"/>
    </row>
    <row r="168" spans="1:45" ht="45" x14ac:dyDescent="0.25">
      <c r="A168" s="968"/>
      <c r="B168" s="1051"/>
      <c r="C168" s="1069"/>
      <c r="D168" s="1051"/>
      <c r="E168" s="3707"/>
      <c r="F168" s="3708"/>
      <c r="G168" s="2305">
        <v>1905012</v>
      </c>
      <c r="H168" s="3358" t="s">
        <v>2005</v>
      </c>
      <c r="I168" s="2305">
        <v>1905012</v>
      </c>
      <c r="J168" s="3358" t="s">
        <v>2005</v>
      </c>
      <c r="K168" s="3672">
        <v>190501200</v>
      </c>
      <c r="L168" s="2829" t="s">
        <v>2005</v>
      </c>
      <c r="M168" s="3672">
        <v>190501200</v>
      </c>
      <c r="N168" s="2829" t="s">
        <v>2005</v>
      </c>
      <c r="O168" s="3727">
        <v>1</v>
      </c>
      <c r="P168" s="2197" t="s">
        <v>2006</v>
      </c>
      <c r="Q168" s="2182" t="s">
        <v>2007</v>
      </c>
      <c r="R168" s="3726">
        <f>SUM(W168:W171)/S168</f>
        <v>0.13071895424836602</v>
      </c>
      <c r="S168" s="3705">
        <f>SUM(W168:W182)</f>
        <v>153000000</v>
      </c>
      <c r="T168" s="2257" t="s">
        <v>2008</v>
      </c>
      <c r="U168" s="2182" t="s">
        <v>2009</v>
      </c>
      <c r="V168" s="1471" t="s">
        <v>2010</v>
      </c>
      <c r="W168" s="1368">
        <v>6000000</v>
      </c>
      <c r="X168" s="182" t="s">
        <v>2011</v>
      </c>
      <c r="Y168" s="1378">
        <v>61</v>
      </c>
      <c r="Z168" s="1047" t="s">
        <v>1699</v>
      </c>
      <c r="AA168" s="2287">
        <v>289394</v>
      </c>
      <c r="AB168" s="2287">
        <v>279112</v>
      </c>
      <c r="AC168" s="3327">
        <v>63164</v>
      </c>
      <c r="AD168" s="2287">
        <v>45607</v>
      </c>
      <c r="AE168" s="2287">
        <v>365607</v>
      </c>
      <c r="AF168" s="2287">
        <v>75612</v>
      </c>
      <c r="AG168" s="2287">
        <v>2145</v>
      </c>
      <c r="AH168" s="2287">
        <v>12718</v>
      </c>
      <c r="AI168" s="2287">
        <v>26</v>
      </c>
      <c r="AJ168" s="2287">
        <v>37</v>
      </c>
      <c r="AK168" s="2287">
        <v>0</v>
      </c>
      <c r="AL168" s="2287">
        <v>0</v>
      </c>
      <c r="AM168" s="2287">
        <v>78</v>
      </c>
      <c r="AN168" s="2287">
        <v>16897</v>
      </c>
      <c r="AO168" s="2287">
        <v>852</v>
      </c>
      <c r="AP168" s="2287">
        <v>568506</v>
      </c>
      <c r="AQ168" s="3673">
        <v>44197</v>
      </c>
      <c r="AR168" s="3673">
        <v>44561</v>
      </c>
      <c r="AS168" s="2287" t="s">
        <v>1700</v>
      </c>
    </row>
    <row r="169" spans="1:45" ht="30" x14ac:dyDescent="0.25">
      <c r="A169" s="968"/>
      <c r="B169" s="1051"/>
      <c r="C169" s="1069"/>
      <c r="D169" s="1051"/>
      <c r="E169" s="3707"/>
      <c r="F169" s="3708"/>
      <c r="G169" s="2305"/>
      <c r="H169" s="3359"/>
      <c r="I169" s="2305"/>
      <c r="J169" s="3359"/>
      <c r="K169" s="3668"/>
      <c r="L169" s="2824"/>
      <c r="M169" s="3668"/>
      <c r="N169" s="2824"/>
      <c r="O169" s="3113"/>
      <c r="P169" s="2197"/>
      <c r="Q169" s="2182"/>
      <c r="R169" s="3726"/>
      <c r="S169" s="3705"/>
      <c r="T169" s="2257"/>
      <c r="U169" s="2182"/>
      <c r="V169" s="1471" t="s">
        <v>2012</v>
      </c>
      <c r="W169" s="1368">
        <v>6000000</v>
      </c>
      <c r="X169" s="182" t="s">
        <v>2011</v>
      </c>
      <c r="Y169" s="1378">
        <v>61</v>
      </c>
      <c r="Z169" s="1047" t="s">
        <v>1699</v>
      </c>
      <c r="AA169" s="2157"/>
      <c r="AB169" s="2157"/>
      <c r="AC169" s="3685"/>
      <c r="AD169" s="2157"/>
      <c r="AE169" s="2157"/>
      <c r="AF169" s="2157"/>
      <c r="AG169" s="2157"/>
      <c r="AH169" s="2157"/>
      <c r="AI169" s="2157"/>
      <c r="AJ169" s="2157"/>
      <c r="AK169" s="2157"/>
      <c r="AL169" s="2157"/>
      <c r="AM169" s="2157"/>
      <c r="AN169" s="2157"/>
      <c r="AO169" s="2157"/>
      <c r="AP169" s="2157"/>
      <c r="AQ169" s="3674"/>
      <c r="AR169" s="3674"/>
      <c r="AS169" s="2157"/>
    </row>
    <row r="170" spans="1:45" ht="30" x14ac:dyDescent="0.25">
      <c r="A170" s="968"/>
      <c r="B170" s="1051"/>
      <c r="C170" s="1069"/>
      <c r="D170" s="1051"/>
      <c r="E170" s="3707"/>
      <c r="F170" s="3708"/>
      <c r="G170" s="2305"/>
      <c r="H170" s="3359"/>
      <c r="I170" s="2305"/>
      <c r="J170" s="3359"/>
      <c r="K170" s="3668"/>
      <c r="L170" s="2824"/>
      <c r="M170" s="3668"/>
      <c r="N170" s="2824"/>
      <c r="O170" s="3113"/>
      <c r="P170" s="2197"/>
      <c r="Q170" s="2182"/>
      <c r="R170" s="3726"/>
      <c r="S170" s="3705"/>
      <c r="T170" s="2257"/>
      <c r="U170" s="2182"/>
      <c r="V170" s="1471" t="s">
        <v>2013</v>
      </c>
      <c r="W170" s="1368">
        <v>4000000</v>
      </c>
      <c r="X170" s="182" t="s">
        <v>2011</v>
      </c>
      <c r="Y170" s="1378">
        <v>61</v>
      </c>
      <c r="Z170" s="1047" t="s">
        <v>1699</v>
      </c>
      <c r="AA170" s="2157"/>
      <c r="AB170" s="2157"/>
      <c r="AC170" s="3685"/>
      <c r="AD170" s="2157"/>
      <c r="AE170" s="2157"/>
      <c r="AF170" s="2157"/>
      <c r="AG170" s="2157"/>
      <c r="AH170" s="2157"/>
      <c r="AI170" s="2157"/>
      <c r="AJ170" s="2157"/>
      <c r="AK170" s="2157"/>
      <c r="AL170" s="2157"/>
      <c r="AM170" s="2157"/>
      <c r="AN170" s="2157"/>
      <c r="AO170" s="2157"/>
      <c r="AP170" s="2157"/>
      <c r="AQ170" s="3674"/>
      <c r="AR170" s="3674"/>
      <c r="AS170" s="2157"/>
    </row>
    <row r="171" spans="1:45" ht="30" x14ac:dyDescent="0.25">
      <c r="A171" s="968"/>
      <c r="B171" s="1051"/>
      <c r="C171" s="1069"/>
      <c r="D171" s="1051"/>
      <c r="E171" s="3707"/>
      <c r="F171" s="3708"/>
      <c r="G171" s="2305"/>
      <c r="H171" s="3360"/>
      <c r="I171" s="2305"/>
      <c r="J171" s="3360"/>
      <c r="K171" s="3715"/>
      <c r="L171" s="2825"/>
      <c r="M171" s="3715"/>
      <c r="N171" s="2825"/>
      <c r="O171" s="3749"/>
      <c r="P171" s="2197"/>
      <c r="Q171" s="2182"/>
      <c r="R171" s="3726"/>
      <c r="S171" s="3705"/>
      <c r="T171" s="2257"/>
      <c r="U171" s="2182"/>
      <c r="V171" s="1471" t="s">
        <v>2014</v>
      </c>
      <c r="W171" s="1368">
        <v>4000000</v>
      </c>
      <c r="X171" s="182" t="s">
        <v>2011</v>
      </c>
      <c r="Y171" s="1378">
        <v>61</v>
      </c>
      <c r="Z171" s="1047" t="s">
        <v>1699</v>
      </c>
      <c r="AA171" s="2157"/>
      <c r="AB171" s="2157"/>
      <c r="AC171" s="3685"/>
      <c r="AD171" s="2157"/>
      <c r="AE171" s="2157"/>
      <c r="AF171" s="2157"/>
      <c r="AG171" s="2157"/>
      <c r="AH171" s="2157"/>
      <c r="AI171" s="2157"/>
      <c r="AJ171" s="2157"/>
      <c r="AK171" s="2157"/>
      <c r="AL171" s="2157"/>
      <c r="AM171" s="2157"/>
      <c r="AN171" s="2157"/>
      <c r="AO171" s="2157"/>
      <c r="AP171" s="2157"/>
      <c r="AQ171" s="3674"/>
      <c r="AR171" s="3674"/>
      <c r="AS171" s="2157"/>
    </row>
    <row r="172" spans="1:45" ht="30" x14ac:dyDescent="0.25">
      <c r="A172" s="968"/>
      <c r="B172" s="1051"/>
      <c r="C172" s="1069"/>
      <c r="D172" s="1051"/>
      <c r="E172" s="3707"/>
      <c r="F172" s="3708"/>
      <c r="G172" s="2305">
        <v>1905026</v>
      </c>
      <c r="H172" s="3358" t="s">
        <v>2015</v>
      </c>
      <c r="I172" s="2305">
        <v>1905026</v>
      </c>
      <c r="J172" s="3358" t="s">
        <v>2015</v>
      </c>
      <c r="K172" s="3672">
        <v>190502600</v>
      </c>
      <c r="L172" s="2829" t="s">
        <v>2016</v>
      </c>
      <c r="M172" s="3672">
        <v>190502600</v>
      </c>
      <c r="N172" s="2829" t="s">
        <v>2016</v>
      </c>
      <c r="O172" s="3727">
        <v>12</v>
      </c>
      <c r="P172" s="2197"/>
      <c r="Q172" s="2182"/>
      <c r="R172" s="3726">
        <f>SUM(W172:W177)/S168</f>
        <v>0.37908496732026142</v>
      </c>
      <c r="S172" s="3705"/>
      <c r="T172" s="2257"/>
      <c r="U172" s="2196" t="s">
        <v>2017</v>
      </c>
      <c r="V172" s="1471" t="s">
        <v>2018</v>
      </c>
      <c r="W172" s="1368">
        <v>10000000</v>
      </c>
      <c r="X172" s="182" t="s">
        <v>2019</v>
      </c>
      <c r="Y172" s="1378">
        <v>61</v>
      </c>
      <c r="Z172" s="1047" t="s">
        <v>1699</v>
      </c>
      <c r="AA172" s="2157"/>
      <c r="AB172" s="2157"/>
      <c r="AC172" s="3685"/>
      <c r="AD172" s="2157"/>
      <c r="AE172" s="2157"/>
      <c r="AF172" s="2157"/>
      <c r="AG172" s="2157"/>
      <c r="AH172" s="2157"/>
      <c r="AI172" s="2157"/>
      <c r="AJ172" s="2157"/>
      <c r="AK172" s="2157"/>
      <c r="AL172" s="2157"/>
      <c r="AM172" s="2157"/>
      <c r="AN172" s="2157"/>
      <c r="AO172" s="2157"/>
      <c r="AP172" s="2157"/>
      <c r="AQ172" s="3674"/>
      <c r="AR172" s="3674"/>
      <c r="AS172" s="2157"/>
    </row>
    <row r="173" spans="1:45" ht="30" x14ac:dyDescent="0.25">
      <c r="A173" s="968"/>
      <c r="B173" s="1051"/>
      <c r="C173" s="1069"/>
      <c r="D173" s="1051"/>
      <c r="E173" s="3707"/>
      <c r="F173" s="3708"/>
      <c r="G173" s="2305"/>
      <c r="H173" s="3359"/>
      <c r="I173" s="2305"/>
      <c r="J173" s="3359"/>
      <c r="K173" s="3668"/>
      <c r="L173" s="2824"/>
      <c r="M173" s="3668"/>
      <c r="N173" s="2824"/>
      <c r="O173" s="3113"/>
      <c r="P173" s="2197"/>
      <c r="Q173" s="2182"/>
      <c r="R173" s="3726"/>
      <c r="S173" s="3705"/>
      <c r="T173" s="2257"/>
      <c r="U173" s="3162"/>
      <c r="V173" s="1471" t="s">
        <v>2020</v>
      </c>
      <c r="W173" s="1368">
        <v>10000000</v>
      </c>
      <c r="X173" s="182" t="s">
        <v>2019</v>
      </c>
      <c r="Y173" s="1378">
        <v>61</v>
      </c>
      <c r="Z173" s="1047" t="s">
        <v>1699</v>
      </c>
      <c r="AA173" s="2157"/>
      <c r="AB173" s="2157"/>
      <c r="AC173" s="3685"/>
      <c r="AD173" s="2157"/>
      <c r="AE173" s="2157"/>
      <c r="AF173" s="2157"/>
      <c r="AG173" s="2157"/>
      <c r="AH173" s="2157"/>
      <c r="AI173" s="2157"/>
      <c r="AJ173" s="2157"/>
      <c r="AK173" s="2157"/>
      <c r="AL173" s="2157"/>
      <c r="AM173" s="2157"/>
      <c r="AN173" s="2157"/>
      <c r="AO173" s="2157"/>
      <c r="AP173" s="2157"/>
      <c r="AQ173" s="3674"/>
      <c r="AR173" s="3674"/>
      <c r="AS173" s="2157"/>
    </row>
    <row r="174" spans="1:45" ht="30" x14ac:dyDescent="0.25">
      <c r="A174" s="968"/>
      <c r="B174" s="1051"/>
      <c r="C174" s="1069"/>
      <c r="D174" s="1051"/>
      <c r="E174" s="3707"/>
      <c r="F174" s="3708"/>
      <c r="G174" s="2305"/>
      <c r="H174" s="3359"/>
      <c r="I174" s="2305"/>
      <c r="J174" s="3359"/>
      <c r="K174" s="3668"/>
      <c r="L174" s="2824"/>
      <c r="M174" s="3668"/>
      <c r="N174" s="2824"/>
      <c r="O174" s="3113"/>
      <c r="P174" s="2197"/>
      <c r="Q174" s="2182"/>
      <c r="R174" s="3726"/>
      <c r="S174" s="3705"/>
      <c r="T174" s="2257"/>
      <c r="U174" s="3162"/>
      <c r="V174" s="1471" t="s">
        <v>2021</v>
      </c>
      <c r="W174" s="1368">
        <v>10000000</v>
      </c>
      <c r="X174" s="182" t="s">
        <v>2019</v>
      </c>
      <c r="Y174" s="1378">
        <v>61</v>
      </c>
      <c r="Z174" s="1047" t="s">
        <v>1699</v>
      </c>
      <c r="AA174" s="2157"/>
      <c r="AB174" s="2157"/>
      <c r="AC174" s="3685"/>
      <c r="AD174" s="2157"/>
      <c r="AE174" s="2157"/>
      <c r="AF174" s="2157"/>
      <c r="AG174" s="2157"/>
      <c r="AH174" s="2157"/>
      <c r="AI174" s="2157"/>
      <c r="AJ174" s="2157"/>
      <c r="AK174" s="2157"/>
      <c r="AL174" s="2157"/>
      <c r="AM174" s="2157"/>
      <c r="AN174" s="2157"/>
      <c r="AO174" s="2157"/>
      <c r="AP174" s="2157"/>
      <c r="AQ174" s="3674"/>
      <c r="AR174" s="3674"/>
      <c r="AS174" s="2157"/>
    </row>
    <row r="175" spans="1:45" ht="30" x14ac:dyDescent="0.25">
      <c r="A175" s="968"/>
      <c r="B175" s="1051"/>
      <c r="C175" s="1069"/>
      <c r="D175" s="1051"/>
      <c r="E175" s="3707"/>
      <c r="F175" s="3708"/>
      <c r="G175" s="2305"/>
      <c r="H175" s="3359"/>
      <c r="I175" s="2305"/>
      <c r="J175" s="3359"/>
      <c r="K175" s="3668"/>
      <c r="L175" s="2824"/>
      <c r="M175" s="3668"/>
      <c r="N175" s="2824"/>
      <c r="O175" s="3113"/>
      <c r="P175" s="2197"/>
      <c r="Q175" s="2182"/>
      <c r="R175" s="3726"/>
      <c r="S175" s="3705"/>
      <c r="T175" s="2257"/>
      <c r="U175" s="3162"/>
      <c r="V175" s="1471" t="s">
        <v>2022</v>
      </c>
      <c r="W175" s="1368">
        <v>10000000</v>
      </c>
      <c r="X175" s="182" t="s">
        <v>2019</v>
      </c>
      <c r="Y175" s="1378">
        <v>61</v>
      </c>
      <c r="Z175" s="1047" t="s">
        <v>1699</v>
      </c>
      <c r="AA175" s="2157"/>
      <c r="AB175" s="2157"/>
      <c r="AC175" s="3685"/>
      <c r="AD175" s="2157"/>
      <c r="AE175" s="2157"/>
      <c r="AF175" s="2157"/>
      <c r="AG175" s="2157"/>
      <c r="AH175" s="2157"/>
      <c r="AI175" s="2157"/>
      <c r="AJ175" s="2157"/>
      <c r="AK175" s="2157"/>
      <c r="AL175" s="2157"/>
      <c r="AM175" s="2157"/>
      <c r="AN175" s="2157"/>
      <c r="AO175" s="2157"/>
      <c r="AP175" s="2157"/>
      <c r="AQ175" s="3674"/>
      <c r="AR175" s="3674"/>
      <c r="AS175" s="2157"/>
    </row>
    <row r="176" spans="1:45" ht="30" x14ac:dyDescent="0.25">
      <c r="A176" s="968"/>
      <c r="B176" s="1051"/>
      <c r="C176" s="1069"/>
      <c r="D176" s="1051"/>
      <c r="E176" s="3707"/>
      <c r="F176" s="3708"/>
      <c r="G176" s="2305"/>
      <c r="H176" s="3359"/>
      <c r="I176" s="2305"/>
      <c r="J176" s="3359"/>
      <c r="K176" s="3668"/>
      <c r="L176" s="2824"/>
      <c r="M176" s="3668"/>
      <c r="N176" s="2824"/>
      <c r="O176" s="3113"/>
      <c r="P176" s="2197"/>
      <c r="Q176" s="2182"/>
      <c r="R176" s="3726"/>
      <c r="S176" s="3705"/>
      <c r="T176" s="2257"/>
      <c r="U176" s="3162"/>
      <c r="V176" s="1471" t="s">
        <v>2023</v>
      </c>
      <c r="W176" s="1368">
        <v>10000000</v>
      </c>
      <c r="X176" s="182" t="s">
        <v>2019</v>
      </c>
      <c r="Y176" s="1378">
        <v>61</v>
      </c>
      <c r="Z176" s="1047" t="s">
        <v>1699</v>
      </c>
      <c r="AA176" s="2157"/>
      <c r="AB176" s="2157"/>
      <c r="AC176" s="3685"/>
      <c r="AD176" s="2157"/>
      <c r="AE176" s="2157"/>
      <c r="AF176" s="2157"/>
      <c r="AG176" s="2157"/>
      <c r="AH176" s="2157"/>
      <c r="AI176" s="2157"/>
      <c r="AJ176" s="2157"/>
      <c r="AK176" s="2157"/>
      <c r="AL176" s="2157"/>
      <c r="AM176" s="2157"/>
      <c r="AN176" s="2157"/>
      <c r="AO176" s="2157"/>
      <c r="AP176" s="2157"/>
      <c r="AQ176" s="3674"/>
      <c r="AR176" s="3674"/>
      <c r="AS176" s="2157"/>
    </row>
    <row r="177" spans="1:45" ht="30" x14ac:dyDescent="0.25">
      <c r="A177" s="968"/>
      <c r="B177" s="1051"/>
      <c r="C177" s="1069"/>
      <c r="D177" s="1051"/>
      <c r="E177" s="3707"/>
      <c r="F177" s="3708"/>
      <c r="G177" s="2305"/>
      <c r="H177" s="3359"/>
      <c r="I177" s="2305"/>
      <c r="J177" s="3359"/>
      <c r="K177" s="3668"/>
      <c r="L177" s="2824"/>
      <c r="M177" s="3668"/>
      <c r="N177" s="2824"/>
      <c r="O177" s="3113"/>
      <c r="P177" s="2197"/>
      <c r="Q177" s="2182"/>
      <c r="R177" s="3726"/>
      <c r="S177" s="3705"/>
      <c r="T177" s="2257"/>
      <c r="U177" s="3162"/>
      <c r="V177" s="1471" t="s">
        <v>2024</v>
      </c>
      <c r="W177" s="1368">
        <v>8000000</v>
      </c>
      <c r="X177" s="182" t="s">
        <v>2019</v>
      </c>
      <c r="Y177" s="1378">
        <v>61</v>
      </c>
      <c r="Z177" s="1047" t="s">
        <v>1699</v>
      </c>
      <c r="AA177" s="2157"/>
      <c r="AB177" s="2157"/>
      <c r="AC177" s="3685"/>
      <c r="AD177" s="2157"/>
      <c r="AE177" s="2157"/>
      <c r="AF177" s="2157"/>
      <c r="AG177" s="2157"/>
      <c r="AH177" s="2157"/>
      <c r="AI177" s="2157"/>
      <c r="AJ177" s="2157"/>
      <c r="AK177" s="2157"/>
      <c r="AL177" s="2157"/>
      <c r="AM177" s="2157"/>
      <c r="AN177" s="2157"/>
      <c r="AO177" s="2157"/>
      <c r="AP177" s="2157"/>
      <c r="AQ177" s="3674"/>
      <c r="AR177" s="3674"/>
      <c r="AS177" s="2157"/>
    </row>
    <row r="178" spans="1:45" ht="30" x14ac:dyDescent="0.25">
      <c r="A178" s="968"/>
      <c r="B178" s="1051"/>
      <c r="C178" s="1069"/>
      <c r="D178" s="1051"/>
      <c r="E178" s="3707"/>
      <c r="F178" s="3708"/>
      <c r="G178" s="2305">
        <v>1905027</v>
      </c>
      <c r="H178" s="3712" t="s">
        <v>2025</v>
      </c>
      <c r="I178" s="2305">
        <v>1905027</v>
      </c>
      <c r="J178" s="3712" t="s">
        <v>2025</v>
      </c>
      <c r="K178" s="3662">
        <v>190502700</v>
      </c>
      <c r="L178" s="2257" t="s">
        <v>2026</v>
      </c>
      <c r="M178" s="3662">
        <v>190502700</v>
      </c>
      <c r="N178" s="2257" t="s">
        <v>2026</v>
      </c>
      <c r="O178" s="3747">
        <v>12</v>
      </c>
      <c r="P178" s="2197"/>
      <c r="Q178" s="2182"/>
      <c r="R178" s="3726">
        <f>SUM(W178:W182)/S168</f>
        <v>0.49019607843137253</v>
      </c>
      <c r="S178" s="3705"/>
      <c r="T178" s="2257"/>
      <c r="U178" s="3162"/>
      <c r="V178" s="1471" t="s">
        <v>2027</v>
      </c>
      <c r="W178" s="1368">
        <f>7000000+7000000+7000000</f>
        <v>21000000</v>
      </c>
      <c r="X178" s="182" t="s">
        <v>2028</v>
      </c>
      <c r="Y178" s="1378">
        <v>61</v>
      </c>
      <c r="Z178" s="1047" t="s">
        <v>1699</v>
      </c>
      <c r="AA178" s="2157"/>
      <c r="AB178" s="2157"/>
      <c r="AC178" s="3685"/>
      <c r="AD178" s="2157"/>
      <c r="AE178" s="2157"/>
      <c r="AF178" s="2157"/>
      <c r="AG178" s="2157"/>
      <c r="AH178" s="2157"/>
      <c r="AI178" s="2157"/>
      <c r="AJ178" s="2157"/>
      <c r="AK178" s="2157"/>
      <c r="AL178" s="2157"/>
      <c r="AM178" s="2157"/>
      <c r="AN178" s="2157"/>
      <c r="AO178" s="2157"/>
      <c r="AP178" s="2157"/>
      <c r="AQ178" s="3674"/>
      <c r="AR178" s="3674"/>
      <c r="AS178" s="2157"/>
    </row>
    <row r="179" spans="1:45" ht="30" x14ac:dyDescent="0.25">
      <c r="A179" s="968"/>
      <c r="B179" s="1051"/>
      <c r="C179" s="1069"/>
      <c r="D179" s="1051"/>
      <c r="E179" s="3707"/>
      <c r="F179" s="3708"/>
      <c r="G179" s="2305"/>
      <c r="H179" s="3712"/>
      <c r="I179" s="2305"/>
      <c r="J179" s="3712"/>
      <c r="K179" s="3662"/>
      <c r="L179" s="2257"/>
      <c r="M179" s="3662"/>
      <c r="N179" s="2257"/>
      <c r="O179" s="3747"/>
      <c r="P179" s="2197"/>
      <c r="Q179" s="2182"/>
      <c r="R179" s="3726"/>
      <c r="S179" s="3705"/>
      <c r="T179" s="2257"/>
      <c r="U179" s="3162"/>
      <c r="V179" s="1471" t="s">
        <v>2029</v>
      </c>
      <c r="W179" s="1368">
        <f>5000000+7000000</f>
        <v>12000000</v>
      </c>
      <c r="X179" s="182" t="s">
        <v>2028</v>
      </c>
      <c r="Y179" s="1378">
        <v>61</v>
      </c>
      <c r="Z179" s="1047" t="s">
        <v>1699</v>
      </c>
      <c r="AA179" s="2157"/>
      <c r="AB179" s="2157"/>
      <c r="AC179" s="3685"/>
      <c r="AD179" s="2157"/>
      <c r="AE179" s="2157"/>
      <c r="AF179" s="2157"/>
      <c r="AG179" s="2157"/>
      <c r="AH179" s="2157"/>
      <c r="AI179" s="2157"/>
      <c r="AJ179" s="2157"/>
      <c r="AK179" s="2157"/>
      <c r="AL179" s="2157"/>
      <c r="AM179" s="2157"/>
      <c r="AN179" s="2157"/>
      <c r="AO179" s="2157"/>
      <c r="AP179" s="2157"/>
      <c r="AQ179" s="3674"/>
      <c r="AR179" s="3674"/>
      <c r="AS179" s="2157"/>
    </row>
    <row r="180" spans="1:45" ht="45" x14ac:dyDescent="0.25">
      <c r="A180" s="968"/>
      <c r="B180" s="1051"/>
      <c r="C180" s="1069"/>
      <c r="D180" s="1051"/>
      <c r="E180" s="3707"/>
      <c r="F180" s="3708"/>
      <c r="G180" s="2305"/>
      <c r="H180" s="3712"/>
      <c r="I180" s="2305"/>
      <c r="J180" s="3712"/>
      <c r="K180" s="3662"/>
      <c r="L180" s="2257"/>
      <c r="M180" s="3662"/>
      <c r="N180" s="2257"/>
      <c r="O180" s="3747"/>
      <c r="P180" s="2197"/>
      <c r="Q180" s="2182"/>
      <c r="R180" s="3726"/>
      <c r="S180" s="3705"/>
      <c r="T180" s="2257"/>
      <c r="U180" s="3162"/>
      <c r="V180" s="1471" t="s">
        <v>2030</v>
      </c>
      <c r="W180" s="1368">
        <v>14000000</v>
      </c>
      <c r="X180" s="182" t="s">
        <v>2028</v>
      </c>
      <c r="Y180" s="1378">
        <v>61</v>
      </c>
      <c r="Z180" s="1047" t="s">
        <v>1699</v>
      </c>
      <c r="AA180" s="2157"/>
      <c r="AB180" s="2157"/>
      <c r="AC180" s="3685"/>
      <c r="AD180" s="2157"/>
      <c r="AE180" s="2157"/>
      <c r="AF180" s="2157"/>
      <c r="AG180" s="2157"/>
      <c r="AH180" s="2157"/>
      <c r="AI180" s="2157"/>
      <c r="AJ180" s="2157"/>
      <c r="AK180" s="2157"/>
      <c r="AL180" s="2157"/>
      <c r="AM180" s="2157"/>
      <c r="AN180" s="2157"/>
      <c r="AO180" s="2157"/>
      <c r="AP180" s="2157"/>
      <c r="AQ180" s="3674"/>
      <c r="AR180" s="3674"/>
      <c r="AS180" s="2157"/>
    </row>
    <row r="181" spans="1:45" ht="30" x14ac:dyDescent="0.25">
      <c r="A181" s="968"/>
      <c r="B181" s="1051"/>
      <c r="C181" s="1069"/>
      <c r="D181" s="1051"/>
      <c r="E181" s="3707"/>
      <c r="F181" s="3708"/>
      <c r="G181" s="2305"/>
      <c r="H181" s="3712"/>
      <c r="I181" s="2305"/>
      <c r="J181" s="3712"/>
      <c r="K181" s="3662"/>
      <c r="L181" s="2257"/>
      <c r="M181" s="3662"/>
      <c r="N181" s="2257"/>
      <c r="O181" s="3747"/>
      <c r="P181" s="2197"/>
      <c r="Q181" s="2182"/>
      <c r="R181" s="3726"/>
      <c r="S181" s="3705"/>
      <c r="T181" s="2257"/>
      <c r="U181" s="3162"/>
      <c r="V181" s="1471" t="s">
        <v>2024</v>
      </c>
      <c r="W181" s="1368">
        <v>10000000</v>
      </c>
      <c r="X181" s="182" t="s">
        <v>2028</v>
      </c>
      <c r="Y181" s="1378">
        <v>61</v>
      </c>
      <c r="Z181" s="1047" t="s">
        <v>1699</v>
      </c>
      <c r="AA181" s="2157"/>
      <c r="AB181" s="2157"/>
      <c r="AC181" s="3685"/>
      <c r="AD181" s="2157"/>
      <c r="AE181" s="2157"/>
      <c r="AF181" s="2157"/>
      <c r="AG181" s="2157"/>
      <c r="AH181" s="2157"/>
      <c r="AI181" s="2157"/>
      <c r="AJ181" s="2157"/>
      <c r="AK181" s="2157"/>
      <c r="AL181" s="2157"/>
      <c r="AM181" s="2157"/>
      <c r="AN181" s="2157"/>
      <c r="AO181" s="2157"/>
      <c r="AP181" s="2157"/>
      <c r="AQ181" s="3674"/>
      <c r="AR181" s="3674"/>
      <c r="AS181" s="2157"/>
    </row>
    <row r="182" spans="1:45" ht="30" x14ac:dyDescent="0.25">
      <c r="A182" s="968"/>
      <c r="B182" s="1051"/>
      <c r="C182" s="1069"/>
      <c r="D182" s="1051"/>
      <c r="E182" s="3707"/>
      <c r="F182" s="3708"/>
      <c r="G182" s="2305"/>
      <c r="H182" s="3712"/>
      <c r="I182" s="2305"/>
      <c r="J182" s="3712"/>
      <c r="K182" s="3662"/>
      <c r="L182" s="2257"/>
      <c r="M182" s="3662"/>
      <c r="N182" s="2257"/>
      <c r="O182" s="3747"/>
      <c r="P182" s="2197"/>
      <c r="Q182" s="2182"/>
      <c r="R182" s="3726"/>
      <c r="S182" s="3705"/>
      <c r="T182" s="2257"/>
      <c r="U182" s="3163"/>
      <c r="V182" s="1471" t="s">
        <v>2031</v>
      </c>
      <c r="W182" s="1368">
        <f>11000000+7000000</f>
        <v>18000000</v>
      </c>
      <c r="X182" s="182" t="s">
        <v>2028</v>
      </c>
      <c r="Y182" s="1378">
        <v>61</v>
      </c>
      <c r="Z182" s="1047" t="s">
        <v>1699</v>
      </c>
      <c r="AA182" s="2304"/>
      <c r="AB182" s="2304"/>
      <c r="AC182" s="3326"/>
      <c r="AD182" s="2304"/>
      <c r="AE182" s="2304"/>
      <c r="AF182" s="2304"/>
      <c r="AG182" s="2304"/>
      <c r="AH182" s="2304"/>
      <c r="AI182" s="2304"/>
      <c r="AJ182" s="2304"/>
      <c r="AK182" s="2304"/>
      <c r="AL182" s="2304"/>
      <c r="AM182" s="2304"/>
      <c r="AN182" s="2304"/>
      <c r="AO182" s="2304"/>
      <c r="AP182" s="2304"/>
      <c r="AQ182" s="3714"/>
      <c r="AR182" s="3714"/>
      <c r="AS182" s="2304"/>
    </row>
    <row r="183" spans="1:45" ht="30" x14ac:dyDescent="0.25">
      <c r="A183" s="968"/>
      <c r="B183" s="1051"/>
      <c r="C183" s="1069"/>
      <c r="D183" s="1051"/>
      <c r="E183" s="3707"/>
      <c r="F183" s="3708"/>
      <c r="G183" s="2305" t="s">
        <v>62</v>
      </c>
      <c r="H183" s="3712" t="s">
        <v>2032</v>
      </c>
      <c r="I183" s="2305" t="s">
        <v>2033</v>
      </c>
      <c r="J183" s="3712" t="s">
        <v>1107</v>
      </c>
      <c r="K183" s="3662" t="s">
        <v>62</v>
      </c>
      <c r="L183" s="2257" t="s">
        <v>1916</v>
      </c>
      <c r="M183" s="3662" t="s">
        <v>2034</v>
      </c>
      <c r="N183" s="2257" t="s">
        <v>1203</v>
      </c>
      <c r="O183" s="3750">
        <v>4</v>
      </c>
      <c r="P183" s="2197" t="s">
        <v>2035</v>
      </c>
      <c r="Q183" s="2182" t="s">
        <v>2036</v>
      </c>
      <c r="R183" s="3726">
        <f>SUM(W183:W189)/S183</f>
        <v>0.17866969925693699</v>
      </c>
      <c r="S183" s="3705">
        <f>SUM(W183:W195)</f>
        <v>531707393</v>
      </c>
      <c r="T183" s="2182" t="s">
        <v>2037</v>
      </c>
      <c r="U183" s="2182" t="s">
        <v>2038</v>
      </c>
      <c r="V183" s="1471" t="s">
        <v>2039</v>
      </c>
      <c r="W183" s="1368">
        <v>20000000</v>
      </c>
      <c r="X183" s="182" t="s">
        <v>2040</v>
      </c>
      <c r="Y183" s="1378">
        <v>61</v>
      </c>
      <c r="Z183" s="1047" t="s">
        <v>1699</v>
      </c>
      <c r="AA183" s="2287">
        <v>292684</v>
      </c>
      <c r="AB183" s="2287">
        <v>282326</v>
      </c>
      <c r="AC183" s="3327">
        <v>135912</v>
      </c>
      <c r="AD183" s="2287">
        <v>45122</v>
      </c>
      <c r="AE183" s="2287">
        <v>307101</v>
      </c>
      <c r="AF183" s="2287">
        <v>86875</v>
      </c>
      <c r="AG183" s="2287">
        <v>2145</v>
      </c>
      <c r="AH183" s="2287">
        <v>12718</v>
      </c>
      <c r="AI183" s="2287">
        <v>26</v>
      </c>
      <c r="AJ183" s="2287">
        <v>37</v>
      </c>
      <c r="AK183" s="2287">
        <v>0</v>
      </c>
      <c r="AL183" s="2287">
        <v>0</v>
      </c>
      <c r="AM183" s="2287">
        <v>53164</v>
      </c>
      <c r="AN183" s="2287">
        <v>16982</v>
      </c>
      <c r="AO183" s="2287">
        <v>60013</v>
      </c>
      <c r="AP183" s="2287">
        <v>575010</v>
      </c>
      <c r="AQ183" s="3673">
        <v>44197</v>
      </c>
      <c r="AR183" s="3673">
        <v>44561</v>
      </c>
      <c r="AS183" s="2287" t="s">
        <v>1700</v>
      </c>
    </row>
    <row r="184" spans="1:45" ht="45" x14ac:dyDescent="0.25">
      <c r="A184" s="968"/>
      <c r="B184" s="1051"/>
      <c r="C184" s="1069"/>
      <c r="D184" s="1051"/>
      <c r="E184" s="3707"/>
      <c r="F184" s="3708"/>
      <c r="G184" s="2305"/>
      <c r="H184" s="3712"/>
      <c r="I184" s="2305"/>
      <c r="J184" s="3712"/>
      <c r="K184" s="3662"/>
      <c r="L184" s="2257"/>
      <c r="M184" s="3662"/>
      <c r="N184" s="2257"/>
      <c r="O184" s="3750"/>
      <c r="P184" s="2197"/>
      <c r="Q184" s="2182"/>
      <c r="R184" s="3726"/>
      <c r="S184" s="3705"/>
      <c r="T184" s="2182"/>
      <c r="U184" s="2182"/>
      <c r="V184" s="1471" t="s">
        <v>2041</v>
      </c>
      <c r="W184" s="1368">
        <v>10000000</v>
      </c>
      <c r="X184" s="182" t="s">
        <v>2040</v>
      </c>
      <c r="Y184" s="1378">
        <v>61</v>
      </c>
      <c r="Z184" s="1047" t="s">
        <v>1699</v>
      </c>
      <c r="AA184" s="2157"/>
      <c r="AB184" s="2157"/>
      <c r="AC184" s="3685"/>
      <c r="AD184" s="2157"/>
      <c r="AE184" s="2157"/>
      <c r="AF184" s="2157"/>
      <c r="AG184" s="2157"/>
      <c r="AH184" s="2157"/>
      <c r="AI184" s="2157"/>
      <c r="AJ184" s="2157"/>
      <c r="AK184" s="2157"/>
      <c r="AL184" s="2157"/>
      <c r="AM184" s="2157"/>
      <c r="AN184" s="2157"/>
      <c r="AO184" s="2157"/>
      <c r="AP184" s="2157"/>
      <c r="AQ184" s="3674"/>
      <c r="AR184" s="3674"/>
      <c r="AS184" s="2157"/>
    </row>
    <row r="185" spans="1:45" ht="30" x14ac:dyDescent="0.25">
      <c r="A185" s="968"/>
      <c r="B185" s="1051"/>
      <c r="C185" s="1069"/>
      <c r="D185" s="1051"/>
      <c r="E185" s="3707"/>
      <c r="F185" s="3708"/>
      <c r="G185" s="2305"/>
      <c r="H185" s="3712"/>
      <c r="I185" s="2305"/>
      <c r="J185" s="3712"/>
      <c r="K185" s="3662"/>
      <c r="L185" s="2257"/>
      <c r="M185" s="3662"/>
      <c r="N185" s="2257"/>
      <c r="O185" s="3750"/>
      <c r="P185" s="2197"/>
      <c r="Q185" s="2182"/>
      <c r="R185" s="3726"/>
      <c r="S185" s="3705"/>
      <c r="T185" s="2182"/>
      <c r="U185" s="2182"/>
      <c r="V185" s="2196" t="s">
        <v>2042</v>
      </c>
      <c r="W185" s="1368">
        <v>10000000</v>
      </c>
      <c r="X185" s="182" t="s">
        <v>2040</v>
      </c>
      <c r="Y185" s="1378">
        <v>61</v>
      </c>
      <c r="Z185" s="1047" t="s">
        <v>1699</v>
      </c>
      <c r="AA185" s="2157"/>
      <c r="AB185" s="2157"/>
      <c r="AC185" s="3685"/>
      <c r="AD185" s="2157"/>
      <c r="AE185" s="2157"/>
      <c r="AF185" s="2157"/>
      <c r="AG185" s="2157"/>
      <c r="AH185" s="2157"/>
      <c r="AI185" s="2157"/>
      <c r="AJ185" s="2157"/>
      <c r="AK185" s="2157"/>
      <c r="AL185" s="2157"/>
      <c r="AM185" s="2157"/>
      <c r="AN185" s="2157"/>
      <c r="AO185" s="2157"/>
      <c r="AP185" s="2157"/>
      <c r="AQ185" s="3674"/>
      <c r="AR185" s="3674"/>
      <c r="AS185" s="2157"/>
    </row>
    <row r="186" spans="1:45" ht="30" x14ac:dyDescent="0.25">
      <c r="A186" s="968"/>
      <c r="B186" s="1051"/>
      <c r="C186" s="1069"/>
      <c r="D186" s="1051"/>
      <c r="E186" s="3707"/>
      <c r="F186" s="3708"/>
      <c r="G186" s="2305"/>
      <c r="H186" s="3712"/>
      <c r="I186" s="2305"/>
      <c r="J186" s="3712"/>
      <c r="K186" s="3662"/>
      <c r="L186" s="2257"/>
      <c r="M186" s="3662"/>
      <c r="N186" s="2257"/>
      <c r="O186" s="3750"/>
      <c r="P186" s="2197"/>
      <c r="Q186" s="2182"/>
      <c r="R186" s="3726"/>
      <c r="S186" s="3705"/>
      <c r="T186" s="2182"/>
      <c r="U186" s="2182"/>
      <c r="V186" s="3163"/>
      <c r="W186" s="1368">
        <v>10000000</v>
      </c>
      <c r="X186" s="182" t="s">
        <v>2040</v>
      </c>
      <c r="Y186" s="1378">
        <v>61</v>
      </c>
      <c r="Z186" s="1047" t="s">
        <v>1699</v>
      </c>
      <c r="AA186" s="2157"/>
      <c r="AB186" s="2157"/>
      <c r="AC186" s="3685"/>
      <c r="AD186" s="2157"/>
      <c r="AE186" s="2157"/>
      <c r="AF186" s="2157"/>
      <c r="AG186" s="2157"/>
      <c r="AH186" s="2157"/>
      <c r="AI186" s="2157"/>
      <c r="AJ186" s="2157"/>
      <c r="AK186" s="2157"/>
      <c r="AL186" s="2157"/>
      <c r="AM186" s="2157"/>
      <c r="AN186" s="2157"/>
      <c r="AO186" s="2157"/>
      <c r="AP186" s="2157"/>
      <c r="AQ186" s="3674"/>
      <c r="AR186" s="3674"/>
      <c r="AS186" s="2157"/>
    </row>
    <row r="187" spans="1:45" ht="45" x14ac:dyDescent="0.25">
      <c r="A187" s="968"/>
      <c r="B187" s="1051"/>
      <c r="C187" s="1069"/>
      <c r="D187" s="1051"/>
      <c r="E187" s="3707"/>
      <c r="F187" s="3708"/>
      <c r="G187" s="2305"/>
      <c r="H187" s="3712"/>
      <c r="I187" s="2305"/>
      <c r="J187" s="3712"/>
      <c r="K187" s="3662"/>
      <c r="L187" s="2257"/>
      <c r="M187" s="3662"/>
      <c r="N187" s="2257"/>
      <c r="O187" s="3750"/>
      <c r="P187" s="2197"/>
      <c r="Q187" s="2182"/>
      <c r="R187" s="3726"/>
      <c r="S187" s="3705"/>
      <c r="T187" s="2182"/>
      <c r="U187" s="2182"/>
      <c r="V187" s="1471" t="s">
        <v>2043</v>
      </c>
      <c r="W187" s="1368">
        <v>10000000</v>
      </c>
      <c r="X187" s="182" t="s">
        <v>2040</v>
      </c>
      <c r="Y187" s="1378">
        <v>61</v>
      </c>
      <c r="Z187" s="1047" t="s">
        <v>1699</v>
      </c>
      <c r="AA187" s="2157"/>
      <c r="AB187" s="2157"/>
      <c r="AC187" s="3685"/>
      <c r="AD187" s="2157"/>
      <c r="AE187" s="2157"/>
      <c r="AF187" s="2157"/>
      <c r="AG187" s="2157"/>
      <c r="AH187" s="2157"/>
      <c r="AI187" s="2157"/>
      <c r="AJ187" s="2157"/>
      <c r="AK187" s="2157"/>
      <c r="AL187" s="2157"/>
      <c r="AM187" s="2157"/>
      <c r="AN187" s="2157"/>
      <c r="AO187" s="2157"/>
      <c r="AP187" s="2157"/>
      <c r="AQ187" s="3674"/>
      <c r="AR187" s="3674"/>
      <c r="AS187" s="2157"/>
    </row>
    <row r="188" spans="1:45" ht="45" x14ac:dyDescent="0.25">
      <c r="A188" s="968"/>
      <c r="B188" s="1051"/>
      <c r="C188" s="1069"/>
      <c r="D188" s="1051"/>
      <c r="E188" s="3707"/>
      <c r="F188" s="3708"/>
      <c r="G188" s="2305"/>
      <c r="H188" s="3712"/>
      <c r="I188" s="2305"/>
      <c r="J188" s="3712"/>
      <c r="K188" s="3662"/>
      <c r="L188" s="2257"/>
      <c r="M188" s="3662"/>
      <c r="N188" s="2257"/>
      <c r="O188" s="3750"/>
      <c r="P188" s="2197"/>
      <c r="Q188" s="2182"/>
      <c r="R188" s="3726"/>
      <c r="S188" s="3705"/>
      <c r="T188" s="2182"/>
      <c r="U188" s="2182"/>
      <c r="V188" s="1471" t="s">
        <v>2044</v>
      </c>
      <c r="W188" s="1368">
        <v>25000000</v>
      </c>
      <c r="X188" s="182" t="s">
        <v>2040</v>
      </c>
      <c r="Y188" s="1378">
        <v>61</v>
      </c>
      <c r="Z188" s="1047" t="s">
        <v>1699</v>
      </c>
      <c r="AA188" s="2157"/>
      <c r="AB188" s="2157"/>
      <c r="AC188" s="3685"/>
      <c r="AD188" s="2157"/>
      <c r="AE188" s="2157"/>
      <c r="AF188" s="2157"/>
      <c r="AG188" s="2157"/>
      <c r="AH188" s="2157"/>
      <c r="AI188" s="2157"/>
      <c r="AJ188" s="2157"/>
      <c r="AK188" s="2157"/>
      <c r="AL188" s="2157"/>
      <c r="AM188" s="2157"/>
      <c r="AN188" s="2157"/>
      <c r="AO188" s="2157"/>
      <c r="AP188" s="2157"/>
      <c r="AQ188" s="3674"/>
      <c r="AR188" s="3674"/>
      <c r="AS188" s="2157"/>
    </row>
    <row r="189" spans="1:45" ht="60" x14ac:dyDescent="0.25">
      <c r="A189" s="968"/>
      <c r="B189" s="1051"/>
      <c r="C189" s="1069"/>
      <c r="D189" s="1051"/>
      <c r="E189" s="3707"/>
      <c r="F189" s="3708"/>
      <c r="G189" s="2305"/>
      <c r="H189" s="3712"/>
      <c r="I189" s="2305"/>
      <c r="J189" s="3712"/>
      <c r="K189" s="3662"/>
      <c r="L189" s="2257"/>
      <c r="M189" s="3662"/>
      <c r="N189" s="2257"/>
      <c r="O189" s="3750"/>
      <c r="P189" s="2197"/>
      <c r="Q189" s="2182"/>
      <c r="R189" s="3726"/>
      <c r="S189" s="3705"/>
      <c r="T189" s="2182"/>
      <c r="U189" s="2182"/>
      <c r="V189" s="1471" t="s">
        <v>2045</v>
      </c>
      <c r="W189" s="1368">
        <v>10000000</v>
      </c>
      <c r="X189" s="182" t="s">
        <v>2040</v>
      </c>
      <c r="Y189" s="1378">
        <v>61</v>
      </c>
      <c r="Z189" s="1047" t="s">
        <v>1699</v>
      </c>
      <c r="AA189" s="2157"/>
      <c r="AB189" s="2157"/>
      <c r="AC189" s="3685"/>
      <c r="AD189" s="2157"/>
      <c r="AE189" s="2157"/>
      <c r="AF189" s="2157"/>
      <c r="AG189" s="2157"/>
      <c r="AH189" s="2157"/>
      <c r="AI189" s="2157"/>
      <c r="AJ189" s="2157"/>
      <c r="AK189" s="2157"/>
      <c r="AL189" s="2157"/>
      <c r="AM189" s="2157"/>
      <c r="AN189" s="2157"/>
      <c r="AO189" s="2157"/>
      <c r="AP189" s="2157"/>
      <c r="AQ189" s="3674"/>
      <c r="AR189" s="3674"/>
      <c r="AS189" s="2157"/>
    </row>
    <row r="190" spans="1:45" ht="30" x14ac:dyDescent="0.25">
      <c r="A190" s="968"/>
      <c r="B190" s="1051"/>
      <c r="C190" s="1069"/>
      <c r="D190" s="1051"/>
      <c r="E190" s="3707"/>
      <c r="F190" s="3708"/>
      <c r="G190" s="2305">
        <v>1905026</v>
      </c>
      <c r="H190" s="3712" t="s">
        <v>2015</v>
      </c>
      <c r="I190" s="2305">
        <v>1905026</v>
      </c>
      <c r="J190" s="3712" t="s">
        <v>2015</v>
      </c>
      <c r="K190" s="3662">
        <v>190502600</v>
      </c>
      <c r="L190" s="2257" t="s">
        <v>2016</v>
      </c>
      <c r="M190" s="3662">
        <v>190502600</v>
      </c>
      <c r="N190" s="2257" t="s">
        <v>2016</v>
      </c>
      <c r="O190" s="2261">
        <v>12</v>
      </c>
      <c r="P190" s="2197"/>
      <c r="Q190" s="2182"/>
      <c r="R190" s="3726">
        <f>SUM(W190:W195)/S183</f>
        <v>0.82133030074306301</v>
      </c>
      <c r="S190" s="3705"/>
      <c r="T190" s="2182"/>
      <c r="U190" s="2182" t="s">
        <v>2046</v>
      </c>
      <c r="V190" s="2196" t="s">
        <v>2047</v>
      </c>
      <c r="W190" s="1368">
        <f>36000000</f>
        <v>36000000</v>
      </c>
      <c r="X190" s="182" t="s">
        <v>2048</v>
      </c>
      <c r="Y190" s="1378">
        <v>61</v>
      </c>
      <c r="Z190" s="1047" t="s">
        <v>1699</v>
      </c>
      <c r="AA190" s="2157"/>
      <c r="AB190" s="2157"/>
      <c r="AC190" s="3685"/>
      <c r="AD190" s="2157"/>
      <c r="AE190" s="2157"/>
      <c r="AF190" s="2157"/>
      <c r="AG190" s="2157"/>
      <c r="AH190" s="2157"/>
      <c r="AI190" s="2157"/>
      <c r="AJ190" s="2157"/>
      <c r="AK190" s="2157"/>
      <c r="AL190" s="2157"/>
      <c r="AM190" s="2157"/>
      <c r="AN190" s="2157"/>
      <c r="AO190" s="2157"/>
      <c r="AP190" s="2157"/>
      <c r="AQ190" s="3674"/>
      <c r="AR190" s="3674"/>
      <c r="AS190" s="2157"/>
    </row>
    <row r="191" spans="1:45" ht="15" x14ac:dyDescent="0.25">
      <c r="A191" s="968"/>
      <c r="B191" s="1051"/>
      <c r="C191" s="1069"/>
      <c r="D191" s="1051"/>
      <c r="E191" s="3707"/>
      <c r="F191" s="3708"/>
      <c r="G191" s="2305"/>
      <c r="H191" s="3712"/>
      <c r="I191" s="2305"/>
      <c r="J191" s="3712"/>
      <c r="K191" s="3662"/>
      <c r="L191" s="2257"/>
      <c r="M191" s="3662"/>
      <c r="N191" s="2257"/>
      <c r="O191" s="2262"/>
      <c r="P191" s="2197"/>
      <c r="Q191" s="2182"/>
      <c r="R191" s="3726"/>
      <c r="S191" s="3705"/>
      <c r="T191" s="2182"/>
      <c r="U191" s="2182"/>
      <c r="V191" s="3162"/>
      <c r="W191" s="1368">
        <v>130000000</v>
      </c>
      <c r="X191" s="182" t="s">
        <v>2049</v>
      </c>
      <c r="Y191" s="1378">
        <v>20</v>
      </c>
      <c r="Z191" s="1047" t="s">
        <v>73</v>
      </c>
      <c r="AA191" s="2157"/>
      <c r="AB191" s="2157"/>
      <c r="AC191" s="3685"/>
      <c r="AD191" s="2157"/>
      <c r="AE191" s="2157"/>
      <c r="AF191" s="2157"/>
      <c r="AG191" s="2157"/>
      <c r="AH191" s="2157"/>
      <c r="AI191" s="2157"/>
      <c r="AJ191" s="2157"/>
      <c r="AK191" s="2157"/>
      <c r="AL191" s="2157"/>
      <c r="AM191" s="2157"/>
      <c r="AN191" s="2157"/>
      <c r="AO191" s="2157"/>
      <c r="AP191" s="2157"/>
      <c r="AQ191" s="3674"/>
      <c r="AR191" s="3674"/>
      <c r="AS191" s="2157"/>
    </row>
    <row r="192" spans="1:45" ht="15" x14ac:dyDescent="0.25">
      <c r="A192" s="968"/>
      <c r="B192" s="1051"/>
      <c r="C192" s="1069"/>
      <c r="D192" s="1051"/>
      <c r="E192" s="3707"/>
      <c r="F192" s="3708"/>
      <c r="G192" s="2305"/>
      <c r="H192" s="3712"/>
      <c r="I192" s="2305"/>
      <c r="J192" s="3712"/>
      <c r="K192" s="3662"/>
      <c r="L192" s="2257"/>
      <c r="M192" s="3662"/>
      <c r="N192" s="2257"/>
      <c r="O192" s="2262"/>
      <c r="P192" s="2197"/>
      <c r="Q192" s="2182"/>
      <c r="R192" s="3726"/>
      <c r="S192" s="3705"/>
      <c r="T192" s="2182"/>
      <c r="U192" s="2182"/>
      <c r="V192" s="3162"/>
      <c r="W192" s="1368">
        <v>210707393</v>
      </c>
      <c r="X192" s="182" t="s">
        <v>2050</v>
      </c>
      <c r="Y192" s="1378">
        <v>111</v>
      </c>
      <c r="Z192" s="1047" t="s">
        <v>2051</v>
      </c>
      <c r="AA192" s="2157"/>
      <c r="AB192" s="2157"/>
      <c r="AC192" s="3685"/>
      <c r="AD192" s="2157"/>
      <c r="AE192" s="2157"/>
      <c r="AF192" s="2157"/>
      <c r="AG192" s="2157"/>
      <c r="AH192" s="2157"/>
      <c r="AI192" s="2157"/>
      <c r="AJ192" s="2157"/>
      <c r="AK192" s="2157"/>
      <c r="AL192" s="2157"/>
      <c r="AM192" s="2157"/>
      <c r="AN192" s="2157"/>
      <c r="AO192" s="2157"/>
      <c r="AP192" s="2157"/>
      <c r="AQ192" s="3674"/>
      <c r="AR192" s="3674"/>
      <c r="AS192" s="2157"/>
    </row>
    <row r="193" spans="1:45" ht="30" x14ac:dyDescent="0.25">
      <c r="A193" s="968"/>
      <c r="B193" s="1051"/>
      <c r="C193" s="1069"/>
      <c r="D193" s="1051"/>
      <c r="E193" s="3707"/>
      <c r="F193" s="3708"/>
      <c r="G193" s="2305"/>
      <c r="H193" s="3712"/>
      <c r="I193" s="2305"/>
      <c r="J193" s="3712"/>
      <c r="K193" s="3662"/>
      <c r="L193" s="2257"/>
      <c r="M193" s="3662"/>
      <c r="N193" s="2257"/>
      <c r="O193" s="2262"/>
      <c r="P193" s="2197"/>
      <c r="Q193" s="2182"/>
      <c r="R193" s="3726"/>
      <c r="S193" s="3705"/>
      <c r="T193" s="2182"/>
      <c r="U193" s="2182"/>
      <c r="V193" s="1471" t="s">
        <v>2052</v>
      </c>
      <c r="W193" s="1368">
        <v>10000000</v>
      </c>
      <c r="X193" s="182" t="s">
        <v>2048</v>
      </c>
      <c r="Y193" s="1378">
        <v>61</v>
      </c>
      <c r="Z193" s="1047" t="s">
        <v>1699</v>
      </c>
      <c r="AA193" s="2157"/>
      <c r="AB193" s="2157"/>
      <c r="AC193" s="3685"/>
      <c r="AD193" s="2157"/>
      <c r="AE193" s="2157"/>
      <c r="AF193" s="2157"/>
      <c r="AG193" s="2157"/>
      <c r="AH193" s="2157"/>
      <c r="AI193" s="2157"/>
      <c r="AJ193" s="2157"/>
      <c r="AK193" s="2157"/>
      <c r="AL193" s="2157"/>
      <c r="AM193" s="2157"/>
      <c r="AN193" s="2157"/>
      <c r="AO193" s="2157"/>
      <c r="AP193" s="2157"/>
      <c r="AQ193" s="3674"/>
      <c r="AR193" s="3674"/>
      <c r="AS193" s="2157"/>
    </row>
    <row r="194" spans="1:45" ht="60" x14ac:dyDescent="0.25">
      <c r="A194" s="968"/>
      <c r="B194" s="1051"/>
      <c r="C194" s="1069"/>
      <c r="D194" s="1051"/>
      <c r="E194" s="3707"/>
      <c r="F194" s="3708"/>
      <c r="G194" s="2305"/>
      <c r="H194" s="3712"/>
      <c r="I194" s="2305"/>
      <c r="J194" s="3712"/>
      <c r="K194" s="3662"/>
      <c r="L194" s="2257"/>
      <c r="M194" s="3662"/>
      <c r="N194" s="2257"/>
      <c r="O194" s="2262"/>
      <c r="P194" s="2197"/>
      <c r="Q194" s="2182"/>
      <c r="R194" s="3726"/>
      <c r="S194" s="3705"/>
      <c r="T194" s="2182"/>
      <c r="U194" s="2182"/>
      <c r="V194" s="1471" t="s">
        <v>2053</v>
      </c>
      <c r="W194" s="1368">
        <f>26000000+14000000</f>
        <v>40000000</v>
      </c>
      <c r="X194" s="182" t="s">
        <v>2048</v>
      </c>
      <c r="Y194" s="1378">
        <v>61</v>
      </c>
      <c r="Z194" s="1047" t="s">
        <v>1699</v>
      </c>
      <c r="AA194" s="2157"/>
      <c r="AB194" s="2157"/>
      <c r="AC194" s="3685"/>
      <c r="AD194" s="2157"/>
      <c r="AE194" s="2157"/>
      <c r="AF194" s="2157"/>
      <c r="AG194" s="2157"/>
      <c r="AH194" s="2157"/>
      <c r="AI194" s="2157"/>
      <c r="AJ194" s="2157"/>
      <c r="AK194" s="2157"/>
      <c r="AL194" s="2157"/>
      <c r="AM194" s="2157"/>
      <c r="AN194" s="2157"/>
      <c r="AO194" s="2157"/>
      <c r="AP194" s="2157"/>
      <c r="AQ194" s="3674"/>
      <c r="AR194" s="3674"/>
      <c r="AS194" s="2157"/>
    </row>
    <row r="195" spans="1:45" ht="30" x14ac:dyDescent="0.25">
      <c r="A195" s="968"/>
      <c r="B195" s="1051"/>
      <c r="C195" s="1069"/>
      <c r="D195" s="1051"/>
      <c r="E195" s="3707"/>
      <c r="F195" s="3708"/>
      <c r="G195" s="2305"/>
      <c r="H195" s="3712"/>
      <c r="I195" s="2305"/>
      <c r="J195" s="3712"/>
      <c r="K195" s="3662"/>
      <c r="L195" s="2257"/>
      <c r="M195" s="3662"/>
      <c r="N195" s="2257"/>
      <c r="O195" s="2263"/>
      <c r="P195" s="2197"/>
      <c r="Q195" s="2182"/>
      <c r="R195" s="3726"/>
      <c r="S195" s="3705"/>
      <c r="T195" s="2182"/>
      <c r="U195" s="2182"/>
      <c r="V195" s="1471" t="s">
        <v>2054</v>
      </c>
      <c r="W195" s="1383">
        <v>10000000</v>
      </c>
      <c r="X195" s="182" t="s">
        <v>2048</v>
      </c>
      <c r="Y195" s="1378">
        <v>61</v>
      </c>
      <c r="Z195" s="1047" t="s">
        <v>1699</v>
      </c>
      <c r="AA195" s="2304"/>
      <c r="AB195" s="2157"/>
      <c r="AC195" s="3685"/>
      <c r="AD195" s="2157"/>
      <c r="AE195" s="2157"/>
      <c r="AF195" s="2157"/>
      <c r="AG195" s="2157"/>
      <c r="AH195" s="2157"/>
      <c r="AI195" s="2157"/>
      <c r="AJ195" s="2157"/>
      <c r="AK195" s="2157"/>
      <c r="AL195" s="2157"/>
      <c r="AM195" s="2157"/>
      <c r="AN195" s="2157"/>
      <c r="AO195" s="2157"/>
      <c r="AP195" s="2157"/>
      <c r="AQ195" s="3674"/>
      <c r="AR195" s="3674"/>
      <c r="AS195" s="2157"/>
    </row>
    <row r="196" spans="1:45" ht="99.75" customHeight="1" x14ac:dyDescent="0.25">
      <c r="A196" s="968"/>
      <c r="B196" s="1051"/>
      <c r="C196" s="1069"/>
      <c r="D196" s="1051"/>
      <c r="E196" s="3707"/>
      <c r="F196" s="3708"/>
      <c r="G196" s="1061">
        <v>1905014</v>
      </c>
      <c r="H196" s="1688" t="s">
        <v>242</v>
      </c>
      <c r="I196" s="1061">
        <v>1905014</v>
      </c>
      <c r="J196" s="1688" t="s">
        <v>242</v>
      </c>
      <c r="K196" s="1384">
        <v>190501400</v>
      </c>
      <c r="L196" s="1520" t="s">
        <v>1274</v>
      </c>
      <c r="M196" s="1384">
        <v>190501400</v>
      </c>
      <c r="N196" s="1520" t="s">
        <v>1274</v>
      </c>
      <c r="O196" s="1119">
        <v>12</v>
      </c>
      <c r="P196" s="2197" t="s">
        <v>2055</v>
      </c>
      <c r="Q196" s="2182" t="s">
        <v>2056</v>
      </c>
      <c r="R196" s="1381">
        <f>W196/S196</f>
        <v>0.19403819802573716</v>
      </c>
      <c r="S196" s="3705">
        <f>SUM(W196:W210)</f>
        <v>221605851</v>
      </c>
      <c r="T196" s="2182" t="s">
        <v>2057</v>
      </c>
      <c r="U196" s="1691" t="s">
        <v>2058</v>
      </c>
      <c r="V196" s="1472" t="s">
        <v>2059</v>
      </c>
      <c r="W196" s="1369">
        <v>43000000</v>
      </c>
      <c r="X196" s="1220" t="s">
        <v>2060</v>
      </c>
      <c r="Y196" s="1081">
        <v>61</v>
      </c>
      <c r="Z196" s="1048" t="s">
        <v>1699</v>
      </c>
      <c r="AA196" s="3724">
        <v>289394</v>
      </c>
      <c r="AB196" s="3724">
        <v>279112</v>
      </c>
      <c r="AC196" s="3738">
        <v>63164</v>
      </c>
      <c r="AD196" s="3724">
        <v>45607</v>
      </c>
      <c r="AE196" s="3724">
        <v>365607</v>
      </c>
      <c r="AF196" s="3724">
        <v>75612</v>
      </c>
      <c r="AG196" s="3724">
        <v>2145</v>
      </c>
      <c r="AH196" s="3724">
        <v>12718</v>
      </c>
      <c r="AI196" s="3724">
        <v>26</v>
      </c>
      <c r="AJ196" s="3724">
        <v>37</v>
      </c>
      <c r="AK196" s="3724">
        <v>0</v>
      </c>
      <c r="AL196" s="3724">
        <v>0</v>
      </c>
      <c r="AM196" s="3724">
        <v>78</v>
      </c>
      <c r="AN196" s="3724">
        <v>16897</v>
      </c>
      <c r="AO196" s="3724">
        <v>852</v>
      </c>
      <c r="AP196" s="3724">
        <v>568506</v>
      </c>
      <c r="AQ196" s="3673"/>
      <c r="AR196" s="3673"/>
      <c r="AS196" s="2287" t="s">
        <v>1700</v>
      </c>
    </row>
    <row r="197" spans="1:45" ht="31.5" customHeight="1" x14ac:dyDescent="0.25">
      <c r="A197" s="968"/>
      <c r="B197" s="1051"/>
      <c r="C197" s="1069"/>
      <c r="D197" s="1051"/>
      <c r="E197" s="3707"/>
      <c r="F197" s="3708"/>
      <c r="G197" s="2305">
        <v>1905026</v>
      </c>
      <c r="H197" s="3712" t="s">
        <v>2061</v>
      </c>
      <c r="I197" s="2305">
        <v>1905026</v>
      </c>
      <c r="J197" s="3712" t="s">
        <v>2061</v>
      </c>
      <c r="K197" s="3662">
        <v>190502600</v>
      </c>
      <c r="L197" s="2257" t="s">
        <v>2016</v>
      </c>
      <c r="M197" s="3662">
        <v>190502600</v>
      </c>
      <c r="N197" s="2257" t="s">
        <v>2016</v>
      </c>
      <c r="O197" s="3750">
        <v>12</v>
      </c>
      <c r="P197" s="2197"/>
      <c r="Q197" s="2182"/>
      <c r="R197" s="3726">
        <f>SUM(W197:W210)/S196</f>
        <v>0.80596180197426281</v>
      </c>
      <c r="S197" s="3705"/>
      <c r="T197" s="2182"/>
      <c r="U197" s="2182" t="s">
        <v>2062</v>
      </c>
      <c r="V197" s="2196" t="s">
        <v>2063</v>
      </c>
      <c r="W197" s="1369">
        <v>17000000</v>
      </c>
      <c r="X197" s="182" t="s">
        <v>2064</v>
      </c>
      <c r="Y197" s="1081">
        <v>113</v>
      </c>
      <c r="Z197" s="1048" t="s">
        <v>2065</v>
      </c>
      <c r="AA197" s="3725"/>
      <c r="AB197" s="3725"/>
      <c r="AC197" s="3739"/>
      <c r="AD197" s="3725"/>
      <c r="AE197" s="3725"/>
      <c r="AF197" s="3725"/>
      <c r="AG197" s="3725"/>
      <c r="AH197" s="3725"/>
      <c r="AI197" s="3725"/>
      <c r="AJ197" s="3725"/>
      <c r="AK197" s="3725"/>
      <c r="AL197" s="3725"/>
      <c r="AM197" s="3725"/>
      <c r="AN197" s="3725"/>
      <c r="AO197" s="3725"/>
      <c r="AP197" s="3725"/>
      <c r="AQ197" s="3674"/>
      <c r="AR197" s="3674"/>
      <c r="AS197" s="2157"/>
    </row>
    <row r="198" spans="1:45" ht="31.5" customHeight="1" x14ac:dyDescent="0.25">
      <c r="A198" s="968"/>
      <c r="B198" s="1051"/>
      <c r="C198" s="1069"/>
      <c r="D198" s="1051"/>
      <c r="E198" s="3707"/>
      <c r="F198" s="3708"/>
      <c r="G198" s="2305"/>
      <c r="H198" s="3712"/>
      <c r="I198" s="2305"/>
      <c r="J198" s="3712"/>
      <c r="K198" s="3662"/>
      <c r="L198" s="2257"/>
      <c r="M198" s="3662"/>
      <c r="N198" s="2257"/>
      <c r="O198" s="3750"/>
      <c r="P198" s="2197"/>
      <c r="Q198" s="2182"/>
      <c r="R198" s="3726"/>
      <c r="S198" s="3705"/>
      <c r="T198" s="2182"/>
      <c r="U198" s="2182"/>
      <c r="V198" s="3163"/>
      <c r="W198" s="1368">
        <v>4927171</v>
      </c>
      <c r="X198" s="182" t="s">
        <v>2066</v>
      </c>
      <c r="Y198" s="1122">
        <v>114</v>
      </c>
      <c r="Z198" s="1047" t="s">
        <v>2067</v>
      </c>
      <c r="AA198" s="3725"/>
      <c r="AB198" s="3725"/>
      <c r="AC198" s="3739"/>
      <c r="AD198" s="3725"/>
      <c r="AE198" s="3725"/>
      <c r="AF198" s="3725"/>
      <c r="AG198" s="3725"/>
      <c r="AH198" s="3725"/>
      <c r="AI198" s="3725"/>
      <c r="AJ198" s="3725"/>
      <c r="AK198" s="3725"/>
      <c r="AL198" s="3725"/>
      <c r="AM198" s="3725"/>
      <c r="AN198" s="3725"/>
      <c r="AO198" s="3725"/>
      <c r="AP198" s="3725"/>
      <c r="AQ198" s="3674"/>
      <c r="AR198" s="3674"/>
      <c r="AS198" s="2157"/>
    </row>
    <row r="199" spans="1:45" ht="60.75" customHeight="1" x14ac:dyDescent="0.25">
      <c r="A199" s="968"/>
      <c r="B199" s="1051"/>
      <c r="C199" s="1069"/>
      <c r="D199" s="1051"/>
      <c r="E199" s="3707"/>
      <c r="F199" s="3708"/>
      <c r="G199" s="2305"/>
      <c r="H199" s="3712"/>
      <c r="I199" s="2305"/>
      <c r="J199" s="3712"/>
      <c r="K199" s="3662"/>
      <c r="L199" s="2257"/>
      <c r="M199" s="3662"/>
      <c r="N199" s="2257"/>
      <c r="O199" s="3750"/>
      <c r="P199" s="2197"/>
      <c r="Q199" s="2182"/>
      <c r="R199" s="3726"/>
      <c r="S199" s="3705"/>
      <c r="T199" s="2182"/>
      <c r="U199" s="2182"/>
      <c r="V199" s="1471" t="s">
        <v>2068</v>
      </c>
      <c r="W199" s="1368">
        <f>15000000+838724</f>
        <v>15838724</v>
      </c>
      <c r="X199" s="182" t="s">
        <v>2064</v>
      </c>
      <c r="Y199" s="1122">
        <v>113</v>
      </c>
      <c r="Z199" s="1047" t="s">
        <v>2065</v>
      </c>
      <c r="AA199" s="3725"/>
      <c r="AB199" s="3725"/>
      <c r="AC199" s="3739"/>
      <c r="AD199" s="3725"/>
      <c r="AE199" s="3725"/>
      <c r="AF199" s="3725"/>
      <c r="AG199" s="3725"/>
      <c r="AH199" s="3725"/>
      <c r="AI199" s="3725"/>
      <c r="AJ199" s="3725"/>
      <c r="AK199" s="3725"/>
      <c r="AL199" s="3725"/>
      <c r="AM199" s="3725"/>
      <c r="AN199" s="3725"/>
      <c r="AO199" s="3725"/>
      <c r="AP199" s="3725"/>
      <c r="AQ199" s="3674"/>
      <c r="AR199" s="3674"/>
      <c r="AS199" s="2157"/>
    </row>
    <row r="200" spans="1:45" ht="27.75" customHeight="1" x14ac:dyDescent="0.25">
      <c r="A200" s="968"/>
      <c r="B200" s="1051"/>
      <c r="C200" s="1069"/>
      <c r="D200" s="1051"/>
      <c r="E200" s="3707"/>
      <c r="F200" s="3708"/>
      <c r="G200" s="2305"/>
      <c r="H200" s="3712"/>
      <c r="I200" s="2305"/>
      <c r="J200" s="3712"/>
      <c r="K200" s="3662"/>
      <c r="L200" s="2257"/>
      <c r="M200" s="3662"/>
      <c r="N200" s="2257"/>
      <c r="O200" s="3750"/>
      <c r="P200" s="2197"/>
      <c r="Q200" s="2182"/>
      <c r="R200" s="3726"/>
      <c r="S200" s="3705"/>
      <c r="T200" s="2182"/>
      <c r="U200" s="2182"/>
      <c r="V200" s="2196" t="s">
        <v>2069</v>
      </c>
      <c r="W200" s="1369">
        <f>14000000-1000000</f>
        <v>13000000</v>
      </c>
      <c r="X200" s="182" t="s">
        <v>2064</v>
      </c>
      <c r="Y200" s="1081">
        <v>113</v>
      </c>
      <c r="Z200" s="1048" t="s">
        <v>2065</v>
      </c>
      <c r="AA200" s="3725"/>
      <c r="AB200" s="3725"/>
      <c r="AC200" s="3739"/>
      <c r="AD200" s="3725"/>
      <c r="AE200" s="3725"/>
      <c r="AF200" s="3725"/>
      <c r="AG200" s="3725"/>
      <c r="AH200" s="3725"/>
      <c r="AI200" s="3725"/>
      <c r="AJ200" s="3725"/>
      <c r="AK200" s="3725"/>
      <c r="AL200" s="3725"/>
      <c r="AM200" s="3725"/>
      <c r="AN200" s="3725"/>
      <c r="AO200" s="3725"/>
      <c r="AP200" s="3725"/>
      <c r="AQ200" s="3674"/>
      <c r="AR200" s="3674"/>
      <c r="AS200" s="2157"/>
    </row>
    <row r="201" spans="1:45" ht="30.75" customHeight="1" x14ac:dyDescent="0.25">
      <c r="A201" s="968"/>
      <c r="B201" s="1051"/>
      <c r="C201" s="1069"/>
      <c r="D201" s="1051"/>
      <c r="E201" s="3707"/>
      <c r="F201" s="3708"/>
      <c r="G201" s="2305"/>
      <c r="H201" s="3712"/>
      <c r="I201" s="2305"/>
      <c r="J201" s="3712"/>
      <c r="K201" s="3662"/>
      <c r="L201" s="2257"/>
      <c r="M201" s="3662"/>
      <c r="N201" s="2257"/>
      <c r="O201" s="3750"/>
      <c r="P201" s="2197"/>
      <c r="Q201" s="2182"/>
      <c r="R201" s="3726"/>
      <c r="S201" s="3705"/>
      <c r="T201" s="2182"/>
      <c r="U201" s="2182"/>
      <c r="V201" s="3163"/>
      <c r="W201" s="1368">
        <v>1000000</v>
      </c>
      <c r="X201" s="182" t="s">
        <v>2066</v>
      </c>
      <c r="Y201" s="1122">
        <v>114</v>
      </c>
      <c r="Z201" s="1047" t="s">
        <v>2067</v>
      </c>
      <c r="AA201" s="3725"/>
      <c r="AB201" s="3725"/>
      <c r="AC201" s="3739"/>
      <c r="AD201" s="3725"/>
      <c r="AE201" s="3725"/>
      <c r="AF201" s="3725"/>
      <c r="AG201" s="3725"/>
      <c r="AH201" s="3725"/>
      <c r="AI201" s="3725"/>
      <c r="AJ201" s="3725"/>
      <c r="AK201" s="3725"/>
      <c r="AL201" s="3725"/>
      <c r="AM201" s="3725"/>
      <c r="AN201" s="3725"/>
      <c r="AO201" s="3725"/>
      <c r="AP201" s="3725"/>
      <c r="AQ201" s="3674"/>
      <c r="AR201" s="3674"/>
      <c r="AS201" s="2157"/>
    </row>
    <row r="202" spans="1:45" ht="26.25" customHeight="1" x14ac:dyDescent="0.25">
      <c r="A202" s="968"/>
      <c r="B202" s="1051"/>
      <c r="C202" s="1069"/>
      <c r="D202" s="1051"/>
      <c r="E202" s="3707"/>
      <c r="F202" s="3708"/>
      <c r="G202" s="2305"/>
      <c r="H202" s="3712"/>
      <c r="I202" s="2305"/>
      <c r="J202" s="3712"/>
      <c r="K202" s="3662"/>
      <c r="L202" s="2257"/>
      <c r="M202" s="3662"/>
      <c r="N202" s="2257"/>
      <c r="O202" s="3750"/>
      <c r="P202" s="2197"/>
      <c r="Q202" s="2182"/>
      <c r="R202" s="3726"/>
      <c r="S202" s="3705"/>
      <c r="T202" s="2182"/>
      <c r="U202" s="2182"/>
      <c r="V202" s="2196" t="s">
        <v>2070</v>
      </c>
      <c r="W202" s="1369">
        <f>14000000-2541113</f>
        <v>11458887</v>
      </c>
      <c r="X202" s="182" t="s">
        <v>2064</v>
      </c>
      <c r="Y202" s="1081">
        <v>113</v>
      </c>
      <c r="Z202" s="1048" t="s">
        <v>2065</v>
      </c>
      <c r="AA202" s="3725"/>
      <c r="AB202" s="3725"/>
      <c r="AC202" s="3739"/>
      <c r="AD202" s="3725"/>
      <c r="AE202" s="3725"/>
      <c r="AF202" s="3725"/>
      <c r="AG202" s="3725"/>
      <c r="AH202" s="3725"/>
      <c r="AI202" s="3725"/>
      <c r="AJ202" s="3725"/>
      <c r="AK202" s="3725"/>
      <c r="AL202" s="3725"/>
      <c r="AM202" s="3725"/>
      <c r="AN202" s="3725"/>
      <c r="AO202" s="3725"/>
      <c r="AP202" s="3725"/>
      <c r="AQ202" s="3674"/>
      <c r="AR202" s="3674"/>
      <c r="AS202" s="2157"/>
    </row>
    <row r="203" spans="1:45" ht="42.75" customHeight="1" x14ac:dyDescent="0.25">
      <c r="A203" s="968"/>
      <c r="B203" s="1051"/>
      <c r="C203" s="1069"/>
      <c r="D203" s="1051"/>
      <c r="E203" s="3707"/>
      <c r="F203" s="3708"/>
      <c r="G203" s="2305"/>
      <c r="H203" s="3712"/>
      <c r="I203" s="2305"/>
      <c r="J203" s="3712"/>
      <c r="K203" s="3662"/>
      <c r="L203" s="2257"/>
      <c r="M203" s="3662"/>
      <c r="N203" s="2257"/>
      <c r="O203" s="3750"/>
      <c r="P203" s="2197"/>
      <c r="Q203" s="2182"/>
      <c r="R203" s="3726"/>
      <c r="S203" s="3705"/>
      <c r="T203" s="2182"/>
      <c r="U203" s="2182"/>
      <c r="V203" s="3163"/>
      <c r="W203" s="1368">
        <v>1000000</v>
      </c>
      <c r="X203" s="182" t="s">
        <v>2066</v>
      </c>
      <c r="Y203" s="1122">
        <v>114</v>
      </c>
      <c r="Z203" s="1047" t="s">
        <v>2067</v>
      </c>
      <c r="AA203" s="3725"/>
      <c r="AB203" s="3725"/>
      <c r="AC203" s="3739"/>
      <c r="AD203" s="3725"/>
      <c r="AE203" s="3725"/>
      <c r="AF203" s="3725"/>
      <c r="AG203" s="3725"/>
      <c r="AH203" s="3725"/>
      <c r="AI203" s="3725"/>
      <c r="AJ203" s="3725"/>
      <c r="AK203" s="3725"/>
      <c r="AL203" s="3725"/>
      <c r="AM203" s="3725"/>
      <c r="AN203" s="3725"/>
      <c r="AO203" s="3725"/>
      <c r="AP203" s="3725"/>
      <c r="AQ203" s="3674"/>
      <c r="AR203" s="3674"/>
      <c r="AS203" s="2157"/>
    </row>
    <row r="204" spans="1:45" ht="24" customHeight="1" x14ac:dyDescent="0.25">
      <c r="A204" s="968"/>
      <c r="B204" s="1051"/>
      <c r="C204" s="1069"/>
      <c r="D204" s="1051"/>
      <c r="E204" s="3707"/>
      <c r="F204" s="3708"/>
      <c r="G204" s="2305"/>
      <c r="H204" s="3712"/>
      <c r="I204" s="2305"/>
      <c r="J204" s="3712"/>
      <c r="K204" s="3662"/>
      <c r="L204" s="2257"/>
      <c r="M204" s="3662"/>
      <c r="N204" s="2257"/>
      <c r="O204" s="3750"/>
      <c r="P204" s="2197"/>
      <c r="Q204" s="2182"/>
      <c r="R204" s="3726"/>
      <c r="S204" s="3705"/>
      <c r="T204" s="2182"/>
      <c r="U204" s="2182"/>
      <c r="V204" s="2196" t="s">
        <v>2071</v>
      </c>
      <c r="W204" s="1369">
        <v>14000000</v>
      </c>
      <c r="X204" s="182" t="s">
        <v>2064</v>
      </c>
      <c r="Y204" s="1081">
        <v>113</v>
      </c>
      <c r="Z204" s="1048" t="s">
        <v>2065</v>
      </c>
      <c r="AA204" s="3725"/>
      <c r="AB204" s="3725"/>
      <c r="AC204" s="3739"/>
      <c r="AD204" s="3725"/>
      <c r="AE204" s="3725"/>
      <c r="AF204" s="3725"/>
      <c r="AG204" s="3725"/>
      <c r="AH204" s="3725"/>
      <c r="AI204" s="3725"/>
      <c r="AJ204" s="3725"/>
      <c r="AK204" s="3725"/>
      <c r="AL204" s="3725"/>
      <c r="AM204" s="3725"/>
      <c r="AN204" s="3725"/>
      <c r="AO204" s="3725"/>
      <c r="AP204" s="3725"/>
      <c r="AQ204" s="3674"/>
      <c r="AR204" s="3674"/>
      <c r="AS204" s="2157"/>
    </row>
    <row r="205" spans="1:45" ht="43.5" customHeight="1" x14ac:dyDescent="0.25">
      <c r="A205" s="968"/>
      <c r="B205" s="1051"/>
      <c r="C205" s="1069"/>
      <c r="D205" s="1051"/>
      <c r="E205" s="3707"/>
      <c r="F205" s="3708"/>
      <c r="G205" s="2305"/>
      <c r="H205" s="3712"/>
      <c r="I205" s="2305"/>
      <c r="J205" s="3712"/>
      <c r="K205" s="3662"/>
      <c r="L205" s="2257"/>
      <c r="M205" s="3662"/>
      <c r="N205" s="2257"/>
      <c r="O205" s="3750"/>
      <c r="P205" s="2197"/>
      <c r="Q205" s="2182"/>
      <c r="R205" s="3726"/>
      <c r="S205" s="3705"/>
      <c r="T205" s="2182"/>
      <c r="U205" s="2182"/>
      <c r="V205" s="3163"/>
      <c r="W205" s="1368">
        <v>1000000</v>
      </c>
      <c r="X205" s="182" t="s">
        <v>2066</v>
      </c>
      <c r="Y205" s="1122">
        <v>114</v>
      </c>
      <c r="Z205" s="1047" t="s">
        <v>2067</v>
      </c>
      <c r="AA205" s="3725"/>
      <c r="AB205" s="3725"/>
      <c r="AC205" s="3739"/>
      <c r="AD205" s="3725"/>
      <c r="AE205" s="3725"/>
      <c r="AF205" s="3725"/>
      <c r="AG205" s="3725"/>
      <c r="AH205" s="3725"/>
      <c r="AI205" s="3725"/>
      <c r="AJ205" s="3725"/>
      <c r="AK205" s="3725"/>
      <c r="AL205" s="3725"/>
      <c r="AM205" s="3725"/>
      <c r="AN205" s="3725"/>
      <c r="AO205" s="3725"/>
      <c r="AP205" s="3725"/>
      <c r="AQ205" s="3674"/>
      <c r="AR205" s="3674"/>
      <c r="AS205" s="2157"/>
    </row>
    <row r="206" spans="1:45" ht="49.5" customHeight="1" x14ac:dyDescent="0.25">
      <c r="A206" s="968"/>
      <c r="B206" s="1051"/>
      <c r="C206" s="1069"/>
      <c r="D206" s="1051"/>
      <c r="E206" s="3707"/>
      <c r="F206" s="3708"/>
      <c r="G206" s="2305"/>
      <c r="H206" s="3712"/>
      <c r="I206" s="2305"/>
      <c r="J206" s="3712"/>
      <c r="K206" s="3662"/>
      <c r="L206" s="2257"/>
      <c r="M206" s="3662"/>
      <c r="N206" s="2257"/>
      <c r="O206" s="3750"/>
      <c r="P206" s="2197"/>
      <c r="Q206" s="2182"/>
      <c r="R206" s="3726"/>
      <c r="S206" s="3705"/>
      <c r="T206" s="2182"/>
      <c r="U206" s="2182"/>
      <c r="V206" s="1486" t="s">
        <v>2072</v>
      </c>
      <c r="W206" s="1368">
        <v>15000000</v>
      </c>
      <c r="X206" s="182" t="s">
        <v>2064</v>
      </c>
      <c r="Y206" s="1122">
        <v>113</v>
      </c>
      <c r="Z206" s="1047" t="s">
        <v>2065</v>
      </c>
      <c r="AA206" s="3725"/>
      <c r="AB206" s="3725"/>
      <c r="AC206" s="3739"/>
      <c r="AD206" s="3725"/>
      <c r="AE206" s="3725"/>
      <c r="AF206" s="3725"/>
      <c r="AG206" s="3725"/>
      <c r="AH206" s="3725"/>
      <c r="AI206" s="3725"/>
      <c r="AJ206" s="3725"/>
      <c r="AK206" s="3725"/>
      <c r="AL206" s="3725"/>
      <c r="AM206" s="3725"/>
      <c r="AN206" s="3725"/>
      <c r="AO206" s="3725"/>
      <c r="AP206" s="3725"/>
      <c r="AQ206" s="3674"/>
      <c r="AR206" s="3674"/>
      <c r="AS206" s="2157"/>
    </row>
    <row r="207" spans="1:45" ht="26.25" customHeight="1" x14ac:dyDescent="0.25">
      <c r="A207" s="968"/>
      <c r="B207" s="1051"/>
      <c r="C207" s="1069"/>
      <c r="D207" s="1051"/>
      <c r="E207" s="3707"/>
      <c r="F207" s="3708"/>
      <c r="G207" s="2305"/>
      <c r="H207" s="3712"/>
      <c r="I207" s="2305"/>
      <c r="J207" s="3712"/>
      <c r="K207" s="3662"/>
      <c r="L207" s="2257"/>
      <c r="M207" s="3662"/>
      <c r="N207" s="2257"/>
      <c r="O207" s="3750"/>
      <c r="P207" s="2197"/>
      <c r="Q207" s="2182"/>
      <c r="R207" s="3726"/>
      <c r="S207" s="3705"/>
      <c r="T207" s="2182"/>
      <c r="U207" s="2182"/>
      <c r="V207" s="2196" t="s">
        <v>2073</v>
      </c>
      <c r="W207" s="1369">
        <v>35000000</v>
      </c>
      <c r="X207" s="182" t="s">
        <v>2064</v>
      </c>
      <c r="Y207" s="1081">
        <v>113</v>
      </c>
      <c r="Z207" s="1048" t="s">
        <v>2065</v>
      </c>
      <c r="AA207" s="3725"/>
      <c r="AB207" s="3725"/>
      <c r="AC207" s="3739"/>
      <c r="AD207" s="3725"/>
      <c r="AE207" s="3725"/>
      <c r="AF207" s="3725"/>
      <c r="AG207" s="3725"/>
      <c r="AH207" s="3725"/>
      <c r="AI207" s="3725"/>
      <c r="AJ207" s="3725"/>
      <c r="AK207" s="3725"/>
      <c r="AL207" s="3725"/>
      <c r="AM207" s="3725"/>
      <c r="AN207" s="3725"/>
      <c r="AO207" s="3725"/>
      <c r="AP207" s="3725"/>
      <c r="AQ207" s="3674"/>
      <c r="AR207" s="3674"/>
      <c r="AS207" s="2157"/>
    </row>
    <row r="208" spans="1:45" ht="27" customHeight="1" x14ac:dyDescent="0.25">
      <c r="A208" s="968"/>
      <c r="B208" s="1051"/>
      <c r="C208" s="1069"/>
      <c r="D208" s="1051"/>
      <c r="E208" s="3707"/>
      <c r="F208" s="3708"/>
      <c r="G208" s="2305"/>
      <c r="H208" s="3712"/>
      <c r="I208" s="2305"/>
      <c r="J208" s="3712"/>
      <c r="K208" s="3662"/>
      <c r="L208" s="2257"/>
      <c r="M208" s="3662"/>
      <c r="N208" s="2257"/>
      <c r="O208" s="3750"/>
      <c r="P208" s="2197"/>
      <c r="Q208" s="2182"/>
      <c r="R208" s="3726"/>
      <c r="S208" s="3705"/>
      <c r="T208" s="2182"/>
      <c r="U208" s="2182"/>
      <c r="V208" s="3163"/>
      <c r="W208" s="1368">
        <v>8000000</v>
      </c>
      <c r="X208" s="182" t="s">
        <v>2066</v>
      </c>
      <c r="Y208" s="1122">
        <v>114</v>
      </c>
      <c r="Z208" s="1047" t="s">
        <v>2067</v>
      </c>
      <c r="AA208" s="3725"/>
      <c r="AB208" s="3725"/>
      <c r="AC208" s="3739"/>
      <c r="AD208" s="3725"/>
      <c r="AE208" s="3725"/>
      <c r="AF208" s="3725"/>
      <c r="AG208" s="3725"/>
      <c r="AH208" s="3725"/>
      <c r="AI208" s="3725"/>
      <c r="AJ208" s="3725"/>
      <c r="AK208" s="3725"/>
      <c r="AL208" s="3725"/>
      <c r="AM208" s="3725"/>
      <c r="AN208" s="3725"/>
      <c r="AO208" s="3725"/>
      <c r="AP208" s="3725"/>
      <c r="AQ208" s="3674"/>
      <c r="AR208" s="3674"/>
      <c r="AS208" s="2157"/>
    </row>
    <row r="209" spans="1:45" ht="57.75" customHeight="1" x14ac:dyDescent="0.25">
      <c r="A209" s="968"/>
      <c r="B209" s="1051"/>
      <c r="C209" s="1069"/>
      <c r="D209" s="1051"/>
      <c r="E209" s="3707"/>
      <c r="F209" s="3708"/>
      <c r="G209" s="2305"/>
      <c r="H209" s="3712"/>
      <c r="I209" s="2305"/>
      <c r="J209" s="3712"/>
      <c r="K209" s="3662"/>
      <c r="L209" s="2257"/>
      <c r="M209" s="3662"/>
      <c r="N209" s="2257"/>
      <c r="O209" s="3750"/>
      <c r="P209" s="2197"/>
      <c r="Q209" s="2182"/>
      <c r="R209" s="3726"/>
      <c r="S209" s="3705"/>
      <c r="T209" s="2182"/>
      <c r="U209" s="2182"/>
      <c r="V209" s="2196" t="s">
        <v>2074</v>
      </c>
      <c r="W209" s="1369">
        <v>31072829</v>
      </c>
      <c r="X209" s="182" t="s">
        <v>2064</v>
      </c>
      <c r="Y209" s="1081">
        <v>113</v>
      </c>
      <c r="Z209" s="1048" t="s">
        <v>2065</v>
      </c>
      <c r="AA209" s="3725"/>
      <c r="AB209" s="3725"/>
      <c r="AC209" s="3739"/>
      <c r="AD209" s="3725"/>
      <c r="AE209" s="3725"/>
      <c r="AF209" s="3725"/>
      <c r="AG209" s="3725"/>
      <c r="AH209" s="3725"/>
      <c r="AI209" s="3725"/>
      <c r="AJ209" s="3725"/>
      <c r="AK209" s="3725"/>
      <c r="AL209" s="3725"/>
      <c r="AM209" s="3725"/>
      <c r="AN209" s="3725"/>
      <c r="AO209" s="3725"/>
      <c r="AP209" s="3725"/>
      <c r="AQ209" s="3674"/>
      <c r="AR209" s="3674"/>
      <c r="AS209" s="2157"/>
    </row>
    <row r="210" spans="1:45" ht="54" customHeight="1" x14ac:dyDescent="0.25">
      <c r="A210" s="968"/>
      <c r="B210" s="1051"/>
      <c r="C210" s="1069"/>
      <c r="D210" s="1051"/>
      <c r="E210" s="3707"/>
      <c r="F210" s="3708"/>
      <c r="G210" s="2305"/>
      <c r="H210" s="3712"/>
      <c r="I210" s="2305"/>
      <c r="J210" s="3712"/>
      <c r="K210" s="3662"/>
      <c r="L210" s="2257"/>
      <c r="M210" s="3662"/>
      <c r="N210" s="2257"/>
      <c r="O210" s="3750"/>
      <c r="P210" s="2197"/>
      <c r="Q210" s="2182"/>
      <c r="R210" s="3726"/>
      <c r="S210" s="3705"/>
      <c r="T210" s="2182"/>
      <c r="U210" s="2182"/>
      <c r="V210" s="3163"/>
      <c r="W210" s="1368">
        <v>10308240</v>
      </c>
      <c r="X210" s="182" t="s">
        <v>2066</v>
      </c>
      <c r="Y210" s="1122">
        <v>114</v>
      </c>
      <c r="Z210" s="1047" t="s">
        <v>2067</v>
      </c>
      <c r="AA210" s="3725"/>
      <c r="AB210" s="3725"/>
      <c r="AC210" s="3739"/>
      <c r="AD210" s="3725"/>
      <c r="AE210" s="3725"/>
      <c r="AF210" s="3725"/>
      <c r="AG210" s="3725"/>
      <c r="AH210" s="3725"/>
      <c r="AI210" s="3725"/>
      <c r="AJ210" s="3725"/>
      <c r="AK210" s="3725"/>
      <c r="AL210" s="3725"/>
      <c r="AM210" s="3725"/>
      <c r="AN210" s="3725"/>
      <c r="AO210" s="3725"/>
      <c r="AP210" s="3725"/>
      <c r="AQ210" s="3674"/>
      <c r="AR210" s="3674"/>
      <c r="AS210" s="2157"/>
    </row>
    <row r="211" spans="1:45" ht="63.75" customHeight="1" x14ac:dyDescent="0.25">
      <c r="A211" s="968"/>
      <c r="B211" s="1051"/>
      <c r="C211" s="1069"/>
      <c r="D211" s="1051"/>
      <c r="E211" s="3707"/>
      <c r="F211" s="3708"/>
      <c r="G211" s="2166">
        <v>1905026</v>
      </c>
      <c r="H211" s="2836" t="s">
        <v>2015</v>
      </c>
      <c r="I211" s="2166">
        <v>1905026</v>
      </c>
      <c r="J211" s="2836" t="s">
        <v>2015</v>
      </c>
      <c r="K211" s="3327">
        <v>190502600</v>
      </c>
      <c r="L211" s="2280" t="s">
        <v>2016</v>
      </c>
      <c r="M211" s="3327">
        <v>190502600</v>
      </c>
      <c r="N211" s="2280" t="s">
        <v>2016</v>
      </c>
      <c r="O211" s="2287">
        <v>12</v>
      </c>
      <c r="P211" s="2198" t="s">
        <v>2075</v>
      </c>
      <c r="Q211" s="2196" t="s">
        <v>2076</v>
      </c>
      <c r="R211" s="3752">
        <f>SUM(W211:W214)/S211</f>
        <v>1</v>
      </c>
      <c r="S211" s="3748">
        <f>SUM(W211:W214)</f>
        <v>1100000000</v>
      </c>
      <c r="T211" s="2196" t="s">
        <v>2077</v>
      </c>
      <c r="U211" s="2196" t="s">
        <v>2078</v>
      </c>
      <c r="V211" s="1471" t="s">
        <v>2079</v>
      </c>
      <c r="W211" s="1368">
        <f>100000000-30000000</f>
        <v>70000000</v>
      </c>
      <c r="X211" s="196" t="s">
        <v>2080</v>
      </c>
      <c r="Y211" s="1122">
        <v>20</v>
      </c>
      <c r="Z211" s="1124" t="s">
        <v>73</v>
      </c>
      <c r="AA211" s="3751">
        <v>295972</v>
      </c>
      <c r="AB211" s="3751">
        <v>285580</v>
      </c>
      <c r="AC211" s="3758">
        <v>135545</v>
      </c>
      <c r="AD211" s="3751">
        <v>44254</v>
      </c>
      <c r="AE211" s="3751">
        <v>309146</v>
      </c>
      <c r="AF211" s="3751">
        <v>92607</v>
      </c>
      <c r="AG211" s="3751">
        <v>2145</v>
      </c>
      <c r="AH211" s="3751">
        <v>12718</v>
      </c>
      <c r="AI211" s="3751">
        <v>26</v>
      </c>
      <c r="AJ211" s="3751">
        <v>37</v>
      </c>
      <c r="AK211" s="3751">
        <v>0</v>
      </c>
      <c r="AL211" s="3751">
        <v>0</v>
      </c>
      <c r="AM211" s="3751">
        <v>44350</v>
      </c>
      <c r="AN211" s="3751">
        <v>21944</v>
      </c>
      <c r="AO211" s="3751">
        <v>75687</v>
      </c>
      <c r="AP211" s="3751">
        <v>59.68</v>
      </c>
      <c r="AQ211" s="3756">
        <v>44197</v>
      </c>
      <c r="AR211" s="3756">
        <v>44561</v>
      </c>
      <c r="AS211" s="3751" t="s">
        <v>1700</v>
      </c>
    </row>
    <row r="212" spans="1:45" ht="79.5" customHeight="1" x14ac:dyDescent="0.25">
      <c r="A212" s="968"/>
      <c r="B212" s="1051"/>
      <c r="C212" s="1069"/>
      <c r="D212" s="1051"/>
      <c r="E212" s="3707"/>
      <c r="F212" s="3708"/>
      <c r="G212" s="2191"/>
      <c r="H212" s="2837"/>
      <c r="I212" s="2191"/>
      <c r="J212" s="2837"/>
      <c r="K212" s="3685"/>
      <c r="L212" s="2281"/>
      <c r="M212" s="3685"/>
      <c r="N212" s="2281"/>
      <c r="O212" s="2157"/>
      <c r="P212" s="2308"/>
      <c r="Q212" s="3162"/>
      <c r="R212" s="3753"/>
      <c r="S212" s="3755"/>
      <c r="T212" s="3162"/>
      <c r="U212" s="3162"/>
      <c r="V212" s="1471" t="s">
        <v>2081</v>
      </c>
      <c r="W212" s="1368">
        <v>400000000</v>
      </c>
      <c r="X212" s="182" t="s">
        <v>2080</v>
      </c>
      <c r="Y212" s="1385">
        <v>20</v>
      </c>
      <c r="Z212" s="1386" t="s">
        <v>73</v>
      </c>
      <c r="AA212" s="3751"/>
      <c r="AB212" s="3751"/>
      <c r="AC212" s="3758"/>
      <c r="AD212" s="3751"/>
      <c r="AE212" s="3751"/>
      <c r="AF212" s="3751"/>
      <c r="AG212" s="3751"/>
      <c r="AH212" s="3751"/>
      <c r="AI212" s="3751"/>
      <c r="AJ212" s="3751"/>
      <c r="AK212" s="3751"/>
      <c r="AL212" s="3751"/>
      <c r="AM212" s="3751"/>
      <c r="AN212" s="3751"/>
      <c r="AO212" s="3751"/>
      <c r="AP212" s="3751"/>
      <c r="AQ212" s="3756"/>
      <c r="AR212" s="3756"/>
      <c r="AS212" s="3751"/>
    </row>
    <row r="213" spans="1:45" ht="37.5" customHeight="1" x14ac:dyDescent="0.25">
      <c r="A213" s="968"/>
      <c r="B213" s="1051"/>
      <c r="C213" s="1069"/>
      <c r="D213" s="1051"/>
      <c r="E213" s="3707"/>
      <c r="F213" s="3708"/>
      <c r="G213" s="2191"/>
      <c r="H213" s="2837"/>
      <c r="I213" s="2191"/>
      <c r="J213" s="2837"/>
      <c r="K213" s="3685"/>
      <c r="L213" s="2281"/>
      <c r="M213" s="3685"/>
      <c r="N213" s="2281"/>
      <c r="O213" s="2157"/>
      <c r="P213" s="2308"/>
      <c r="Q213" s="3162"/>
      <c r="R213" s="3753"/>
      <c r="S213" s="3755"/>
      <c r="T213" s="3162"/>
      <c r="U213" s="3162"/>
      <c r="V213" s="2196" t="s">
        <v>2082</v>
      </c>
      <c r="W213" s="1368">
        <v>30000000</v>
      </c>
      <c r="X213" s="182" t="s">
        <v>2080</v>
      </c>
      <c r="Y213" s="1385">
        <v>20</v>
      </c>
      <c r="Z213" s="1386" t="s">
        <v>73</v>
      </c>
      <c r="AA213" s="3751"/>
      <c r="AB213" s="3751"/>
      <c r="AC213" s="3758"/>
      <c r="AD213" s="3751"/>
      <c r="AE213" s="3751"/>
      <c r="AF213" s="3751"/>
      <c r="AG213" s="3751"/>
      <c r="AH213" s="3751"/>
      <c r="AI213" s="3751"/>
      <c r="AJ213" s="3751"/>
      <c r="AK213" s="3751"/>
      <c r="AL213" s="3751"/>
      <c r="AM213" s="3751"/>
      <c r="AN213" s="3751"/>
      <c r="AO213" s="3751"/>
      <c r="AP213" s="3751"/>
      <c r="AQ213" s="3756"/>
      <c r="AR213" s="3756"/>
      <c r="AS213" s="3751"/>
    </row>
    <row r="214" spans="1:45" ht="47.25" customHeight="1" x14ac:dyDescent="0.25">
      <c r="A214" s="968"/>
      <c r="B214" s="1051"/>
      <c r="C214" s="1069"/>
      <c r="D214" s="1051"/>
      <c r="E214" s="3707"/>
      <c r="F214" s="3708"/>
      <c r="G214" s="2164"/>
      <c r="H214" s="2838"/>
      <c r="I214" s="2164"/>
      <c r="J214" s="2838"/>
      <c r="K214" s="3326"/>
      <c r="L214" s="2282"/>
      <c r="M214" s="3326"/>
      <c r="N214" s="2282"/>
      <c r="O214" s="2304"/>
      <c r="P214" s="2309"/>
      <c r="Q214" s="3163"/>
      <c r="R214" s="3754"/>
      <c r="S214" s="3704"/>
      <c r="T214" s="3163"/>
      <c r="U214" s="3163"/>
      <c r="V214" s="3163"/>
      <c r="W214" s="1368">
        <v>600000000</v>
      </c>
      <c r="X214" s="182" t="s">
        <v>2083</v>
      </c>
      <c r="Y214" s="1385">
        <v>88</v>
      </c>
      <c r="Z214" s="1386" t="s">
        <v>2084</v>
      </c>
      <c r="AA214" s="3751"/>
      <c r="AB214" s="3751"/>
      <c r="AC214" s="3758"/>
      <c r="AD214" s="3751"/>
      <c r="AE214" s="3751"/>
      <c r="AF214" s="3751"/>
      <c r="AG214" s="3751"/>
      <c r="AH214" s="3751"/>
      <c r="AI214" s="3751"/>
      <c r="AJ214" s="3751"/>
      <c r="AK214" s="3751"/>
      <c r="AL214" s="3751"/>
      <c r="AM214" s="3751"/>
      <c r="AN214" s="3751"/>
      <c r="AO214" s="3751"/>
      <c r="AP214" s="3751"/>
      <c r="AQ214" s="3756"/>
      <c r="AR214" s="3756"/>
      <c r="AS214" s="3751"/>
    </row>
    <row r="215" spans="1:45" ht="119.25" customHeight="1" x14ac:dyDescent="0.25">
      <c r="A215" s="968"/>
      <c r="B215" s="1051"/>
      <c r="C215" s="1069"/>
      <c r="D215" s="1051"/>
      <c r="E215" s="3707"/>
      <c r="F215" s="3708"/>
      <c r="G215" s="3757">
        <v>1905029</v>
      </c>
      <c r="H215" s="3683" t="s">
        <v>2085</v>
      </c>
      <c r="I215" s="3757">
        <v>1905030</v>
      </c>
      <c r="J215" s="3683" t="s">
        <v>2085</v>
      </c>
      <c r="K215" s="3647">
        <v>190502900</v>
      </c>
      <c r="L215" s="2182" t="s">
        <v>2086</v>
      </c>
      <c r="M215" s="3647">
        <v>190503000</v>
      </c>
      <c r="N215" s="2182" t="s">
        <v>2086</v>
      </c>
      <c r="O215" s="3750">
        <v>60</v>
      </c>
      <c r="P215" s="2197" t="s">
        <v>2087</v>
      </c>
      <c r="Q215" s="2182" t="s">
        <v>2088</v>
      </c>
      <c r="R215" s="3726">
        <f>SUM(W215:W216)/S215</f>
        <v>1</v>
      </c>
      <c r="S215" s="3705">
        <f>SUM(W215:W216)</f>
        <v>20000000</v>
      </c>
      <c r="T215" s="2182" t="s">
        <v>2089</v>
      </c>
      <c r="U215" s="2182" t="s">
        <v>2090</v>
      </c>
      <c r="V215" s="1471" t="s">
        <v>2091</v>
      </c>
      <c r="W215" s="1368">
        <v>10000000</v>
      </c>
      <c r="X215" s="182" t="s">
        <v>2092</v>
      </c>
      <c r="Y215" s="1122">
        <v>61</v>
      </c>
      <c r="Z215" s="1047" t="s">
        <v>1699</v>
      </c>
      <c r="AA215" s="3759">
        <v>292684</v>
      </c>
      <c r="AB215" s="3759">
        <v>282326</v>
      </c>
      <c r="AC215" s="3761">
        <v>135912</v>
      </c>
      <c r="AD215" s="3759">
        <v>45122</v>
      </c>
      <c r="AE215" s="3759">
        <v>307101</v>
      </c>
      <c r="AF215" s="3759">
        <v>86875</v>
      </c>
      <c r="AG215" s="3759">
        <v>2145</v>
      </c>
      <c r="AH215" s="3759">
        <v>12718</v>
      </c>
      <c r="AI215" s="3759">
        <v>26</v>
      </c>
      <c r="AJ215" s="3759">
        <v>37</v>
      </c>
      <c r="AK215" s="3759">
        <v>0</v>
      </c>
      <c r="AL215" s="3759">
        <v>0</v>
      </c>
      <c r="AM215" s="3759">
        <v>0</v>
      </c>
      <c r="AN215" s="3759">
        <v>41.542999999999999</v>
      </c>
      <c r="AO215" s="3759">
        <v>88.56</v>
      </c>
      <c r="AP215" s="3759">
        <v>575010</v>
      </c>
      <c r="AQ215" s="2651">
        <v>44197</v>
      </c>
      <c r="AR215" s="2651">
        <v>44561</v>
      </c>
      <c r="AS215" s="2562" t="s">
        <v>1700</v>
      </c>
    </row>
    <row r="216" spans="1:45" ht="154.5" customHeight="1" x14ac:dyDescent="0.25">
      <c r="A216" s="968"/>
      <c r="B216" s="1051"/>
      <c r="C216" s="1069"/>
      <c r="D216" s="1051"/>
      <c r="E216" s="3707"/>
      <c r="F216" s="3708"/>
      <c r="G216" s="3757"/>
      <c r="H216" s="3683"/>
      <c r="I216" s="3757"/>
      <c r="J216" s="3683"/>
      <c r="K216" s="3647"/>
      <c r="L216" s="2182"/>
      <c r="M216" s="3647"/>
      <c r="N216" s="2182"/>
      <c r="O216" s="3750"/>
      <c r="P216" s="2197"/>
      <c r="Q216" s="2182"/>
      <c r="R216" s="3726"/>
      <c r="S216" s="3705"/>
      <c r="T216" s="2182"/>
      <c r="U216" s="2182"/>
      <c r="V216" s="1471" t="s">
        <v>2093</v>
      </c>
      <c r="W216" s="1368">
        <v>10000000</v>
      </c>
      <c r="X216" s="182" t="s">
        <v>2092</v>
      </c>
      <c r="Y216" s="1122">
        <v>61</v>
      </c>
      <c r="Z216" s="1047" t="s">
        <v>1699</v>
      </c>
      <c r="AA216" s="3760"/>
      <c r="AB216" s="3760"/>
      <c r="AC216" s="3762"/>
      <c r="AD216" s="3760"/>
      <c r="AE216" s="3760"/>
      <c r="AF216" s="3760"/>
      <c r="AG216" s="3760"/>
      <c r="AH216" s="3760"/>
      <c r="AI216" s="3760"/>
      <c r="AJ216" s="3760"/>
      <c r="AK216" s="3760"/>
      <c r="AL216" s="3760"/>
      <c r="AM216" s="3760"/>
      <c r="AN216" s="3760"/>
      <c r="AO216" s="3760"/>
      <c r="AP216" s="3760"/>
      <c r="AQ216" s="2652"/>
      <c r="AR216" s="2652"/>
      <c r="AS216" s="2562"/>
    </row>
    <row r="217" spans="1:45" ht="57.75" customHeight="1" x14ac:dyDescent="0.25">
      <c r="A217" s="968"/>
      <c r="B217" s="1051"/>
      <c r="C217" s="1069"/>
      <c r="D217" s="1051"/>
      <c r="E217" s="3707"/>
      <c r="F217" s="3708"/>
      <c r="G217" s="2305">
        <v>1905025</v>
      </c>
      <c r="H217" s="3712" t="s">
        <v>2094</v>
      </c>
      <c r="I217" s="2305">
        <v>1905025</v>
      </c>
      <c r="J217" s="3712" t="s">
        <v>2094</v>
      </c>
      <c r="K217" s="3662">
        <v>190502500</v>
      </c>
      <c r="L217" s="2257" t="s">
        <v>2095</v>
      </c>
      <c r="M217" s="3662">
        <v>190502500</v>
      </c>
      <c r="N217" s="2257" t="s">
        <v>2095</v>
      </c>
      <c r="O217" s="2261">
        <v>12</v>
      </c>
      <c r="P217" s="2198" t="s">
        <v>2096</v>
      </c>
      <c r="Q217" s="2182" t="s">
        <v>2097</v>
      </c>
      <c r="R217" s="3726">
        <f>SUM(W217:W222)/S217</f>
        <v>1</v>
      </c>
      <c r="S217" s="3705">
        <f>SUM(W217:W222)</f>
        <v>84414100</v>
      </c>
      <c r="T217" s="2182" t="s">
        <v>2098</v>
      </c>
      <c r="U217" s="2182" t="s">
        <v>2099</v>
      </c>
      <c r="V217" s="1471" t="s">
        <v>2100</v>
      </c>
      <c r="W217" s="1387">
        <f>7000000+7000000</f>
        <v>14000000</v>
      </c>
      <c r="X217" s="182" t="s">
        <v>2101</v>
      </c>
      <c r="Y217" s="1122">
        <v>61</v>
      </c>
      <c r="Z217" s="1047" t="s">
        <v>1699</v>
      </c>
      <c r="AA217" s="2287">
        <v>292684</v>
      </c>
      <c r="AB217" s="2287">
        <v>282326</v>
      </c>
      <c r="AC217" s="3327">
        <v>135912</v>
      </c>
      <c r="AD217" s="2287">
        <v>45122</v>
      </c>
      <c r="AE217" s="2287">
        <v>0</v>
      </c>
      <c r="AF217" s="2287">
        <v>0</v>
      </c>
      <c r="AG217" s="2287">
        <v>2145</v>
      </c>
      <c r="AH217" s="2287">
        <v>12718</v>
      </c>
      <c r="AI217" s="2287">
        <v>26</v>
      </c>
      <c r="AJ217" s="2287">
        <v>37</v>
      </c>
      <c r="AK217" s="2287">
        <v>0</v>
      </c>
      <c r="AL217" s="2287">
        <v>0</v>
      </c>
      <c r="AM217" s="2287">
        <v>53164</v>
      </c>
      <c r="AN217" s="2287">
        <v>16982</v>
      </c>
      <c r="AO217" s="2287">
        <v>60013</v>
      </c>
      <c r="AP217" s="2287">
        <v>575010</v>
      </c>
      <c r="AQ217" s="3673">
        <v>44197</v>
      </c>
      <c r="AR217" s="3673">
        <v>44561</v>
      </c>
      <c r="AS217" s="2287" t="s">
        <v>1700</v>
      </c>
    </row>
    <row r="218" spans="1:45" ht="88.5" customHeight="1" x14ac:dyDescent="0.25">
      <c r="A218" s="968"/>
      <c r="B218" s="1051"/>
      <c r="C218" s="1069"/>
      <c r="D218" s="1051"/>
      <c r="E218" s="3707"/>
      <c r="F218" s="3708"/>
      <c r="G218" s="2305"/>
      <c r="H218" s="3712"/>
      <c r="I218" s="2305"/>
      <c r="J218" s="3712"/>
      <c r="K218" s="3662"/>
      <c r="L218" s="2257"/>
      <c r="M218" s="3662"/>
      <c r="N218" s="2257"/>
      <c r="O218" s="2262"/>
      <c r="P218" s="2308"/>
      <c r="Q218" s="2182"/>
      <c r="R218" s="3726"/>
      <c r="S218" s="3705"/>
      <c r="T218" s="2182"/>
      <c r="U218" s="3763"/>
      <c r="V218" s="1471" t="s">
        <v>2102</v>
      </c>
      <c r="W218" s="1387">
        <f>14000000+7000000+7000000</f>
        <v>28000000</v>
      </c>
      <c r="X218" s="182" t="s">
        <v>2101</v>
      </c>
      <c r="Y218" s="1122">
        <v>61</v>
      </c>
      <c r="Z218" s="1047" t="s">
        <v>1699</v>
      </c>
      <c r="AA218" s="2157"/>
      <c r="AB218" s="2157"/>
      <c r="AC218" s="3685"/>
      <c r="AD218" s="2157"/>
      <c r="AE218" s="2157"/>
      <c r="AF218" s="2157"/>
      <c r="AG218" s="2157"/>
      <c r="AH218" s="2157"/>
      <c r="AI218" s="2157"/>
      <c r="AJ218" s="2157"/>
      <c r="AK218" s="2157"/>
      <c r="AL218" s="2157"/>
      <c r="AM218" s="2157"/>
      <c r="AN218" s="2157"/>
      <c r="AO218" s="2157"/>
      <c r="AP218" s="2157"/>
      <c r="AQ218" s="2157"/>
      <c r="AR218" s="2157"/>
      <c r="AS218" s="2157"/>
    </row>
    <row r="219" spans="1:45" ht="59.25" customHeight="1" x14ac:dyDescent="0.25">
      <c r="A219" s="968"/>
      <c r="B219" s="1051"/>
      <c r="C219" s="1069"/>
      <c r="D219" s="1051"/>
      <c r="E219" s="3707"/>
      <c r="F219" s="3708"/>
      <c r="G219" s="2305"/>
      <c r="H219" s="3712"/>
      <c r="I219" s="2305"/>
      <c r="J219" s="3712"/>
      <c r="K219" s="3662"/>
      <c r="L219" s="2257"/>
      <c r="M219" s="3662"/>
      <c r="N219" s="2257"/>
      <c r="O219" s="2262"/>
      <c r="P219" s="2308"/>
      <c r="Q219" s="2182"/>
      <c r="R219" s="3726"/>
      <c r="S219" s="3705"/>
      <c r="T219" s="2182"/>
      <c r="U219" s="3763"/>
      <c r="V219" s="1471" t="s">
        <v>2103</v>
      </c>
      <c r="W219" s="1387">
        <v>7000000</v>
      </c>
      <c r="X219" s="182" t="s">
        <v>2101</v>
      </c>
      <c r="Y219" s="1122">
        <v>61</v>
      </c>
      <c r="Z219" s="1047" t="s">
        <v>1699</v>
      </c>
      <c r="AA219" s="2157"/>
      <c r="AB219" s="2157"/>
      <c r="AC219" s="3685"/>
      <c r="AD219" s="2157"/>
      <c r="AE219" s="2157"/>
      <c r="AF219" s="2157"/>
      <c r="AG219" s="2157"/>
      <c r="AH219" s="2157"/>
      <c r="AI219" s="2157"/>
      <c r="AJ219" s="2157"/>
      <c r="AK219" s="2157"/>
      <c r="AL219" s="2157"/>
      <c r="AM219" s="2157"/>
      <c r="AN219" s="2157"/>
      <c r="AO219" s="2157"/>
      <c r="AP219" s="2157"/>
      <c r="AQ219" s="2157"/>
      <c r="AR219" s="2157"/>
      <c r="AS219" s="2157"/>
    </row>
    <row r="220" spans="1:45" ht="48" customHeight="1" x14ac:dyDescent="0.25">
      <c r="A220" s="968"/>
      <c r="B220" s="1051"/>
      <c r="C220" s="1069"/>
      <c r="D220" s="1051"/>
      <c r="E220" s="3707"/>
      <c r="F220" s="3708"/>
      <c r="G220" s="2305"/>
      <c r="H220" s="3712"/>
      <c r="I220" s="2305"/>
      <c r="J220" s="3712"/>
      <c r="K220" s="3662"/>
      <c r="L220" s="2257"/>
      <c r="M220" s="3662"/>
      <c r="N220" s="2257"/>
      <c r="O220" s="2262"/>
      <c r="P220" s="2308"/>
      <c r="Q220" s="2182"/>
      <c r="R220" s="3726"/>
      <c r="S220" s="3705"/>
      <c r="T220" s="2182"/>
      <c r="U220" s="3763"/>
      <c r="V220" s="1471" t="s">
        <v>2104</v>
      </c>
      <c r="W220" s="1387">
        <f>7414100+7000000</f>
        <v>14414100</v>
      </c>
      <c r="X220" s="182" t="s">
        <v>2101</v>
      </c>
      <c r="Y220" s="1122">
        <v>61</v>
      </c>
      <c r="Z220" s="1047" t="s">
        <v>1699</v>
      </c>
      <c r="AA220" s="2157"/>
      <c r="AB220" s="2157"/>
      <c r="AC220" s="3685"/>
      <c r="AD220" s="2157"/>
      <c r="AE220" s="2157"/>
      <c r="AF220" s="2157"/>
      <c r="AG220" s="2157"/>
      <c r="AH220" s="2157"/>
      <c r="AI220" s="2157"/>
      <c r="AJ220" s="2157"/>
      <c r="AK220" s="2157"/>
      <c r="AL220" s="2157"/>
      <c r="AM220" s="2157"/>
      <c r="AN220" s="2157"/>
      <c r="AO220" s="2157"/>
      <c r="AP220" s="2157"/>
      <c r="AQ220" s="2157"/>
      <c r="AR220" s="2157"/>
      <c r="AS220" s="2157"/>
    </row>
    <row r="221" spans="1:45" ht="108" customHeight="1" x14ac:dyDescent="0.25">
      <c r="A221" s="968"/>
      <c r="B221" s="1051"/>
      <c r="C221" s="1069"/>
      <c r="D221" s="1051"/>
      <c r="E221" s="3707"/>
      <c r="F221" s="3708"/>
      <c r="G221" s="2305"/>
      <c r="H221" s="3712"/>
      <c r="I221" s="2305"/>
      <c r="J221" s="3712"/>
      <c r="K221" s="3662"/>
      <c r="L221" s="2257"/>
      <c r="M221" s="3662"/>
      <c r="N221" s="2257"/>
      <c r="O221" s="2262"/>
      <c r="P221" s="2308"/>
      <c r="Q221" s="2182"/>
      <c r="R221" s="3726"/>
      <c r="S221" s="3705"/>
      <c r="T221" s="2182"/>
      <c r="U221" s="3763"/>
      <c r="V221" s="1471" t="s">
        <v>2105</v>
      </c>
      <c r="W221" s="1387">
        <f>7000000+7000000</f>
        <v>14000000</v>
      </c>
      <c r="X221" s="182" t="s">
        <v>2101</v>
      </c>
      <c r="Y221" s="1122">
        <v>61</v>
      </c>
      <c r="Z221" s="1047" t="s">
        <v>1699</v>
      </c>
      <c r="AA221" s="2157"/>
      <c r="AB221" s="2157"/>
      <c r="AC221" s="3685"/>
      <c r="AD221" s="2157"/>
      <c r="AE221" s="2157"/>
      <c r="AF221" s="2157"/>
      <c r="AG221" s="2157"/>
      <c r="AH221" s="2157"/>
      <c r="AI221" s="2157"/>
      <c r="AJ221" s="2157"/>
      <c r="AK221" s="2157"/>
      <c r="AL221" s="2157"/>
      <c r="AM221" s="2157"/>
      <c r="AN221" s="2157"/>
      <c r="AO221" s="2157"/>
      <c r="AP221" s="2157"/>
      <c r="AQ221" s="2157"/>
      <c r="AR221" s="2157"/>
      <c r="AS221" s="2157"/>
    </row>
    <row r="222" spans="1:45" ht="67.5" customHeight="1" x14ac:dyDescent="0.25">
      <c r="A222" s="968"/>
      <c r="B222" s="1051"/>
      <c r="C222" s="1069"/>
      <c r="D222" s="1051"/>
      <c r="E222" s="3707"/>
      <c r="F222" s="3708"/>
      <c r="G222" s="2305"/>
      <c r="H222" s="3712"/>
      <c r="I222" s="2305"/>
      <c r="J222" s="3712"/>
      <c r="K222" s="3662"/>
      <c r="L222" s="2257"/>
      <c r="M222" s="3662"/>
      <c r="N222" s="2257"/>
      <c r="O222" s="2263"/>
      <c r="P222" s="2309"/>
      <c r="Q222" s="2182"/>
      <c r="R222" s="3726"/>
      <c r="S222" s="3705"/>
      <c r="T222" s="2182"/>
      <c r="U222" s="3763"/>
      <c r="V222" s="1471" t="s">
        <v>2106</v>
      </c>
      <c r="W222" s="1387">
        <v>7000000</v>
      </c>
      <c r="X222" s="1220" t="s">
        <v>2101</v>
      </c>
      <c r="Y222" s="1122">
        <v>61</v>
      </c>
      <c r="Z222" s="1047" t="s">
        <v>1699</v>
      </c>
      <c r="AA222" s="2304"/>
      <c r="AB222" s="2157"/>
      <c r="AC222" s="3685"/>
      <c r="AD222" s="2157"/>
      <c r="AE222" s="2157"/>
      <c r="AF222" s="2157"/>
      <c r="AG222" s="2157"/>
      <c r="AH222" s="2157"/>
      <c r="AI222" s="2157"/>
      <c r="AJ222" s="2157"/>
      <c r="AK222" s="2157"/>
      <c r="AL222" s="2157"/>
      <c r="AM222" s="2157"/>
      <c r="AN222" s="2157"/>
      <c r="AO222" s="2157"/>
      <c r="AP222" s="2157"/>
      <c r="AQ222" s="2157"/>
      <c r="AR222" s="2157"/>
      <c r="AS222" s="2157"/>
    </row>
    <row r="223" spans="1:45" ht="55.5" customHeight="1" x14ac:dyDescent="0.25">
      <c r="A223" s="968"/>
      <c r="B223" s="1051"/>
      <c r="C223" s="1069"/>
      <c r="D223" s="1051"/>
      <c r="E223" s="3707"/>
      <c r="F223" s="3708"/>
      <c r="G223" s="2305">
        <v>1905015</v>
      </c>
      <c r="H223" s="3712" t="s">
        <v>1337</v>
      </c>
      <c r="I223" s="2305">
        <v>1905015</v>
      </c>
      <c r="J223" s="3712" t="s">
        <v>1337</v>
      </c>
      <c r="K223" s="3662">
        <v>190501503</v>
      </c>
      <c r="L223" s="2257" t="s">
        <v>2107</v>
      </c>
      <c r="M223" s="3662">
        <v>190501503</v>
      </c>
      <c r="N223" s="2257" t="s">
        <v>2107</v>
      </c>
      <c r="O223" s="3750">
        <v>15</v>
      </c>
      <c r="P223" s="2197" t="s">
        <v>2108</v>
      </c>
      <c r="Q223" s="2182" t="s">
        <v>2109</v>
      </c>
      <c r="R223" s="3726">
        <f>SUM(W223:W233)/S223</f>
        <v>1</v>
      </c>
      <c r="S223" s="3705">
        <f>SUM(W223:W233)</f>
        <v>320000000</v>
      </c>
      <c r="T223" s="2182" t="s">
        <v>2110</v>
      </c>
      <c r="U223" s="2182" t="s">
        <v>2111</v>
      </c>
      <c r="V223" s="1471" t="s">
        <v>2112</v>
      </c>
      <c r="W223" s="1368">
        <v>20000000</v>
      </c>
      <c r="X223" s="182" t="s">
        <v>2113</v>
      </c>
      <c r="Y223" s="1122">
        <v>61</v>
      </c>
      <c r="Z223" s="1388" t="s">
        <v>2114</v>
      </c>
      <c r="AA223" s="3724">
        <v>292684</v>
      </c>
      <c r="AB223" s="3724">
        <v>282326</v>
      </c>
      <c r="AC223" s="3738">
        <v>135912</v>
      </c>
      <c r="AD223" s="3724">
        <v>45122</v>
      </c>
      <c r="AE223" s="3724">
        <v>0</v>
      </c>
      <c r="AF223" s="3724">
        <v>0</v>
      </c>
      <c r="AG223" s="3724">
        <v>2145</v>
      </c>
      <c r="AH223" s="3724">
        <v>12718</v>
      </c>
      <c r="AI223" s="3724">
        <v>26</v>
      </c>
      <c r="AJ223" s="3724">
        <v>37</v>
      </c>
      <c r="AK223" s="3724">
        <v>0</v>
      </c>
      <c r="AL223" s="3724">
        <v>0</v>
      </c>
      <c r="AM223" s="3724">
        <v>53164</v>
      </c>
      <c r="AN223" s="3724">
        <v>16982</v>
      </c>
      <c r="AO223" s="3724">
        <v>60013</v>
      </c>
      <c r="AP223" s="3724">
        <v>575010</v>
      </c>
      <c r="AQ223" s="3733">
        <v>44197</v>
      </c>
      <c r="AR223" s="3733">
        <v>44561</v>
      </c>
      <c r="AS223" s="2287" t="s">
        <v>1700</v>
      </c>
    </row>
    <row r="224" spans="1:45" ht="68.25" customHeight="1" x14ac:dyDescent="0.25">
      <c r="A224" s="968"/>
      <c r="B224" s="1051"/>
      <c r="C224" s="1069"/>
      <c r="D224" s="1051"/>
      <c r="E224" s="3707"/>
      <c r="F224" s="3708"/>
      <c r="G224" s="2305"/>
      <c r="H224" s="3712"/>
      <c r="I224" s="2305"/>
      <c r="J224" s="3712"/>
      <c r="K224" s="3662"/>
      <c r="L224" s="2257"/>
      <c r="M224" s="3662"/>
      <c r="N224" s="2257"/>
      <c r="O224" s="3750"/>
      <c r="P224" s="2197"/>
      <c r="Q224" s="2182"/>
      <c r="R224" s="3726"/>
      <c r="S224" s="3705"/>
      <c r="T224" s="2182"/>
      <c r="U224" s="2182"/>
      <c r="V224" s="1471" t="s">
        <v>2115</v>
      </c>
      <c r="W224" s="1368">
        <v>50000000</v>
      </c>
      <c r="X224" s="182" t="s">
        <v>2113</v>
      </c>
      <c r="Y224" s="1122">
        <v>61</v>
      </c>
      <c r="Z224" s="1388" t="s">
        <v>2114</v>
      </c>
      <c r="AA224" s="3725"/>
      <c r="AB224" s="3725"/>
      <c r="AC224" s="3739"/>
      <c r="AD224" s="3725"/>
      <c r="AE224" s="3725"/>
      <c r="AF224" s="3725"/>
      <c r="AG224" s="3725"/>
      <c r="AH224" s="3725"/>
      <c r="AI224" s="3725"/>
      <c r="AJ224" s="3725"/>
      <c r="AK224" s="3725"/>
      <c r="AL224" s="3725"/>
      <c r="AM224" s="3725"/>
      <c r="AN224" s="3725"/>
      <c r="AO224" s="3725"/>
      <c r="AP224" s="3725"/>
      <c r="AQ224" s="3725"/>
      <c r="AR224" s="3725"/>
      <c r="AS224" s="2157"/>
    </row>
    <row r="225" spans="1:45" ht="54.75" customHeight="1" x14ac:dyDescent="0.25">
      <c r="A225" s="968"/>
      <c r="B225" s="1051"/>
      <c r="C225" s="1069"/>
      <c r="D225" s="1051"/>
      <c r="E225" s="3707"/>
      <c r="F225" s="3708"/>
      <c r="G225" s="2305"/>
      <c r="H225" s="3712"/>
      <c r="I225" s="2305"/>
      <c r="J225" s="3712"/>
      <c r="K225" s="3662"/>
      <c r="L225" s="2257"/>
      <c r="M225" s="3662"/>
      <c r="N225" s="2257"/>
      <c r="O225" s="3750"/>
      <c r="P225" s="2197"/>
      <c r="Q225" s="2182"/>
      <c r="R225" s="3726"/>
      <c r="S225" s="3705"/>
      <c r="T225" s="2182"/>
      <c r="U225" s="2182"/>
      <c r="V225" s="2182" t="s">
        <v>2116</v>
      </c>
      <c r="W225" s="3765">
        <v>30000000</v>
      </c>
      <c r="X225" s="182" t="s">
        <v>2113</v>
      </c>
      <c r="Y225" s="1122">
        <v>61</v>
      </c>
      <c r="Z225" s="1388" t="s">
        <v>2114</v>
      </c>
      <c r="AA225" s="3725"/>
      <c r="AB225" s="3725"/>
      <c r="AC225" s="3739"/>
      <c r="AD225" s="3725"/>
      <c r="AE225" s="3725"/>
      <c r="AF225" s="3725"/>
      <c r="AG225" s="3725"/>
      <c r="AH225" s="3725"/>
      <c r="AI225" s="3725"/>
      <c r="AJ225" s="3725"/>
      <c r="AK225" s="3725"/>
      <c r="AL225" s="3725"/>
      <c r="AM225" s="3725"/>
      <c r="AN225" s="3725"/>
      <c r="AO225" s="3725"/>
      <c r="AP225" s="3725"/>
      <c r="AQ225" s="3725"/>
      <c r="AR225" s="3725"/>
      <c r="AS225" s="2157"/>
    </row>
    <row r="226" spans="1:45" ht="30.75" customHeight="1" x14ac:dyDescent="0.25">
      <c r="A226" s="968"/>
      <c r="B226" s="1051"/>
      <c r="C226" s="1069"/>
      <c r="D226" s="1051"/>
      <c r="E226" s="3707"/>
      <c r="F226" s="3708"/>
      <c r="G226" s="2305"/>
      <c r="H226" s="3712"/>
      <c r="I226" s="2305"/>
      <c r="J226" s="3712"/>
      <c r="K226" s="3662"/>
      <c r="L226" s="2257"/>
      <c r="M226" s="3662"/>
      <c r="N226" s="2257"/>
      <c r="O226" s="3750"/>
      <c r="P226" s="2197"/>
      <c r="Q226" s="2182"/>
      <c r="R226" s="3726"/>
      <c r="S226" s="3705"/>
      <c r="T226" s="2182"/>
      <c r="U226" s="2182"/>
      <c r="V226" s="2182"/>
      <c r="W226" s="3765"/>
      <c r="X226" s="182" t="s">
        <v>2113</v>
      </c>
      <c r="Y226" s="1122">
        <v>61</v>
      </c>
      <c r="Z226" s="1388" t="s">
        <v>2114</v>
      </c>
      <c r="AA226" s="3725"/>
      <c r="AB226" s="3725"/>
      <c r="AC226" s="3739"/>
      <c r="AD226" s="3725"/>
      <c r="AE226" s="3725"/>
      <c r="AF226" s="3725"/>
      <c r="AG226" s="3725"/>
      <c r="AH226" s="3725"/>
      <c r="AI226" s="3725"/>
      <c r="AJ226" s="3725"/>
      <c r="AK226" s="3725"/>
      <c r="AL226" s="3725"/>
      <c r="AM226" s="3725"/>
      <c r="AN226" s="3725"/>
      <c r="AO226" s="3725"/>
      <c r="AP226" s="3725"/>
      <c r="AQ226" s="3725"/>
      <c r="AR226" s="3725"/>
      <c r="AS226" s="2157"/>
    </row>
    <row r="227" spans="1:45" ht="90.75" customHeight="1" x14ac:dyDescent="0.25">
      <c r="A227" s="968"/>
      <c r="B227" s="1051"/>
      <c r="C227" s="1069"/>
      <c r="D227" s="1051"/>
      <c r="E227" s="3707"/>
      <c r="F227" s="3708"/>
      <c r="G227" s="2305"/>
      <c r="H227" s="3712"/>
      <c r="I227" s="2305"/>
      <c r="J227" s="3712"/>
      <c r="K227" s="3662"/>
      <c r="L227" s="2257"/>
      <c r="M227" s="3662"/>
      <c r="N227" s="2257"/>
      <c r="O227" s="3750"/>
      <c r="P227" s="2197"/>
      <c r="Q227" s="2182"/>
      <c r="R227" s="3726"/>
      <c r="S227" s="3705"/>
      <c r="T227" s="2182"/>
      <c r="U227" s="2182"/>
      <c r="V227" s="1471" t="s">
        <v>2117</v>
      </c>
      <c r="W227" s="1368">
        <v>55000000</v>
      </c>
      <c r="X227" s="182" t="s">
        <v>2113</v>
      </c>
      <c r="Y227" s="1122">
        <v>61</v>
      </c>
      <c r="Z227" s="1388" t="s">
        <v>2114</v>
      </c>
      <c r="AA227" s="3725"/>
      <c r="AB227" s="3725"/>
      <c r="AC227" s="3739"/>
      <c r="AD227" s="3725"/>
      <c r="AE227" s="3725"/>
      <c r="AF227" s="3725"/>
      <c r="AG227" s="3725"/>
      <c r="AH227" s="3725"/>
      <c r="AI227" s="3725"/>
      <c r="AJ227" s="3725"/>
      <c r="AK227" s="3725"/>
      <c r="AL227" s="3725"/>
      <c r="AM227" s="3725"/>
      <c r="AN227" s="3725"/>
      <c r="AO227" s="3725"/>
      <c r="AP227" s="3725"/>
      <c r="AQ227" s="3725"/>
      <c r="AR227" s="3725"/>
      <c r="AS227" s="2157"/>
    </row>
    <row r="228" spans="1:45" ht="54" customHeight="1" x14ac:dyDescent="0.25">
      <c r="A228" s="968"/>
      <c r="B228" s="1051"/>
      <c r="C228" s="1069"/>
      <c r="D228" s="1051"/>
      <c r="E228" s="3707"/>
      <c r="F228" s="3708"/>
      <c r="G228" s="2305"/>
      <c r="H228" s="3712"/>
      <c r="I228" s="2305"/>
      <c r="J228" s="3712"/>
      <c r="K228" s="3662"/>
      <c r="L228" s="2257"/>
      <c r="M228" s="3662"/>
      <c r="N228" s="2257"/>
      <c r="O228" s="3750"/>
      <c r="P228" s="2197"/>
      <c r="Q228" s="2182"/>
      <c r="R228" s="3726"/>
      <c r="S228" s="3705"/>
      <c r="T228" s="2182"/>
      <c r="U228" s="2182"/>
      <c r="V228" s="1471" t="s">
        <v>2118</v>
      </c>
      <c r="W228" s="1368">
        <v>4000000</v>
      </c>
      <c r="X228" s="182" t="s">
        <v>2113</v>
      </c>
      <c r="Y228" s="1122">
        <v>61</v>
      </c>
      <c r="Z228" s="1388" t="s">
        <v>2114</v>
      </c>
      <c r="AA228" s="3725"/>
      <c r="AB228" s="3725"/>
      <c r="AC228" s="3739"/>
      <c r="AD228" s="3725"/>
      <c r="AE228" s="3725"/>
      <c r="AF228" s="3725"/>
      <c r="AG228" s="3725"/>
      <c r="AH228" s="3725"/>
      <c r="AI228" s="3725"/>
      <c r="AJ228" s="3725"/>
      <c r="AK228" s="3725"/>
      <c r="AL228" s="3725"/>
      <c r="AM228" s="3725"/>
      <c r="AN228" s="3725"/>
      <c r="AO228" s="3725"/>
      <c r="AP228" s="3725"/>
      <c r="AQ228" s="3725"/>
      <c r="AR228" s="3725"/>
      <c r="AS228" s="2157"/>
    </row>
    <row r="229" spans="1:45" ht="65.25" customHeight="1" x14ac:dyDescent="0.25">
      <c r="A229" s="968"/>
      <c r="B229" s="1051"/>
      <c r="C229" s="1069"/>
      <c r="D229" s="1051"/>
      <c r="E229" s="3707"/>
      <c r="F229" s="3708"/>
      <c r="G229" s="2305"/>
      <c r="H229" s="3712"/>
      <c r="I229" s="2305"/>
      <c r="J229" s="3712"/>
      <c r="K229" s="3662"/>
      <c r="L229" s="2257"/>
      <c r="M229" s="3662"/>
      <c r="N229" s="2257"/>
      <c r="O229" s="3750"/>
      <c r="P229" s="2197"/>
      <c r="Q229" s="2182"/>
      <c r="R229" s="3726"/>
      <c r="S229" s="3705"/>
      <c r="T229" s="2182"/>
      <c r="U229" s="2182"/>
      <c r="V229" s="1471" t="s">
        <v>2119</v>
      </c>
      <c r="W229" s="1368">
        <v>20000000</v>
      </c>
      <c r="X229" s="182" t="s">
        <v>2113</v>
      </c>
      <c r="Y229" s="1122">
        <v>61</v>
      </c>
      <c r="Z229" s="1388" t="s">
        <v>2114</v>
      </c>
      <c r="AA229" s="3725"/>
      <c r="AB229" s="3725"/>
      <c r="AC229" s="3739"/>
      <c r="AD229" s="3725"/>
      <c r="AE229" s="3725"/>
      <c r="AF229" s="3725"/>
      <c r="AG229" s="3725"/>
      <c r="AH229" s="3725"/>
      <c r="AI229" s="3725"/>
      <c r="AJ229" s="3725"/>
      <c r="AK229" s="3725"/>
      <c r="AL229" s="3725"/>
      <c r="AM229" s="3725"/>
      <c r="AN229" s="3725"/>
      <c r="AO229" s="3725"/>
      <c r="AP229" s="3725"/>
      <c r="AQ229" s="3725"/>
      <c r="AR229" s="3725"/>
      <c r="AS229" s="2157"/>
    </row>
    <row r="230" spans="1:45" ht="52.5" customHeight="1" x14ac:dyDescent="0.25">
      <c r="A230" s="968"/>
      <c r="B230" s="1051"/>
      <c r="C230" s="1069"/>
      <c r="D230" s="1051"/>
      <c r="E230" s="3707"/>
      <c r="F230" s="3708"/>
      <c r="G230" s="2305"/>
      <c r="H230" s="3712"/>
      <c r="I230" s="2305"/>
      <c r="J230" s="3712"/>
      <c r="K230" s="3662"/>
      <c r="L230" s="2257"/>
      <c r="M230" s="3662"/>
      <c r="N230" s="2257"/>
      <c r="O230" s="3750"/>
      <c r="P230" s="2197"/>
      <c r="Q230" s="2182"/>
      <c r="R230" s="3726"/>
      <c r="S230" s="3705"/>
      <c r="T230" s="2182"/>
      <c r="U230" s="2182"/>
      <c r="V230" s="1471" t="s">
        <v>2120</v>
      </c>
      <c r="W230" s="1368">
        <v>12000000</v>
      </c>
      <c r="X230" s="182" t="s">
        <v>2113</v>
      </c>
      <c r="Y230" s="1122">
        <v>61</v>
      </c>
      <c r="Z230" s="1388" t="s">
        <v>2114</v>
      </c>
      <c r="AA230" s="3725"/>
      <c r="AB230" s="3725"/>
      <c r="AC230" s="3739"/>
      <c r="AD230" s="3725"/>
      <c r="AE230" s="3725"/>
      <c r="AF230" s="3725"/>
      <c r="AG230" s="3725"/>
      <c r="AH230" s="3725"/>
      <c r="AI230" s="3725"/>
      <c r="AJ230" s="3725"/>
      <c r="AK230" s="3725"/>
      <c r="AL230" s="3725"/>
      <c r="AM230" s="3725"/>
      <c r="AN230" s="3725"/>
      <c r="AO230" s="3725"/>
      <c r="AP230" s="3725"/>
      <c r="AQ230" s="3725"/>
      <c r="AR230" s="3725"/>
      <c r="AS230" s="2157"/>
    </row>
    <row r="231" spans="1:45" ht="99.75" customHeight="1" x14ac:dyDescent="0.25">
      <c r="A231" s="968"/>
      <c r="B231" s="1051"/>
      <c r="C231" s="1069"/>
      <c r="D231" s="1051"/>
      <c r="E231" s="3707"/>
      <c r="F231" s="3708"/>
      <c r="G231" s="2305"/>
      <c r="H231" s="3712"/>
      <c r="I231" s="2305"/>
      <c r="J231" s="3712"/>
      <c r="K231" s="3662"/>
      <c r="L231" s="2257"/>
      <c r="M231" s="3662"/>
      <c r="N231" s="2257"/>
      <c r="O231" s="3750"/>
      <c r="P231" s="2197"/>
      <c r="Q231" s="2182"/>
      <c r="R231" s="3726"/>
      <c r="S231" s="3705"/>
      <c r="T231" s="2182"/>
      <c r="U231" s="2182"/>
      <c r="V231" s="1471" t="s">
        <v>2121</v>
      </c>
      <c r="W231" s="1368">
        <v>40000000</v>
      </c>
      <c r="X231" s="182" t="s">
        <v>2113</v>
      </c>
      <c r="Y231" s="1122">
        <v>61</v>
      </c>
      <c r="Z231" s="1388" t="s">
        <v>2114</v>
      </c>
      <c r="AA231" s="3725"/>
      <c r="AB231" s="3725"/>
      <c r="AC231" s="3739"/>
      <c r="AD231" s="3725"/>
      <c r="AE231" s="3725"/>
      <c r="AF231" s="3725"/>
      <c r="AG231" s="3725"/>
      <c r="AH231" s="3725"/>
      <c r="AI231" s="3725"/>
      <c r="AJ231" s="3725"/>
      <c r="AK231" s="3725"/>
      <c r="AL231" s="3725"/>
      <c r="AM231" s="3725"/>
      <c r="AN231" s="3725"/>
      <c r="AO231" s="3725"/>
      <c r="AP231" s="3725"/>
      <c r="AQ231" s="3725"/>
      <c r="AR231" s="3725"/>
      <c r="AS231" s="2157"/>
    </row>
    <row r="232" spans="1:45" ht="56.25" customHeight="1" x14ac:dyDescent="0.25">
      <c r="A232" s="968"/>
      <c r="B232" s="1051"/>
      <c r="C232" s="1069"/>
      <c r="D232" s="1051"/>
      <c r="E232" s="3707"/>
      <c r="F232" s="3708"/>
      <c r="G232" s="2305"/>
      <c r="H232" s="3712"/>
      <c r="I232" s="2305"/>
      <c r="J232" s="3712"/>
      <c r="K232" s="3662"/>
      <c r="L232" s="2257"/>
      <c r="M232" s="3662"/>
      <c r="N232" s="2257"/>
      <c r="O232" s="3750"/>
      <c r="P232" s="2197"/>
      <c r="Q232" s="2182"/>
      <c r="R232" s="3726"/>
      <c r="S232" s="3705"/>
      <c r="T232" s="2182"/>
      <c r="U232" s="2182"/>
      <c r="V232" s="1471" t="s">
        <v>2122</v>
      </c>
      <c r="W232" s="1368">
        <v>54000000</v>
      </c>
      <c r="X232" s="182" t="s">
        <v>2113</v>
      </c>
      <c r="Y232" s="1122">
        <v>61</v>
      </c>
      <c r="Z232" s="1388" t="s">
        <v>2114</v>
      </c>
      <c r="AA232" s="3725"/>
      <c r="AB232" s="3725"/>
      <c r="AC232" s="3739"/>
      <c r="AD232" s="3725"/>
      <c r="AE232" s="3725"/>
      <c r="AF232" s="3725"/>
      <c r="AG232" s="3725"/>
      <c r="AH232" s="3725"/>
      <c r="AI232" s="3725"/>
      <c r="AJ232" s="3725"/>
      <c r="AK232" s="3725"/>
      <c r="AL232" s="3725"/>
      <c r="AM232" s="3725"/>
      <c r="AN232" s="3725"/>
      <c r="AO232" s="3725"/>
      <c r="AP232" s="3725"/>
      <c r="AQ232" s="3725"/>
      <c r="AR232" s="3725"/>
      <c r="AS232" s="2157"/>
    </row>
    <row r="233" spans="1:45" ht="45" customHeight="1" x14ac:dyDescent="0.25">
      <c r="A233" s="968"/>
      <c r="B233" s="1051"/>
      <c r="C233" s="1069"/>
      <c r="D233" s="1051"/>
      <c r="E233" s="3707"/>
      <c r="F233" s="3708"/>
      <c r="G233" s="2305"/>
      <c r="H233" s="3712"/>
      <c r="I233" s="2305"/>
      <c r="J233" s="3712"/>
      <c r="K233" s="3662"/>
      <c r="L233" s="2257"/>
      <c r="M233" s="3662"/>
      <c r="N233" s="2257"/>
      <c r="O233" s="3750"/>
      <c r="P233" s="2197"/>
      <c r="Q233" s="2182"/>
      <c r="R233" s="3726"/>
      <c r="S233" s="3705"/>
      <c r="T233" s="2182"/>
      <c r="U233" s="2182"/>
      <c r="V233" s="1471" t="s">
        <v>2123</v>
      </c>
      <c r="W233" s="1368">
        <v>35000000</v>
      </c>
      <c r="X233" s="182" t="s">
        <v>2113</v>
      </c>
      <c r="Y233" s="1122">
        <v>61</v>
      </c>
      <c r="Z233" s="1388" t="s">
        <v>2114</v>
      </c>
      <c r="AA233" s="3764"/>
      <c r="AB233" s="3764"/>
      <c r="AC233" s="3766"/>
      <c r="AD233" s="3764"/>
      <c r="AE233" s="3764"/>
      <c r="AF233" s="3764"/>
      <c r="AG233" s="3764"/>
      <c r="AH233" s="3764"/>
      <c r="AI233" s="3764"/>
      <c r="AJ233" s="3764"/>
      <c r="AK233" s="3764"/>
      <c r="AL233" s="3764"/>
      <c r="AM233" s="3764"/>
      <c r="AN233" s="3764"/>
      <c r="AO233" s="3764"/>
      <c r="AP233" s="3764"/>
      <c r="AQ233" s="3764"/>
      <c r="AR233" s="3764"/>
      <c r="AS233" s="2304"/>
    </row>
    <row r="234" spans="1:45" ht="78.75" customHeight="1" x14ac:dyDescent="0.25">
      <c r="A234" s="968"/>
      <c r="B234" s="1051"/>
      <c r="C234" s="1069"/>
      <c r="D234" s="1051"/>
      <c r="E234" s="3707"/>
      <c r="F234" s="3708"/>
      <c r="G234" s="2305" t="s">
        <v>781</v>
      </c>
      <c r="H234" s="3712" t="s">
        <v>2124</v>
      </c>
      <c r="I234" s="2305" t="s">
        <v>2125</v>
      </c>
      <c r="J234" s="3712" t="s">
        <v>2126</v>
      </c>
      <c r="K234" s="3662" t="s">
        <v>781</v>
      </c>
      <c r="L234" s="2257" t="s">
        <v>2127</v>
      </c>
      <c r="M234" s="3662" t="s">
        <v>2128</v>
      </c>
      <c r="N234" s="2257" t="s">
        <v>2129</v>
      </c>
      <c r="O234" s="2195">
        <v>1</v>
      </c>
      <c r="P234" s="2197" t="s">
        <v>2130</v>
      </c>
      <c r="Q234" s="2182" t="s">
        <v>2131</v>
      </c>
      <c r="R234" s="3726">
        <f>SUM(W234:W240)/S234</f>
        <v>1</v>
      </c>
      <c r="S234" s="3705">
        <f>SUM(W234:W240)</f>
        <v>321904376</v>
      </c>
      <c r="T234" s="2182" t="s">
        <v>2132</v>
      </c>
      <c r="U234" s="2182" t="s">
        <v>2133</v>
      </c>
      <c r="V234" s="2196" t="s">
        <v>2134</v>
      </c>
      <c r="W234" s="1368">
        <f>50000000+50000000</f>
        <v>100000000</v>
      </c>
      <c r="X234" s="196" t="s">
        <v>2135</v>
      </c>
      <c r="Y234" s="1389">
        <v>20</v>
      </c>
      <c r="Z234" s="1048" t="s">
        <v>73</v>
      </c>
      <c r="AA234" s="2287">
        <v>292684</v>
      </c>
      <c r="AB234" s="3688">
        <v>282326</v>
      </c>
      <c r="AC234" s="3692">
        <v>135912</v>
      </c>
      <c r="AD234" s="3688">
        <v>45122</v>
      </c>
      <c r="AE234" s="3688">
        <v>365607</v>
      </c>
      <c r="AF234" s="3688">
        <v>86875</v>
      </c>
      <c r="AG234" s="3688">
        <v>2145</v>
      </c>
      <c r="AH234" s="3688">
        <v>12718</v>
      </c>
      <c r="AI234" s="3688">
        <v>26</v>
      </c>
      <c r="AJ234" s="3688">
        <v>37</v>
      </c>
      <c r="AK234" s="3688">
        <v>0</v>
      </c>
      <c r="AL234" s="3688">
        <v>0</v>
      </c>
      <c r="AM234" s="3688">
        <v>53164</v>
      </c>
      <c r="AN234" s="3688">
        <v>16982</v>
      </c>
      <c r="AO234" s="3688">
        <v>60013</v>
      </c>
      <c r="AP234" s="3688">
        <v>575010</v>
      </c>
      <c r="AQ234" s="3690">
        <v>44197</v>
      </c>
      <c r="AR234" s="3690">
        <v>44561</v>
      </c>
      <c r="AS234" s="3688" t="s">
        <v>1700</v>
      </c>
    </row>
    <row r="235" spans="1:45" ht="78.75" customHeight="1" x14ac:dyDescent="0.25">
      <c r="A235" s="968"/>
      <c r="B235" s="1051"/>
      <c r="C235" s="1069"/>
      <c r="D235" s="1051"/>
      <c r="E235" s="3707"/>
      <c r="F235" s="3708"/>
      <c r="G235" s="2305"/>
      <c r="H235" s="3712"/>
      <c r="I235" s="2305"/>
      <c r="J235" s="3712"/>
      <c r="K235" s="3662"/>
      <c r="L235" s="2257"/>
      <c r="M235" s="3662"/>
      <c r="N235" s="2257"/>
      <c r="O235" s="2195"/>
      <c r="P235" s="2197"/>
      <c r="Q235" s="2182"/>
      <c r="R235" s="3726"/>
      <c r="S235" s="3705"/>
      <c r="T235" s="2182"/>
      <c r="U235" s="2182"/>
      <c r="V235" s="3163"/>
      <c r="W235" s="1368">
        <v>21904376</v>
      </c>
      <c r="X235" s="182" t="s">
        <v>2136</v>
      </c>
      <c r="Y235" s="1389">
        <v>88</v>
      </c>
      <c r="Z235" s="1048" t="s">
        <v>2084</v>
      </c>
      <c r="AA235" s="2157"/>
      <c r="AB235" s="3689"/>
      <c r="AC235" s="3693"/>
      <c r="AD235" s="3689"/>
      <c r="AE235" s="3689"/>
      <c r="AF235" s="3689"/>
      <c r="AG235" s="3689"/>
      <c r="AH235" s="3689"/>
      <c r="AI235" s="3689"/>
      <c r="AJ235" s="3689"/>
      <c r="AK235" s="3689"/>
      <c r="AL235" s="3689"/>
      <c r="AM235" s="3689"/>
      <c r="AN235" s="3689"/>
      <c r="AO235" s="3689"/>
      <c r="AP235" s="3689"/>
      <c r="AQ235" s="3691"/>
      <c r="AR235" s="3691"/>
      <c r="AS235" s="3689"/>
    </row>
    <row r="236" spans="1:45" ht="77.25" customHeight="1" x14ac:dyDescent="0.25">
      <c r="A236" s="968"/>
      <c r="B236" s="1051"/>
      <c r="C236" s="1069"/>
      <c r="D236" s="1051"/>
      <c r="E236" s="3707"/>
      <c r="F236" s="3708"/>
      <c r="G236" s="2305"/>
      <c r="H236" s="3712"/>
      <c r="I236" s="2305"/>
      <c r="J236" s="3712"/>
      <c r="K236" s="3662"/>
      <c r="L236" s="2257"/>
      <c r="M236" s="3662"/>
      <c r="N236" s="2257"/>
      <c r="O236" s="2195"/>
      <c r="P236" s="2197"/>
      <c r="Q236" s="2182"/>
      <c r="R236" s="3726"/>
      <c r="S236" s="3705"/>
      <c r="T236" s="2182"/>
      <c r="U236" s="2182"/>
      <c r="V236" s="1471" t="s">
        <v>2137</v>
      </c>
      <c r="W236" s="1368">
        <f>50000000-50000000</f>
        <v>0</v>
      </c>
      <c r="X236" s="182" t="s">
        <v>2135</v>
      </c>
      <c r="Y236" s="1389">
        <v>20</v>
      </c>
      <c r="Z236" s="1048" t="s">
        <v>73</v>
      </c>
      <c r="AA236" s="2157"/>
      <c r="AB236" s="3689"/>
      <c r="AC236" s="3693"/>
      <c r="AD236" s="3689"/>
      <c r="AE236" s="3689"/>
      <c r="AF236" s="3689"/>
      <c r="AG236" s="3689"/>
      <c r="AH236" s="3689"/>
      <c r="AI236" s="3689"/>
      <c r="AJ236" s="3689"/>
      <c r="AK236" s="3689"/>
      <c r="AL236" s="3689"/>
      <c r="AM236" s="3689"/>
      <c r="AN236" s="3689"/>
      <c r="AO236" s="3689"/>
      <c r="AP236" s="3689"/>
      <c r="AQ236" s="3689"/>
      <c r="AR236" s="3689"/>
      <c r="AS236" s="3689"/>
    </row>
    <row r="237" spans="1:45" ht="90" customHeight="1" x14ac:dyDescent="0.25">
      <c r="A237" s="968"/>
      <c r="B237" s="1051"/>
      <c r="C237" s="1069"/>
      <c r="D237" s="1051"/>
      <c r="E237" s="3707"/>
      <c r="F237" s="3708"/>
      <c r="G237" s="2305"/>
      <c r="H237" s="3712"/>
      <c r="I237" s="2305"/>
      <c r="J237" s="3712"/>
      <c r="K237" s="3662"/>
      <c r="L237" s="2257"/>
      <c r="M237" s="3662"/>
      <c r="N237" s="2257"/>
      <c r="O237" s="2195"/>
      <c r="P237" s="2197"/>
      <c r="Q237" s="2182"/>
      <c r="R237" s="3726"/>
      <c r="S237" s="3705"/>
      <c r="T237" s="2182"/>
      <c r="U237" s="2182"/>
      <c r="V237" s="1471" t="s">
        <v>2138</v>
      </c>
      <c r="W237" s="1368">
        <v>50000000</v>
      </c>
      <c r="X237" s="182" t="s">
        <v>2135</v>
      </c>
      <c r="Y237" s="1389">
        <v>20</v>
      </c>
      <c r="Z237" s="1048" t="s">
        <v>73</v>
      </c>
      <c r="AA237" s="2157"/>
      <c r="AB237" s="3689"/>
      <c r="AC237" s="3693"/>
      <c r="AD237" s="3689"/>
      <c r="AE237" s="3689"/>
      <c r="AF237" s="3689"/>
      <c r="AG237" s="3689"/>
      <c r="AH237" s="3689"/>
      <c r="AI237" s="3689"/>
      <c r="AJ237" s="3689"/>
      <c r="AK237" s="3689"/>
      <c r="AL237" s="3689"/>
      <c r="AM237" s="3689"/>
      <c r="AN237" s="3689"/>
      <c r="AO237" s="3689"/>
      <c r="AP237" s="3689"/>
      <c r="AQ237" s="3689"/>
      <c r="AR237" s="3689"/>
      <c r="AS237" s="3689"/>
    </row>
    <row r="238" spans="1:45" ht="65.25" customHeight="1" x14ac:dyDescent="0.25">
      <c r="A238" s="968"/>
      <c r="B238" s="1051"/>
      <c r="C238" s="1069"/>
      <c r="D238" s="1051"/>
      <c r="E238" s="3707"/>
      <c r="F238" s="3708"/>
      <c r="G238" s="2305"/>
      <c r="H238" s="3712"/>
      <c r="I238" s="2305"/>
      <c r="J238" s="3712"/>
      <c r="K238" s="3662"/>
      <c r="L238" s="2257"/>
      <c r="M238" s="3662"/>
      <c r="N238" s="2257"/>
      <c r="O238" s="2195"/>
      <c r="P238" s="2197"/>
      <c r="Q238" s="2182"/>
      <c r="R238" s="3726"/>
      <c r="S238" s="3705"/>
      <c r="T238" s="2182"/>
      <c r="U238" s="2182"/>
      <c r="V238" s="1471" t="s">
        <v>2139</v>
      </c>
      <c r="W238" s="1368">
        <f>50000000+50000000</f>
        <v>100000000</v>
      </c>
      <c r="X238" s="182" t="s">
        <v>2135</v>
      </c>
      <c r="Y238" s="1389">
        <v>20</v>
      </c>
      <c r="Z238" s="1048" t="s">
        <v>73</v>
      </c>
      <c r="AA238" s="2157"/>
      <c r="AB238" s="3689"/>
      <c r="AC238" s="3693"/>
      <c r="AD238" s="3689"/>
      <c r="AE238" s="3689"/>
      <c r="AF238" s="3689"/>
      <c r="AG238" s="3689"/>
      <c r="AH238" s="3689"/>
      <c r="AI238" s="3689"/>
      <c r="AJ238" s="3689"/>
      <c r="AK238" s="3689"/>
      <c r="AL238" s="3689"/>
      <c r="AM238" s="3689"/>
      <c r="AN238" s="3689"/>
      <c r="AO238" s="3689"/>
      <c r="AP238" s="3689"/>
      <c r="AQ238" s="3689"/>
      <c r="AR238" s="3689"/>
      <c r="AS238" s="3689"/>
    </row>
    <row r="239" spans="1:45" ht="107.25" customHeight="1" x14ac:dyDescent="0.25">
      <c r="A239" s="968"/>
      <c r="B239" s="1051"/>
      <c r="C239" s="1069"/>
      <c r="D239" s="1051"/>
      <c r="E239" s="3707"/>
      <c r="F239" s="3708"/>
      <c r="G239" s="2305"/>
      <c r="H239" s="3712"/>
      <c r="I239" s="2305"/>
      <c r="J239" s="3712"/>
      <c r="K239" s="3662"/>
      <c r="L239" s="2257"/>
      <c r="M239" s="3662"/>
      <c r="N239" s="2257"/>
      <c r="O239" s="2195"/>
      <c r="P239" s="2197"/>
      <c r="Q239" s="2182"/>
      <c r="R239" s="3726"/>
      <c r="S239" s="3705"/>
      <c r="T239" s="2182"/>
      <c r="U239" s="2182"/>
      <c r="V239" s="1471" t="s">
        <v>2140</v>
      </c>
      <c r="W239" s="1368">
        <f>50000000-50000000</f>
        <v>0</v>
      </c>
      <c r="X239" s="182" t="s">
        <v>2135</v>
      </c>
      <c r="Y239" s="1389">
        <v>20</v>
      </c>
      <c r="Z239" s="1048" t="s">
        <v>73</v>
      </c>
      <c r="AA239" s="2157"/>
      <c r="AB239" s="3689"/>
      <c r="AC239" s="3693"/>
      <c r="AD239" s="3689"/>
      <c r="AE239" s="3689"/>
      <c r="AF239" s="3689"/>
      <c r="AG239" s="3689"/>
      <c r="AH239" s="3689"/>
      <c r="AI239" s="3689"/>
      <c r="AJ239" s="3689"/>
      <c r="AK239" s="3689"/>
      <c r="AL239" s="3689"/>
      <c r="AM239" s="3689"/>
      <c r="AN239" s="3689"/>
      <c r="AO239" s="3689"/>
      <c r="AP239" s="3689"/>
      <c r="AQ239" s="3689"/>
      <c r="AR239" s="3689"/>
      <c r="AS239" s="3689"/>
    </row>
    <row r="240" spans="1:45" ht="69" customHeight="1" x14ac:dyDescent="0.25">
      <c r="A240" s="968"/>
      <c r="B240" s="1051"/>
      <c r="C240" s="1069"/>
      <c r="D240" s="1051"/>
      <c r="E240" s="3707"/>
      <c r="F240" s="3708"/>
      <c r="G240" s="2305"/>
      <c r="H240" s="3712"/>
      <c r="I240" s="2305"/>
      <c r="J240" s="3712"/>
      <c r="K240" s="3662"/>
      <c r="L240" s="2257"/>
      <c r="M240" s="3662"/>
      <c r="N240" s="2257"/>
      <c r="O240" s="2195"/>
      <c r="P240" s="2197"/>
      <c r="Q240" s="2182"/>
      <c r="R240" s="3726"/>
      <c r="S240" s="3705"/>
      <c r="T240" s="2182"/>
      <c r="U240" s="2182"/>
      <c r="V240" s="1695" t="s">
        <v>2141</v>
      </c>
      <c r="W240" s="1368">
        <v>50000000</v>
      </c>
      <c r="X240" s="182" t="s">
        <v>2135</v>
      </c>
      <c r="Y240" s="1389">
        <v>20</v>
      </c>
      <c r="Z240" s="1047" t="s">
        <v>73</v>
      </c>
      <c r="AA240" s="2304"/>
      <c r="AB240" s="3689"/>
      <c r="AC240" s="3693"/>
      <c r="AD240" s="3689"/>
      <c r="AE240" s="3689"/>
      <c r="AF240" s="3689"/>
      <c r="AG240" s="3689"/>
      <c r="AH240" s="3689"/>
      <c r="AI240" s="3689"/>
      <c r="AJ240" s="3689"/>
      <c r="AK240" s="3689"/>
      <c r="AL240" s="3689"/>
      <c r="AM240" s="3689"/>
      <c r="AN240" s="3689"/>
      <c r="AO240" s="3689"/>
      <c r="AP240" s="3689"/>
      <c r="AQ240" s="3689"/>
      <c r="AR240" s="3689"/>
      <c r="AS240" s="3689"/>
    </row>
    <row r="241" spans="1:45" ht="42.75" customHeight="1" x14ac:dyDescent="0.25">
      <c r="A241" s="968"/>
      <c r="B241" s="1051"/>
      <c r="C241" s="1069"/>
      <c r="D241" s="1051"/>
      <c r="E241" s="3707"/>
      <c r="F241" s="3708"/>
      <c r="G241" s="2305">
        <v>1905031</v>
      </c>
      <c r="H241" s="3712" t="s">
        <v>1878</v>
      </c>
      <c r="I241" s="2305">
        <v>1905031</v>
      </c>
      <c r="J241" s="3712" t="s">
        <v>1878</v>
      </c>
      <c r="K241" s="3662">
        <v>190503100</v>
      </c>
      <c r="L241" s="2257" t="s">
        <v>1879</v>
      </c>
      <c r="M241" s="3662">
        <v>190503100</v>
      </c>
      <c r="N241" s="2257" t="s">
        <v>1879</v>
      </c>
      <c r="O241" s="3750">
        <v>12</v>
      </c>
      <c r="P241" s="2197" t="s">
        <v>2142</v>
      </c>
      <c r="Q241" s="2182" t="s">
        <v>2143</v>
      </c>
      <c r="R241" s="3726">
        <f>SUM(W241:W250)/S241</f>
        <v>1</v>
      </c>
      <c r="S241" s="3705">
        <f>SUM(W241:W250)</f>
        <v>1760866325.51</v>
      </c>
      <c r="T241" s="2196" t="s">
        <v>2144</v>
      </c>
      <c r="U241" s="2182" t="s">
        <v>2145</v>
      </c>
      <c r="V241" s="2196" t="s">
        <v>2146</v>
      </c>
      <c r="W241" s="1390">
        <f>265850000+245000000+63682049</f>
        <v>574532049</v>
      </c>
      <c r="X241" s="182" t="s">
        <v>2147</v>
      </c>
      <c r="Y241" s="1122">
        <v>61</v>
      </c>
      <c r="Z241" s="1048" t="s">
        <v>2114</v>
      </c>
      <c r="AA241" s="2287">
        <v>289394</v>
      </c>
      <c r="AB241" s="3688">
        <v>279112</v>
      </c>
      <c r="AC241" s="3692">
        <v>63164</v>
      </c>
      <c r="AD241" s="3688">
        <v>45607</v>
      </c>
      <c r="AE241" s="3688">
        <v>365607</v>
      </c>
      <c r="AF241" s="3688">
        <v>75612</v>
      </c>
      <c r="AG241" s="3688">
        <v>2145</v>
      </c>
      <c r="AH241" s="3688">
        <v>12718</v>
      </c>
      <c r="AI241" s="3688">
        <v>26</v>
      </c>
      <c r="AJ241" s="3688">
        <v>37</v>
      </c>
      <c r="AK241" s="3688">
        <v>0</v>
      </c>
      <c r="AL241" s="3688">
        <v>0</v>
      </c>
      <c r="AM241" s="3688">
        <v>78</v>
      </c>
      <c r="AN241" s="3688">
        <v>16897</v>
      </c>
      <c r="AO241" s="3688">
        <v>852</v>
      </c>
      <c r="AP241" s="3688">
        <v>568506</v>
      </c>
      <c r="AQ241" s="3690">
        <v>44197</v>
      </c>
      <c r="AR241" s="3690">
        <v>44561</v>
      </c>
      <c r="AS241" s="3688" t="s">
        <v>1700</v>
      </c>
    </row>
    <row r="242" spans="1:45" ht="39.75" customHeight="1" x14ac:dyDescent="0.25">
      <c r="A242" s="968"/>
      <c r="B242" s="1051"/>
      <c r="C242" s="1069"/>
      <c r="D242" s="1051"/>
      <c r="E242" s="3707"/>
      <c r="F242" s="3708"/>
      <c r="G242" s="2305"/>
      <c r="H242" s="3712"/>
      <c r="I242" s="2305"/>
      <c r="J242" s="3712"/>
      <c r="K242" s="3662"/>
      <c r="L242" s="2257"/>
      <c r="M242" s="3662"/>
      <c r="N242" s="2257"/>
      <c r="O242" s="3750"/>
      <c r="P242" s="2197"/>
      <c r="Q242" s="2182"/>
      <c r="R242" s="3726"/>
      <c r="S242" s="3705"/>
      <c r="T242" s="3162"/>
      <c r="U242" s="2182"/>
      <c r="V242" s="3163"/>
      <c r="W242" s="1390">
        <v>274704276.50999999</v>
      </c>
      <c r="X242" s="182" t="s">
        <v>2148</v>
      </c>
      <c r="Y242" s="1122">
        <v>98</v>
      </c>
      <c r="Z242" s="1048" t="s">
        <v>2149</v>
      </c>
      <c r="AA242" s="2157"/>
      <c r="AB242" s="3689"/>
      <c r="AC242" s="3693"/>
      <c r="AD242" s="3689"/>
      <c r="AE242" s="3689"/>
      <c r="AF242" s="3689"/>
      <c r="AG242" s="3689"/>
      <c r="AH242" s="3689"/>
      <c r="AI242" s="3689"/>
      <c r="AJ242" s="3689"/>
      <c r="AK242" s="3689"/>
      <c r="AL242" s="3689"/>
      <c r="AM242" s="3689"/>
      <c r="AN242" s="3689"/>
      <c r="AO242" s="3689"/>
      <c r="AP242" s="3689"/>
      <c r="AQ242" s="3691"/>
      <c r="AR242" s="3691"/>
      <c r="AS242" s="3689"/>
    </row>
    <row r="243" spans="1:45" ht="45.75" customHeight="1" x14ac:dyDescent="0.25">
      <c r="A243" s="968"/>
      <c r="B243" s="1051"/>
      <c r="C243" s="1069"/>
      <c r="D243" s="1051"/>
      <c r="E243" s="3707"/>
      <c r="F243" s="3708"/>
      <c r="G243" s="2305"/>
      <c r="H243" s="3712"/>
      <c r="I243" s="2305"/>
      <c r="J243" s="3712"/>
      <c r="K243" s="3662"/>
      <c r="L243" s="2257"/>
      <c r="M243" s="3662"/>
      <c r="N243" s="2257"/>
      <c r="O243" s="3750"/>
      <c r="P243" s="2197"/>
      <c r="Q243" s="2182"/>
      <c r="R243" s="3726"/>
      <c r="S243" s="3705"/>
      <c r="T243" s="3162"/>
      <c r="U243" s="2182"/>
      <c r="V243" s="2196" t="s">
        <v>2150</v>
      </c>
      <c r="W243" s="1390">
        <v>23000000</v>
      </c>
      <c r="X243" s="182" t="s">
        <v>2147</v>
      </c>
      <c r="Y243" s="1122">
        <v>61</v>
      </c>
      <c r="Z243" s="1048" t="s">
        <v>2114</v>
      </c>
      <c r="AA243" s="2157"/>
      <c r="AB243" s="3689"/>
      <c r="AC243" s="3693"/>
      <c r="AD243" s="3689"/>
      <c r="AE243" s="3689"/>
      <c r="AF243" s="3689"/>
      <c r="AG243" s="3689"/>
      <c r="AH243" s="3689"/>
      <c r="AI243" s="3689"/>
      <c r="AJ243" s="3689"/>
      <c r="AK243" s="3689"/>
      <c r="AL243" s="3689"/>
      <c r="AM243" s="3689"/>
      <c r="AN243" s="3689"/>
      <c r="AO243" s="3689"/>
      <c r="AP243" s="3689"/>
      <c r="AQ243" s="3689"/>
      <c r="AR243" s="3689"/>
      <c r="AS243" s="3689"/>
    </row>
    <row r="244" spans="1:45" ht="48" customHeight="1" x14ac:dyDescent="0.25">
      <c r="A244" s="968"/>
      <c r="B244" s="1051"/>
      <c r="C244" s="1069"/>
      <c r="D244" s="1051"/>
      <c r="E244" s="3707"/>
      <c r="F244" s="3708"/>
      <c r="G244" s="2305"/>
      <c r="H244" s="3712"/>
      <c r="I244" s="2305"/>
      <c r="J244" s="3712"/>
      <c r="K244" s="3662"/>
      <c r="L244" s="2257"/>
      <c r="M244" s="3662"/>
      <c r="N244" s="2257"/>
      <c r="O244" s="3750"/>
      <c r="P244" s="2197"/>
      <c r="Q244" s="2182"/>
      <c r="R244" s="3726"/>
      <c r="S244" s="3705"/>
      <c r="T244" s="3162"/>
      <c r="U244" s="2182"/>
      <c r="V244" s="3163"/>
      <c r="W244" s="1390">
        <v>58630000</v>
      </c>
      <c r="X244" s="182" t="s">
        <v>2148</v>
      </c>
      <c r="Y244" s="1122">
        <v>98</v>
      </c>
      <c r="Z244" s="1048" t="s">
        <v>2149</v>
      </c>
      <c r="AA244" s="2157"/>
      <c r="AB244" s="3689"/>
      <c r="AC244" s="3693"/>
      <c r="AD244" s="3689"/>
      <c r="AE244" s="3689"/>
      <c r="AF244" s="3689"/>
      <c r="AG244" s="3689"/>
      <c r="AH244" s="3689"/>
      <c r="AI244" s="3689"/>
      <c r="AJ244" s="3689"/>
      <c r="AK244" s="3689"/>
      <c r="AL244" s="3689"/>
      <c r="AM244" s="3689"/>
      <c r="AN244" s="3689"/>
      <c r="AO244" s="3689"/>
      <c r="AP244" s="3689"/>
      <c r="AQ244" s="3689"/>
      <c r="AR244" s="3689"/>
      <c r="AS244" s="3689"/>
    </row>
    <row r="245" spans="1:45" ht="62.25" customHeight="1" x14ac:dyDescent="0.25">
      <c r="A245" s="968"/>
      <c r="B245" s="1051"/>
      <c r="C245" s="1069"/>
      <c r="D245" s="1051"/>
      <c r="E245" s="3707"/>
      <c r="F245" s="3708"/>
      <c r="G245" s="2305"/>
      <c r="H245" s="3712"/>
      <c r="I245" s="2305"/>
      <c r="J245" s="3712"/>
      <c r="K245" s="3662"/>
      <c r="L245" s="2257"/>
      <c r="M245" s="3662"/>
      <c r="N245" s="2257"/>
      <c r="O245" s="3750"/>
      <c r="P245" s="2197"/>
      <c r="Q245" s="2182"/>
      <c r="R245" s="3726"/>
      <c r="S245" s="3705"/>
      <c r="T245" s="3162"/>
      <c r="U245" s="2182"/>
      <c r="V245" s="1471" t="s">
        <v>2151</v>
      </c>
      <c r="W245" s="1390">
        <v>350000000</v>
      </c>
      <c r="X245" s="182" t="s">
        <v>2147</v>
      </c>
      <c r="Y245" s="1122">
        <v>61</v>
      </c>
      <c r="Z245" s="1048" t="s">
        <v>2114</v>
      </c>
      <c r="AA245" s="2157"/>
      <c r="AB245" s="3689"/>
      <c r="AC245" s="3693"/>
      <c r="AD245" s="3689"/>
      <c r="AE245" s="3689"/>
      <c r="AF245" s="3689"/>
      <c r="AG245" s="3689"/>
      <c r="AH245" s="3689"/>
      <c r="AI245" s="3689"/>
      <c r="AJ245" s="3689"/>
      <c r="AK245" s="3689"/>
      <c r="AL245" s="3689"/>
      <c r="AM245" s="3689"/>
      <c r="AN245" s="3689"/>
      <c r="AO245" s="3689"/>
      <c r="AP245" s="3689"/>
      <c r="AQ245" s="3689"/>
      <c r="AR245" s="3689"/>
      <c r="AS245" s="3689"/>
    </row>
    <row r="246" spans="1:45" ht="55.5" customHeight="1" x14ac:dyDescent="0.25">
      <c r="A246" s="968"/>
      <c r="B246" s="1051"/>
      <c r="C246" s="1069"/>
      <c r="D246" s="1051"/>
      <c r="E246" s="3707"/>
      <c r="F246" s="3708"/>
      <c r="G246" s="2305"/>
      <c r="H246" s="3712"/>
      <c r="I246" s="2305"/>
      <c r="J246" s="3712"/>
      <c r="K246" s="3662"/>
      <c r="L246" s="2257"/>
      <c r="M246" s="3662"/>
      <c r="N246" s="2257"/>
      <c r="O246" s="3750"/>
      <c r="P246" s="2197"/>
      <c r="Q246" s="2182"/>
      <c r="R246" s="3726"/>
      <c r="S246" s="3705"/>
      <c r="T246" s="3162"/>
      <c r="U246" s="2182"/>
      <c r="V246" s="1471" t="s">
        <v>2152</v>
      </c>
      <c r="W246" s="1390">
        <v>130000000</v>
      </c>
      <c r="X246" s="182" t="s">
        <v>2147</v>
      </c>
      <c r="Y246" s="1081">
        <v>61</v>
      </c>
      <c r="Z246" s="1048" t="s">
        <v>2114</v>
      </c>
      <c r="AA246" s="2157"/>
      <c r="AB246" s="3689"/>
      <c r="AC246" s="3693"/>
      <c r="AD246" s="3689"/>
      <c r="AE246" s="3689"/>
      <c r="AF246" s="3689"/>
      <c r="AG246" s="3689"/>
      <c r="AH246" s="3689"/>
      <c r="AI246" s="3689"/>
      <c r="AJ246" s="3689"/>
      <c r="AK246" s="3689"/>
      <c r="AL246" s="3689"/>
      <c r="AM246" s="3689"/>
      <c r="AN246" s="3689"/>
      <c r="AO246" s="3689"/>
      <c r="AP246" s="3689"/>
      <c r="AQ246" s="3689"/>
      <c r="AR246" s="3689"/>
      <c r="AS246" s="3689"/>
    </row>
    <row r="247" spans="1:45" ht="45.75" customHeight="1" x14ac:dyDescent="0.25">
      <c r="A247" s="968"/>
      <c r="B247" s="1051"/>
      <c r="C247" s="1069"/>
      <c r="D247" s="1051"/>
      <c r="E247" s="3707"/>
      <c r="F247" s="3708"/>
      <c r="G247" s="2305"/>
      <c r="H247" s="3712"/>
      <c r="I247" s="2305"/>
      <c r="J247" s="3712"/>
      <c r="K247" s="3662"/>
      <c r="L247" s="2257"/>
      <c r="M247" s="3662"/>
      <c r="N247" s="2257"/>
      <c r="O247" s="3750"/>
      <c r="P247" s="2197"/>
      <c r="Q247" s="2182"/>
      <c r="R247" s="3726"/>
      <c r="S247" s="3705"/>
      <c r="T247" s="3162"/>
      <c r="U247" s="2182"/>
      <c r="V247" s="1472" t="s">
        <v>2153</v>
      </c>
      <c r="W247" s="1390">
        <f>200000000-200000000</f>
        <v>0</v>
      </c>
      <c r="X247" s="182" t="s">
        <v>2147</v>
      </c>
      <c r="Y247" s="1081">
        <v>61</v>
      </c>
      <c r="Z247" s="1048" t="s">
        <v>2114</v>
      </c>
      <c r="AA247" s="2157"/>
      <c r="AB247" s="3689"/>
      <c r="AC247" s="3693"/>
      <c r="AD247" s="3689"/>
      <c r="AE247" s="3689"/>
      <c r="AF247" s="3689"/>
      <c r="AG247" s="3689"/>
      <c r="AH247" s="3689"/>
      <c r="AI247" s="3689"/>
      <c r="AJ247" s="3689"/>
      <c r="AK247" s="3689"/>
      <c r="AL247" s="3689"/>
      <c r="AM247" s="3689"/>
      <c r="AN247" s="3689"/>
      <c r="AO247" s="3689"/>
      <c r="AP247" s="3689"/>
      <c r="AQ247" s="3689"/>
      <c r="AR247" s="3689"/>
      <c r="AS247" s="3689"/>
    </row>
    <row r="248" spans="1:45" ht="55.5" customHeight="1" x14ac:dyDescent="0.25">
      <c r="A248" s="968"/>
      <c r="B248" s="1051"/>
      <c r="C248" s="1069"/>
      <c r="D248" s="1051"/>
      <c r="E248" s="3707"/>
      <c r="F248" s="3708"/>
      <c r="G248" s="2305"/>
      <c r="H248" s="3712"/>
      <c r="I248" s="2305"/>
      <c r="J248" s="3712"/>
      <c r="K248" s="3662"/>
      <c r="L248" s="2257"/>
      <c r="M248" s="3662"/>
      <c r="N248" s="2257"/>
      <c r="O248" s="3750"/>
      <c r="P248" s="2197"/>
      <c r="Q248" s="2182"/>
      <c r="R248" s="3726"/>
      <c r="S248" s="3705"/>
      <c r="T248" s="3162"/>
      <c r="U248" s="2182"/>
      <c r="V248" s="1471" t="s">
        <v>2154</v>
      </c>
      <c r="W248" s="1390">
        <v>250000000</v>
      </c>
      <c r="X248" s="182" t="s">
        <v>2147</v>
      </c>
      <c r="Y248" s="1081">
        <v>61</v>
      </c>
      <c r="Z248" s="1048" t="s">
        <v>2114</v>
      </c>
      <c r="AA248" s="2157"/>
      <c r="AB248" s="3689"/>
      <c r="AC248" s="3693"/>
      <c r="AD248" s="3689"/>
      <c r="AE248" s="3689"/>
      <c r="AF248" s="3689"/>
      <c r="AG248" s="3689"/>
      <c r="AH248" s="3689"/>
      <c r="AI248" s="3689"/>
      <c r="AJ248" s="3689"/>
      <c r="AK248" s="3689"/>
      <c r="AL248" s="3689"/>
      <c r="AM248" s="3689"/>
      <c r="AN248" s="3689"/>
      <c r="AO248" s="3689"/>
      <c r="AP248" s="3689"/>
      <c r="AQ248" s="3689"/>
      <c r="AR248" s="3689"/>
      <c r="AS248" s="3689"/>
    </row>
    <row r="249" spans="1:45" ht="55.5" customHeight="1" x14ac:dyDescent="0.25">
      <c r="A249" s="968"/>
      <c r="B249" s="1051"/>
      <c r="C249" s="1069"/>
      <c r="D249" s="1051"/>
      <c r="E249" s="3707"/>
      <c r="F249" s="3708"/>
      <c r="G249" s="2305"/>
      <c r="H249" s="2660"/>
      <c r="I249" s="2305"/>
      <c r="J249" s="2660"/>
      <c r="K249" s="3327"/>
      <c r="L249" s="2280"/>
      <c r="M249" s="3327"/>
      <c r="N249" s="2280"/>
      <c r="O249" s="2261"/>
      <c r="P249" s="2198"/>
      <c r="Q249" s="2196"/>
      <c r="R249" s="3706"/>
      <c r="S249" s="3748"/>
      <c r="T249" s="3162"/>
      <c r="U249" s="2196"/>
      <c r="V249" s="1472" t="s">
        <v>2155</v>
      </c>
      <c r="W249" s="1391">
        <f>45000000-45000000</f>
        <v>0</v>
      </c>
      <c r="X249" s="1220" t="s">
        <v>2147</v>
      </c>
      <c r="Y249" s="1081">
        <v>61</v>
      </c>
      <c r="Z249" s="1048" t="s">
        <v>2114</v>
      </c>
      <c r="AA249" s="2157"/>
      <c r="AB249" s="3689"/>
      <c r="AC249" s="3693"/>
      <c r="AD249" s="3689"/>
      <c r="AE249" s="3689"/>
      <c r="AF249" s="3689"/>
      <c r="AG249" s="3689"/>
      <c r="AH249" s="3689"/>
      <c r="AI249" s="3689"/>
      <c r="AJ249" s="3689"/>
      <c r="AK249" s="3689"/>
      <c r="AL249" s="3689"/>
      <c r="AM249" s="3689"/>
      <c r="AN249" s="3689"/>
      <c r="AO249" s="3689"/>
      <c r="AP249" s="3689"/>
      <c r="AQ249" s="3689"/>
      <c r="AR249" s="3689"/>
      <c r="AS249" s="3689"/>
    </row>
    <row r="250" spans="1:45" ht="62.25" customHeight="1" x14ac:dyDescent="0.25">
      <c r="A250" s="968"/>
      <c r="B250" s="1051"/>
      <c r="C250" s="1069"/>
      <c r="D250" s="1051"/>
      <c r="E250" s="3709"/>
      <c r="F250" s="3710"/>
      <c r="G250" s="2305"/>
      <c r="H250" s="2660"/>
      <c r="I250" s="2305"/>
      <c r="J250" s="2660"/>
      <c r="K250" s="3327"/>
      <c r="L250" s="2280"/>
      <c r="M250" s="3327"/>
      <c r="N250" s="2280"/>
      <c r="O250" s="2261"/>
      <c r="P250" s="2198"/>
      <c r="Q250" s="2196"/>
      <c r="R250" s="3706"/>
      <c r="S250" s="3748"/>
      <c r="T250" s="3162"/>
      <c r="U250" s="2320"/>
      <c r="V250" s="1475" t="s">
        <v>2156</v>
      </c>
      <c r="W250" s="1058">
        <v>100000000</v>
      </c>
      <c r="X250" s="182" t="s">
        <v>2148</v>
      </c>
      <c r="Y250" s="1122">
        <v>98</v>
      </c>
      <c r="Z250" s="1048" t="s">
        <v>2149</v>
      </c>
      <c r="AA250" s="3768"/>
      <c r="AB250" s="3689"/>
      <c r="AC250" s="3693"/>
      <c r="AD250" s="3689"/>
      <c r="AE250" s="3689"/>
      <c r="AF250" s="3689"/>
      <c r="AG250" s="3689"/>
      <c r="AH250" s="3689"/>
      <c r="AI250" s="3689"/>
      <c r="AJ250" s="3689"/>
      <c r="AK250" s="3689"/>
      <c r="AL250" s="3689"/>
      <c r="AM250" s="3689"/>
      <c r="AN250" s="3689"/>
      <c r="AO250" s="3689"/>
      <c r="AP250" s="3689"/>
      <c r="AQ250" s="3689"/>
      <c r="AR250" s="3689"/>
      <c r="AS250" s="3689"/>
    </row>
    <row r="251" spans="1:45" ht="27" customHeight="1" x14ac:dyDescent="0.25">
      <c r="A251" s="968"/>
      <c r="B251" s="1051"/>
      <c r="C251" s="1069"/>
      <c r="D251" s="1051"/>
      <c r="E251" s="795">
        <v>1906</v>
      </c>
      <c r="F251" s="1683" t="s">
        <v>409</v>
      </c>
      <c r="G251" s="1247"/>
      <c r="H251" s="1247"/>
      <c r="I251" s="1247"/>
      <c r="J251" s="1247"/>
      <c r="K251" s="1247"/>
      <c r="L251" s="1247"/>
      <c r="M251" s="1247"/>
      <c r="N251" s="1247"/>
      <c r="O251" s="1247"/>
      <c r="P251" s="1247"/>
      <c r="Q251" s="767"/>
      <c r="R251" s="1247"/>
      <c r="S251" s="1692"/>
      <c r="T251" s="59"/>
      <c r="U251" s="767"/>
      <c r="V251" s="791"/>
      <c r="W251" s="1392"/>
      <c r="X251" s="942"/>
      <c r="Y251" s="1393"/>
      <c r="Z251" s="793"/>
      <c r="AA251" s="92"/>
      <c r="AB251" s="92"/>
      <c r="AC251" s="1394"/>
      <c r="AD251" s="92"/>
      <c r="AE251" s="92"/>
      <c r="AF251" s="92"/>
      <c r="AG251" s="92"/>
      <c r="AH251" s="92"/>
      <c r="AI251" s="92"/>
      <c r="AJ251" s="92"/>
      <c r="AK251" s="92"/>
      <c r="AL251" s="92"/>
      <c r="AM251" s="92"/>
      <c r="AN251" s="92"/>
      <c r="AO251" s="92"/>
      <c r="AP251" s="92"/>
      <c r="AQ251" s="92"/>
      <c r="AR251" s="92"/>
      <c r="AS251" s="1395"/>
    </row>
    <row r="252" spans="1:45" ht="133.5" customHeight="1" x14ac:dyDescent="0.25">
      <c r="A252" s="968"/>
      <c r="B252" s="1051"/>
      <c r="C252" s="1069"/>
      <c r="D252" s="1051"/>
      <c r="E252" s="2484"/>
      <c r="F252" s="2263"/>
      <c r="G252" s="977">
        <v>1906032</v>
      </c>
      <c r="H252" s="1490" t="s">
        <v>2157</v>
      </c>
      <c r="I252" s="977">
        <v>1906032</v>
      </c>
      <c r="J252" s="1490" t="s">
        <v>2157</v>
      </c>
      <c r="K252" s="1396">
        <v>190603200</v>
      </c>
      <c r="L252" s="1490" t="s">
        <v>2158</v>
      </c>
      <c r="M252" s="1396">
        <v>190603200</v>
      </c>
      <c r="N252" s="1490" t="s">
        <v>2158</v>
      </c>
      <c r="O252" s="1062">
        <v>1500</v>
      </c>
      <c r="P252" s="2309" t="s">
        <v>2159</v>
      </c>
      <c r="Q252" s="3163" t="s">
        <v>2160</v>
      </c>
      <c r="R252" s="3703">
        <f>SUM(W252:W265)/S252</f>
        <v>1</v>
      </c>
      <c r="S252" s="3704">
        <f>SUM(W252:W265)</f>
        <v>31351259122</v>
      </c>
      <c r="T252" s="3163" t="s">
        <v>2161</v>
      </c>
      <c r="U252" s="3163" t="s">
        <v>2162</v>
      </c>
      <c r="V252" s="1693" t="s">
        <v>2163</v>
      </c>
      <c r="W252" s="1115">
        <v>0</v>
      </c>
      <c r="X252" s="1397"/>
      <c r="Y252" s="1083">
        <v>20</v>
      </c>
      <c r="Z252" s="1060" t="s">
        <v>73</v>
      </c>
      <c r="AA252" s="2157">
        <v>292684</v>
      </c>
      <c r="AB252" s="2157">
        <v>282326</v>
      </c>
      <c r="AC252" s="3685">
        <v>135912</v>
      </c>
      <c r="AD252" s="2157">
        <v>45122</v>
      </c>
      <c r="AE252" s="2157">
        <v>365607</v>
      </c>
      <c r="AF252" s="2157">
        <v>75612</v>
      </c>
      <c r="AG252" s="2157">
        <v>2145</v>
      </c>
      <c r="AH252" s="2157">
        <v>12718</v>
      </c>
      <c r="AI252" s="2157">
        <v>26</v>
      </c>
      <c r="AJ252" s="2157">
        <v>37</v>
      </c>
      <c r="AK252" s="2157">
        <v>0</v>
      </c>
      <c r="AL252" s="2157">
        <v>0</v>
      </c>
      <c r="AM252" s="2157">
        <v>53164</v>
      </c>
      <c r="AN252" s="2157">
        <v>16982</v>
      </c>
      <c r="AO252" s="2157">
        <v>60013</v>
      </c>
      <c r="AP252" s="2157">
        <v>575010</v>
      </c>
      <c r="AQ252" s="3674">
        <v>44197</v>
      </c>
      <c r="AR252" s="3674">
        <v>44561</v>
      </c>
      <c r="AS252" s="2157" t="s">
        <v>1700</v>
      </c>
    </row>
    <row r="253" spans="1:45" ht="96" customHeight="1" x14ac:dyDescent="0.25">
      <c r="A253" s="968"/>
      <c r="B253" s="1051"/>
      <c r="C253" s="1069"/>
      <c r="D253" s="1051"/>
      <c r="E253" s="3767"/>
      <c r="F253" s="3750"/>
      <c r="G253" s="2256" t="s">
        <v>62</v>
      </c>
      <c r="H253" s="2257" t="s">
        <v>2164</v>
      </c>
      <c r="I253" s="2256">
        <v>1906023</v>
      </c>
      <c r="J253" s="2257" t="s">
        <v>2165</v>
      </c>
      <c r="K253" s="3662" t="s">
        <v>62</v>
      </c>
      <c r="L253" s="2257" t="s">
        <v>2166</v>
      </c>
      <c r="M253" s="3662">
        <v>190602300</v>
      </c>
      <c r="N253" s="2257" t="s">
        <v>2167</v>
      </c>
      <c r="O253" s="3750">
        <v>19899</v>
      </c>
      <c r="P253" s="2197"/>
      <c r="Q253" s="2182"/>
      <c r="R253" s="3726"/>
      <c r="S253" s="3705"/>
      <c r="T253" s="2182"/>
      <c r="U253" s="2182"/>
      <c r="V253" s="2320" t="s">
        <v>2168</v>
      </c>
      <c r="W253" s="1398">
        <v>3444818759</v>
      </c>
      <c r="X253" s="182" t="s">
        <v>2169</v>
      </c>
      <c r="Y253" s="1122">
        <v>154</v>
      </c>
      <c r="Z253" s="1047" t="s">
        <v>2170</v>
      </c>
      <c r="AA253" s="2157"/>
      <c r="AB253" s="2157"/>
      <c r="AC253" s="3685"/>
      <c r="AD253" s="2157"/>
      <c r="AE253" s="2157"/>
      <c r="AF253" s="2157"/>
      <c r="AG253" s="2157"/>
      <c r="AH253" s="2157"/>
      <c r="AI253" s="2157"/>
      <c r="AJ253" s="2157"/>
      <c r="AK253" s="2157"/>
      <c r="AL253" s="2157"/>
      <c r="AM253" s="2157"/>
      <c r="AN253" s="2157"/>
      <c r="AO253" s="2157"/>
      <c r="AP253" s="2157"/>
      <c r="AQ253" s="2157"/>
      <c r="AR253" s="2157"/>
      <c r="AS253" s="2157"/>
    </row>
    <row r="254" spans="1:45" ht="73.5" customHeight="1" x14ac:dyDescent="0.25">
      <c r="A254" s="968"/>
      <c r="B254" s="1051"/>
      <c r="C254" s="1069"/>
      <c r="D254" s="1051"/>
      <c r="E254" s="3767"/>
      <c r="F254" s="3750"/>
      <c r="G254" s="2256"/>
      <c r="H254" s="2257"/>
      <c r="I254" s="2256"/>
      <c r="J254" s="2257"/>
      <c r="K254" s="3662"/>
      <c r="L254" s="2257"/>
      <c r="M254" s="3662"/>
      <c r="N254" s="2257"/>
      <c r="O254" s="3750"/>
      <c r="P254" s="2197"/>
      <c r="Q254" s="2182"/>
      <c r="R254" s="3726"/>
      <c r="S254" s="3705"/>
      <c r="T254" s="2182"/>
      <c r="U254" s="2182"/>
      <c r="V254" s="3164"/>
      <c r="W254" s="1398">
        <v>12803999183</v>
      </c>
      <c r="X254" s="182" t="s">
        <v>2171</v>
      </c>
      <c r="Y254" s="1122">
        <v>154</v>
      </c>
      <c r="Z254" s="1047" t="s">
        <v>2170</v>
      </c>
      <c r="AA254" s="2157"/>
      <c r="AB254" s="2157"/>
      <c r="AC254" s="3685"/>
      <c r="AD254" s="2157"/>
      <c r="AE254" s="2157"/>
      <c r="AF254" s="2157"/>
      <c r="AG254" s="2157"/>
      <c r="AH254" s="2157"/>
      <c r="AI254" s="2157"/>
      <c r="AJ254" s="2157"/>
      <c r="AK254" s="2157"/>
      <c r="AL254" s="2157"/>
      <c r="AM254" s="2157"/>
      <c r="AN254" s="2157"/>
      <c r="AO254" s="2157"/>
      <c r="AP254" s="2157"/>
      <c r="AQ254" s="2157"/>
      <c r="AR254" s="2157"/>
      <c r="AS254" s="2157"/>
    </row>
    <row r="255" spans="1:45" ht="73.5" customHeight="1" x14ac:dyDescent="0.25">
      <c r="A255" s="968"/>
      <c r="B255" s="1051"/>
      <c r="C255" s="1069"/>
      <c r="D255" s="1051"/>
      <c r="E255" s="3767"/>
      <c r="F255" s="3750"/>
      <c r="G255" s="2256"/>
      <c r="H255" s="2257"/>
      <c r="I255" s="2256"/>
      <c r="J255" s="2257"/>
      <c r="K255" s="3662"/>
      <c r="L255" s="2257"/>
      <c r="M255" s="3662"/>
      <c r="N255" s="2257"/>
      <c r="O255" s="3750"/>
      <c r="P255" s="2197"/>
      <c r="Q255" s="2182"/>
      <c r="R255" s="3726"/>
      <c r="S255" s="3705"/>
      <c r="T255" s="2182"/>
      <c r="U255" s="2182"/>
      <c r="V255" s="3164"/>
      <c r="W255" s="1398">
        <v>562403426</v>
      </c>
      <c r="X255" s="182" t="s">
        <v>2172</v>
      </c>
      <c r="Y255" s="1122">
        <v>154</v>
      </c>
      <c r="Z255" s="1047" t="s">
        <v>2170</v>
      </c>
      <c r="AA255" s="2157"/>
      <c r="AB255" s="2157"/>
      <c r="AC255" s="3685"/>
      <c r="AD255" s="2157"/>
      <c r="AE255" s="2157"/>
      <c r="AF255" s="2157"/>
      <c r="AG255" s="2157"/>
      <c r="AH255" s="2157"/>
      <c r="AI255" s="2157"/>
      <c r="AJ255" s="2157"/>
      <c r="AK255" s="2157"/>
      <c r="AL255" s="2157"/>
      <c r="AM255" s="2157"/>
      <c r="AN255" s="2157"/>
      <c r="AO255" s="2157"/>
      <c r="AP255" s="2157"/>
      <c r="AQ255" s="2157"/>
      <c r="AR255" s="2157"/>
      <c r="AS255" s="2157"/>
    </row>
    <row r="256" spans="1:45" ht="73.5" customHeight="1" x14ac:dyDescent="0.25">
      <c r="A256" s="968"/>
      <c r="B256" s="1051"/>
      <c r="C256" s="1069"/>
      <c r="D256" s="1051"/>
      <c r="E256" s="3767"/>
      <c r="F256" s="3750"/>
      <c r="G256" s="2256"/>
      <c r="H256" s="2257"/>
      <c r="I256" s="2256"/>
      <c r="J256" s="2257"/>
      <c r="K256" s="3662"/>
      <c r="L256" s="2257"/>
      <c r="M256" s="3662"/>
      <c r="N256" s="2257"/>
      <c r="O256" s="3750"/>
      <c r="P256" s="2197"/>
      <c r="Q256" s="2182"/>
      <c r="R256" s="3726"/>
      <c r="S256" s="3705"/>
      <c r="T256" s="2182"/>
      <c r="U256" s="2182"/>
      <c r="V256" s="3164"/>
      <c r="W256" s="1398">
        <v>949202444</v>
      </c>
      <c r="X256" s="182" t="s">
        <v>2173</v>
      </c>
      <c r="Y256" s="1122">
        <v>154</v>
      </c>
      <c r="Z256" s="1047" t="s">
        <v>2170</v>
      </c>
      <c r="AA256" s="2157"/>
      <c r="AB256" s="2157"/>
      <c r="AC256" s="3685"/>
      <c r="AD256" s="2157"/>
      <c r="AE256" s="2157"/>
      <c r="AF256" s="2157"/>
      <c r="AG256" s="2157"/>
      <c r="AH256" s="2157"/>
      <c r="AI256" s="2157"/>
      <c r="AJ256" s="2157"/>
      <c r="AK256" s="2157"/>
      <c r="AL256" s="2157"/>
      <c r="AM256" s="2157"/>
      <c r="AN256" s="2157"/>
      <c r="AO256" s="2157"/>
      <c r="AP256" s="2157"/>
      <c r="AQ256" s="2157"/>
      <c r="AR256" s="2157"/>
      <c r="AS256" s="2157"/>
    </row>
    <row r="257" spans="1:45" ht="73.5" customHeight="1" x14ac:dyDescent="0.25">
      <c r="A257" s="968"/>
      <c r="B257" s="1051"/>
      <c r="C257" s="1069"/>
      <c r="D257" s="1051"/>
      <c r="E257" s="3767"/>
      <c r="F257" s="3750"/>
      <c r="G257" s="2256"/>
      <c r="H257" s="2257"/>
      <c r="I257" s="2256"/>
      <c r="J257" s="2257"/>
      <c r="K257" s="3662"/>
      <c r="L257" s="2257"/>
      <c r="M257" s="3662"/>
      <c r="N257" s="2257"/>
      <c r="O257" s="3750"/>
      <c r="P257" s="2197"/>
      <c r="Q257" s="2182"/>
      <c r="R257" s="3726"/>
      <c r="S257" s="3705"/>
      <c r="T257" s="2182"/>
      <c r="U257" s="2182"/>
      <c r="V257" s="3164"/>
      <c r="W257" s="1398">
        <v>235833982</v>
      </c>
      <c r="X257" s="182" t="s">
        <v>2174</v>
      </c>
      <c r="Y257" s="1122">
        <v>154</v>
      </c>
      <c r="Z257" s="1047" t="s">
        <v>2170</v>
      </c>
      <c r="AA257" s="2157"/>
      <c r="AB257" s="2157"/>
      <c r="AC257" s="3685"/>
      <c r="AD257" s="2157"/>
      <c r="AE257" s="2157"/>
      <c r="AF257" s="2157"/>
      <c r="AG257" s="2157"/>
      <c r="AH257" s="2157"/>
      <c r="AI257" s="2157"/>
      <c r="AJ257" s="2157"/>
      <c r="AK257" s="2157"/>
      <c r="AL257" s="2157"/>
      <c r="AM257" s="2157"/>
      <c r="AN257" s="2157"/>
      <c r="AO257" s="2157"/>
      <c r="AP257" s="2157"/>
      <c r="AQ257" s="2157"/>
      <c r="AR257" s="2157"/>
      <c r="AS257" s="2157"/>
    </row>
    <row r="258" spans="1:45" ht="73.5" customHeight="1" x14ac:dyDescent="0.25">
      <c r="A258" s="968"/>
      <c r="B258" s="1051"/>
      <c r="C258" s="1069"/>
      <c r="D258" s="1051"/>
      <c r="E258" s="3767"/>
      <c r="F258" s="3750"/>
      <c r="G258" s="2256"/>
      <c r="H258" s="2257"/>
      <c r="I258" s="2256"/>
      <c r="J258" s="2257"/>
      <c r="K258" s="3662"/>
      <c r="L258" s="2257"/>
      <c r="M258" s="3662"/>
      <c r="N258" s="2257"/>
      <c r="O258" s="3750"/>
      <c r="P258" s="2197"/>
      <c r="Q258" s="2182"/>
      <c r="R258" s="3726"/>
      <c r="S258" s="3705"/>
      <c r="T258" s="2182"/>
      <c r="U258" s="2182"/>
      <c r="V258" s="3164"/>
      <c r="W258" s="1398">
        <v>2767170866</v>
      </c>
      <c r="X258" s="182" t="s">
        <v>2175</v>
      </c>
      <c r="Y258" s="1122">
        <v>154</v>
      </c>
      <c r="Z258" s="1047" t="s">
        <v>2170</v>
      </c>
      <c r="AA258" s="2157"/>
      <c r="AB258" s="2157"/>
      <c r="AC258" s="3685"/>
      <c r="AD258" s="2157"/>
      <c r="AE258" s="2157"/>
      <c r="AF258" s="2157"/>
      <c r="AG258" s="2157"/>
      <c r="AH258" s="2157"/>
      <c r="AI258" s="2157"/>
      <c r="AJ258" s="2157"/>
      <c r="AK258" s="2157"/>
      <c r="AL258" s="2157"/>
      <c r="AM258" s="2157"/>
      <c r="AN258" s="2157"/>
      <c r="AO258" s="2157"/>
      <c r="AP258" s="2157"/>
      <c r="AQ258" s="2157"/>
      <c r="AR258" s="2157"/>
      <c r="AS258" s="2157"/>
    </row>
    <row r="259" spans="1:45" ht="73.5" customHeight="1" x14ac:dyDescent="0.25">
      <c r="A259" s="968"/>
      <c r="B259" s="1051"/>
      <c r="C259" s="1069"/>
      <c r="D259" s="1051"/>
      <c r="E259" s="3767"/>
      <c r="F259" s="3750"/>
      <c r="G259" s="2256"/>
      <c r="H259" s="2257"/>
      <c r="I259" s="2256"/>
      <c r="J259" s="2257"/>
      <c r="K259" s="3662"/>
      <c r="L259" s="2257"/>
      <c r="M259" s="3662"/>
      <c r="N259" s="2257"/>
      <c r="O259" s="3750"/>
      <c r="P259" s="2197"/>
      <c r="Q259" s="2182"/>
      <c r="R259" s="3726"/>
      <c r="S259" s="3705"/>
      <c r="T259" s="2182"/>
      <c r="U259" s="2182"/>
      <c r="V259" s="3164"/>
      <c r="W259" s="1398">
        <v>4232306721</v>
      </c>
      <c r="X259" s="182" t="s">
        <v>2176</v>
      </c>
      <c r="Y259" s="1122">
        <v>154</v>
      </c>
      <c r="Z259" s="1047" t="s">
        <v>2170</v>
      </c>
      <c r="AA259" s="2157"/>
      <c r="AB259" s="2157"/>
      <c r="AC259" s="3685"/>
      <c r="AD259" s="2157"/>
      <c r="AE259" s="2157"/>
      <c r="AF259" s="2157"/>
      <c r="AG259" s="2157"/>
      <c r="AH259" s="2157"/>
      <c r="AI259" s="2157"/>
      <c r="AJ259" s="2157"/>
      <c r="AK259" s="2157"/>
      <c r="AL259" s="2157"/>
      <c r="AM259" s="2157"/>
      <c r="AN259" s="2157"/>
      <c r="AO259" s="2157"/>
      <c r="AP259" s="2157"/>
      <c r="AQ259" s="2157"/>
      <c r="AR259" s="2157"/>
      <c r="AS259" s="2157"/>
    </row>
    <row r="260" spans="1:45" ht="73.5" customHeight="1" x14ac:dyDescent="0.25">
      <c r="A260" s="968"/>
      <c r="B260" s="1051"/>
      <c r="C260" s="1069"/>
      <c r="D260" s="1051"/>
      <c r="E260" s="3767"/>
      <c r="F260" s="3750"/>
      <c r="G260" s="2256"/>
      <c r="H260" s="2257"/>
      <c r="I260" s="2256"/>
      <c r="J260" s="2257"/>
      <c r="K260" s="3662"/>
      <c r="L260" s="2257"/>
      <c r="M260" s="3662"/>
      <c r="N260" s="2257"/>
      <c r="O260" s="3750"/>
      <c r="P260" s="2197"/>
      <c r="Q260" s="2182"/>
      <c r="R260" s="3726"/>
      <c r="S260" s="3705"/>
      <c r="T260" s="2182"/>
      <c r="U260" s="2182"/>
      <c r="V260" s="3164"/>
      <c r="W260" s="1398">
        <v>432297116</v>
      </c>
      <c r="X260" s="182" t="s">
        <v>2177</v>
      </c>
      <c r="Y260" s="1122">
        <v>154</v>
      </c>
      <c r="Z260" s="1047" t="s">
        <v>2170</v>
      </c>
      <c r="AA260" s="2157"/>
      <c r="AB260" s="2157"/>
      <c r="AC260" s="3685"/>
      <c r="AD260" s="2157"/>
      <c r="AE260" s="2157"/>
      <c r="AF260" s="2157"/>
      <c r="AG260" s="2157"/>
      <c r="AH260" s="2157"/>
      <c r="AI260" s="2157"/>
      <c r="AJ260" s="2157"/>
      <c r="AK260" s="2157"/>
      <c r="AL260" s="2157"/>
      <c r="AM260" s="2157"/>
      <c r="AN260" s="2157"/>
      <c r="AO260" s="2157"/>
      <c r="AP260" s="2157"/>
      <c r="AQ260" s="2157"/>
      <c r="AR260" s="2157"/>
      <c r="AS260" s="2157"/>
    </row>
    <row r="261" spans="1:45" ht="73.5" customHeight="1" x14ac:dyDescent="0.25">
      <c r="A261" s="968"/>
      <c r="B261" s="1051"/>
      <c r="C261" s="1069"/>
      <c r="D261" s="1051"/>
      <c r="E261" s="3767"/>
      <c r="F261" s="3750"/>
      <c r="G261" s="2256"/>
      <c r="H261" s="2257"/>
      <c r="I261" s="2256"/>
      <c r="J261" s="2257"/>
      <c r="K261" s="3662"/>
      <c r="L261" s="2257"/>
      <c r="M261" s="3662"/>
      <c r="N261" s="2257"/>
      <c r="O261" s="3750"/>
      <c r="P261" s="2197"/>
      <c r="Q261" s="2182"/>
      <c r="R261" s="3726"/>
      <c r="S261" s="3705"/>
      <c r="T261" s="2182"/>
      <c r="U261" s="2182"/>
      <c r="V261" s="3164"/>
      <c r="W261" s="1398">
        <v>787938412</v>
      </c>
      <c r="X261" s="182" t="s">
        <v>2178</v>
      </c>
      <c r="Y261" s="1122">
        <v>154</v>
      </c>
      <c r="Z261" s="1047" t="s">
        <v>2170</v>
      </c>
      <c r="AA261" s="2157"/>
      <c r="AB261" s="2157"/>
      <c r="AC261" s="3685"/>
      <c r="AD261" s="2157"/>
      <c r="AE261" s="2157"/>
      <c r="AF261" s="2157"/>
      <c r="AG261" s="2157"/>
      <c r="AH261" s="2157"/>
      <c r="AI261" s="2157"/>
      <c r="AJ261" s="2157"/>
      <c r="AK261" s="2157"/>
      <c r="AL261" s="2157"/>
      <c r="AM261" s="2157"/>
      <c r="AN261" s="2157"/>
      <c r="AO261" s="2157"/>
      <c r="AP261" s="2157"/>
      <c r="AQ261" s="2157"/>
      <c r="AR261" s="2157"/>
      <c r="AS261" s="2157"/>
    </row>
    <row r="262" spans="1:45" ht="73.5" customHeight="1" x14ac:dyDescent="0.25">
      <c r="A262" s="968"/>
      <c r="B262" s="1051"/>
      <c r="C262" s="1069"/>
      <c r="D262" s="1051"/>
      <c r="E262" s="3767"/>
      <c r="F262" s="3750"/>
      <c r="G262" s="2256"/>
      <c r="H262" s="2257"/>
      <c r="I262" s="2256"/>
      <c r="J262" s="2257"/>
      <c r="K262" s="3662"/>
      <c r="L262" s="2257"/>
      <c r="M262" s="3662"/>
      <c r="N262" s="2257"/>
      <c r="O262" s="3750"/>
      <c r="P262" s="2197"/>
      <c r="Q262" s="2182"/>
      <c r="R262" s="3726"/>
      <c r="S262" s="3705"/>
      <c r="T262" s="2182"/>
      <c r="U262" s="2182"/>
      <c r="V262" s="3164"/>
      <c r="W262" s="1398">
        <v>1806365756</v>
      </c>
      <c r="X262" s="182" t="s">
        <v>2179</v>
      </c>
      <c r="Y262" s="1122">
        <v>154</v>
      </c>
      <c r="Z262" s="1047" t="s">
        <v>2170</v>
      </c>
      <c r="AA262" s="2157"/>
      <c r="AB262" s="2157"/>
      <c r="AC262" s="3685"/>
      <c r="AD262" s="2157"/>
      <c r="AE262" s="2157"/>
      <c r="AF262" s="2157"/>
      <c r="AG262" s="2157"/>
      <c r="AH262" s="2157"/>
      <c r="AI262" s="2157"/>
      <c r="AJ262" s="2157"/>
      <c r="AK262" s="2157"/>
      <c r="AL262" s="2157"/>
      <c r="AM262" s="2157"/>
      <c r="AN262" s="2157"/>
      <c r="AO262" s="2157"/>
      <c r="AP262" s="2157"/>
      <c r="AQ262" s="2157"/>
      <c r="AR262" s="2157"/>
      <c r="AS262" s="2157"/>
    </row>
    <row r="263" spans="1:45" ht="73.5" customHeight="1" x14ac:dyDescent="0.25">
      <c r="A263" s="968"/>
      <c r="B263" s="1051"/>
      <c r="C263" s="1069"/>
      <c r="D263" s="1051"/>
      <c r="E263" s="3767"/>
      <c r="F263" s="3750"/>
      <c r="G263" s="2256"/>
      <c r="H263" s="2257"/>
      <c r="I263" s="2256"/>
      <c r="J263" s="2257"/>
      <c r="K263" s="3662"/>
      <c r="L263" s="2257"/>
      <c r="M263" s="3662"/>
      <c r="N263" s="2257"/>
      <c r="O263" s="3750"/>
      <c r="P263" s="2197"/>
      <c r="Q263" s="2182"/>
      <c r="R263" s="3726"/>
      <c r="S263" s="3705"/>
      <c r="T263" s="2182"/>
      <c r="U263" s="2182"/>
      <c r="V263" s="3164"/>
      <c r="W263" s="1398">
        <v>509995874</v>
      </c>
      <c r="X263" s="182" t="s">
        <v>2180</v>
      </c>
      <c r="Y263" s="1122">
        <v>154</v>
      </c>
      <c r="Z263" s="1047" t="s">
        <v>2170</v>
      </c>
      <c r="AA263" s="2157"/>
      <c r="AB263" s="2157"/>
      <c r="AC263" s="3685"/>
      <c r="AD263" s="2157"/>
      <c r="AE263" s="2157"/>
      <c r="AF263" s="2157"/>
      <c r="AG263" s="2157"/>
      <c r="AH263" s="2157"/>
      <c r="AI263" s="2157"/>
      <c r="AJ263" s="2157"/>
      <c r="AK263" s="2157"/>
      <c r="AL263" s="2157"/>
      <c r="AM263" s="2157"/>
      <c r="AN263" s="2157"/>
      <c r="AO263" s="2157"/>
      <c r="AP263" s="2157"/>
      <c r="AQ263" s="2157"/>
      <c r="AR263" s="2157"/>
      <c r="AS263" s="2157"/>
    </row>
    <row r="264" spans="1:45" ht="69" customHeight="1" x14ac:dyDescent="0.25">
      <c r="A264" s="968"/>
      <c r="B264" s="1051"/>
      <c r="C264" s="1069"/>
      <c r="D264" s="1051"/>
      <c r="E264" s="3767"/>
      <c r="F264" s="3750"/>
      <c r="G264" s="2256"/>
      <c r="H264" s="2257"/>
      <c r="I264" s="2256"/>
      <c r="J264" s="2257"/>
      <c r="K264" s="3662"/>
      <c r="L264" s="2257"/>
      <c r="M264" s="3662"/>
      <c r="N264" s="2257"/>
      <c r="O264" s="3750"/>
      <c r="P264" s="2197"/>
      <c r="Q264" s="2182"/>
      <c r="R264" s="3726"/>
      <c r="S264" s="3705"/>
      <c r="T264" s="2182"/>
      <c r="U264" s="2182"/>
      <c r="V264" s="3165"/>
      <c r="W264" s="1398">
        <v>2818926583</v>
      </c>
      <c r="X264" s="182" t="s">
        <v>2181</v>
      </c>
      <c r="Y264" s="1122">
        <v>154</v>
      </c>
      <c r="Z264" s="1047" t="s">
        <v>2170</v>
      </c>
      <c r="AA264" s="2157"/>
      <c r="AB264" s="2157"/>
      <c r="AC264" s="3685"/>
      <c r="AD264" s="2157"/>
      <c r="AE264" s="2157"/>
      <c r="AF264" s="2157"/>
      <c r="AG264" s="2157"/>
      <c r="AH264" s="2157"/>
      <c r="AI264" s="2157"/>
      <c r="AJ264" s="2157"/>
      <c r="AK264" s="2157"/>
      <c r="AL264" s="2157"/>
      <c r="AM264" s="2157"/>
      <c r="AN264" s="2157"/>
      <c r="AO264" s="2157"/>
      <c r="AP264" s="2157"/>
      <c r="AQ264" s="2157"/>
      <c r="AR264" s="2157"/>
      <c r="AS264" s="2157"/>
    </row>
    <row r="265" spans="1:45" ht="105" customHeight="1" x14ac:dyDescent="0.25">
      <c r="A265" s="968"/>
      <c r="B265" s="1051"/>
      <c r="C265" s="1069"/>
      <c r="D265" s="1051"/>
      <c r="E265" s="3767"/>
      <c r="F265" s="3750"/>
      <c r="G265" s="2256"/>
      <c r="H265" s="2257"/>
      <c r="I265" s="2256"/>
      <c r="J265" s="2257"/>
      <c r="K265" s="3662"/>
      <c r="L265" s="2257"/>
      <c r="M265" s="3662"/>
      <c r="N265" s="2257"/>
      <c r="O265" s="3750"/>
      <c r="P265" s="2197"/>
      <c r="Q265" s="2182"/>
      <c r="R265" s="3726"/>
      <c r="S265" s="3705"/>
      <c r="T265" s="2182"/>
      <c r="U265" s="2182"/>
      <c r="V265" s="1471" t="s">
        <v>2182</v>
      </c>
      <c r="W265" s="1116">
        <v>0</v>
      </c>
      <c r="X265" s="1397"/>
      <c r="Y265" s="1122">
        <v>20</v>
      </c>
      <c r="Z265" s="1047" t="s">
        <v>73</v>
      </c>
      <c r="AA265" s="2304"/>
      <c r="AB265" s="2157"/>
      <c r="AC265" s="3685"/>
      <c r="AD265" s="2157"/>
      <c r="AE265" s="2157"/>
      <c r="AF265" s="2157"/>
      <c r="AG265" s="2157"/>
      <c r="AH265" s="2157"/>
      <c r="AI265" s="2157"/>
      <c r="AJ265" s="2157"/>
      <c r="AK265" s="2157"/>
      <c r="AL265" s="2157"/>
      <c r="AM265" s="2157"/>
      <c r="AN265" s="2157"/>
      <c r="AO265" s="2157"/>
      <c r="AP265" s="2157"/>
      <c r="AQ265" s="2157"/>
      <c r="AR265" s="2157"/>
      <c r="AS265" s="2157"/>
    </row>
    <row r="266" spans="1:45" ht="66" customHeight="1" x14ac:dyDescent="0.25">
      <c r="A266" s="968"/>
      <c r="B266" s="1051"/>
      <c r="C266" s="1069"/>
      <c r="D266" s="1051"/>
      <c r="E266" s="3767"/>
      <c r="F266" s="3750"/>
      <c r="G266" s="2256" t="s">
        <v>62</v>
      </c>
      <c r="H266" s="3409" t="s">
        <v>2183</v>
      </c>
      <c r="I266" s="2256">
        <v>1906023</v>
      </c>
      <c r="J266" s="3409" t="s">
        <v>2165</v>
      </c>
      <c r="K266" s="3779" t="s">
        <v>62</v>
      </c>
      <c r="L266" s="3409" t="s">
        <v>2184</v>
      </c>
      <c r="M266" s="3779">
        <v>190602301</v>
      </c>
      <c r="N266" s="3409" t="s">
        <v>2167</v>
      </c>
      <c r="O266" s="3772">
        <v>60</v>
      </c>
      <c r="P266" s="2197" t="s">
        <v>2185</v>
      </c>
      <c r="Q266" s="2182" t="s">
        <v>2186</v>
      </c>
      <c r="R266" s="3646">
        <f>SUM(W266:W267)/S266</f>
        <v>0.10433143778540546</v>
      </c>
      <c r="S266" s="3705">
        <f>SUM(W266:W287)</f>
        <v>13633483743.66</v>
      </c>
      <c r="T266" s="2182" t="s">
        <v>2187</v>
      </c>
      <c r="U266" s="2196" t="s">
        <v>2188</v>
      </c>
      <c r="V266" s="2196" t="s">
        <v>2189</v>
      </c>
      <c r="W266" s="1368">
        <v>1361612640</v>
      </c>
      <c r="X266" s="182" t="s">
        <v>2190</v>
      </c>
      <c r="Y266" s="1122">
        <v>110</v>
      </c>
      <c r="Z266" s="1399" t="s">
        <v>2191</v>
      </c>
      <c r="AA266" s="2287">
        <v>292684</v>
      </c>
      <c r="AB266" s="2287">
        <v>282326</v>
      </c>
      <c r="AC266" s="3327">
        <v>135912</v>
      </c>
      <c r="AD266" s="2287">
        <v>45122</v>
      </c>
      <c r="AE266" s="2287">
        <v>365607</v>
      </c>
      <c r="AF266" s="2287">
        <v>75612</v>
      </c>
      <c r="AG266" s="2287">
        <v>2145</v>
      </c>
      <c r="AH266" s="2287">
        <v>12718</v>
      </c>
      <c r="AI266" s="2287">
        <v>26</v>
      </c>
      <c r="AJ266" s="2287">
        <v>37</v>
      </c>
      <c r="AK266" s="2287">
        <v>0</v>
      </c>
      <c r="AL266" s="2287">
        <v>0</v>
      </c>
      <c r="AM266" s="2287">
        <v>53164</v>
      </c>
      <c r="AN266" s="2287">
        <v>16982</v>
      </c>
      <c r="AO266" s="2287">
        <v>60013</v>
      </c>
      <c r="AP266" s="2287">
        <v>575010</v>
      </c>
      <c r="AQ266" s="3673">
        <v>44197</v>
      </c>
      <c r="AR266" s="3673">
        <v>44561</v>
      </c>
      <c r="AS266" s="2287" t="s">
        <v>1700</v>
      </c>
    </row>
    <row r="267" spans="1:45" ht="44.25" customHeight="1" x14ac:dyDescent="0.25">
      <c r="A267" s="968"/>
      <c r="B267" s="1051"/>
      <c r="C267" s="1069"/>
      <c r="D267" s="1051"/>
      <c r="E267" s="3767"/>
      <c r="F267" s="3750"/>
      <c r="G267" s="2256"/>
      <c r="H267" s="3360"/>
      <c r="I267" s="2256"/>
      <c r="J267" s="3360"/>
      <c r="K267" s="3771"/>
      <c r="L267" s="3360"/>
      <c r="M267" s="3771"/>
      <c r="N267" s="3360"/>
      <c r="O267" s="3773"/>
      <c r="P267" s="2197"/>
      <c r="Q267" s="2182"/>
      <c r="R267" s="3646"/>
      <c r="S267" s="3705"/>
      <c r="T267" s="2182"/>
      <c r="U267" s="3162"/>
      <c r="V267" s="3163"/>
      <c r="W267" s="1368">
        <f>115688008-54899687</f>
        <v>60788321</v>
      </c>
      <c r="X267" s="182" t="s">
        <v>2192</v>
      </c>
      <c r="Y267" s="1122">
        <v>155</v>
      </c>
      <c r="Z267" s="1399" t="s">
        <v>2193</v>
      </c>
      <c r="AA267" s="2157"/>
      <c r="AB267" s="2157"/>
      <c r="AC267" s="3685"/>
      <c r="AD267" s="2157"/>
      <c r="AE267" s="2157"/>
      <c r="AF267" s="2157"/>
      <c r="AG267" s="2157"/>
      <c r="AH267" s="2157"/>
      <c r="AI267" s="2157"/>
      <c r="AJ267" s="2157"/>
      <c r="AK267" s="2157"/>
      <c r="AL267" s="2157"/>
      <c r="AM267" s="2157"/>
      <c r="AN267" s="2157"/>
      <c r="AO267" s="2157"/>
      <c r="AP267" s="2157"/>
      <c r="AQ267" s="2157"/>
      <c r="AR267" s="2157"/>
      <c r="AS267" s="2157"/>
    </row>
    <row r="268" spans="1:45" ht="37.5" customHeight="1" x14ac:dyDescent="0.25">
      <c r="A268" s="968"/>
      <c r="B268" s="1051"/>
      <c r="C268" s="1069"/>
      <c r="D268" s="1051"/>
      <c r="E268" s="3767"/>
      <c r="F268" s="3750"/>
      <c r="G268" s="2256" t="s">
        <v>62</v>
      </c>
      <c r="H268" s="3358" t="s">
        <v>2194</v>
      </c>
      <c r="I268" s="2256">
        <v>1906025</v>
      </c>
      <c r="J268" s="3358" t="s">
        <v>2195</v>
      </c>
      <c r="K268" s="3769" t="s">
        <v>62</v>
      </c>
      <c r="L268" s="3358" t="s">
        <v>2196</v>
      </c>
      <c r="M268" s="3769">
        <v>190602500</v>
      </c>
      <c r="N268" s="3358" t="s">
        <v>2197</v>
      </c>
      <c r="O268" s="3775">
        <v>100</v>
      </c>
      <c r="P268" s="2197"/>
      <c r="Q268" s="2182"/>
      <c r="R268" s="3646">
        <f>SUM(W268:W277)/S266</f>
        <v>0.15655523812778668</v>
      </c>
      <c r="S268" s="3705"/>
      <c r="T268" s="2182"/>
      <c r="U268" s="3162"/>
      <c r="V268" s="2196" t="s">
        <v>2198</v>
      </c>
      <c r="W268" s="1368">
        <v>400000000</v>
      </c>
      <c r="X268" s="182" t="s">
        <v>2199</v>
      </c>
      <c r="Y268" s="1122">
        <v>35</v>
      </c>
      <c r="Z268" s="1399" t="s">
        <v>2200</v>
      </c>
      <c r="AA268" s="2157"/>
      <c r="AB268" s="2157"/>
      <c r="AC268" s="3685"/>
      <c r="AD268" s="2157"/>
      <c r="AE268" s="2157"/>
      <c r="AF268" s="2157"/>
      <c r="AG268" s="2157"/>
      <c r="AH268" s="2157"/>
      <c r="AI268" s="2157"/>
      <c r="AJ268" s="2157"/>
      <c r="AK268" s="2157"/>
      <c r="AL268" s="2157"/>
      <c r="AM268" s="2157"/>
      <c r="AN268" s="2157"/>
      <c r="AO268" s="2157"/>
      <c r="AP268" s="2157"/>
      <c r="AQ268" s="2157"/>
      <c r="AR268" s="2157"/>
      <c r="AS268" s="2157"/>
    </row>
    <row r="269" spans="1:45" ht="57" customHeight="1" x14ac:dyDescent="0.25">
      <c r="A269" s="968"/>
      <c r="B269" s="1051"/>
      <c r="C269" s="1069"/>
      <c r="D269" s="1051"/>
      <c r="E269" s="3767"/>
      <c r="F269" s="3750"/>
      <c r="G269" s="2256"/>
      <c r="H269" s="3359"/>
      <c r="I269" s="2256"/>
      <c r="J269" s="3359"/>
      <c r="K269" s="3770"/>
      <c r="L269" s="3359"/>
      <c r="M269" s="3770"/>
      <c r="N269" s="3359"/>
      <c r="O269" s="3776"/>
      <c r="P269" s="2197"/>
      <c r="Q269" s="2182"/>
      <c r="R269" s="3646"/>
      <c r="S269" s="3705"/>
      <c r="T269" s="2182"/>
      <c r="U269" s="3162"/>
      <c r="V269" s="3162"/>
      <c r="W269" s="1368">
        <f>400000000-400000000</f>
        <v>0</v>
      </c>
      <c r="X269" s="182" t="s">
        <v>2201</v>
      </c>
      <c r="Y269" s="1122">
        <v>91</v>
      </c>
      <c r="Z269" s="1399" t="s">
        <v>2202</v>
      </c>
      <c r="AA269" s="2157"/>
      <c r="AB269" s="2157"/>
      <c r="AC269" s="3685"/>
      <c r="AD269" s="2157"/>
      <c r="AE269" s="2157"/>
      <c r="AF269" s="2157"/>
      <c r="AG269" s="2157"/>
      <c r="AH269" s="2157"/>
      <c r="AI269" s="2157"/>
      <c r="AJ269" s="2157"/>
      <c r="AK269" s="2157"/>
      <c r="AL269" s="2157"/>
      <c r="AM269" s="2157"/>
      <c r="AN269" s="2157"/>
      <c r="AO269" s="2157"/>
      <c r="AP269" s="2157"/>
      <c r="AQ269" s="2157"/>
      <c r="AR269" s="2157"/>
      <c r="AS269" s="2157"/>
    </row>
    <row r="270" spans="1:45" ht="63.75" customHeight="1" x14ac:dyDescent="0.25">
      <c r="A270" s="968"/>
      <c r="B270" s="1051"/>
      <c r="C270" s="1069"/>
      <c r="D270" s="1051"/>
      <c r="E270" s="3767"/>
      <c r="F270" s="3750"/>
      <c r="G270" s="2256"/>
      <c r="H270" s="3359"/>
      <c r="I270" s="2256"/>
      <c r="J270" s="3359"/>
      <c r="K270" s="3770"/>
      <c r="L270" s="3359"/>
      <c r="M270" s="3770"/>
      <c r="N270" s="3359"/>
      <c r="O270" s="3776"/>
      <c r="P270" s="2197"/>
      <c r="Q270" s="2182"/>
      <c r="R270" s="3646"/>
      <c r="S270" s="3705"/>
      <c r="T270" s="2182"/>
      <c r="U270" s="3162"/>
      <c r="V270" s="3162"/>
      <c r="W270" s="1368">
        <f>33937548.72-33937548.72</f>
        <v>0</v>
      </c>
      <c r="X270" s="182" t="s">
        <v>2203</v>
      </c>
      <c r="Y270" s="1122">
        <v>191</v>
      </c>
      <c r="Z270" s="1399" t="s">
        <v>2204</v>
      </c>
      <c r="AA270" s="2157"/>
      <c r="AB270" s="2157"/>
      <c r="AC270" s="3685"/>
      <c r="AD270" s="2157"/>
      <c r="AE270" s="2157"/>
      <c r="AF270" s="2157"/>
      <c r="AG270" s="2157"/>
      <c r="AH270" s="2157"/>
      <c r="AI270" s="2157"/>
      <c r="AJ270" s="2157"/>
      <c r="AK270" s="2157"/>
      <c r="AL270" s="2157"/>
      <c r="AM270" s="2157"/>
      <c r="AN270" s="2157"/>
      <c r="AO270" s="2157"/>
      <c r="AP270" s="2157"/>
      <c r="AQ270" s="2157"/>
      <c r="AR270" s="2157"/>
      <c r="AS270" s="2157"/>
    </row>
    <row r="271" spans="1:45" ht="45.75" customHeight="1" x14ac:dyDescent="0.25">
      <c r="A271" s="968"/>
      <c r="B271" s="1051"/>
      <c r="C271" s="1069"/>
      <c r="D271" s="1051"/>
      <c r="E271" s="3767"/>
      <c r="F271" s="3750"/>
      <c r="G271" s="2256"/>
      <c r="H271" s="3359"/>
      <c r="I271" s="2256"/>
      <c r="J271" s="3359"/>
      <c r="K271" s="3770"/>
      <c r="L271" s="3359"/>
      <c r="M271" s="3770"/>
      <c r="N271" s="3359"/>
      <c r="O271" s="3776"/>
      <c r="P271" s="2197"/>
      <c r="Q271" s="2182"/>
      <c r="R271" s="3646"/>
      <c r="S271" s="3705"/>
      <c r="T271" s="2182"/>
      <c r="U271" s="3162"/>
      <c r="V271" s="3162"/>
      <c r="W271" s="1368">
        <f>3434211.2-3434211.2</f>
        <v>0</v>
      </c>
      <c r="X271" s="182" t="s">
        <v>2205</v>
      </c>
      <c r="Y271" s="1122">
        <v>97</v>
      </c>
      <c r="Z271" s="1399" t="s">
        <v>2206</v>
      </c>
      <c r="AA271" s="2157"/>
      <c r="AB271" s="2157"/>
      <c r="AC271" s="3685"/>
      <c r="AD271" s="2157"/>
      <c r="AE271" s="2157"/>
      <c r="AF271" s="2157"/>
      <c r="AG271" s="2157"/>
      <c r="AH271" s="2157"/>
      <c r="AI271" s="2157"/>
      <c r="AJ271" s="2157"/>
      <c r="AK271" s="2157"/>
      <c r="AL271" s="2157"/>
      <c r="AM271" s="2157"/>
      <c r="AN271" s="2157"/>
      <c r="AO271" s="2157"/>
      <c r="AP271" s="2157"/>
      <c r="AQ271" s="2157"/>
      <c r="AR271" s="2157"/>
      <c r="AS271" s="2157"/>
    </row>
    <row r="272" spans="1:45" ht="49.5" customHeight="1" x14ac:dyDescent="0.25">
      <c r="A272" s="968"/>
      <c r="B272" s="1051"/>
      <c r="C272" s="1069"/>
      <c r="D272" s="1051"/>
      <c r="E272" s="3767"/>
      <c r="F272" s="3750"/>
      <c r="G272" s="2256"/>
      <c r="H272" s="3359"/>
      <c r="I272" s="2256"/>
      <c r="J272" s="3359"/>
      <c r="K272" s="3770"/>
      <c r="L272" s="3359"/>
      <c r="M272" s="3770"/>
      <c r="N272" s="3359"/>
      <c r="O272" s="3776"/>
      <c r="P272" s="2197"/>
      <c r="Q272" s="2182"/>
      <c r="R272" s="3646"/>
      <c r="S272" s="3705"/>
      <c r="T272" s="2182"/>
      <c r="U272" s="3162"/>
      <c r="V272" s="3162"/>
      <c r="W272" s="1368">
        <f>3039348.21-3039348.21</f>
        <v>0</v>
      </c>
      <c r="X272" s="182" t="s">
        <v>2207</v>
      </c>
      <c r="Y272" s="1122">
        <v>192</v>
      </c>
      <c r="Z272" s="1399" t="s">
        <v>2208</v>
      </c>
      <c r="AA272" s="2157"/>
      <c r="AB272" s="2157"/>
      <c r="AC272" s="3685"/>
      <c r="AD272" s="2157"/>
      <c r="AE272" s="2157"/>
      <c r="AF272" s="2157"/>
      <c r="AG272" s="2157"/>
      <c r="AH272" s="2157"/>
      <c r="AI272" s="2157"/>
      <c r="AJ272" s="2157"/>
      <c r="AK272" s="2157"/>
      <c r="AL272" s="2157"/>
      <c r="AM272" s="2157"/>
      <c r="AN272" s="2157"/>
      <c r="AO272" s="2157"/>
      <c r="AP272" s="2157"/>
      <c r="AQ272" s="2157"/>
      <c r="AR272" s="2157"/>
      <c r="AS272" s="2157"/>
    </row>
    <row r="273" spans="1:45" ht="67.5" customHeight="1" x14ac:dyDescent="0.25">
      <c r="A273" s="968"/>
      <c r="B273" s="1051"/>
      <c r="C273" s="1069"/>
      <c r="D273" s="1051"/>
      <c r="E273" s="3767"/>
      <c r="F273" s="3750"/>
      <c r="G273" s="2256"/>
      <c r="H273" s="3359"/>
      <c r="I273" s="2256"/>
      <c r="J273" s="3359"/>
      <c r="K273" s="3770"/>
      <c r="L273" s="3359"/>
      <c r="M273" s="3770"/>
      <c r="N273" s="3359"/>
      <c r="O273" s="3776"/>
      <c r="P273" s="2197"/>
      <c r="Q273" s="2182"/>
      <c r="R273" s="3646"/>
      <c r="S273" s="3705"/>
      <c r="T273" s="2182"/>
      <c r="U273" s="3162"/>
      <c r="V273" s="3162"/>
      <c r="W273" s="1368">
        <f>1216600524.1-1216600524.1</f>
        <v>0</v>
      </c>
      <c r="X273" s="182" t="s">
        <v>2209</v>
      </c>
      <c r="Y273" s="1122">
        <v>193</v>
      </c>
      <c r="Z273" s="1399" t="s">
        <v>2210</v>
      </c>
      <c r="AA273" s="2157"/>
      <c r="AB273" s="2157"/>
      <c r="AC273" s="3685"/>
      <c r="AD273" s="2157"/>
      <c r="AE273" s="2157"/>
      <c r="AF273" s="2157"/>
      <c r="AG273" s="2157"/>
      <c r="AH273" s="2157"/>
      <c r="AI273" s="2157"/>
      <c r="AJ273" s="2157"/>
      <c r="AK273" s="2157"/>
      <c r="AL273" s="2157"/>
      <c r="AM273" s="2157"/>
      <c r="AN273" s="2157"/>
      <c r="AO273" s="2157"/>
      <c r="AP273" s="2157"/>
      <c r="AQ273" s="2157"/>
      <c r="AR273" s="2157"/>
      <c r="AS273" s="2157"/>
    </row>
    <row r="274" spans="1:45" ht="53.25" customHeight="1" x14ac:dyDescent="0.25">
      <c r="A274" s="968"/>
      <c r="B274" s="1051"/>
      <c r="C274" s="1069"/>
      <c r="D274" s="1051"/>
      <c r="E274" s="3767"/>
      <c r="F274" s="3750"/>
      <c r="G274" s="2256"/>
      <c r="H274" s="3359"/>
      <c r="I274" s="2256"/>
      <c r="J274" s="3359"/>
      <c r="K274" s="3770"/>
      <c r="L274" s="3359"/>
      <c r="M274" s="3770"/>
      <c r="N274" s="3359"/>
      <c r="O274" s="3776"/>
      <c r="P274" s="2197"/>
      <c r="Q274" s="2182"/>
      <c r="R274" s="3646"/>
      <c r="S274" s="3705"/>
      <c r="T274" s="2182"/>
      <c r="U274" s="3162"/>
      <c r="V274" s="3162"/>
      <c r="W274" s="1368">
        <f>22221326.62-22221326.62</f>
        <v>0</v>
      </c>
      <c r="X274" s="182" t="s">
        <v>2211</v>
      </c>
      <c r="Y274" s="1122">
        <v>194</v>
      </c>
      <c r="Z274" s="1399" t="s">
        <v>2212</v>
      </c>
      <c r="AA274" s="2157"/>
      <c r="AB274" s="2157"/>
      <c r="AC274" s="3685"/>
      <c r="AD274" s="2157"/>
      <c r="AE274" s="2157"/>
      <c r="AF274" s="2157"/>
      <c r="AG274" s="2157"/>
      <c r="AH274" s="2157"/>
      <c r="AI274" s="2157"/>
      <c r="AJ274" s="2157"/>
      <c r="AK274" s="2157"/>
      <c r="AL274" s="2157"/>
      <c r="AM274" s="2157"/>
      <c r="AN274" s="2157"/>
      <c r="AO274" s="2157"/>
      <c r="AP274" s="2157"/>
      <c r="AQ274" s="2157"/>
      <c r="AR274" s="2157"/>
      <c r="AS274" s="2157"/>
    </row>
    <row r="275" spans="1:45" ht="51.75" customHeight="1" x14ac:dyDescent="0.25">
      <c r="A275" s="968"/>
      <c r="B275" s="1051"/>
      <c r="C275" s="1069"/>
      <c r="D275" s="1051"/>
      <c r="E275" s="3767"/>
      <c r="F275" s="3750"/>
      <c r="G275" s="2256"/>
      <c r="H275" s="3359"/>
      <c r="I275" s="2256"/>
      <c r="J275" s="3359"/>
      <c r="K275" s="3770"/>
      <c r="L275" s="3359"/>
      <c r="M275" s="3770"/>
      <c r="N275" s="3359"/>
      <c r="O275" s="3776"/>
      <c r="P275" s="2197"/>
      <c r="Q275" s="2182"/>
      <c r="R275" s="3646"/>
      <c r="S275" s="3705"/>
      <c r="T275" s="2182"/>
      <c r="U275" s="3162"/>
      <c r="V275" s="3162"/>
      <c r="W275" s="1368">
        <f>712647104.86-712647104.86</f>
        <v>0</v>
      </c>
      <c r="X275" s="182" t="s">
        <v>2213</v>
      </c>
      <c r="Y275" s="1122">
        <v>96</v>
      </c>
      <c r="Z275" s="1399" t="s">
        <v>2214</v>
      </c>
      <c r="AA275" s="2157"/>
      <c r="AB275" s="2157"/>
      <c r="AC275" s="3685"/>
      <c r="AD275" s="2157"/>
      <c r="AE275" s="2157"/>
      <c r="AF275" s="2157"/>
      <c r="AG275" s="2157"/>
      <c r="AH275" s="2157"/>
      <c r="AI275" s="2157"/>
      <c r="AJ275" s="2157"/>
      <c r="AK275" s="2157"/>
      <c r="AL275" s="2157"/>
      <c r="AM275" s="2157"/>
      <c r="AN275" s="2157"/>
      <c r="AO275" s="2157"/>
      <c r="AP275" s="2157"/>
      <c r="AQ275" s="2157"/>
      <c r="AR275" s="2157"/>
      <c r="AS275" s="2157"/>
    </row>
    <row r="276" spans="1:45" ht="38.25" customHeight="1" x14ac:dyDescent="0.25">
      <c r="A276" s="968"/>
      <c r="B276" s="1051"/>
      <c r="C276" s="1069"/>
      <c r="D276" s="1051"/>
      <c r="E276" s="3767"/>
      <c r="F276" s="3750"/>
      <c r="G276" s="2256"/>
      <c r="H276" s="3359"/>
      <c r="I276" s="2256"/>
      <c r="J276" s="3359"/>
      <c r="K276" s="3770"/>
      <c r="L276" s="3359"/>
      <c r="M276" s="3770"/>
      <c r="N276" s="3359"/>
      <c r="O276" s="3776"/>
      <c r="P276" s="2197"/>
      <c r="Q276" s="2182"/>
      <c r="R276" s="3646"/>
      <c r="S276" s="3705"/>
      <c r="T276" s="2182"/>
      <c r="U276" s="3162"/>
      <c r="V276" s="3162"/>
      <c r="W276" s="1368">
        <f>2224028029-489634735</f>
        <v>1734393294</v>
      </c>
      <c r="X276" s="182" t="s">
        <v>2215</v>
      </c>
      <c r="Y276" s="1122">
        <v>171</v>
      </c>
      <c r="Z276" s="1047" t="s">
        <v>2216</v>
      </c>
      <c r="AA276" s="2157"/>
      <c r="AB276" s="2157"/>
      <c r="AC276" s="3685"/>
      <c r="AD276" s="2157"/>
      <c r="AE276" s="2157"/>
      <c r="AF276" s="2157"/>
      <c r="AG276" s="2157"/>
      <c r="AH276" s="2157"/>
      <c r="AI276" s="2157"/>
      <c r="AJ276" s="2157"/>
      <c r="AK276" s="2157"/>
      <c r="AL276" s="2157"/>
      <c r="AM276" s="2157"/>
      <c r="AN276" s="2157"/>
      <c r="AO276" s="2157"/>
      <c r="AP276" s="2157"/>
      <c r="AQ276" s="2157"/>
      <c r="AR276" s="2157"/>
      <c r="AS276" s="2157"/>
    </row>
    <row r="277" spans="1:45" ht="36.75" customHeight="1" x14ac:dyDescent="0.25">
      <c r="A277" s="968"/>
      <c r="B277" s="1051"/>
      <c r="C277" s="1069"/>
      <c r="D277" s="1051"/>
      <c r="E277" s="3767"/>
      <c r="F277" s="3750"/>
      <c r="G277" s="2256"/>
      <c r="H277" s="3360"/>
      <c r="I277" s="2256"/>
      <c r="J277" s="3360"/>
      <c r="K277" s="3771"/>
      <c r="L277" s="3360"/>
      <c r="M277" s="3771"/>
      <c r="N277" s="3360"/>
      <c r="O277" s="3773"/>
      <c r="P277" s="2197"/>
      <c r="Q277" s="2182"/>
      <c r="R277" s="3646"/>
      <c r="S277" s="3705"/>
      <c r="T277" s="2182"/>
      <c r="U277" s="3162"/>
      <c r="V277" s="3163"/>
      <c r="W277" s="1368">
        <f>2224028029-2224028029</f>
        <v>0</v>
      </c>
      <c r="X277" s="182" t="s">
        <v>2217</v>
      </c>
      <c r="Y277" s="1122">
        <v>171</v>
      </c>
      <c r="Z277" s="1047" t="s">
        <v>2216</v>
      </c>
      <c r="AA277" s="2157"/>
      <c r="AB277" s="2157"/>
      <c r="AC277" s="3685"/>
      <c r="AD277" s="2157"/>
      <c r="AE277" s="2157"/>
      <c r="AF277" s="2157"/>
      <c r="AG277" s="2157"/>
      <c r="AH277" s="2157"/>
      <c r="AI277" s="2157"/>
      <c r="AJ277" s="2157"/>
      <c r="AK277" s="2157"/>
      <c r="AL277" s="2157"/>
      <c r="AM277" s="2157"/>
      <c r="AN277" s="2157"/>
      <c r="AO277" s="2157"/>
      <c r="AP277" s="2157"/>
      <c r="AQ277" s="2157"/>
      <c r="AR277" s="2157"/>
      <c r="AS277" s="2157"/>
    </row>
    <row r="278" spans="1:45" ht="36.75" customHeight="1" x14ac:dyDescent="0.25">
      <c r="A278" s="968"/>
      <c r="B278" s="1051"/>
      <c r="C278" s="1069"/>
      <c r="D278" s="1051"/>
      <c r="E278" s="3767"/>
      <c r="F278" s="3750"/>
      <c r="G278" s="2287" t="s">
        <v>62</v>
      </c>
      <c r="H278" s="3777" t="s">
        <v>2218</v>
      </c>
      <c r="I278" s="3778">
        <v>1906025</v>
      </c>
      <c r="J278" s="3777" t="s">
        <v>2195</v>
      </c>
      <c r="K278" s="3672" t="s">
        <v>62</v>
      </c>
      <c r="L278" s="2177" t="s">
        <v>2219</v>
      </c>
      <c r="M278" s="3672">
        <v>190602500</v>
      </c>
      <c r="N278" s="2177" t="s">
        <v>2197</v>
      </c>
      <c r="O278" s="3730">
        <v>100</v>
      </c>
      <c r="P278" s="2198"/>
      <c r="Q278" s="2182"/>
      <c r="R278" s="3660">
        <f>SUM(W287)/S266</f>
        <v>0.29339529611132048</v>
      </c>
      <c r="S278" s="3705"/>
      <c r="T278" s="2182"/>
      <c r="U278" s="3162"/>
      <c r="V278" s="2196" t="s">
        <v>2220</v>
      </c>
      <c r="W278" s="1368">
        <f>3684809425-3068616589</f>
        <v>616192836</v>
      </c>
      <c r="X278" s="182" t="s">
        <v>2221</v>
      </c>
      <c r="Y278" s="1122">
        <v>58</v>
      </c>
      <c r="Z278" s="1399" t="s">
        <v>2222</v>
      </c>
      <c r="AA278" s="2157"/>
      <c r="AB278" s="2157"/>
      <c r="AC278" s="3685"/>
      <c r="AD278" s="2157"/>
      <c r="AE278" s="2157"/>
      <c r="AF278" s="2157"/>
      <c r="AG278" s="2157"/>
      <c r="AH278" s="2157"/>
      <c r="AI278" s="2157"/>
      <c r="AJ278" s="2157"/>
      <c r="AK278" s="2157"/>
      <c r="AL278" s="2157"/>
      <c r="AM278" s="2157"/>
      <c r="AN278" s="2157"/>
      <c r="AO278" s="2157"/>
      <c r="AP278" s="2157"/>
      <c r="AQ278" s="2157"/>
      <c r="AR278" s="2157"/>
      <c r="AS278" s="2157"/>
    </row>
    <row r="279" spans="1:45" ht="36.75" customHeight="1" x14ac:dyDescent="0.25">
      <c r="A279" s="968"/>
      <c r="B279" s="1051"/>
      <c r="C279" s="1069"/>
      <c r="D279" s="1051"/>
      <c r="E279" s="3767"/>
      <c r="F279" s="3750"/>
      <c r="G279" s="2157"/>
      <c r="H279" s="3399"/>
      <c r="I279" s="3759"/>
      <c r="J279" s="3399"/>
      <c r="K279" s="3668"/>
      <c r="L279" s="2178"/>
      <c r="M279" s="3668"/>
      <c r="N279" s="2178"/>
      <c r="O279" s="3731"/>
      <c r="P279" s="2198"/>
      <c r="Q279" s="2182"/>
      <c r="R279" s="3661"/>
      <c r="S279" s="3705"/>
      <c r="T279" s="2182"/>
      <c r="U279" s="3162"/>
      <c r="V279" s="3162"/>
      <c r="W279" s="1368">
        <v>3068616589</v>
      </c>
      <c r="X279" s="182" t="s">
        <v>2223</v>
      </c>
      <c r="Y279" s="1122">
        <v>58</v>
      </c>
      <c r="Z279" s="1399" t="s">
        <v>2222</v>
      </c>
      <c r="AA279" s="2157"/>
      <c r="AB279" s="2157"/>
      <c r="AC279" s="3685"/>
      <c r="AD279" s="2157"/>
      <c r="AE279" s="2157"/>
      <c r="AF279" s="2157"/>
      <c r="AG279" s="2157"/>
      <c r="AH279" s="2157"/>
      <c r="AI279" s="2157"/>
      <c r="AJ279" s="2157"/>
      <c r="AK279" s="2157"/>
      <c r="AL279" s="2157"/>
      <c r="AM279" s="2157"/>
      <c r="AN279" s="2157"/>
      <c r="AO279" s="2157"/>
      <c r="AP279" s="2157"/>
      <c r="AQ279" s="2157"/>
      <c r="AR279" s="2157"/>
      <c r="AS279" s="2157"/>
    </row>
    <row r="280" spans="1:45" ht="36.75" customHeight="1" x14ac:dyDescent="0.25">
      <c r="A280" s="968"/>
      <c r="B280" s="1051"/>
      <c r="C280" s="1069"/>
      <c r="D280" s="1051"/>
      <c r="E280" s="3767"/>
      <c r="F280" s="3750"/>
      <c r="G280" s="2157"/>
      <c r="H280" s="3399"/>
      <c r="I280" s="3759"/>
      <c r="J280" s="3399"/>
      <c r="K280" s="3668"/>
      <c r="L280" s="2178"/>
      <c r="M280" s="3668"/>
      <c r="N280" s="2178"/>
      <c r="O280" s="3731"/>
      <c r="P280" s="2198"/>
      <c r="Q280" s="2182"/>
      <c r="R280" s="3661"/>
      <c r="S280" s="3705"/>
      <c r="T280" s="2182"/>
      <c r="U280" s="3162"/>
      <c r="V280" s="3162"/>
      <c r="W280" s="1368">
        <v>400000000</v>
      </c>
      <c r="X280" s="182" t="s">
        <v>2224</v>
      </c>
      <c r="Y280" s="1122">
        <v>91</v>
      </c>
      <c r="Z280" s="1399" t="s">
        <v>2202</v>
      </c>
      <c r="AA280" s="2157"/>
      <c r="AB280" s="2157"/>
      <c r="AC280" s="3685"/>
      <c r="AD280" s="2157"/>
      <c r="AE280" s="2157"/>
      <c r="AF280" s="2157"/>
      <c r="AG280" s="2157"/>
      <c r="AH280" s="2157"/>
      <c r="AI280" s="2157"/>
      <c r="AJ280" s="2157"/>
      <c r="AK280" s="2157"/>
      <c r="AL280" s="2157"/>
      <c r="AM280" s="2157"/>
      <c r="AN280" s="2157"/>
      <c r="AO280" s="2157"/>
      <c r="AP280" s="2157"/>
      <c r="AQ280" s="2157"/>
      <c r="AR280" s="2157"/>
      <c r="AS280" s="2157"/>
    </row>
    <row r="281" spans="1:45" ht="36.75" customHeight="1" x14ac:dyDescent="0.25">
      <c r="A281" s="968"/>
      <c r="B281" s="1051"/>
      <c r="C281" s="1069"/>
      <c r="D281" s="1051"/>
      <c r="E281" s="3767"/>
      <c r="F281" s="3750"/>
      <c r="G281" s="2157"/>
      <c r="H281" s="3399"/>
      <c r="I281" s="3759"/>
      <c r="J281" s="3399"/>
      <c r="K281" s="3668"/>
      <c r="L281" s="2178"/>
      <c r="M281" s="3668"/>
      <c r="N281" s="2178"/>
      <c r="O281" s="3731"/>
      <c r="P281" s="2198"/>
      <c r="Q281" s="2182"/>
      <c r="R281" s="3661"/>
      <c r="S281" s="3705"/>
      <c r="T281" s="2182"/>
      <c r="U281" s="3162"/>
      <c r="V281" s="3162"/>
      <c r="W281" s="1368">
        <v>33937548.719999999</v>
      </c>
      <c r="X281" s="182" t="s">
        <v>2225</v>
      </c>
      <c r="Y281" s="1122">
        <v>191</v>
      </c>
      <c r="Z281" s="1399" t="s">
        <v>2204</v>
      </c>
      <c r="AA281" s="2157"/>
      <c r="AB281" s="2157"/>
      <c r="AC281" s="3685"/>
      <c r="AD281" s="2157"/>
      <c r="AE281" s="2157"/>
      <c r="AF281" s="2157"/>
      <c r="AG281" s="2157"/>
      <c r="AH281" s="2157"/>
      <c r="AI281" s="2157"/>
      <c r="AJ281" s="2157"/>
      <c r="AK281" s="2157"/>
      <c r="AL281" s="2157"/>
      <c r="AM281" s="2157"/>
      <c r="AN281" s="2157"/>
      <c r="AO281" s="2157"/>
      <c r="AP281" s="2157"/>
      <c r="AQ281" s="2157"/>
      <c r="AR281" s="2157"/>
      <c r="AS281" s="2157"/>
    </row>
    <row r="282" spans="1:45" ht="36.75" customHeight="1" x14ac:dyDescent="0.25">
      <c r="A282" s="968"/>
      <c r="B282" s="1051"/>
      <c r="C282" s="1069"/>
      <c r="D282" s="1051"/>
      <c r="E282" s="3767"/>
      <c r="F282" s="3750"/>
      <c r="G282" s="2157"/>
      <c r="H282" s="3399"/>
      <c r="I282" s="3759"/>
      <c r="J282" s="3399"/>
      <c r="K282" s="3668"/>
      <c r="L282" s="2178"/>
      <c r="M282" s="3668"/>
      <c r="N282" s="2178"/>
      <c r="O282" s="3731"/>
      <c r="P282" s="2198"/>
      <c r="Q282" s="2182"/>
      <c r="R282" s="3661"/>
      <c r="S282" s="3705"/>
      <c r="T282" s="2182"/>
      <c r="U282" s="3162"/>
      <c r="V282" s="3162"/>
      <c r="W282" s="1368">
        <v>3434211.2</v>
      </c>
      <c r="X282" s="182" t="s">
        <v>2226</v>
      </c>
      <c r="Y282" s="1122">
        <v>97</v>
      </c>
      <c r="Z282" s="1399" t="s">
        <v>2206</v>
      </c>
      <c r="AA282" s="2157"/>
      <c r="AB282" s="2157"/>
      <c r="AC282" s="3685"/>
      <c r="AD282" s="2157"/>
      <c r="AE282" s="2157"/>
      <c r="AF282" s="2157"/>
      <c r="AG282" s="2157"/>
      <c r="AH282" s="2157"/>
      <c r="AI282" s="2157"/>
      <c r="AJ282" s="2157"/>
      <c r="AK282" s="2157"/>
      <c r="AL282" s="2157"/>
      <c r="AM282" s="2157"/>
      <c r="AN282" s="2157"/>
      <c r="AO282" s="2157"/>
      <c r="AP282" s="2157"/>
      <c r="AQ282" s="2157"/>
      <c r="AR282" s="2157"/>
      <c r="AS282" s="2157"/>
    </row>
    <row r="283" spans="1:45" ht="36.75" customHeight="1" x14ac:dyDescent="0.25">
      <c r="A283" s="968"/>
      <c r="B283" s="1051"/>
      <c r="C283" s="1069"/>
      <c r="D283" s="1051"/>
      <c r="E283" s="3767"/>
      <c r="F283" s="3750"/>
      <c r="G283" s="2157"/>
      <c r="H283" s="3399"/>
      <c r="I283" s="3759"/>
      <c r="J283" s="3399"/>
      <c r="K283" s="3668"/>
      <c r="L283" s="2178"/>
      <c r="M283" s="3668"/>
      <c r="N283" s="2178"/>
      <c r="O283" s="3731"/>
      <c r="P283" s="2198"/>
      <c r="Q283" s="2182"/>
      <c r="R283" s="3661"/>
      <c r="S283" s="3705"/>
      <c r="T283" s="2182"/>
      <c r="U283" s="3162"/>
      <c r="V283" s="3162"/>
      <c r="W283" s="1368">
        <v>3039348.21</v>
      </c>
      <c r="X283" s="182" t="s">
        <v>2227</v>
      </c>
      <c r="Y283" s="1122">
        <v>192</v>
      </c>
      <c r="Z283" s="1399" t="s">
        <v>2208</v>
      </c>
      <c r="AA283" s="2157"/>
      <c r="AB283" s="2157"/>
      <c r="AC283" s="3685"/>
      <c r="AD283" s="2157"/>
      <c r="AE283" s="2157"/>
      <c r="AF283" s="2157"/>
      <c r="AG283" s="2157"/>
      <c r="AH283" s="2157"/>
      <c r="AI283" s="2157"/>
      <c r="AJ283" s="2157"/>
      <c r="AK283" s="2157"/>
      <c r="AL283" s="2157"/>
      <c r="AM283" s="2157"/>
      <c r="AN283" s="2157"/>
      <c r="AO283" s="2157"/>
      <c r="AP283" s="2157"/>
      <c r="AQ283" s="2157"/>
      <c r="AR283" s="2157"/>
      <c r="AS283" s="2157"/>
    </row>
    <row r="284" spans="1:45" ht="36.75" customHeight="1" x14ac:dyDescent="0.25">
      <c r="A284" s="968"/>
      <c r="B284" s="1051"/>
      <c r="C284" s="1069"/>
      <c r="D284" s="1051"/>
      <c r="E284" s="3767"/>
      <c r="F284" s="3750"/>
      <c r="G284" s="2157"/>
      <c r="H284" s="3399"/>
      <c r="I284" s="3759"/>
      <c r="J284" s="3399"/>
      <c r="K284" s="3668"/>
      <c r="L284" s="2178"/>
      <c r="M284" s="3668"/>
      <c r="N284" s="2178"/>
      <c r="O284" s="3731"/>
      <c r="P284" s="2198"/>
      <c r="Q284" s="2182"/>
      <c r="R284" s="3661"/>
      <c r="S284" s="3705"/>
      <c r="T284" s="2182"/>
      <c r="U284" s="3162"/>
      <c r="V284" s="3162"/>
      <c r="W284" s="1368">
        <v>1216600524.01</v>
      </c>
      <c r="X284" s="182" t="s">
        <v>2228</v>
      </c>
      <c r="Y284" s="1122">
        <v>193</v>
      </c>
      <c r="Z284" s="1399" t="s">
        <v>2210</v>
      </c>
      <c r="AA284" s="2157"/>
      <c r="AB284" s="2157"/>
      <c r="AC284" s="3685"/>
      <c r="AD284" s="2157"/>
      <c r="AE284" s="2157"/>
      <c r="AF284" s="2157"/>
      <c r="AG284" s="2157"/>
      <c r="AH284" s="2157"/>
      <c r="AI284" s="2157"/>
      <c r="AJ284" s="2157"/>
      <c r="AK284" s="2157"/>
      <c r="AL284" s="2157"/>
      <c r="AM284" s="2157"/>
      <c r="AN284" s="2157"/>
      <c r="AO284" s="2157"/>
      <c r="AP284" s="2157"/>
      <c r="AQ284" s="2157"/>
      <c r="AR284" s="2157"/>
      <c r="AS284" s="2157"/>
    </row>
    <row r="285" spans="1:45" ht="36.75" customHeight="1" x14ac:dyDescent="0.25">
      <c r="A285" s="968"/>
      <c r="B285" s="1051"/>
      <c r="C285" s="1069"/>
      <c r="D285" s="1051"/>
      <c r="E285" s="3767"/>
      <c r="F285" s="3750"/>
      <c r="G285" s="2157"/>
      <c r="H285" s="3399"/>
      <c r="I285" s="3759"/>
      <c r="J285" s="3399"/>
      <c r="K285" s="3668"/>
      <c r="L285" s="2178"/>
      <c r="M285" s="3668"/>
      <c r="N285" s="2178"/>
      <c r="O285" s="3731"/>
      <c r="P285" s="2198"/>
      <c r="Q285" s="2182"/>
      <c r="R285" s="3661"/>
      <c r="S285" s="3705"/>
      <c r="T285" s="2182"/>
      <c r="U285" s="3162"/>
      <c r="V285" s="3162"/>
      <c r="W285" s="1368">
        <v>22221326.620000001</v>
      </c>
      <c r="X285" s="182" t="s">
        <v>2229</v>
      </c>
      <c r="Y285" s="1122">
        <v>194</v>
      </c>
      <c r="Z285" s="1399" t="s">
        <v>2212</v>
      </c>
      <c r="AA285" s="2157"/>
      <c r="AB285" s="2157"/>
      <c r="AC285" s="3685"/>
      <c r="AD285" s="2157"/>
      <c r="AE285" s="2157"/>
      <c r="AF285" s="2157"/>
      <c r="AG285" s="2157"/>
      <c r="AH285" s="2157"/>
      <c r="AI285" s="2157"/>
      <c r="AJ285" s="2157"/>
      <c r="AK285" s="2157"/>
      <c r="AL285" s="2157"/>
      <c r="AM285" s="2157"/>
      <c r="AN285" s="2157"/>
      <c r="AO285" s="2157"/>
      <c r="AP285" s="2157"/>
      <c r="AQ285" s="2157"/>
      <c r="AR285" s="2157"/>
      <c r="AS285" s="2157"/>
    </row>
    <row r="286" spans="1:45" ht="36.75" customHeight="1" x14ac:dyDescent="0.25">
      <c r="A286" s="968"/>
      <c r="B286" s="1051"/>
      <c r="C286" s="1069"/>
      <c r="D286" s="1051"/>
      <c r="E286" s="3767"/>
      <c r="F286" s="3750"/>
      <c r="G286" s="2157"/>
      <c r="H286" s="3399"/>
      <c r="I286" s="3759"/>
      <c r="J286" s="3399"/>
      <c r="K286" s="3668"/>
      <c r="L286" s="2178"/>
      <c r="M286" s="3668"/>
      <c r="N286" s="2178"/>
      <c r="O286" s="3731"/>
      <c r="P286" s="2198"/>
      <c r="Q286" s="2182"/>
      <c r="R286" s="3661"/>
      <c r="S286" s="3705"/>
      <c r="T286" s="2182"/>
      <c r="U286" s="3162"/>
      <c r="V286" s="3162"/>
      <c r="W286" s="1368">
        <v>712647104.89999998</v>
      </c>
      <c r="X286" s="182" t="s">
        <v>2230</v>
      </c>
      <c r="Y286" s="1122">
        <v>96</v>
      </c>
      <c r="Z286" s="1399" t="s">
        <v>2214</v>
      </c>
      <c r="AA286" s="2157"/>
      <c r="AB286" s="2157"/>
      <c r="AC286" s="3685"/>
      <c r="AD286" s="2157"/>
      <c r="AE286" s="2157"/>
      <c r="AF286" s="2157"/>
      <c r="AG286" s="2157"/>
      <c r="AH286" s="2157"/>
      <c r="AI286" s="2157"/>
      <c r="AJ286" s="2157"/>
      <c r="AK286" s="2157"/>
      <c r="AL286" s="2157"/>
      <c r="AM286" s="2157"/>
      <c r="AN286" s="2157"/>
      <c r="AO286" s="2157"/>
      <c r="AP286" s="2157"/>
      <c r="AQ286" s="2157"/>
      <c r="AR286" s="2157"/>
      <c r="AS286" s="2157"/>
    </row>
    <row r="287" spans="1:45" ht="59.25" customHeight="1" x14ac:dyDescent="0.25">
      <c r="A287" s="968"/>
      <c r="B287" s="1051"/>
      <c r="C287" s="1069"/>
      <c r="D287" s="1051"/>
      <c r="E287" s="3767"/>
      <c r="F287" s="3750"/>
      <c r="G287" s="2304"/>
      <c r="H287" s="3400"/>
      <c r="I287" s="3760"/>
      <c r="J287" s="3400"/>
      <c r="K287" s="3669"/>
      <c r="L287" s="3728"/>
      <c r="M287" s="3669"/>
      <c r="N287" s="3728"/>
      <c r="O287" s="3732"/>
      <c r="P287" s="2198"/>
      <c r="Q287" s="2182"/>
      <c r="R287" s="3652"/>
      <c r="S287" s="3705"/>
      <c r="T287" s="2182"/>
      <c r="U287" s="3163"/>
      <c r="V287" s="3163"/>
      <c r="W287" s="1368">
        <v>4000000000</v>
      </c>
      <c r="X287" s="182" t="s">
        <v>2231</v>
      </c>
      <c r="Y287" s="1122">
        <v>88</v>
      </c>
      <c r="Z287" s="1048" t="s">
        <v>2084</v>
      </c>
      <c r="AA287" s="2304"/>
      <c r="AB287" s="2157"/>
      <c r="AC287" s="3685"/>
      <c r="AD287" s="2157"/>
      <c r="AE287" s="2157"/>
      <c r="AF287" s="2157"/>
      <c r="AG287" s="2157"/>
      <c r="AH287" s="2157"/>
      <c r="AI287" s="2157"/>
      <c r="AJ287" s="2157"/>
      <c r="AK287" s="2157"/>
      <c r="AL287" s="2157"/>
      <c r="AM287" s="2157"/>
      <c r="AN287" s="2157"/>
      <c r="AO287" s="2157"/>
      <c r="AP287" s="2157"/>
      <c r="AQ287" s="2157"/>
      <c r="AR287" s="2157"/>
      <c r="AS287" s="2157"/>
    </row>
    <row r="288" spans="1:45" s="74" customFormat="1" ht="53.25" customHeight="1" x14ac:dyDescent="0.25">
      <c r="A288" s="1707"/>
      <c r="B288" s="1506"/>
      <c r="C288" s="1505"/>
      <c r="D288" s="1506"/>
      <c r="E288" s="3767"/>
      <c r="F288" s="3750"/>
      <c r="G288" s="3774">
        <v>1906029</v>
      </c>
      <c r="H288" s="2834" t="s">
        <v>2232</v>
      </c>
      <c r="I288" s="3774">
        <v>1906029</v>
      </c>
      <c r="J288" s="2834" t="s">
        <v>2232</v>
      </c>
      <c r="K288" s="3667">
        <v>190602900</v>
      </c>
      <c r="L288" s="3780" t="s">
        <v>2233</v>
      </c>
      <c r="M288" s="3667">
        <v>190602900</v>
      </c>
      <c r="N288" s="3780" t="s">
        <v>2233</v>
      </c>
      <c r="O288" s="3783">
        <v>40</v>
      </c>
      <c r="P288" s="2198" t="s">
        <v>2234</v>
      </c>
      <c r="Q288" s="2182" t="s">
        <v>2235</v>
      </c>
      <c r="R288" s="3726">
        <f>SUM(W288:W295)/S288</f>
        <v>0.92063144724658397</v>
      </c>
      <c r="S288" s="3705">
        <f>SUM(W288:W299)</f>
        <v>1007955887.12</v>
      </c>
      <c r="T288" s="2182" t="s">
        <v>2236</v>
      </c>
      <c r="U288" s="2196" t="s">
        <v>2237</v>
      </c>
      <c r="V288" s="1482" t="s">
        <v>2238</v>
      </c>
      <c r="W288" s="1532">
        <v>25390000</v>
      </c>
      <c r="X288" s="1522" t="s">
        <v>2239</v>
      </c>
      <c r="Y288" s="1708">
        <v>20</v>
      </c>
      <c r="Z288" s="1709" t="s">
        <v>73</v>
      </c>
      <c r="AA288" s="2287">
        <v>292684</v>
      </c>
      <c r="AB288" s="2287">
        <v>282326</v>
      </c>
      <c r="AC288" s="3327">
        <v>135912</v>
      </c>
      <c r="AD288" s="2287">
        <v>45122</v>
      </c>
      <c r="AE288" s="2287">
        <v>365607</v>
      </c>
      <c r="AF288" s="2287">
        <v>86875</v>
      </c>
      <c r="AG288" s="2287">
        <v>2145</v>
      </c>
      <c r="AH288" s="2287">
        <v>12718</v>
      </c>
      <c r="AI288" s="2287">
        <v>26</v>
      </c>
      <c r="AJ288" s="2287">
        <v>37</v>
      </c>
      <c r="AK288" s="2287">
        <v>0</v>
      </c>
      <c r="AL288" s="2287">
        <v>0</v>
      </c>
      <c r="AM288" s="2287">
        <v>53164</v>
      </c>
      <c r="AN288" s="2287">
        <v>16982</v>
      </c>
      <c r="AO288" s="2287">
        <v>60013</v>
      </c>
      <c r="AP288" s="2287">
        <v>575010</v>
      </c>
      <c r="AQ288" s="3673">
        <v>44197</v>
      </c>
      <c r="AR288" s="3673">
        <v>44561</v>
      </c>
      <c r="AS288" s="2287" t="s">
        <v>1700</v>
      </c>
    </row>
    <row r="289" spans="1:45" ht="84" customHeight="1" x14ac:dyDescent="0.25">
      <c r="A289" s="968"/>
      <c r="B289" s="1051"/>
      <c r="C289" s="1069"/>
      <c r="D289" s="1051"/>
      <c r="E289" s="3767"/>
      <c r="F289" s="3750"/>
      <c r="G289" s="3312"/>
      <c r="H289" s="2824"/>
      <c r="I289" s="3312"/>
      <c r="J289" s="2824"/>
      <c r="K289" s="3668"/>
      <c r="L289" s="2823"/>
      <c r="M289" s="3668"/>
      <c r="N289" s="2823"/>
      <c r="O289" s="3783"/>
      <c r="P289" s="2308"/>
      <c r="Q289" s="2182"/>
      <c r="R289" s="3726"/>
      <c r="S289" s="3705"/>
      <c r="T289" s="2182"/>
      <c r="U289" s="3162"/>
      <c r="V289" s="1471" t="s">
        <v>2240</v>
      </c>
      <c r="W289" s="1368">
        <v>20000000</v>
      </c>
      <c r="X289" s="182" t="s">
        <v>2239</v>
      </c>
      <c r="Y289" s="1389">
        <v>20</v>
      </c>
      <c r="Z289" s="1399" t="s">
        <v>73</v>
      </c>
      <c r="AA289" s="2157"/>
      <c r="AB289" s="2157"/>
      <c r="AC289" s="3685"/>
      <c r="AD289" s="2157"/>
      <c r="AE289" s="2157"/>
      <c r="AF289" s="2157"/>
      <c r="AG289" s="2157"/>
      <c r="AH289" s="2157"/>
      <c r="AI289" s="2157"/>
      <c r="AJ289" s="2157"/>
      <c r="AK289" s="2157"/>
      <c r="AL289" s="2157"/>
      <c r="AM289" s="2157"/>
      <c r="AN289" s="2157"/>
      <c r="AO289" s="2157"/>
      <c r="AP289" s="2157"/>
      <c r="AQ289" s="2157"/>
      <c r="AR289" s="2157"/>
      <c r="AS289" s="2157"/>
    </row>
    <row r="290" spans="1:45" ht="93" customHeight="1" x14ac:dyDescent="0.25">
      <c r="A290" s="968"/>
      <c r="B290" s="1051"/>
      <c r="C290" s="1069"/>
      <c r="D290" s="1051"/>
      <c r="E290" s="3767"/>
      <c r="F290" s="3750"/>
      <c r="G290" s="3312"/>
      <c r="H290" s="2824"/>
      <c r="I290" s="3312"/>
      <c r="J290" s="2824"/>
      <c r="K290" s="3668"/>
      <c r="L290" s="2823"/>
      <c r="M290" s="3668"/>
      <c r="N290" s="2823"/>
      <c r="O290" s="3783"/>
      <c r="P290" s="2308"/>
      <c r="Q290" s="2182"/>
      <c r="R290" s="3726"/>
      <c r="S290" s="3705"/>
      <c r="T290" s="2182"/>
      <c r="U290" s="3162"/>
      <c r="V290" s="1471" t="s">
        <v>2241</v>
      </c>
      <c r="W290" s="1368">
        <v>20000000</v>
      </c>
      <c r="X290" s="182" t="s">
        <v>2239</v>
      </c>
      <c r="Y290" s="1389">
        <v>20</v>
      </c>
      <c r="Z290" s="1399" t="s">
        <v>73</v>
      </c>
      <c r="AA290" s="2157"/>
      <c r="AB290" s="2157"/>
      <c r="AC290" s="3685"/>
      <c r="AD290" s="2157"/>
      <c r="AE290" s="2157"/>
      <c r="AF290" s="2157"/>
      <c r="AG290" s="2157"/>
      <c r="AH290" s="2157"/>
      <c r="AI290" s="2157"/>
      <c r="AJ290" s="2157"/>
      <c r="AK290" s="2157"/>
      <c r="AL290" s="2157"/>
      <c r="AM290" s="2157"/>
      <c r="AN290" s="2157"/>
      <c r="AO290" s="2157"/>
      <c r="AP290" s="2157"/>
      <c r="AQ290" s="2157"/>
      <c r="AR290" s="2157"/>
      <c r="AS290" s="2157"/>
    </row>
    <row r="291" spans="1:45" ht="85.5" customHeight="1" x14ac:dyDescent="0.25">
      <c r="A291" s="968"/>
      <c r="B291" s="1051"/>
      <c r="C291" s="1069"/>
      <c r="D291" s="1051"/>
      <c r="E291" s="3767"/>
      <c r="F291" s="3750"/>
      <c r="G291" s="3312"/>
      <c r="H291" s="2824"/>
      <c r="I291" s="3312"/>
      <c r="J291" s="2824"/>
      <c r="K291" s="3668"/>
      <c r="L291" s="2823"/>
      <c r="M291" s="3668"/>
      <c r="N291" s="2823"/>
      <c r="O291" s="3783"/>
      <c r="P291" s="2308"/>
      <c r="Q291" s="2182"/>
      <c r="R291" s="3726"/>
      <c r="S291" s="3705"/>
      <c r="T291" s="2182"/>
      <c r="U291" s="3162"/>
      <c r="V291" s="1471" t="s">
        <v>2242</v>
      </c>
      <c r="W291" s="1368">
        <v>20000000</v>
      </c>
      <c r="X291" s="182" t="s">
        <v>2239</v>
      </c>
      <c r="Y291" s="1389">
        <v>20</v>
      </c>
      <c r="Z291" s="1399" t="s">
        <v>73</v>
      </c>
      <c r="AA291" s="2157"/>
      <c r="AB291" s="2157"/>
      <c r="AC291" s="3685"/>
      <c r="AD291" s="2157"/>
      <c r="AE291" s="2157"/>
      <c r="AF291" s="2157"/>
      <c r="AG291" s="2157"/>
      <c r="AH291" s="2157"/>
      <c r="AI291" s="2157"/>
      <c r="AJ291" s="2157"/>
      <c r="AK291" s="2157"/>
      <c r="AL291" s="2157"/>
      <c r="AM291" s="2157"/>
      <c r="AN291" s="2157"/>
      <c r="AO291" s="2157"/>
      <c r="AP291" s="2157"/>
      <c r="AQ291" s="2157"/>
      <c r="AR291" s="2157"/>
      <c r="AS291" s="2157"/>
    </row>
    <row r="292" spans="1:45" ht="69.75" customHeight="1" x14ac:dyDescent="0.25">
      <c r="A292" s="968"/>
      <c r="B292" s="1051"/>
      <c r="C292" s="1069"/>
      <c r="D292" s="1051"/>
      <c r="E292" s="3767"/>
      <c r="F292" s="3750"/>
      <c r="G292" s="3312"/>
      <c r="H292" s="2824"/>
      <c r="I292" s="3312"/>
      <c r="J292" s="2824"/>
      <c r="K292" s="3668"/>
      <c r="L292" s="2823"/>
      <c r="M292" s="3668"/>
      <c r="N292" s="2823"/>
      <c r="O292" s="3783"/>
      <c r="P292" s="2308"/>
      <c r="Q292" s="2182"/>
      <c r="R292" s="3726"/>
      <c r="S292" s="3705"/>
      <c r="T292" s="2182"/>
      <c r="U292" s="3162"/>
      <c r="V292" s="1471" t="s">
        <v>2243</v>
      </c>
      <c r="W292" s="1368">
        <v>15000000</v>
      </c>
      <c r="X292" s="182" t="s">
        <v>2239</v>
      </c>
      <c r="Y292" s="1389">
        <v>20</v>
      </c>
      <c r="Z292" s="1399" t="s">
        <v>73</v>
      </c>
      <c r="AA292" s="2157"/>
      <c r="AB292" s="2157"/>
      <c r="AC292" s="3685"/>
      <c r="AD292" s="2157"/>
      <c r="AE292" s="2157"/>
      <c r="AF292" s="2157"/>
      <c r="AG292" s="2157"/>
      <c r="AH292" s="2157"/>
      <c r="AI292" s="2157"/>
      <c r="AJ292" s="2157"/>
      <c r="AK292" s="2157"/>
      <c r="AL292" s="2157"/>
      <c r="AM292" s="2157"/>
      <c r="AN292" s="2157"/>
      <c r="AO292" s="2157"/>
      <c r="AP292" s="2157"/>
      <c r="AQ292" s="2157"/>
      <c r="AR292" s="2157"/>
      <c r="AS292" s="2157"/>
    </row>
    <row r="293" spans="1:45" ht="69.75" customHeight="1" x14ac:dyDescent="0.25">
      <c r="A293" s="968"/>
      <c r="B293" s="1051"/>
      <c r="C293" s="1069"/>
      <c r="D293" s="1051"/>
      <c r="E293" s="3767"/>
      <c r="F293" s="3750"/>
      <c r="G293" s="3312"/>
      <c r="H293" s="2824"/>
      <c r="I293" s="3312"/>
      <c r="J293" s="2824"/>
      <c r="K293" s="3668"/>
      <c r="L293" s="2823"/>
      <c r="M293" s="3668"/>
      <c r="N293" s="2823"/>
      <c r="O293" s="3783"/>
      <c r="P293" s="2308"/>
      <c r="Q293" s="2182"/>
      <c r="R293" s="3726"/>
      <c r="S293" s="3705"/>
      <c r="T293" s="2182"/>
      <c r="U293" s="3162"/>
      <c r="V293" s="2196" t="s">
        <v>2244</v>
      </c>
      <c r="W293" s="1383">
        <v>50000000</v>
      </c>
      <c r="X293" s="182" t="s">
        <v>2239</v>
      </c>
      <c r="Y293" s="1389">
        <v>20</v>
      </c>
      <c r="Z293" s="1399" t="s">
        <v>73</v>
      </c>
      <c r="AA293" s="2157"/>
      <c r="AB293" s="2157"/>
      <c r="AC293" s="3685"/>
      <c r="AD293" s="2157"/>
      <c r="AE293" s="2157"/>
      <c r="AF293" s="2157"/>
      <c r="AG293" s="2157"/>
      <c r="AH293" s="2157"/>
      <c r="AI293" s="2157"/>
      <c r="AJ293" s="2157"/>
      <c r="AK293" s="2157"/>
      <c r="AL293" s="2157"/>
      <c r="AM293" s="2157"/>
      <c r="AN293" s="2157"/>
      <c r="AO293" s="2157"/>
      <c r="AP293" s="2157"/>
      <c r="AQ293" s="2157"/>
      <c r="AR293" s="2157"/>
      <c r="AS293" s="2157"/>
    </row>
    <row r="294" spans="1:45" ht="69.75" customHeight="1" x14ac:dyDescent="0.25">
      <c r="A294" s="968"/>
      <c r="B294" s="1051"/>
      <c r="C294" s="1069"/>
      <c r="D294" s="1051"/>
      <c r="E294" s="3767"/>
      <c r="F294" s="3750"/>
      <c r="G294" s="3312"/>
      <c r="H294" s="2824"/>
      <c r="I294" s="3312"/>
      <c r="J294" s="2824"/>
      <c r="K294" s="3668"/>
      <c r="L294" s="2823"/>
      <c r="M294" s="3668"/>
      <c r="N294" s="2823"/>
      <c r="O294" s="3783"/>
      <c r="P294" s="2308"/>
      <c r="Q294" s="2182"/>
      <c r="R294" s="3726"/>
      <c r="S294" s="3705"/>
      <c r="T294" s="2182"/>
      <c r="U294" s="3162"/>
      <c r="V294" s="3162"/>
      <c r="W294" s="1383">
        <v>468599154.12</v>
      </c>
      <c r="X294" s="182" t="s">
        <v>2245</v>
      </c>
      <c r="Y294" s="1389">
        <v>198</v>
      </c>
      <c r="Z294" s="1399" t="s">
        <v>2246</v>
      </c>
      <c r="AA294" s="2157"/>
      <c r="AB294" s="2157"/>
      <c r="AC294" s="3685"/>
      <c r="AD294" s="2157"/>
      <c r="AE294" s="2157"/>
      <c r="AF294" s="2157"/>
      <c r="AG294" s="2157"/>
      <c r="AH294" s="2157"/>
      <c r="AI294" s="2157"/>
      <c r="AJ294" s="2157"/>
      <c r="AK294" s="2157"/>
      <c r="AL294" s="2157"/>
      <c r="AM294" s="2157"/>
      <c r="AN294" s="2157"/>
      <c r="AO294" s="2157"/>
      <c r="AP294" s="2157"/>
      <c r="AQ294" s="2157"/>
      <c r="AR294" s="2157"/>
      <c r="AS294" s="2157"/>
    </row>
    <row r="295" spans="1:45" s="74" customFormat="1" ht="69" customHeight="1" x14ac:dyDescent="0.25">
      <c r="A295" s="1707"/>
      <c r="B295" s="1798"/>
      <c r="C295" s="1797"/>
      <c r="D295" s="1798"/>
      <c r="E295" s="3767"/>
      <c r="F295" s="3750"/>
      <c r="G295" s="3711"/>
      <c r="H295" s="2825"/>
      <c r="I295" s="3711"/>
      <c r="J295" s="2825"/>
      <c r="K295" s="3715"/>
      <c r="L295" s="2390"/>
      <c r="M295" s="3715"/>
      <c r="N295" s="2390"/>
      <c r="O295" s="3783"/>
      <c r="P295" s="2308"/>
      <c r="Q295" s="2182"/>
      <c r="R295" s="3726"/>
      <c r="S295" s="3705"/>
      <c r="T295" s="2182"/>
      <c r="U295" s="3162"/>
      <c r="V295" s="3163"/>
      <c r="W295" s="1383">
        <v>308966733</v>
      </c>
      <c r="X295" s="1807" t="s">
        <v>2247</v>
      </c>
      <c r="Y295" s="1708">
        <v>180</v>
      </c>
      <c r="Z295" s="1709" t="s">
        <v>2248</v>
      </c>
      <c r="AA295" s="2157"/>
      <c r="AB295" s="2157"/>
      <c r="AC295" s="3685"/>
      <c r="AD295" s="2157"/>
      <c r="AE295" s="2157"/>
      <c r="AF295" s="2157"/>
      <c r="AG295" s="2157"/>
      <c r="AH295" s="2157"/>
      <c r="AI295" s="2157"/>
      <c r="AJ295" s="2157"/>
      <c r="AK295" s="2157"/>
      <c r="AL295" s="2157"/>
      <c r="AM295" s="2157"/>
      <c r="AN295" s="2157"/>
      <c r="AO295" s="2157"/>
      <c r="AP295" s="2157"/>
      <c r="AQ295" s="2157"/>
      <c r="AR295" s="2157"/>
      <c r="AS295" s="2157"/>
    </row>
    <row r="296" spans="1:45" ht="153.75" customHeight="1" x14ac:dyDescent="0.25">
      <c r="A296" s="968"/>
      <c r="B296" s="1051"/>
      <c r="C296" s="1069"/>
      <c r="D296" s="1051"/>
      <c r="E296" s="3767"/>
      <c r="F296" s="3750"/>
      <c r="G296" s="1061">
        <v>1906032</v>
      </c>
      <c r="H296" s="1511" t="s">
        <v>2157</v>
      </c>
      <c r="I296" s="1061">
        <v>1906032</v>
      </c>
      <c r="J296" s="1511" t="s">
        <v>2157</v>
      </c>
      <c r="K296" s="1009">
        <v>190603200</v>
      </c>
      <c r="L296" s="1511" t="s">
        <v>2158</v>
      </c>
      <c r="M296" s="1009">
        <v>190603200</v>
      </c>
      <c r="N296" s="1511" t="s">
        <v>2158</v>
      </c>
      <c r="O296" s="1400">
        <v>1500</v>
      </c>
      <c r="P296" s="2308"/>
      <c r="Q296" s="2182"/>
      <c r="R296" s="1381">
        <f>W296/S288</f>
        <v>1.9842138188354015E-2</v>
      </c>
      <c r="S296" s="3705"/>
      <c r="T296" s="2182"/>
      <c r="U296" s="3163"/>
      <c r="V296" s="1471" t="s">
        <v>2249</v>
      </c>
      <c r="W296" s="1383">
        <v>20000000</v>
      </c>
      <c r="X296" s="182" t="s">
        <v>2250</v>
      </c>
      <c r="Y296" s="1389">
        <v>20</v>
      </c>
      <c r="Z296" s="1399" t="s">
        <v>73</v>
      </c>
      <c r="AA296" s="2157"/>
      <c r="AB296" s="2157"/>
      <c r="AC296" s="3685"/>
      <c r="AD296" s="2157"/>
      <c r="AE296" s="2157"/>
      <c r="AF296" s="2157"/>
      <c r="AG296" s="2157"/>
      <c r="AH296" s="2157"/>
      <c r="AI296" s="2157"/>
      <c r="AJ296" s="2157"/>
      <c r="AK296" s="2157"/>
      <c r="AL296" s="2157"/>
      <c r="AM296" s="2157"/>
      <c r="AN296" s="2157"/>
      <c r="AO296" s="2157"/>
      <c r="AP296" s="2157"/>
      <c r="AQ296" s="2157"/>
      <c r="AR296" s="2157"/>
      <c r="AS296" s="2157"/>
    </row>
    <row r="297" spans="1:45" ht="84" customHeight="1" x14ac:dyDescent="0.25">
      <c r="A297" s="968"/>
      <c r="B297" s="1051"/>
      <c r="C297" s="1069"/>
      <c r="D297" s="1051"/>
      <c r="E297" s="3767"/>
      <c r="F297" s="3750"/>
      <c r="G297" s="1061">
        <v>1906005</v>
      </c>
      <c r="H297" s="1511" t="s">
        <v>2251</v>
      </c>
      <c r="I297" s="1061">
        <v>1906005</v>
      </c>
      <c r="J297" s="1511" t="s">
        <v>2251</v>
      </c>
      <c r="K297" s="1009">
        <v>190600500</v>
      </c>
      <c r="L297" s="1689" t="s">
        <v>2251</v>
      </c>
      <c r="M297" s="1009">
        <v>190600500</v>
      </c>
      <c r="N297" s="1689" t="s">
        <v>2251</v>
      </c>
      <c r="O297" s="1157">
        <v>2</v>
      </c>
      <c r="P297" s="2308"/>
      <c r="Q297" s="2182"/>
      <c r="R297" s="1381">
        <f>W297/S288</f>
        <v>1.9842138188354015E-2</v>
      </c>
      <c r="S297" s="3705"/>
      <c r="T297" s="2182"/>
      <c r="U297" s="2196" t="s">
        <v>2252</v>
      </c>
      <c r="V297" s="1471" t="s">
        <v>2253</v>
      </c>
      <c r="W297" s="1383">
        <v>20000000</v>
      </c>
      <c r="X297" s="182" t="s">
        <v>2254</v>
      </c>
      <c r="Y297" s="1389">
        <v>20</v>
      </c>
      <c r="Z297" s="1399" t="s">
        <v>73</v>
      </c>
      <c r="AA297" s="2157"/>
      <c r="AB297" s="2157"/>
      <c r="AC297" s="3685"/>
      <c r="AD297" s="2157"/>
      <c r="AE297" s="2157"/>
      <c r="AF297" s="2157"/>
      <c r="AG297" s="2157"/>
      <c r="AH297" s="2157"/>
      <c r="AI297" s="2157"/>
      <c r="AJ297" s="2157"/>
      <c r="AK297" s="2157"/>
      <c r="AL297" s="2157"/>
      <c r="AM297" s="2157"/>
      <c r="AN297" s="2157"/>
      <c r="AO297" s="2157"/>
      <c r="AP297" s="2157"/>
      <c r="AQ297" s="2157"/>
      <c r="AR297" s="2157"/>
      <c r="AS297" s="2157"/>
    </row>
    <row r="298" spans="1:45" ht="88.5" customHeight="1" x14ac:dyDescent="0.25">
      <c r="A298" s="968"/>
      <c r="B298" s="1051"/>
      <c r="C298" s="1069"/>
      <c r="D298" s="1051"/>
      <c r="E298" s="3767"/>
      <c r="F298" s="3750"/>
      <c r="G298" s="1087">
        <v>1906022</v>
      </c>
      <c r="H298" s="1520" t="s">
        <v>2255</v>
      </c>
      <c r="I298" s="1087">
        <v>1906022</v>
      </c>
      <c r="J298" s="1520" t="s">
        <v>2255</v>
      </c>
      <c r="K298" s="1371">
        <v>190602200</v>
      </c>
      <c r="L298" s="1478" t="s">
        <v>2256</v>
      </c>
      <c r="M298" s="1371">
        <v>190602200</v>
      </c>
      <c r="N298" s="1478" t="s">
        <v>2256</v>
      </c>
      <c r="O298" s="1401">
        <v>1</v>
      </c>
      <c r="P298" s="2308"/>
      <c r="Q298" s="2182"/>
      <c r="R298" s="1381">
        <f>W298/S288</f>
        <v>1.9842138188354015E-2</v>
      </c>
      <c r="S298" s="3705"/>
      <c r="T298" s="2182"/>
      <c r="U298" s="3162"/>
      <c r="V298" s="1471" t="s">
        <v>2257</v>
      </c>
      <c r="W298" s="1383">
        <v>20000000</v>
      </c>
      <c r="X298" s="182" t="s">
        <v>2258</v>
      </c>
      <c r="Y298" s="1389">
        <v>20</v>
      </c>
      <c r="Z298" s="1399" t="s">
        <v>73</v>
      </c>
      <c r="AA298" s="2157"/>
      <c r="AB298" s="2157"/>
      <c r="AC298" s="3685"/>
      <c r="AD298" s="2157"/>
      <c r="AE298" s="2157"/>
      <c r="AF298" s="2157"/>
      <c r="AG298" s="2157"/>
      <c r="AH298" s="2157"/>
      <c r="AI298" s="2157"/>
      <c r="AJ298" s="2157"/>
      <c r="AK298" s="2157"/>
      <c r="AL298" s="2157"/>
      <c r="AM298" s="2157"/>
      <c r="AN298" s="2157"/>
      <c r="AO298" s="2157"/>
      <c r="AP298" s="2157"/>
      <c r="AQ298" s="2157"/>
      <c r="AR298" s="2157"/>
      <c r="AS298" s="2157"/>
    </row>
    <row r="299" spans="1:45" ht="85.5" customHeight="1" x14ac:dyDescent="0.25">
      <c r="A299" s="968"/>
      <c r="B299" s="1474"/>
      <c r="C299" s="1492"/>
      <c r="D299" s="1474"/>
      <c r="E299" s="2483"/>
      <c r="F299" s="2261"/>
      <c r="G299" s="1539" t="s">
        <v>62</v>
      </c>
      <c r="H299" s="1487" t="s">
        <v>2183</v>
      </c>
      <c r="I299" s="1539">
        <v>1906023</v>
      </c>
      <c r="J299" s="1476" t="s">
        <v>2183</v>
      </c>
      <c r="K299" s="1534" t="s">
        <v>62</v>
      </c>
      <c r="L299" s="1696" t="s">
        <v>2259</v>
      </c>
      <c r="M299" s="1534">
        <v>190602301</v>
      </c>
      <c r="N299" s="1696" t="s">
        <v>2260</v>
      </c>
      <c r="O299" s="989">
        <v>40</v>
      </c>
      <c r="P299" s="2308"/>
      <c r="Q299" s="2196"/>
      <c r="R299" s="1531">
        <f>W299/S288</f>
        <v>1.9842138188354015E-2</v>
      </c>
      <c r="S299" s="3748"/>
      <c r="T299" s="2196"/>
      <c r="U299" s="3162"/>
      <c r="V299" s="1472" t="s">
        <v>2261</v>
      </c>
      <c r="W299" s="1375">
        <v>20000000</v>
      </c>
      <c r="X299" s="1220" t="s">
        <v>2262</v>
      </c>
      <c r="Y299" s="1702">
        <v>20</v>
      </c>
      <c r="Z299" s="1703" t="s">
        <v>73</v>
      </c>
      <c r="AA299" s="2157"/>
      <c r="AB299" s="2157"/>
      <c r="AC299" s="3685"/>
      <c r="AD299" s="2157"/>
      <c r="AE299" s="2157"/>
      <c r="AF299" s="2157"/>
      <c r="AG299" s="2157"/>
      <c r="AH299" s="2157"/>
      <c r="AI299" s="2157"/>
      <c r="AJ299" s="2157"/>
      <c r="AK299" s="2157"/>
      <c r="AL299" s="2157"/>
      <c r="AM299" s="2157"/>
      <c r="AN299" s="2157"/>
      <c r="AO299" s="2157"/>
      <c r="AP299" s="2157"/>
      <c r="AQ299" s="2157"/>
      <c r="AR299" s="2157"/>
      <c r="AS299" s="2157"/>
    </row>
    <row r="300" spans="1:45" ht="27" customHeight="1" x14ac:dyDescent="0.25">
      <c r="A300" s="1019"/>
      <c r="B300" s="1020"/>
      <c r="C300" s="1020"/>
      <c r="D300" s="1020"/>
      <c r="E300" s="1020"/>
      <c r="F300" s="1020"/>
      <c r="G300" s="1020"/>
      <c r="H300" s="1697"/>
      <c r="I300" s="1020"/>
      <c r="J300" s="1698"/>
      <c r="K300" s="1027"/>
      <c r="L300" s="1698"/>
      <c r="M300" s="1020"/>
      <c r="N300" s="1697"/>
      <c r="O300" s="1020"/>
      <c r="P300" s="1020"/>
      <c r="Q300" s="1697"/>
      <c r="R300" s="1699"/>
      <c r="S300" s="1700">
        <f>SUM(S9:S299)</f>
        <v>54459863533.500008</v>
      </c>
      <c r="T300" s="1020"/>
      <c r="U300" s="1020"/>
      <c r="V300" s="1402" t="s">
        <v>118</v>
      </c>
      <c r="W300" s="1701">
        <f>SUM(W9:W299)</f>
        <v>54459863533.500008</v>
      </c>
      <c r="X300" s="1023"/>
      <c r="Y300" s="1027"/>
      <c r="Z300" s="1020"/>
      <c r="AA300" s="1704"/>
      <c r="AB300" s="1704"/>
      <c r="AC300" s="1705"/>
      <c r="AD300" s="1704"/>
      <c r="AE300" s="1704"/>
      <c r="AF300" s="1704"/>
      <c r="AG300" s="1704"/>
      <c r="AH300" s="1704"/>
      <c r="AI300" s="1704"/>
      <c r="AJ300" s="1704"/>
      <c r="AK300" s="1704"/>
      <c r="AL300" s="1704"/>
      <c r="AM300" s="1704"/>
      <c r="AN300" s="1704"/>
      <c r="AO300" s="1704"/>
      <c r="AP300" s="1704"/>
      <c r="AQ300" s="1704"/>
      <c r="AR300" s="1704"/>
      <c r="AS300" s="1706"/>
    </row>
  </sheetData>
  <sheetProtection algorithmName="SHA-512" hashValue="0Xl4YLe5YDrSrQDYkgS5v6EunjttKfHCvwW8DPS1qCXPGPVbvpWGR6B5yWeVm3SKwTSXkBJ8zKwEkxVNN9grdg==" saltValue="bufgt3PRlNNbw79L9aMWTg==" spinCount="100000" sheet="1" objects="1" scenarios="1"/>
  <mergeCells count="1083">
    <mergeCell ref="AQ7:AQ8"/>
    <mergeCell ref="AR7:AR8"/>
    <mergeCell ref="AS7:AS8"/>
    <mergeCell ref="N288:N295"/>
    <mergeCell ref="O288:O295"/>
    <mergeCell ref="P288:P299"/>
    <mergeCell ref="Q288:Q299"/>
    <mergeCell ref="M278:M287"/>
    <mergeCell ref="N278:N287"/>
    <mergeCell ref="O278:O287"/>
    <mergeCell ref="R278:R287"/>
    <mergeCell ref="V278:V287"/>
    <mergeCell ref="AO288:AO299"/>
    <mergeCell ref="AP288:AP299"/>
    <mergeCell ref="AQ288:AQ299"/>
    <mergeCell ref="AR288:AR299"/>
    <mergeCell ref="AS288:AS299"/>
    <mergeCell ref="V293:V295"/>
    <mergeCell ref="AI288:AI299"/>
    <mergeCell ref="AJ288:AJ299"/>
    <mergeCell ref="AK288:AK299"/>
    <mergeCell ref="AL288:AL299"/>
    <mergeCell ref="AM288:AM299"/>
    <mergeCell ref="AN288:AN299"/>
    <mergeCell ref="AC288:AC299"/>
    <mergeCell ref="AD288:AD299"/>
    <mergeCell ref="AE288:AE299"/>
    <mergeCell ref="AF288:AF299"/>
    <mergeCell ref="AG288:AG299"/>
    <mergeCell ref="AH288:AH299"/>
    <mergeCell ref="AS266:AS287"/>
    <mergeCell ref="AQ252:AQ265"/>
    <mergeCell ref="G288:G295"/>
    <mergeCell ref="H288:H295"/>
    <mergeCell ref="I288:I295"/>
    <mergeCell ref="J288:J295"/>
    <mergeCell ref="K288:K295"/>
    <mergeCell ref="N268:N277"/>
    <mergeCell ref="O268:O277"/>
    <mergeCell ref="R268:R277"/>
    <mergeCell ref="V268:V277"/>
    <mergeCell ref="G278:G287"/>
    <mergeCell ref="H278:H287"/>
    <mergeCell ref="I278:I287"/>
    <mergeCell ref="J278:J287"/>
    <mergeCell ref="K278:K287"/>
    <mergeCell ref="L278:L287"/>
    <mergeCell ref="AQ266:AQ287"/>
    <mergeCell ref="AR266:AR287"/>
    <mergeCell ref="I266:I267"/>
    <mergeCell ref="J266:J267"/>
    <mergeCell ref="K266:K267"/>
    <mergeCell ref="L266:L267"/>
    <mergeCell ref="M266:M267"/>
    <mergeCell ref="N266:N267"/>
    <mergeCell ref="R288:R295"/>
    <mergeCell ref="S288:S299"/>
    <mergeCell ref="T288:T299"/>
    <mergeCell ref="U288:U296"/>
    <mergeCell ref="AA288:AA299"/>
    <mergeCell ref="AB288:AB299"/>
    <mergeCell ref="U297:U299"/>
    <mergeCell ref="L288:L295"/>
    <mergeCell ref="M288:M295"/>
    <mergeCell ref="G268:G277"/>
    <mergeCell ref="H268:H277"/>
    <mergeCell ref="I268:I277"/>
    <mergeCell ref="J268:J277"/>
    <mergeCell ref="K268:K277"/>
    <mergeCell ref="L268:L277"/>
    <mergeCell ref="M268:M277"/>
    <mergeCell ref="AK266:AK287"/>
    <mergeCell ref="AL266:AL287"/>
    <mergeCell ref="AM266:AM287"/>
    <mergeCell ref="AN266:AN287"/>
    <mergeCell ref="AO266:AO287"/>
    <mergeCell ref="AP266:AP287"/>
    <mergeCell ref="AE266:AE287"/>
    <mergeCell ref="AF266:AF287"/>
    <mergeCell ref="AG266:AG287"/>
    <mergeCell ref="AH266:AH287"/>
    <mergeCell ref="AI266:AI287"/>
    <mergeCell ref="AJ266:AJ287"/>
    <mergeCell ref="U266:U287"/>
    <mergeCell ref="V266:V267"/>
    <mergeCell ref="AA266:AA287"/>
    <mergeCell ref="AB266:AB287"/>
    <mergeCell ref="AC266:AC287"/>
    <mergeCell ref="AD266:AD287"/>
    <mergeCell ref="O266:O267"/>
    <mergeCell ref="P266:P287"/>
    <mergeCell ref="Q266:Q287"/>
    <mergeCell ref="R266:R267"/>
    <mergeCell ref="S266:S287"/>
    <mergeCell ref="T266:T287"/>
    <mergeCell ref="AR252:AR265"/>
    <mergeCell ref="AS252:AS265"/>
    <mergeCell ref="G253:G265"/>
    <mergeCell ref="H253:H265"/>
    <mergeCell ref="I253:I265"/>
    <mergeCell ref="J253:J265"/>
    <mergeCell ref="K253:K265"/>
    <mergeCell ref="L253:L265"/>
    <mergeCell ref="M253:M265"/>
    <mergeCell ref="AK252:AK265"/>
    <mergeCell ref="AL252:AL265"/>
    <mergeCell ref="AM252:AM265"/>
    <mergeCell ref="AN252:AN265"/>
    <mergeCell ref="AO252:AO265"/>
    <mergeCell ref="AP252:AP265"/>
    <mergeCell ref="AE252:AE265"/>
    <mergeCell ref="AF252:AF265"/>
    <mergeCell ref="AG252:AG265"/>
    <mergeCell ref="AH252:AH265"/>
    <mergeCell ref="AI252:AI265"/>
    <mergeCell ref="AJ252:AJ265"/>
    <mergeCell ref="T252:T265"/>
    <mergeCell ref="U252:U265"/>
    <mergeCell ref="AA252:AA265"/>
    <mergeCell ref="AB252:AB265"/>
    <mergeCell ref="AC252:AC265"/>
    <mergeCell ref="AD252:AD265"/>
    <mergeCell ref="V253:V264"/>
    <mergeCell ref="E252:F299"/>
    <mergeCell ref="P252:P265"/>
    <mergeCell ref="Q252:Q265"/>
    <mergeCell ref="R252:R265"/>
    <mergeCell ref="S252:S265"/>
    <mergeCell ref="N253:N265"/>
    <mergeCell ref="O253:O265"/>
    <mergeCell ref="G266:G267"/>
    <mergeCell ref="H266:H267"/>
    <mergeCell ref="AO241:AO250"/>
    <mergeCell ref="AP241:AP250"/>
    <mergeCell ref="AQ241:AQ250"/>
    <mergeCell ref="AR241:AR250"/>
    <mergeCell ref="AS241:AS250"/>
    <mergeCell ref="V243:V244"/>
    <mergeCell ref="AI241:AI250"/>
    <mergeCell ref="AJ241:AJ250"/>
    <mergeCell ref="AK241:AK250"/>
    <mergeCell ref="AL241:AL250"/>
    <mergeCell ref="AM241:AM250"/>
    <mergeCell ref="AN241:AN250"/>
    <mergeCell ref="AC241:AC250"/>
    <mergeCell ref="AD241:AD250"/>
    <mergeCell ref="AE241:AE250"/>
    <mergeCell ref="AF241:AF250"/>
    <mergeCell ref="AG241:AG250"/>
    <mergeCell ref="AH241:AH250"/>
    <mergeCell ref="S241:S250"/>
    <mergeCell ref="T241:T250"/>
    <mergeCell ref="U241:U250"/>
    <mergeCell ref="V241:V242"/>
    <mergeCell ref="AA241:AA250"/>
    <mergeCell ref="AB241:AB250"/>
    <mergeCell ref="M241:M250"/>
    <mergeCell ref="N241:N250"/>
    <mergeCell ref="O241:O250"/>
    <mergeCell ref="P241:P250"/>
    <mergeCell ref="Q241:Q250"/>
    <mergeCell ref="R241:R250"/>
    <mergeCell ref="G241:G250"/>
    <mergeCell ref="H241:H250"/>
    <mergeCell ref="I241:I250"/>
    <mergeCell ref="J241:J250"/>
    <mergeCell ref="K241:K250"/>
    <mergeCell ref="L241:L250"/>
    <mergeCell ref="AN234:AN240"/>
    <mergeCell ref="AO234:AO240"/>
    <mergeCell ref="AP234:AP240"/>
    <mergeCell ref="L234:L240"/>
    <mergeCell ref="M234:M240"/>
    <mergeCell ref="N234:N240"/>
    <mergeCell ref="O234:O240"/>
    <mergeCell ref="P234:P240"/>
    <mergeCell ref="Q234:Q240"/>
    <mergeCell ref="AQ234:AQ240"/>
    <mergeCell ref="AR234:AR240"/>
    <mergeCell ref="AS234:AS240"/>
    <mergeCell ref="AH234:AH240"/>
    <mergeCell ref="AI234:AI240"/>
    <mergeCell ref="AJ234:AJ240"/>
    <mergeCell ref="AK234:AK240"/>
    <mergeCell ref="AL234:AL240"/>
    <mergeCell ref="AM234:AM240"/>
    <mergeCell ref="AB234:AB240"/>
    <mergeCell ref="AC234:AC240"/>
    <mergeCell ref="AD234:AD240"/>
    <mergeCell ref="AE234:AE240"/>
    <mergeCell ref="AF234:AF240"/>
    <mergeCell ref="AG234:AG240"/>
    <mergeCell ref="R234:R240"/>
    <mergeCell ref="S234:S240"/>
    <mergeCell ref="T234:T240"/>
    <mergeCell ref="U234:U240"/>
    <mergeCell ref="V234:V235"/>
    <mergeCell ref="AA234:AA240"/>
    <mergeCell ref="AQ223:AQ233"/>
    <mergeCell ref="AR223:AR233"/>
    <mergeCell ref="AS223:AS233"/>
    <mergeCell ref="V225:V226"/>
    <mergeCell ref="W225:W226"/>
    <mergeCell ref="G234:G240"/>
    <mergeCell ref="H234:H240"/>
    <mergeCell ref="I234:I240"/>
    <mergeCell ref="J234:J240"/>
    <mergeCell ref="K234:K240"/>
    <mergeCell ref="AK223:AK233"/>
    <mergeCell ref="AL223:AL233"/>
    <mergeCell ref="AM223:AM233"/>
    <mergeCell ref="AN223:AN233"/>
    <mergeCell ref="AO223:AO233"/>
    <mergeCell ref="AP223:AP233"/>
    <mergeCell ref="AE223:AE233"/>
    <mergeCell ref="AF223:AF233"/>
    <mergeCell ref="AG223:AG233"/>
    <mergeCell ref="AH223:AH233"/>
    <mergeCell ref="AI223:AI233"/>
    <mergeCell ref="AJ223:AJ233"/>
    <mergeCell ref="T223:T233"/>
    <mergeCell ref="U223:U233"/>
    <mergeCell ref="AA223:AA233"/>
    <mergeCell ref="AB223:AB233"/>
    <mergeCell ref="AC223:AC233"/>
    <mergeCell ref="AD223:AD233"/>
    <mergeCell ref="N223:N233"/>
    <mergeCell ref="O223:O233"/>
    <mergeCell ref="P223:P233"/>
    <mergeCell ref="Q223:Q233"/>
    <mergeCell ref="R223:R233"/>
    <mergeCell ref="S223:S233"/>
    <mergeCell ref="AQ217:AQ222"/>
    <mergeCell ref="AR217:AR222"/>
    <mergeCell ref="AS217:AS222"/>
    <mergeCell ref="G223:G233"/>
    <mergeCell ref="H223:H233"/>
    <mergeCell ref="I223:I233"/>
    <mergeCell ref="J223:J233"/>
    <mergeCell ref="K223:K233"/>
    <mergeCell ref="L223:L233"/>
    <mergeCell ref="M223:M233"/>
    <mergeCell ref="AK217:AK222"/>
    <mergeCell ref="AL217:AL222"/>
    <mergeCell ref="AM217:AM222"/>
    <mergeCell ref="AN217:AN222"/>
    <mergeCell ref="AO217:AO222"/>
    <mergeCell ref="AP217:AP222"/>
    <mergeCell ref="AE217:AE222"/>
    <mergeCell ref="AF217:AF222"/>
    <mergeCell ref="AG217:AG222"/>
    <mergeCell ref="AH217:AH222"/>
    <mergeCell ref="AI217:AI222"/>
    <mergeCell ref="AJ217:AJ222"/>
    <mergeCell ref="T217:T222"/>
    <mergeCell ref="U217:U222"/>
    <mergeCell ref="AA217:AA222"/>
    <mergeCell ref="AB217:AB222"/>
    <mergeCell ref="AC217:AC222"/>
    <mergeCell ref="AD217:AD222"/>
    <mergeCell ref="N217:N222"/>
    <mergeCell ref="O217:O222"/>
    <mergeCell ref="P217:P222"/>
    <mergeCell ref="Q217:Q222"/>
    <mergeCell ref="R217:R222"/>
    <mergeCell ref="S217:S222"/>
    <mergeCell ref="AQ215:AQ216"/>
    <mergeCell ref="AR215:AR216"/>
    <mergeCell ref="AS215:AS216"/>
    <mergeCell ref="G217:G222"/>
    <mergeCell ref="H217:H222"/>
    <mergeCell ref="I217:I222"/>
    <mergeCell ref="J217:J222"/>
    <mergeCell ref="K217:K222"/>
    <mergeCell ref="L217:L222"/>
    <mergeCell ref="M217:M222"/>
    <mergeCell ref="AK215:AK216"/>
    <mergeCell ref="AL215:AL216"/>
    <mergeCell ref="AM215:AM216"/>
    <mergeCell ref="AN215:AN216"/>
    <mergeCell ref="AO215:AO216"/>
    <mergeCell ref="AP215:AP216"/>
    <mergeCell ref="AE215:AE216"/>
    <mergeCell ref="AF215:AF216"/>
    <mergeCell ref="AG215:AG216"/>
    <mergeCell ref="AH215:AH216"/>
    <mergeCell ref="AI215:AI216"/>
    <mergeCell ref="AJ215:AJ216"/>
    <mergeCell ref="T215:T216"/>
    <mergeCell ref="U215:U216"/>
    <mergeCell ref="AA215:AA216"/>
    <mergeCell ref="AB215:AB216"/>
    <mergeCell ref="AC215:AC216"/>
    <mergeCell ref="AD215:AD216"/>
    <mergeCell ref="N215:N216"/>
    <mergeCell ref="O215:O216"/>
    <mergeCell ref="P215:P216"/>
    <mergeCell ref="Q215:Q216"/>
    <mergeCell ref="R215:R216"/>
    <mergeCell ref="S215:S216"/>
    <mergeCell ref="AR211:AR214"/>
    <mergeCell ref="AS211:AS214"/>
    <mergeCell ref="V213:V214"/>
    <mergeCell ref="G215:G216"/>
    <mergeCell ref="H215:H216"/>
    <mergeCell ref="I215:I216"/>
    <mergeCell ref="J215:J216"/>
    <mergeCell ref="K215:K216"/>
    <mergeCell ref="L215:L216"/>
    <mergeCell ref="M215:M216"/>
    <mergeCell ref="AL211:AL214"/>
    <mergeCell ref="AM211:AM214"/>
    <mergeCell ref="AN211:AN214"/>
    <mergeCell ref="AO211:AO214"/>
    <mergeCell ref="AP211:AP214"/>
    <mergeCell ref="AQ211:AQ214"/>
    <mergeCell ref="AF211:AF214"/>
    <mergeCell ref="AG211:AG214"/>
    <mergeCell ref="AH211:AH214"/>
    <mergeCell ref="AI211:AI214"/>
    <mergeCell ref="AJ211:AJ214"/>
    <mergeCell ref="AK211:AK214"/>
    <mergeCell ref="U211:U214"/>
    <mergeCell ref="AA211:AA214"/>
    <mergeCell ref="AB211:AB214"/>
    <mergeCell ref="AC211:AC214"/>
    <mergeCell ref="AD211:AD214"/>
    <mergeCell ref="AE211:AE214"/>
    <mergeCell ref="O211:O214"/>
    <mergeCell ref="P211:P214"/>
    <mergeCell ref="Q211:Q214"/>
    <mergeCell ref="R211:R214"/>
    <mergeCell ref="S211:S214"/>
    <mergeCell ref="T211:T214"/>
    <mergeCell ref="V207:V208"/>
    <mergeCell ref="V209:V210"/>
    <mergeCell ref="G211:G214"/>
    <mergeCell ref="H211:H214"/>
    <mergeCell ref="I211:I214"/>
    <mergeCell ref="J211:J214"/>
    <mergeCell ref="K211:K214"/>
    <mergeCell ref="L211:L214"/>
    <mergeCell ref="M211:M214"/>
    <mergeCell ref="N211:N214"/>
    <mergeCell ref="L197:L210"/>
    <mergeCell ref="M197:M210"/>
    <mergeCell ref="N197:N210"/>
    <mergeCell ref="O197:O210"/>
    <mergeCell ref="R197:R210"/>
    <mergeCell ref="U197:U210"/>
    <mergeCell ref="AO196:AO210"/>
    <mergeCell ref="AP196:AP210"/>
    <mergeCell ref="AQ196:AQ210"/>
    <mergeCell ref="AR196:AR210"/>
    <mergeCell ref="AS196:AS210"/>
    <mergeCell ref="G197:G210"/>
    <mergeCell ref="H197:H210"/>
    <mergeCell ref="I197:I210"/>
    <mergeCell ref="J197:J210"/>
    <mergeCell ref="K197:K210"/>
    <mergeCell ref="AI196:AI210"/>
    <mergeCell ref="AJ196:AJ210"/>
    <mergeCell ref="AK196:AK210"/>
    <mergeCell ref="AL196:AL210"/>
    <mergeCell ref="AM196:AM210"/>
    <mergeCell ref="AN196:AN210"/>
    <mergeCell ref="AC196:AC210"/>
    <mergeCell ref="AD196:AD210"/>
    <mergeCell ref="AE196:AE210"/>
    <mergeCell ref="AF196:AF210"/>
    <mergeCell ref="AG196:AG210"/>
    <mergeCell ref="AH196:AH210"/>
    <mergeCell ref="P196:P210"/>
    <mergeCell ref="Q196:Q210"/>
    <mergeCell ref="S196:S210"/>
    <mergeCell ref="T196:T210"/>
    <mergeCell ref="AA196:AA210"/>
    <mergeCell ref="AB196:AB210"/>
    <mergeCell ref="V197:V198"/>
    <mergeCell ref="V200:V201"/>
    <mergeCell ref="V202:V203"/>
    <mergeCell ref="V204:V205"/>
    <mergeCell ref="L190:L195"/>
    <mergeCell ref="M190:M195"/>
    <mergeCell ref="N190:N195"/>
    <mergeCell ref="O190:O195"/>
    <mergeCell ref="R190:R195"/>
    <mergeCell ref="U190:U195"/>
    <mergeCell ref="AP183:AP195"/>
    <mergeCell ref="AQ183:AQ195"/>
    <mergeCell ref="AR183:AR195"/>
    <mergeCell ref="AS183:AS195"/>
    <mergeCell ref="V185:V186"/>
    <mergeCell ref="G190:G195"/>
    <mergeCell ref="H190:H195"/>
    <mergeCell ref="I190:I195"/>
    <mergeCell ref="J190:J195"/>
    <mergeCell ref="K190:K195"/>
    <mergeCell ref="AJ183:AJ195"/>
    <mergeCell ref="AK183:AK195"/>
    <mergeCell ref="AL183:AL195"/>
    <mergeCell ref="AM183:AM195"/>
    <mergeCell ref="AN183:AN195"/>
    <mergeCell ref="AO183:AO195"/>
    <mergeCell ref="AD183:AD195"/>
    <mergeCell ref="AE183:AE195"/>
    <mergeCell ref="AF183:AF195"/>
    <mergeCell ref="AG183:AG195"/>
    <mergeCell ref="AH183:AH195"/>
    <mergeCell ref="AI183:AI195"/>
    <mergeCell ref="S183:S195"/>
    <mergeCell ref="T183:T195"/>
    <mergeCell ref="U183:U189"/>
    <mergeCell ref="AA183:AA195"/>
    <mergeCell ref="AB183:AB195"/>
    <mergeCell ref="AC183:AC195"/>
    <mergeCell ref="V190:V192"/>
    <mergeCell ref="M183:M189"/>
    <mergeCell ref="N183:N189"/>
    <mergeCell ref="O183:O189"/>
    <mergeCell ref="P183:P195"/>
    <mergeCell ref="Q183:Q195"/>
    <mergeCell ref="R183:R189"/>
    <mergeCell ref="M178:M182"/>
    <mergeCell ref="N178:N182"/>
    <mergeCell ref="O178:O182"/>
    <mergeCell ref="R178:R182"/>
    <mergeCell ref="G183:G189"/>
    <mergeCell ref="H183:H189"/>
    <mergeCell ref="I183:I189"/>
    <mergeCell ref="J183:J189"/>
    <mergeCell ref="K183:K189"/>
    <mergeCell ref="L183:L189"/>
    <mergeCell ref="G178:G182"/>
    <mergeCell ref="H178:H182"/>
    <mergeCell ref="I178:I182"/>
    <mergeCell ref="J178:J182"/>
    <mergeCell ref="K178:K182"/>
    <mergeCell ref="L178:L182"/>
    <mergeCell ref="P168:P182"/>
    <mergeCell ref="Q168:Q182"/>
    <mergeCell ref="R168:R171"/>
    <mergeCell ref="M172:M177"/>
    <mergeCell ref="N172:N177"/>
    <mergeCell ref="O172:O177"/>
    <mergeCell ref="R172:R177"/>
    <mergeCell ref="AP168:AP182"/>
    <mergeCell ref="AQ168:AQ182"/>
    <mergeCell ref="AR168:AR182"/>
    <mergeCell ref="AS168:AS182"/>
    <mergeCell ref="G172:G177"/>
    <mergeCell ref="H172:H177"/>
    <mergeCell ref="I172:I177"/>
    <mergeCell ref="J172:J177"/>
    <mergeCell ref="K172:K177"/>
    <mergeCell ref="L172:L177"/>
    <mergeCell ref="AJ168:AJ182"/>
    <mergeCell ref="AK168:AK182"/>
    <mergeCell ref="AL168:AL182"/>
    <mergeCell ref="AM168:AM182"/>
    <mergeCell ref="AN168:AN182"/>
    <mergeCell ref="AO168:AO182"/>
    <mergeCell ref="AD168:AD182"/>
    <mergeCell ref="AE168:AE182"/>
    <mergeCell ref="AF168:AF182"/>
    <mergeCell ref="AG168:AG182"/>
    <mergeCell ref="AH168:AH182"/>
    <mergeCell ref="AI168:AI182"/>
    <mergeCell ref="S168:S182"/>
    <mergeCell ref="T168:T182"/>
    <mergeCell ref="U168:U171"/>
    <mergeCell ref="AA168:AA182"/>
    <mergeCell ref="AB168:AB182"/>
    <mergeCell ref="AC168:AC182"/>
    <mergeCell ref="U172:U182"/>
    <mergeCell ref="M168:M171"/>
    <mergeCell ref="N168:N171"/>
    <mergeCell ref="O168:O171"/>
    <mergeCell ref="G168:G171"/>
    <mergeCell ref="H168:H171"/>
    <mergeCell ref="I168:I171"/>
    <mergeCell ref="J168:J171"/>
    <mergeCell ref="K168:K171"/>
    <mergeCell ref="L168:L171"/>
    <mergeCell ref="AO159:AO167"/>
    <mergeCell ref="AP159:AP167"/>
    <mergeCell ref="AQ159:AQ167"/>
    <mergeCell ref="AR159:AR167"/>
    <mergeCell ref="AS159:AS167"/>
    <mergeCell ref="G164:G167"/>
    <mergeCell ref="H164:H167"/>
    <mergeCell ref="I164:I167"/>
    <mergeCell ref="J164:J167"/>
    <mergeCell ref="K164:K167"/>
    <mergeCell ref="AI159:AI167"/>
    <mergeCell ref="AJ159:AJ167"/>
    <mergeCell ref="AK159:AK167"/>
    <mergeCell ref="AL159:AL167"/>
    <mergeCell ref="AM159:AM167"/>
    <mergeCell ref="AN159:AN167"/>
    <mergeCell ref="AC159:AC167"/>
    <mergeCell ref="AD159:AD167"/>
    <mergeCell ref="AE159:AE167"/>
    <mergeCell ref="AF159:AF167"/>
    <mergeCell ref="AG159:AG167"/>
    <mergeCell ref="AH159:AH167"/>
    <mergeCell ref="R159:R163"/>
    <mergeCell ref="S159:S167"/>
    <mergeCell ref="T159:T167"/>
    <mergeCell ref="U159:U163"/>
    <mergeCell ref="AA159:AA167"/>
    <mergeCell ref="AB159:AB167"/>
    <mergeCell ref="R164:R167"/>
    <mergeCell ref="U164:U167"/>
    <mergeCell ref="L159:L163"/>
    <mergeCell ref="M159:M163"/>
    <mergeCell ref="N159:N163"/>
    <mergeCell ref="O159:O163"/>
    <mergeCell ref="P159:P167"/>
    <mergeCell ref="Q159:Q167"/>
    <mergeCell ref="L164:L167"/>
    <mergeCell ref="M164:M167"/>
    <mergeCell ref="N164:N167"/>
    <mergeCell ref="O164:O167"/>
    <mergeCell ref="M153:M158"/>
    <mergeCell ref="N153:N158"/>
    <mergeCell ref="O153:O158"/>
    <mergeCell ref="R153:R158"/>
    <mergeCell ref="U153:U158"/>
    <mergeCell ref="G159:G163"/>
    <mergeCell ref="H159:H163"/>
    <mergeCell ref="I159:I163"/>
    <mergeCell ref="J159:J163"/>
    <mergeCell ref="K159:K163"/>
    <mergeCell ref="G153:G158"/>
    <mergeCell ref="H153:H158"/>
    <mergeCell ref="I153:I158"/>
    <mergeCell ref="J153:J158"/>
    <mergeCell ref="K153:K158"/>
    <mergeCell ref="L153:L158"/>
    <mergeCell ref="AP145:AP158"/>
    <mergeCell ref="AQ145:AQ158"/>
    <mergeCell ref="AR145:AR158"/>
    <mergeCell ref="AS145:AS158"/>
    <mergeCell ref="G149:G152"/>
    <mergeCell ref="H149:H152"/>
    <mergeCell ref="I149:I152"/>
    <mergeCell ref="J149:J152"/>
    <mergeCell ref="K149:K152"/>
    <mergeCell ref="L149:L152"/>
    <mergeCell ref="AJ145:AJ158"/>
    <mergeCell ref="AK145:AK158"/>
    <mergeCell ref="AL145:AL158"/>
    <mergeCell ref="AM145:AM158"/>
    <mergeCell ref="AN145:AN158"/>
    <mergeCell ref="AO145:AO158"/>
    <mergeCell ref="AD145:AD158"/>
    <mergeCell ref="AE145:AE158"/>
    <mergeCell ref="AF145:AF158"/>
    <mergeCell ref="AG145:AG158"/>
    <mergeCell ref="AH145:AH158"/>
    <mergeCell ref="AI145:AI158"/>
    <mergeCell ref="S145:S158"/>
    <mergeCell ref="T145:T158"/>
    <mergeCell ref="U145:U148"/>
    <mergeCell ref="AA145:AA158"/>
    <mergeCell ref="AB145:AB158"/>
    <mergeCell ref="AC145:AC158"/>
    <mergeCell ref="U149:U152"/>
    <mergeCell ref="M145:M148"/>
    <mergeCell ref="N145:N148"/>
    <mergeCell ref="O145:O148"/>
    <mergeCell ref="P145:P158"/>
    <mergeCell ref="Q145:Q158"/>
    <mergeCell ref="R145:R148"/>
    <mergeCell ref="M149:M152"/>
    <mergeCell ref="N149:N152"/>
    <mergeCell ref="O149:O152"/>
    <mergeCell ref="R149:R152"/>
    <mergeCell ref="G145:G148"/>
    <mergeCell ref="H145:H148"/>
    <mergeCell ref="I145:I148"/>
    <mergeCell ref="J145:J148"/>
    <mergeCell ref="K145:K148"/>
    <mergeCell ref="L145:L148"/>
    <mergeCell ref="AO123:AO144"/>
    <mergeCell ref="AP123:AP144"/>
    <mergeCell ref="AQ123:AQ144"/>
    <mergeCell ref="AR123:AR144"/>
    <mergeCell ref="AS123:AS144"/>
    <mergeCell ref="G135:G144"/>
    <mergeCell ref="H135:H144"/>
    <mergeCell ref="I135:I144"/>
    <mergeCell ref="J135:J144"/>
    <mergeCell ref="K135:K144"/>
    <mergeCell ref="AI123:AI144"/>
    <mergeCell ref="AJ123:AJ144"/>
    <mergeCell ref="AK123:AK144"/>
    <mergeCell ref="AL123:AL144"/>
    <mergeCell ref="AM123:AM144"/>
    <mergeCell ref="AN123:AN144"/>
    <mergeCell ref="AC123:AC144"/>
    <mergeCell ref="AD123:AD144"/>
    <mergeCell ref="AE123:AE144"/>
    <mergeCell ref="AF123:AF144"/>
    <mergeCell ref="AG123:AG144"/>
    <mergeCell ref="AH123:AH144"/>
    <mergeCell ref="R123:R134"/>
    <mergeCell ref="S123:S144"/>
    <mergeCell ref="T123:T144"/>
    <mergeCell ref="U123:U144"/>
    <mergeCell ref="AA123:AA144"/>
    <mergeCell ref="AB123:AB144"/>
    <mergeCell ref="R135:R144"/>
    <mergeCell ref="L123:L134"/>
    <mergeCell ref="M123:M134"/>
    <mergeCell ref="N123:N134"/>
    <mergeCell ref="O123:O134"/>
    <mergeCell ref="P123:P144"/>
    <mergeCell ref="Q123:Q144"/>
    <mergeCell ref="L135:L144"/>
    <mergeCell ref="M135:M144"/>
    <mergeCell ref="N135:N144"/>
    <mergeCell ref="O135:O144"/>
    <mergeCell ref="L121:L122"/>
    <mergeCell ref="M121:M122"/>
    <mergeCell ref="N121:N122"/>
    <mergeCell ref="O121:O122"/>
    <mergeCell ref="R121:R122"/>
    <mergeCell ref="G123:G134"/>
    <mergeCell ref="H123:H134"/>
    <mergeCell ref="I123:I134"/>
    <mergeCell ref="J123:J134"/>
    <mergeCell ref="K123:K134"/>
    <mergeCell ref="L118:L120"/>
    <mergeCell ref="M118:M120"/>
    <mergeCell ref="N118:N120"/>
    <mergeCell ref="O118:O120"/>
    <mergeCell ref="R118:R120"/>
    <mergeCell ref="G121:G122"/>
    <mergeCell ref="H121:H122"/>
    <mergeCell ref="I121:I122"/>
    <mergeCell ref="J121:J122"/>
    <mergeCell ref="K121:K122"/>
    <mergeCell ref="L116:L117"/>
    <mergeCell ref="M116:M117"/>
    <mergeCell ref="N116:N117"/>
    <mergeCell ref="O116:O117"/>
    <mergeCell ref="R116:R117"/>
    <mergeCell ref="G118:G120"/>
    <mergeCell ref="H118:H120"/>
    <mergeCell ref="I118:I120"/>
    <mergeCell ref="J118:J120"/>
    <mergeCell ref="K118:K120"/>
    <mergeCell ref="L111:L115"/>
    <mergeCell ref="M111:M115"/>
    <mergeCell ref="N111:N115"/>
    <mergeCell ref="O111:O115"/>
    <mergeCell ref="R111:R115"/>
    <mergeCell ref="G116:G117"/>
    <mergeCell ref="H116:H117"/>
    <mergeCell ref="I116:I117"/>
    <mergeCell ref="J116:J117"/>
    <mergeCell ref="K116:K117"/>
    <mergeCell ref="M109:M110"/>
    <mergeCell ref="N109:N110"/>
    <mergeCell ref="O109:O110"/>
    <mergeCell ref="R109:R110"/>
    <mergeCell ref="U109:U122"/>
    <mergeCell ref="G111:G115"/>
    <mergeCell ref="H111:H115"/>
    <mergeCell ref="I111:I115"/>
    <mergeCell ref="J111:J115"/>
    <mergeCell ref="K111:K115"/>
    <mergeCell ref="AR106:AR122"/>
    <mergeCell ref="AS106:AS122"/>
    <mergeCell ref="AH106:AH122"/>
    <mergeCell ref="AI106:AI122"/>
    <mergeCell ref="AJ106:AJ122"/>
    <mergeCell ref="AK106:AK122"/>
    <mergeCell ref="AL106:AL122"/>
    <mergeCell ref="AM106:AM122"/>
    <mergeCell ref="AB106:AB122"/>
    <mergeCell ref="AC106:AC122"/>
    <mergeCell ref="AD106:AD122"/>
    <mergeCell ref="AE106:AE122"/>
    <mergeCell ref="AF106:AF122"/>
    <mergeCell ref="AG106:AG122"/>
    <mergeCell ref="M107:M108"/>
    <mergeCell ref="N107:N108"/>
    <mergeCell ref="O107:O108"/>
    <mergeCell ref="R107:R108"/>
    <mergeCell ref="AN106:AN122"/>
    <mergeCell ref="P106:P122"/>
    <mergeCell ref="Q106:Q122"/>
    <mergeCell ref="S106:S122"/>
    <mergeCell ref="T106:T122"/>
    <mergeCell ref="U106:U108"/>
    <mergeCell ref="AA106:AA122"/>
    <mergeCell ref="AR97:AR105"/>
    <mergeCell ref="AS97:AS105"/>
    <mergeCell ref="G101:G105"/>
    <mergeCell ref="H101:H105"/>
    <mergeCell ref="I101:I105"/>
    <mergeCell ref="J101:J105"/>
    <mergeCell ref="K101:K105"/>
    <mergeCell ref="L101:L105"/>
    <mergeCell ref="M101:M105"/>
    <mergeCell ref="N101:N105"/>
    <mergeCell ref="AL97:AL105"/>
    <mergeCell ref="AM97:AM105"/>
    <mergeCell ref="AN97:AN105"/>
    <mergeCell ref="AO97:AO105"/>
    <mergeCell ref="AP97:AP105"/>
    <mergeCell ref="AQ97:AQ105"/>
    <mergeCell ref="AF97:AF105"/>
    <mergeCell ref="AG97:AG105"/>
    <mergeCell ref="AH97:AH105"/>
    <mergeCell ref="AI97:AI105"/>
    <mergeCell ref="AJ97:AJ105"/>
    <mergeCell ref="AK97:AK105"/>
    <mergeCell ref="U97:U100"/>
    <mergeCell ref="AA97:AA105"/>
    <mergeCell ref="AB97:AB105"/>
    <mergeCell ref="AC97:AC105"/>
    <mergeCell ref="AD97:AD105"/>
    <mergeCell ref="AE97:AE105"/>
    <mergeCell ref="U101:U105"/>
    <mergeCell ref="O97:O100"/>
    <mergeCell ref="P97:P105"/>
    <mergeCell ref="Q97:Q105"/>
    <mergeCell ref="R97:R100"/>
    <mergeCell ref="S97:S105"/>
    <mergeCell ref="T97:T105"/>
    <mergeCell ref="O101:O105"/>
    <mergeCell ref="R101:R105"/>
    <mergeCell ref="E97:F250"/>
    <mergeCell ref="G97:G100"/>
    <mergeCell ref="H97:H100"/>
    <mergeCell ref="I97:I100"/>
    <mergeCell ref="J97:J100"/>
    <mergeCell ref="K97:K100"/>
    <mergeCell ref="L97:L100"/>
    <mergeCell ref="M97:M100"/>
    <mergeCell ref="N97:N100"/>
    <mergeCell ref="AP91:AP95"/>
    <mergeCell ref="AQ91:AQ95"/>
    <mergeCell ref="AO106:AO122"/>
    <mergeCell ref="AP106:AP122"/>
    <mergeCell ref="AQ106:AQ122"/>
    <mergeCell ref="G109:G110"/>
    <mergeCell ref="H109:H110"/>
    <mergeCell ref="I109:I110"/>
    <mergeCell ref="J109:J110"/>
    <mergeCell ref="K109:K110"/>
    <mergeCell ref="L109:L110"/>
    <mergeCell ref="G107:G108"/>
    <mergeCell ref="H107:H108"/>
    <mergeCell ref="I107:I108"/>
    <mergeCell ref="J107:J108"/>
    <mergeCell ref="K107:K108"/>
    <mergeCell ref="L107:L108"/>
    <mergeCell ref="O94:O95"/>
    <mergeCell ref="AR91:AR95"/>
    <mergeCell ref="AS91:AS95"/>
    <mergeCell ref="G94:G95"/>
    <mergeCell ref="H94:H95"/>
    <mergeCell ref="I94:I95"/>
    <mergeCell ref="J94:J95"/>
    <mergeCell ref="K94:K95"/>
    <mergeCell ref="L94:L95"/>
    <mergeCell ref="AJ91:AJ95"/>
    <mergeCell ref="AK91:AK95"/>
    <mergeCell ref="AL91:AL95"/>
    <mergeCell ref="AM91:AM95"/>
    <mergeCell ref="AN91:AN95"/>
    <mergeCell ref="AO91:AO95"/>
    <mergeCell ref="AD91:AD95"/>
    <mergeCell ref="AE91:AE95"/>
    <mergeCell ref="AF91:AF95"/>
    <mergeCell ref="AG91:AG95"/>
    <mergeCell ref="AH91:AH95"/>
    <mergeCell ref="AI91:AI95"/>
    <mergeCell ref="S91:S95"/>
    <mergeCell ref="T91:T95"/>
    <mergeCell ref="U91:U95"/>
    <mergeCell ref="AA91:AA95"/>
    <mergeCell ref="AB91:AB95"/>
    <mergeCell ref="AC91:AC95"/>
    <mergeCell ref="Y94:Y95"/>
    <mergeCell ref="Z94:Z95"/>
    <mergeCell ref="P91:P95"/>
    <mergeCell ref="Q91:Q95"/>
    <mergeCell ref="M94:M95"/>
    <mergeCell ref="N94:N95"/>
    <mergeCell ref="R94:R95"/>
    <mergeCell ref="M85:M88"/>
    <mergeCell ref="N85:N88"/>
    <mergeCell ref="O85:O88"/>
    <mergeCell ref="R85:R88"/>
    <mergeCell ref="G89:G90"/>
    <mergeCell ref="H89:H90"/>
    <mergeCell ref="I89:I90"/>
    <mergeCell ref="J89:J90"/>
    <mergeCell ref="K89:K90"/>
    <mergeCell ref="L89:L90"/>
    <mergeCell ref="G85:G88"/>
    <mergeCell ref="H85:H88"/>
    <mergeCell ref="I85:I88"/>
    <mergeCell ref="J85:J88"/>
    <mergeCell ref="K85:K88"/>
    <mergeCell ref="L85:L88"/>
    <mergeCell ref="AR83:AR90"/>
    <mergeCell ref="AS83:AS90"/>
    <mergeCell ref="AH83:AH90"/>
    <mergeCell ref="AI83:AI90"/>
    <mergeCell ref="AJ83:AJ90"/>
    <mergeCell ref="AK83:AK90"/>
    <mergeCell ref="AL83:AL90"/>
    <mergeCell ref="AM83:AM90"/>
    <mergeCell ref="AB83:AB90"/>
    <mergeCell ref="AC83:AC90"/>
    <mergeCell ref="AD83:AD90"/>
    <mergeCell ref="AE83:AE90"/>
    <mergeCell ref="AF83:AF90"/>
    <mergeCell ref="AG83:AG90"/>
    <mergeCell ref="M89:M90"/>
    <mergeCell ref="N89:N90"/>
    <mergeCell ref="O89:O90"/>
    <mergeCell ref="R89:R90"/>
    <mergeCell ref="AP80:AP82"/>
    <mergeCell ref="AQ80:AQ82"/>
    <mergeCell ref="AR80:AR82"/>
    <mergeCell ref="AS80:AS82"/>
    <mergeCell ref="P83:P90"/>
    <mergeCell ref="Q83:Q90"/>
    <mergeCell ref="S83:S90"/>
    <mergeCell ref="T83:T90"/>
    <mergeCell ref="U83:U90"/>
    <mergeCell ref="AA83:AA90"/>
    <mergeCell ref="AJ80:AJ82"/>
    <mergeCell ref="AK80:AK82"/>
    <mergeCell ref="AL80:AL82"/>
    <mergeCell ref="AM80:AM82"/>
    <mergeCell ref="AN80:AN82"/>
    <mergeCell ref="AO80:AO82"/>
    <mergeCell ref="AD80:AD82"/>
    <mergeCell ref="AE80:AE82"/>
    <mergeCell ref="AF80:AF82"/>
    <mergeCell ref="AG80:AG82"/>
    <mergeCell ref="AH80:AH82"/>
    <mergeCell ref="AI80:AI82"/>
    <mergeCell ref="S80:S82"/>
    <mergeCell ref="T80:T82"/>
    <mergeCell ref="U80:U82"/>
    <mergeCell ref="AA80:AA82"/>
    <mergeCell ref="AB80:AB82"/>
    <mergeCell ref="AC80:AC82"/>
    <mergeCell ref="AN83:AN90"/>
    <mergeCell ref="AO83:AO90"/>
    <mergeCell ref="AP83:AP90"/>
    <mergeCell ref="AQ83:AQ90"/>
    <mergeCell ref="M80:M82"/>
    <mergeCell ref="N80:N82"/>
    <mergeCell ref="O80:O82"/>
    <mergeCell ref="P80:P82"/>
    <mergeCell ref="Q80:Q82"/>
    <mergeCell ref="R80:R82"/>
    <mergeCell ref="M78:M79"/>
    <mergeCell ref="N78:N79"/>
    <mergeCell ref="O78:O79"/>
    <mergeCell ref="R78:R79"/>
    <mergeCell ref="G80:G82"/>
    <mergeCell ref="H80:H82"/>
    <mergeCell ref="I80:I82"/>
    <mergeCell ref="J80:J82"/>
    <mergeCell ref="K80:K82"/>
    <mergeCell ref="L80:L82"/>
    <mergeCell ref="G78:G79"/>
    <mergeCell ref="H78:H79"/>
    <mergeCell ref="I78:I79"/>
    <mergeCell ref="J78:J79"/>
    <mergeCell ref="K78:K79"/>
    <mergeCell ref="L78:L79"/>
    <mergeCell ref="AR63:AR79"/>
    <mergeCell ref="AS63:AS79"/>
    <mergeCell ref="V65:V68"/>
    <mergeCell ref="V69:V71"/>
    <mergeCell ref="AI63:AI79"/>
    <mergeCell ref="AJ63:AJ79"/>
    <mergeCell ref="AK63:AK79"/>
    <mergeCell ref="AL63:AL79"/>
    <mergeCell ref="AM63:AM79"/>
    <mergeCell ref="AN63:AN79"/>
    <mergeCell ref="AC63:AC79"/>
    <mergeCell ref="AD63:AD79"/>
    <mergeCell ref="AE63:AE79"/>
    <mergeCell ref="AF63:AF79"/>
    <mergeCell ref="AG63:AG79"/>
    <mergeCell ref="AH63:AH79"/>
    <mergeCell ref="S63:S79"/>
    <mergeCell ref="T63:T79"/>
    <mergeCell ref="U63:U79"/>
    <mergeCell ref="V63:V64"/>
    <mergeCell ref="AA63:AA79"/>
    <mergeCell ref="AB63:AB79"/>
    <mergeCell ref="AP46:AP62"/>
    <mergeCell ref="AQ46:AQ62"/>
    <mergeCell ref="R46:R49"/>
    <mergeCell ref="M50:M62"/>
    <mergeCell ref="N50:N62"/>
    <mergeCell ref="O50:O62"/>
    <mergeCell ref="R50:R62"/>
    <mergeCell ref="G75:G77"/>
    <mergeCell ref="H75:H77"/>
    <mergeCell ref="I75:I77"/>
    <mergeCell ref="J75:J77"/>
    <mergeCell ref="K75:K77"/>
    <mergeCell ref="L75:L77"/>
    <mergeCell ref="AO63:AO79"/>
    <mergeCell ref="AP63:AP79"/>
    <mergeCell ref="AQ63:AQ79"/>
    <mergeCell ref="M63:M74"/>
    <mergeCell ref="AG46:AG62"/>
    <mergeCell ref="AH46:AH62"/>
    <mergeCell ref="AI46:AI62"/>
    <mergeCell ref="S46:S62"/>
    <mergeCell ref="T46:T62"/>
    <mergeCell ref="U46:U49"/>
    <mergeCell ref="AA46:AA62"/>
    <mergeCell ref="AB46:AB62"/>
    <mergeCell ref="AC46:AC62"/>
    <mergeCell ref="Q46:Q62"/>
    <mergeCell ref="N63:N74"/>
    <mergeCell ref="O63:O74"/>
    <mergeCell ref="P63:P79"/>
    <mergeCell ref="Q63:Q79"/>
    <mergeCell ref="R63:R74"/>
    <mergeCell ref="M75:M77"/>
    <mergeCell ref="N75:N77"/>
    <mergeCell ref="O75:O77"/>
    <mergeCell ref="R75:R77"/>
    <mergeCell ref="G46:G49"/>
    <mergeCell ref="H46:H49"/>
    <mergeCell ref="I46:I49"/>
    <mergeCell ref="J46:J49"/>
    <mergeCell ref="K46:K49"/>
    <mergeCell ref="L46:L49"/>
    <mergeCell ref="G63:G74"/>
    <mergeCell ref="H63:H74"/>
    <mergeCell ref="I63:I74"/>
    <mergeCell ref="J63:J74"/>
    <mergeCell ref="K63:K74"/>
    <mergeCell ref="L63:L74"/>
    <mergeCell ref="L44:L45"/>
    <mergeCell ref="N25:N41"/>
    <mergeCell ref="O25:O41"/>
    <mergeCell ref="R25:R41"/>
    <mergeCell ref="AR46:AR62"/>
    <mergeCell ref="AS46:AS62"/>
    <mergeCell ref="G50:G62"/>
    <mergeCell ref="H50:H62"/>
    <mergeCell ref="I50:I62"/>
    <mergeCell ref="J50:J62"/>
    <mergeCell ref="K50:K62"/>
    <mergeCell ref="L50:L62"/>
    <mergeCell ref="AJ46:AJ62"/>
    <mergeCell ref="AK46:AK62"/>
    <mergeCell ref="AL46:AL62"/>
    <mergeCell ref="AM46:AM62"/>
    <mergeCell ref="AN46:AN62"/>
    <mergeCell ref="AO46:AO62"/>
    <mergeCell ref="AD46:AD62"/>
    <mergeCell ref="AE46:AE62"/>
    <mergeCell ref="AF46:AF62"/>
    <mergeCell ref="U25:U45"/>
    <mergeCell ref="V27:V28"/>
    <mergeCell ref="V29:V30"/>
    <mergeCell ref="V32:V33"/>
    <mergeCell ref="V34:V35"/>
    <mergeCell ref="V36:V38"/>
    <mergeCell ref="U50:U62"/>
    <mergeCell ref="M46:M49"/>
    <mergeCell ref="N46:N49"/>
    <mergeCell ref="O46:O49"/>
    <mergeCell ref="P46:P62"/>
    <mergeCell ref="H25:H41"/>
    <mergeCell ref="I25:I41"/>
    <mergeCell ref="J25:J41"/>
    <mergeCell ref="K25:K41"/>
    <mergeCell ref="L25:L41"/>
    <mergeCell ref="M25:M41"/>
    <mergeCell ref="S12:S45"/>
    <mergeCell ref="T12:T45"/>
    <mergeCell ref="U12:U24"/>
    <mergeCell ref="M44:M45"/>
    <mergeCell ref="N44:N45"/>
    <mergeCell ref="O44:O45"/>
    <mergeCell ref="R44:R45"/>
    <mergeCell ref="N18:N20"/>
    <mergeCell ref="O18:O20"/>
    <mergeCell ref="R18:R20"/>
    <mergeCell ref="G21:G24"/>
    <mergeCell ref="H21:H24"/>
    <mergeCell ref="I21:I24"/>
    <mergeCell ref="J21:J24"/>
    <mergeCell ref="K21:K24"/>
    <mergeCell ref="L21:L24"/>
    <mergeCell ref="M21:M24"/>
    <mergeCell ref="G18:G20"/>
    <mergeCell ref="H18:H20"/>
    <mergeCell ref="I18:I20"/>
    <mergeCell ref="J18:J20"/>
    <mergeCell ref="G44:G45"/>
    <mergeCell ref="H44:H45"/>
    <mergeCell ref="I44:I45"/>
    <mergeCell ref="J44:J45"/>
    <mergeCell ref="K44:K45"/>
    <mergeCell ref="L18:L20"/>
    <mergeCell ref="K18:K20"/>
    <mergeCell ref="G15:G17"/>
    <mergeCell ref="H15:H17"/>
    <mergeCell ref="I15:I17"/>
    <mergeCell ref="J15:J17"/>
    <mergeCell ref="K15:K17"/>
    <mergeCell ref="L15:L17"/>
    <mergeCell ref="Q12:Q45"/>
    <mergeCell ref="R12:R14"/>
    <mergeCell ref="AN12:AN45"/>
    <mergeCell ref="AO12:AO45"/>
    <mergeCell ref="AP12:AP45"/>
    <mergeCell ref="AQ12:AQ45"/>
    <mergeCell ref="AR12:AR45"/>
    <mergeCell ref="AS12:AS45"/>
    <mergeCell ref="AH12:AH45"/>
    <mergeCell ref="AI12:AI45"/>
    <mergeCell ref="AJ12:AJ45"/>
    <mergeCell ref="AK12:AK45"/>
    <mergeCell ref="AL12:AL45"/>
    <mergeCell ref="AM12:AM45"/>
    <mergeCell ref="AB12:AB45"/>
    <mergeCell ref="AC12:AC45"/>
    <mergeCell ref="AD12:AD45"/>
    <mergeCell ref="AE12:AE45"/>
    <mergeCell ref="AF12:AF45"/>
    <mergeCell ref="AG12:AG45"/>
    <mergeCell ref="V40:V41"/>
    <mergeCell ref="N21:N24"/>
    <mergeCell ref="O21:O24"/>
    <mergeCell ref="R21:R24"/>
    <mergeCell ref="G25:G41"/>
    <mergeCell ref="A7:B7"/>
    <mergeCell ref="A1:AQ4"/>
    <mergeCell ref="A5:O6"/>
    <mergeCell ref="C7:D7"/>
    <mergeCell ref="G7:J7"/>
    <mergeCell ref="K7:N7"/>
    <mergeCell ref="O7:W7"/>
    <mergeCell ref="X7:Z7"/>
    <mergeCell ref="AA7:AB7"/>
    <mergeCell ref="AC7:AF7"/>
    <mergeCell ref="AG7:AL7"/>
    <mergeCell ref="AA12:AA45"/>
    <mergeCell ref="R15:R17"/>
    <mergeCell ref="K12:K14"/>
    <mergeCell ref="L12:L14"/>
    <mergeCell ref="M12:M14"/>
    <mergeCell ref="N12:N14"/>
    <mergeCell ref="O12:O14"/>
    <mergeCell ref="P12:P45"/>
    <mergeCell ref="M15:M17"/>
    <mergeCell ref="N15:N17"/>
    <mergeCell ref="O15:O17"/>
    <mergeCell ref="M18:M20"/>
    <mergeCell ref="AM7:AO7"/>
    <mergeCell ref="AP7:AP8"/>
    <mergeCell ref="B9:G9"/>
    <mergeCell ref="D10:I10"/>
    <mergeCell ref="A11:B96"/>
    <mergeCell ref="G12:G14"/>
    <mergeCell ref="H12:H14"/>
    <mergeCell ref="I12:I14"/>
    <mergeCell ref="J12:J14"/>
  </mergeCells>
  <conditionalFormatting sqref="K46">
    <cfRule type="duplicateValues" dxfId="11" priority="26"/>
  </conditionalFormatting>
  <conditionalFormatting sqref="K46">
    <cfRule type="duplicateValues" dxfId="10" priority="27"/>
  </conditionalFormatting>
  <conditionalFormatting sqref="K84">
    <cfRule type="duplicateValues" dxfId="9" priority="24"/>
  </conditionalFormatting>
  <conditionalFormatting sqref="K84">
    <cfRule type="duplicateValues" dxfId="8" priority="25"/>
  </conditionalFormatting>
  <conditionalFormatting sqref="K85">
    <cfRule type="duplicateValues" dxfId="7" priority="22"/>
  </conditionalFormatting>
  <conditionalFormatting sqref="K85">
    <cfRule type="duplicateValues" dxfId="6" priority="23"/>
  </conditionalFormatting>
  <conditionalFormatting sqref="M46">
    <cfRule type="duplicateValues" dxfId="5" priority="20"/>
  </conditionalFormatting>
  <conditionalFormatting sqref="M46">
    <cfRule type="duplicateValues" dxfId="4" priority="21"/>
  </conditionalFormatting>
  <conditionalFormatting sqref="M84">
    <cfRule type="duplicateValues" dxfId="3" priority="18"/>
  </conditionalFormatting>
  <conditionalFormatting sqref="M84">
    <cfRule type="duplicateValues" dxfId="2" priority="19"/>
  </conditionalFormatting>
  <conditionalFormatting sqref="M85">
    <cfRule type="duplicateValues" dxfId="1" priority="16"/>
  </conditionalFormatting>
  <conditionalFormatting sqref="M85">
    <cfRule type="duplicateValues" dxfId="0" priority="17"/>
  </conditionalFormatting>
  <pageMargins left="0.7" right="0.7" top="0.75" bottom="0.75" header="0.3" footer="0.3"/>
  <pageSetup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59"/>
  <sheetViews>
    <sheetView showGridLines="0" tabSelected="1" zoomScale="70" zoomScaleNormal="70" workbookViewId="0">
      <selection activeCell="A11" sqref="A11:B32"/>
    </sheetView>
  </sheetViews>
  <sheetFormatPr baseColWidth="10" defaultColWidth="11.42578125" defaultRowHeight="27" customHeight="1" x14ac:dyDescent="0.25"/>
  <cols>
    <col min="1" max="1" width="13.140625" style="132" customWidth="1"/>
    <col min="2" max="2" width="15.28515625" style="4" customWidth="1"/>
    <col min="3" max="4" width="12.7109375" style="4" customWidth="1"/>
    <col min="5" max="5" width="11.5703125" style="4" customWidth="1"/>
    <col min="6" max="6" width="11.85546875" style="4" customWidth="1"/>
    <col min="7" max="7" width="18.42578125" style="4" customWidth="1"/>
    <col min="8" max="8" width="30.85546875" style="349" customWidth="1"/>
    <col min="9" max="9" width="24" style="3" customWidth="1"/>
    <col min="10" max="10" width="33" style="349" customWidth="1"/>
    <col min="11" max="11" width="14" style="3" customWidth="1"/>
    <col min="12" max="12" width="36.42578125" style="349" customWidth="1"/>
    <col min="13" max="13" width="23.5703125" style="3" customWidth="1"/>
    <col min="14" max="14" width="32.7109375" style="349" customWidth="1"/>
    <col min="15" max="15" width="16.28515625" style="3" customWidth="1"/>
    <col min="16" max="16" width="20.42578125" style="3" customWidth="1"/>
    <col min="17" max="17" width="30" style="349" customWidth="1"/>
    <col min="18" max="18" width="16.85546875" style="1030" customWidth="1"/>
    <col min="19" max="19" width="31" style="128" customWidth="1"/>
    <col min="20" max="20" width="37.5703125" style="349" customWidth="1"/>
    <col min="21" max="21" width="39.5703125" style="349" customWidth="1"/>
    <col min="22" max="22" width="52.5703125" style="349" customWidth="1"/>
    <col min="23" max="23" width="29" style="1031" customWidth="1"/>
    <col min="24" max="24" width="61.5703125" style="128" customWidth="1"/>
    <col min="25" max="25" width="15.28515625" style="124" customWidth="1"/>
    <col min="26" max="26" width="23" style="3" customWidth="1"/>
    <col min="27" max="41" width="10.140625" style="4" customWidth="1"/>
    <col min="42" max="42" width="10.28515625" style="4" bestFit="1" customWidth="1"/>
    <col min="43" max="43" width="17.85546875" style="134" customWidth="1"/>
    <col min="44" max="44" width="18.85546875" style="134" customWidth="1"/>
    <col min="45" max="45" width="27.7109375" style="4" customWidth="1"/>
    <col min="46" max="16384" width="11.42578125" style="4"/>
  </cols>
  <sheetData>
    <row r="1" spans="1:65" ht="27.75" customHeight="1" x14ac:dyDescent="0.25">
      <c r="A1" s="2955" t="s">
        <v>1140</v>
      </c>
      <c r="B1" s="2955"/>
      <c r="C1" s="2955"/>
      <c r="D1" s="2955"/>
      <c r="E1" s="2955"/>
      <c r="F1" s="2955"/>
      <c r="G1" s="2955"/>
      <c r="H1" s="2955"/>
      <c r="I1" s="2955"/>
      <c r="J1" s="2955"/>
      <c r="K1" s="2955"/>
      <c r="L1" s="2955"/>
      <c r="M1" s="2955"/>
      <c r="N1" s="2955"/>
      <c r="O1" s="2955"/>
      <c r="P1" s="2955"/>
      <c r="Q1" s="2955"/>
      <c r="R1" s="2955"/>
      <c r="S1" s="2955"/>
      <c r="T1" s="2955"/>
      <c r="U1" s="2955"/>
      <c r="V1" s="2955"/>
      <c r="W1" s="2955"/>
      <c r="X1" s="2955"/>
      <c r="Y1" s="2955"/>
      <c r="Z1" s="2955"/>
      <c r="AA1" s="2955"/>
      <c r="AB1" s="2955"/>
      <c r="AC1" s="2955"/>
      <c r="AD1" s="2955"/>
      <c r="AE1" s="2955"/>
      <c r="AF1" s="2955"/>
      <c r="AG1" s="2955"/>
      <c r="AH1" s="2955"/>
      <c r="AI1" s="2955"/>
      <c r="AJ1" s="2955"/>
      <c r="AK1" s="2955"/>
      <c r="AL1" s="2955"/>
      <c r="AM1" s="2955"/>
      <c r="AN1" s="2955"/>
      <c r="AO1" s="2955"/>
      <c r="AP1" s="2955"/>
      <c r="AQ1" s="2237"/>
      <c r="AR1" s="608" t="s">
        <v>1</v>
      </c>
      <c r="AS1" s="608" t="s">
        <v>1141</v>
      </c>
      <c r="AT1" s="3"/>
      <c r="AU1" s="3"/>
      <c r="AV1" s="3"/>
      <c r="AW1" s="3"/>
      <c r="AX1" s="3"/>
      <c r="AY1" s="3"/>
      <c r="AZ1" s="3"/>
      <c r="BA1" s="3"/>
      <c r="BB1" s="3"/>
      <c r="BC1" s="3"/>
      <c r="BD1" s="3"/>
      <c r="BE1" s="3"/>
      <c r="BF1" s="3"/>
      <c r="BG1" s="3"/>
      <c r="BH1" s="3"/>
      <c r="BI1" s="3"/>
      <c r="BJ1" s="3"/>
      <c r="BK1" s="3"/>
      <c r="BL1" s="3"/>
      <c r="BM1" s="3"/>
    </row>
    <row r="2" spans="1:65" ht="27.75" customHeight="1" x14ac:dyDescent="0.25">
      <c r="A2" s="2955"/>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608" t="s">
        <v>3</v>
      </c>
      <c r="AS2" s="229" t="s">
        <v>693</v>
      </c>
      <c r="AT2" s="3"/>
      <c r="AU2" s="3"/>
      <c r="AV2" s="3"/>
      <c r="AW2" s="3"/>
      <c r="AX2" s="3"/>
      <c r="AY2" s="3"/>
      <c r="AZ2" s="3"/>
      <c r="BA2" s="3"/>
      <c r="BB2" s="3"/>
      <c r="BC2" s="3"/>
      <c r="BD2" s="3"/>
      <c r="BE2" s="3"/>
      <c r="BF2" s="3"/>
      <c r="BG2" s="3"/>
      <c r="BH2" s="3"/>
      <c r="BI2" s="3"/>
      <c r="BJ2" s="3"/>
      <c r="BK2" s="3"/>
      <c r="BL2" s="3"/>
      <c r="BM2" s="3"/>
    </row>
    <row r="3" spans="1:65" ht="27.75" customHeight="1" x14ac:dyDescent="0.25">
      <c r="A3" s="2955"/>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608" t="s">
        <v>4</v>
      </c>
      <c r="AS3" s="917" t="s">
        <v>1142</v>
      </c>
      <c r="AT3" s="3"/>
      <c r="AU3" s="3"/>
      <c r="AV3" s="3"/>
      <c r="AW3" s="3"/>
      <c r="AX3" s="3"/>
      <c r="AY3" s="3"/>
      <c r="AZ3" s="3"/>
      <c r="BA3" s="3"/>
      <c r="BB3" s="3"/>
      <c r="BC3" s="3"/>
      <c r="BD3" s="3"/>
      <c r="BE3" s="3"/>
      <c r="BF3" s="3"/>
      <c r="BG3" s="3"/>
      <c r="BH3" s="3"/>
      <c r="BI3" s="3"/>
      <c r="BJ3" s="3"/>
      <c r="BK3" s="3"/>
      <c r="BL3" s="3"/>
      <c r="BM3" s="3"/>
    </row>
    <row r="4" spans="1:65" ht="27.75" customHeight="1" x14ac:dyDescent="0.25">
      <c r="A4" s="2238"/>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9"/>
      <c r="AR4" s="608" t="s">
        <v>5</v>
      </c>
      <c r="AS4" s="659" t="s">
        <v>120</v>
      </c>
      <c r="AT4" s="3"/>
      <c r="AU4" s="3"/>
      <c r="AV4" s="3"/>
      <c r="AW4" s="3"/>
      <c r="AX4" s="3"/>
      <c r="AY4" s="3"/>
      <c r="AZ4" s="3"/>
      <c r="BA4" s="3"/>
      <c r="BB4" s="3"/>
      <c r="BC4" s="3"/>
      <c r="BD4" s="3"/>
      <c r="BE4" s="3"/>
      <c r="BF4" s="3"/>
      <c r="BG4" s="3"/>
      <c r="BH4" s="3"/>
      <c r="BI4" s="3"/>
      <c r="BJ4" s="3"/>
      <c r="BK4" s="3"/>
      <c r="BL4" s="3"/>
      <c r="BM4" s="3"/>
    </row>
    <row r="5" spans="1:65" ht="27.75" customHeight="1" x14ac:dyDescent="0.25">
      <c r="A5" s="2241" t="s">
        <v>1143</v>
      </c>
      <c r="B5" s="2241"/>
      <c r="C5" s="2241"/>
      <c r="D5" s="2241"/>
      <c r="E5" s="2241"/>
      <c r="F5" s="2241"/>
      <c r="G5" s="2241"/>
      <c r="H5" s="2241"/>
      <c r="I5" s="2241"/>
      <c r="J5" s="2241"/>
      <c r="K5" s="2241"/>
      <c r="L5" s="2241"/>
      <c r="M5" s="2241"/>
      <c r="N5" s="2241"/>
      <c r="O5" s="2241"/>
      <c r="P5" s="2245"/>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3"/>
      <c r="AU5" s="3"/>
      <c r="AV5" s="3"/>
      <c r="AW5" s="3"/>
      <c r="AX5" s="3"/>
      <c r="AY5" s="3"/>
      <c r="AZ5" s="3"/>
      <c r="BA5" s="3"/>
      <c r="BB5" s="3"/>
      <c r="BC5" s="3"/>
      <c r="BD5" s="3"/>
      <c r="BE5" s="3"/>
      <c r="BF5" s="3"/>
      <c r="BG5" s="3"/>
      <c r="BH5" s="3"/>
      <c r="BI5" s="3"/>
      <c r="BJ5" s="3"/>
      <c r="BK5" s="3"/>
      <c r="BL5" s="3"/>
      <c r="BM5" s="3"/>
    </row>
    <row r="6" spans="1:65" ht="27.75" customHeight="1" x14ac:dyDescent="0.25">
      <c r="A6" s="2238"/>
      <c r="B6" s="2238"/>
      <c r="C6" s="2238"/>
      <c r="D6" s="2238"/>
      <c r="E6" s="2238"/>
      <c r="F6" s="2238"/>
      <c r="G6" s="2238"/>
      <c r="H6" s="2238"/>
      <c r="I6" s="2238"/>
      <c r="J6" s="2238"/>
      <c r="K6" s="2238"/>
      <c r="L6" s="2238"/>
      <c r="M6" s="2238"/>
      <c r="N6" s="2238"/>
      <c r="O6" s="2955"/>
      <c r="P6" s="918"/>
      <c r="Q6" s="919"/>
      <c r="R6" s="920"/>
      <c r="S6" s="918"/>
      <c r="T6" s="919"/>
      <c r="U6" s="919"/>
      <c r="V6" s="919"/>
      <c r="W6" s="921"/>
      <c r="X6" s="605"/>
      <c r="Y6" s="605"/>
      <c r="Z6" s="605"/>
      <c r="AA6" s="2243" t="s">
        <v>8</v>
      </c>
      <c r="AB6" s="2238"/>
      <c r="AC6" s="2238"/>
      <c r="AD6" s="2238"/>
      <c r="AE6" s="2238"/>
      <c r="AF6" s="2238"/>
      <c r="AG6" s="2238"/>
      <c r="AH6" s="2238"/>
      <c r="AI6" s="2238"/>
      <c r="AJ6" s="2238"/>
      <c r="AK6" s="2238"/>
      <c r="AL6" s="2238"/>
      <c r="AM6" s="2238"/>
      <c r="AN6" s="2238"/>
      <c r="AO6" s="2239"/>
      <c r="AP6" s="605"/>
      <c r="AQ6" s="605"/>
      <c r="AR6" s="605"/>
      <c r="AS6" s="606"/>
      <c r="AT6" s="3"/>
      <c r="AU6" s="3"/>
      <c r="AV6" s="3"/>
      <c r="AW6" s="3"/>
      <c r="AX6" s="3"/>
      <c r="AY6" s="3"/>
      <c r="AZ6" s="3"/>
      <c r="BA6" s="3"/>
      <c r="BB6" s="3"/>
      <c r="BC6" s="3"/>
      <c r="BD6" s="3"/>
      <c r="BE6" s="3"/>
      <c r="BF6" s="3"/>
      <c r="BG6" s="3"/>
      <c r="BH6" s="3"/>
      <c r="BI6" s="3"/>
      <c r="BJ6" s="3"/>
      <c r="BK6" s="3"/>
      <c r="BL6" s="3"/>
      <c r="BM6" s="3"/>
    </row>
    <row r="7" spans="1:65" ht="35.25" customHeight="1" x14ac:dyDescent="0.25">
      <c r="A7" s="2248" t="s">
        <v>9</v>
      </c>
      <c r="B7" s="2351"/>
      <c r="C7" s="2247" t="s">
        <v>10</v>
      </c>
      <c r="D7" s="2248"/>
      <c r="E7" s="2248" t="s">
        <v>11</v>
      </c>
      <c r="F7" s="2351"/>
      <c r="G7" s="2247" t="s">
        <v>12</v>
      </c>
      <c r="H7" s="2248"/>
      <c r="I7" s="2248"/>
      <c r="J7" s="2248"/>
      <c r="K7" s="2247" t="s">
        <v>13</v>
      </c>
      <c r="L7" s="2248"/>
      <c r="M7" s="2248"/>
      <c r="N7" s="2248"/>
      <c r="O7" s="3784" t="s">
        <v>1144</v>
      </c>
      <c r="P7" s="3784"/>
      <c r="Q7" s="3784"/>
      <c r="R7" s="3784"/>
      <c r="S7" s="3784"/>
      <c r="T7" s="3784"/>
      <c r="U7" s="3784"/>
      <c r="V7" s="3784"/>
      <c r="W7" s="3784"/>
      <c r="X7" s="3138" t="s">
        <v>15</v>
      </c>
      <c r="Y7" s="3138"/>
      <c r="Z7" s="3139"/>
      <c r="AA7" s="2401" t="s">
        <v>16</v>
      </c>
      <c r="AB7" s="2401"/>
      <c r="AC7" s="2218" t="s">
        <v>17</v>
      </c>
      <c r="AD7" s="2218"/>
      <c r="AE7" s="2218"/>
      <c r="AF7" s="2218"/>
      <c r="AG7" s="2359" t="s">
        <v>18</v>
      </c>
      <c r="AH7" s="2360"/>
      <c r="AI7" s="2360"/>
      <c r="AJ7" s="2360"/>
      <c r="AK7" s="2360"/>
      <c r="AL7" s="3140"/>
      <c r="AM7" s="2218" t="s">
        <v>19</v>
      </c>
      <c r="AN7" s="2218"/>
      <c r="AO7" s="2218"/>
      <c r="AP7" s="2986" t="s">
        <v>20</v>
      </c>
      <c r="AQ7" s="2249" t="s">
        <v>21</v>
      </c>
      <c r="AR7" s="2249" t="s">
        <v>22</v>
      </c>
      <c r="AS7" s="2357" t="s">
        <v>23</v>
      </c>
      <c r="AT7" s="3"/>
      <c r="AU7" s="3"/>
      <c r="AV7" s="3"/>
      <c r="AW7" s="3"/>
      <c r="AX7" s="3"/>
      <c r="AY7" s="3"/>
      <c r="AZ7" s="3"/>
      <c r="BA7" s="3"/>
      <c r="BB7" s="3"/>
      <c r="BC7" s="3"/>
      <c r="BD7" s="3"/>
      <c r="BE7" s="3"/>
      <c r="BF7" s="3"/>
      <c r="BG7" s="3"/>
      <c r="BH7" s="3"/>
      <c r="BI7" s="3"/>
      <c r="BJ7" s="3"/>
      <c r="BK7" s="3"/>
      <c r="BL7" s="3"/>
      <c r="BM7" s="3"/>
    </row>
    <row r="8" spans="1:65" ht="96" customHeight="1" x14ac:dyDescent="0.25">
      <c r="A8" s="239" t="s">
        <v>24</v>
      </c>
      <c r="B8" s="18" t="s">
        <v>25</v>
      </c>
      <c r="C8" s="239" t="s">
        <v>24</v>
      </c>
      <c r="D8" s="18" t="s">
        <v>25</v>
      </c>
      <c r="E8" s="922" t="s">
        <v>24</v>
      </c>
      <c r="F8" s="18" t="s">
        <v>25</v>
      </c>
      <c r="G8" s="240" t="s">
        <v>26</v>
      </c>
      <c r="H8" s="240" t="s">
        <v>27</v>
      </c>
      <c r="I8" s="240" t="s">
        <v>28</v>
      </c>
      <c r="J8" s="240" t="s">
        <v>122</v>
      </c>
      <c r="K8" s="240" t="s">
        <v>26</v>
      </c>
      <c r="L8" s="240" t="s">
        <v>30</v>
      </c>
      <c r="M8" s="18" t="s">
        <v>31</v>
      </c>
      <c r="N8" s="923" t="s">
        <v>32</v>
      </c>
      <c r="O8" s="924" t="s">
        <v>185</v>
      </c>
      <c r="P8" s="924" t="s">
        <v>34</v>
      </c>
      <c r="Q8" s="924" t="s">
        <v>35</v>
      </c>
      <c r="R8" s="925" t="s">
        <v>36</v>
      </c>
      <c r="S8" s="926" t="s">
        <v>37</v>
      </c>
      <c r="T8" s="924" t="s">
        <v>38</v>
      </c>
      <c r="U8" s="924" t="s">
        <v>39</v>
      </c>
      <c r="V8" s="924" t="s">
        <v>40</v>
      </c>
      <c r="W8" s="926" t="s">
        <v>37</v>
      </c>
      <c r="X8" s="922" t="s">
        <v>42</v>
      </c>
      <c r="Y8" s="244" t="s">
        <v>43</v>
      </c>
      <c r="Z8" s="240" t="s">
        <v>25</v>
      </c>
      <c r="AA8" s="927" t="s">
        <v>44</v>
      </c>
      <c r="AB8" s="928" t="s">
        <v>45</v>
      </c>
      <c r="AC8" s="929" t="s">
        <v>46</v>
      </c>
      <c r="AD8" s="929" t="s">
        <v>47</v>
      </c>
      <c r="AE8" s="929" t="s">
        <v>188</v>
      </c>
      <c r="AF8" s="929" t="s">
        <v>49</v>
      </c>
      <c r="AG8" s="929" t="s">
        <v>50</v>
      </c>
      <c r="AH8" s="929" t="s">
        <v>51</v>
      </c>
      <c r="AI8" s="929" t="s">
        <v>52</v>
      </c>
      <c r="AJ8" s="929" t="s">
        <v>189</v>
      </c>
      <c r="AK8" s="929" t="s">
        <v>54</v>
      </c>
      <c r="AL8" s="929" t="s">
        <v>55</v>
      </c>
      <c r="AM8" s="929" t="s">
        <v>56</v>
      </c>
      <c r="AN8" s="929" t="s">
        <v>57</v>
      </c>
      <c r="AO8" s="929" t="s">
        <v>58</v>
      </c>
      <c r="AP8" s="2987"/>
      <c r="AQ8" s="2356"/>
      <c r="AR8" s="2356"/>
      <c r="AS8" s="2358"/>
      <c r="AT8" s="3"/>
      <c r="AU8" s="3"/>
      <c r="AV8" s="3"/>
      <c r="AW8" s="3"/>
      <c r="AX8" s="3"/>
      <c r="AY8" s="3"/>
      <c r="AZ8" s="3"/>
      <c r="BA8" s="3"/>
      <c r="BB8" s="3"/>
      <c r="BC8" s="3"/>
      <c r="BD8" s="3"/>
      <c r="BE8" s="3"/>
      <c r="BF8" s="3"/>
      <c r="BG8" s="3"/>
      <c r="BH8" s="3"/>
      <c r="BI8" s="3"/>
      <c r="BJ8" s="3"/>
      <c r="BK8" s="3"/>
      <c r="BL8" s="3"/>
      <c r="BM8" s="3"/>
    </row>
    <row r="9" spans="1:65" ht="22.5" customHeight="1" x14ac:dyDescent="0.25">
      <c r="A9" s="930">
        <v>1</v>
      </c>
      <c r="B9" s="3785" t="s">
        <v>1145</v>
      </c>
      <c r="C9" s="2968"/>
      <c r="D9" s="2968"/>
      <c r="E9" s="2968"/>
      <c r="F9" s="2968"/>
      <c r="G9" s="2968"/>
      <c r="H9" s="2968"/>
      <c r="I9" s="2968"/>
      <c r="J9" s="2968"/>
      <c r="K9" s="2968"/>
      <c r="L9" s="2968"/>
      <c r="M9" s="392"/>
      <c r="N9" s="931"/>
      <c r="O9" s="392"/>
      <c r="P9" s="392"/>
      <c r="Q9" s="931"/>
      <c r="R9" s="932"/>
      <c r="S9" s="394"/>
      <c r="T9" s="931"/>
      <c r="U9" s="931"/>
      <c r="V9" s="931"/>
      <c r="W9" s="933"/>
      <c r="X9" s="392"/>
      <c r="Y9" s="396"/>
      <c r="Z9" s="392"/>
      <c r="AA9" s="392"/>
      <c r="AB9" s="392"/>
      <c r="AC9" s="392"/>
      <c r="AD9" s="392"/>
      <c r="AE9" s="392"/>
      <c r="AF9" s="392"/>
      <c r="AG9" s="392"/>
      <c r="AH9" s="392"/>
      <c r="AI9" s="392"/>
      <c r="AJ9" s="392"/>
      <c r="AK9" s="392"/>
      <c r="AL9" s="392"/>
      <c r="AM9" s="392"/>
      <c r="AN9" s="392"/>
      <c r="AO9" s="392"/>
      <c r="AP9" s="392"/>
      <c r="AQ9" s="934"/>
      <c r="AR9" s="934"/>
      <c r="AS9" s="935"/>
      <c r="AT9" s="3"/>
      <c r="AU9" s="3"/>
      <c r="AV9" s="3"/>
      <c r="AW9" s="3"/>
      <c r="AX9" s="3"/>
      <c r="AY9" s="3"/>
      <c r="AZ9" s="3"/>
      <c r="BA9" s="3"/>
      <c r="BB9" s="3"/>
      <c r="BC9" s="3"/>
      <c r="BD9" s="3"/>
      <c r="BE9" s="3"/>
      <c r="BF9" s="3"/>
      <c r="BG9" s="3"/>
      <c r="BH9" s="3"/>
      <c r="BI9" s="3"/>
      <c r="BJ9" s="3"/>
      <c r="BK9" s="3"/>
      <c r="BL9" s="3"/>
      <c r="BM9" s="3"/>
    </row>
    <row r="10" spans="1:65" ht="22.5" customHeight="1" x14ac:dyDescent="0.25">
      <c r="A10" s="50"/>
      <c r="B10" s="607"/>
      <c r="C10" s="36">
        <v>23</v>
      </c>
      <c r="D10" s="2681" t="s">
        <v>1146</v>
      </c>
      <c r="E10" s="2211"/>
      <c r="F10" s="2211"/>
      <c r="G10" s="2211"/>
      <c r="H10" s="2211"/>
      <c r="I10" s="671"/>
      <c r="J10" s="936"/>
      <c r="K10" s="671"/>
      <c r="L10" s="936"/>
      <c r="M10" s="671"/>
      <c r="N10" s="936"/>
      <c r="O10" s="671"/>
      <c r="P10" s="671"/>
      <c r="Q10" s="936"/>
      <c r="R10" s="937"/>
      <c r="S10" s="673"/>
      <c r="T10" s="936"/>
      <c r="U10" s="936"/>
      <c r="V10" s="936"/>
      <c r="W10" s="938"/>
      <c r="X10" s="671"/>
      <c r="Y10" s="674"/>
      <c r="Z10" s="671"/>
      <c r="AA10" s="671"/>
      <c r="AB10" s="671"/>
      <c r="AC10" s="671"/>
      <c r="AD10" s="671"/>
      <c r="AE10" s="671"/>
      <c r="AF10" s="671"/>
      <c r="AG10" s="671"/>
      <c r="AH10" s="671"/>
      <c r="AI10" s="671"/>
      <c r="AJ10" s="671"/>
      <c r="AK10" s="671"/>
      <c r="AL10" s="671"/>
      <c r="AM10" s="671"/>
      <c r="AN10" s="671"/>
      <c r="AO10" s="671"/>
      <c r="AP10" s="671"/>
      <c r="AQ10" s="675"/>
      <c r="AR10" s="675"/>
      <c r="AS10" s="676"/>
    </row>
    <row r="11" spans="1:65" s="3" customFormat="1" ht="20.25" customHeight="1" x14ac:dyDescent="0.25">
      <c r="A11" s="2438"/>
      <c r="B11" s="2439"/>
      <c r="C11" s="641"/>
      <c r="D11" s="644"/>
      <c r="E11" s="677">
        <v>2301</v>
      </c>
      <c r="F11" s="3786" t="s">
        <v>1147</v>
      </c>
      <c r="G11" s="3341"/>
      <c r="H11" s="3341"/>
      <c r="I11" s="3341"/>
      <c r="J11" s="3341"/>
      <c r="K11" s="3341"/>
      <c r="L11" s="3341"/>
      <c r="M11" s="3341"/>
      <c r="N11" s="3341"/>
      <c r="O11" s="3341"/>
      <c r="P11" s="3787"/>
      <c r="Q11" s="3787"/>
      <c r="R11" s="939"/>
      <c r="S11" s="681"/>
      <c r="T11" s="940"/>
      <c r="U11" s="940"/>
      <c r="V11" s="940"/>
      <c r="W11" s="941"/>
      <c r="X11" s="942"/>
      <c r="Y11" s="943"/>
      <c r="Z11" s="680"/>
      <c r="AA11" s="680"/>
      <c r="AB11" s="680"/>
      <c r="AC11" s="680"/>
      <c r="AD11" s="680"/>
      <c r="AE11" s="680"/>
      <c r="AF11" s="680"/>
      <c r="AG11" s="680"/>
      <c r="AH11" s="680"/>
      <c r="AI11" s="680"/>
      <c r="AJ11" s="680"/>
      <c r="AK11" s="680"/>
      <c r="AL11" s="680"/>
      <c r="AM11" s="680"/>
      <c r="AN11" s="680"/>
      <c r="AO11" s="680"/>
      <c r="AP11" s="680"/>
      <c r="AQ11" s="944"/>
      <c r="AR11" s="944"/>
      <c r="AS11" s="945"/>
    </row>
    <row r="12" spans="1:65" s="3" customFormat="1" ht="63.75" customHeight="1" x14ac:dyDescent="0.25">
      <c r="A12" s="2438"/>
      <c r="B12" s="2439"/>
      <c r="C12" s="643"/>
      <c r="D12" s="644"/>
      <c r="E12" s="3788"/>
      <c r="F12" s="2971"/>
      <c r="G12" s="2973">
        <v>2301024</v>
      </c>
      <c r="H12" s="3508" t="s">
        <v>1148</v>
      </c>
      <c r="I12" s="2973">
        <v>2301024</v>
      </c>
      <c r="J12" s="2993" t="s">
        <v>1148</v>
      </c>
      <c r="K12" s="2973">
        <v>230102401</v>
      </c>
      <c r="L12" s="2993" t="s">
        <v>1149</v>
      </c>
      <c r="M12" s="2973">
        <v>230102401</v>
      </c>
      <c r="N12" s="2993" t="s">
        <v>1149</v>
      </c>
      <c r="O12" s="2973">
        <v>15</v>
      </c>
      <c r="P12" s="3789" t="s">
        <v>1150</v>
      </c>
      <c r="Q12" s="2284" t="s">
        <v>1151</v>
      </c>
      <c r="R12" s="2323">
        <f>SUM(W12:W19)/S12</f>
        <v>1</v>
      </c>
      <c r="S12" s="3790">
        <f>SUM(W12:W23)</f>
        <v>325460000</v>
      </c>
      <c r="T12" s="2283" t="s">
        <v>1152</v>
      </c>
      <c r="U12" s="2527" t="s">
        <v>1153</v>
      </c>
      <c r="V12" s="609" t="s">
        <v>1154</v>
      </c>
      <c r="W12" s="947">
        <v>6000000</v>
      </c>
      <c r="X12" s="77" t="s">
        <v>1155</v>
      </c>
      <c r="Y12" s="948">
        <v>20</v>
      </c>
      <c r="Z12" s="635" t="s">
        <v>73</v>
      </c>
      <c r="AA12" s="2253">
        <v>295972</v>
      </c>
      <c r="AB12" s="2253">
        <v>294321</v>
      </c>
      <c r="AC12" s="2253">
        <v>132302</v>
      </c>
      <c r="AD12" s="2253">
        <v>43426</v>
      </c>
      <c r="AE12" s="2253">
        <v>313940</v>
      </c>
      <c r="AF12" s="2253">
        <v>100625</v>
      </c>
      <c r="AG12" s="2253">
        <v>2145</v>
      </c>
      <c r="AH12" s="2253">
        <v>12718</v>
      </c>
      <c r="AI12" s="2253">
        <v>36</v>
      </c>
      <c r="AJ12" s="2253">
        <v>0</v>
      </c>
      <c r="AK12" s="2253">
        <v>0</v>
      </c>
      <c r="AL12" s="2253">
        <v>0</v>
      </c>
      <c r="AM12" s="2253">
        <v>70</v>
      </c>
      <c r="AN12" s="2253">
        <v>21944</v>
      </c>
      <c r="AO12" s="2253">
        <v>285</v>
      </c>
      <c r="AP12" s="2253">
        <f>SUM(AA12:AB23)</f>
        <v>590293</v>
      </c>
      <c r="AQ12" s="3017">
        <v>44197</v>
      </c>
      <c r="AR12" s="3017">
        <v>44561</v>
      </c>
      <c r="AS12" s="3019" t="s">
        <v>1156</v>
      </c>
    </row>
    <row r="13" spans="1:65" s="3" customFormat="1" ht="68.25" customHeight="1" x14ac:dyDescent="0.25">
      <c r="A13" s="2438"/>
      <c r="B13" s="2439"/>
      <c r="C13" s="643"/>
      <c r="D13" s="644"/>
      <c r="E13" s="2971"/>
      <c r="F13" s="2971"/>
      <c r="G13" s="2973"/>
      <c r="H13" s="3508"/>
      <c r="I13" s="2973"/>
      <c r="J13" s="2993"/>
      <c r="K13" s="2973"/>
      <c r="L13" s="2993"/>
      <c r="M13" s="2973"/>
      <c r="N13" s="2993"/>
      <c r="O13" s="2973"/>
      <c r="P13" s="3789"/>
      <c r="Q13" s="2284"/>
      <c r="R13" s="2453"/>
      <c r="S13" s="3791"/>
      <c r="T13" s="2284"/>
      <c r="U13" s="2528"/>
      <c r="V13" s="609" t="s">
        <v>1157</v>
      </c>
      <c r="W13" s="947">
        <v>6000000</v>
      </c>
      <c r="X13" s="77" t="s">
        <v>1158</v>
      </c>
      <c r="Y13" s="948">
        <v>20</v>
      </c>
      <c r="Z13" s="635" t="s">
        <v>73</v>
      </c>
      <c r="AA13" s="2254"/>
      <c r="AB13" s="2254"/>
      <c r="AC13" s="2254"/>
      <c r="AD13" s="2254"/>
      <c r="AE13" s="2254"/>
      <c r="AF13" s="2254"/>
      <c r="AG13" s="2254"/>
      <c r="AH13" s="2254"/>
      <c r="AI13" s="2254"/>
      <c r="AJ13" s="2254"/>
      <c r="AK13" s="2254"/>
      <c r="AL13" s="2254"/>
      <c r="AM13" s="2254"/>
      <c r="AN13" s="2254"/>
      <c r="AO13" s="2254"/>
      <c r="AP13" s="2254"/>
      <c r="AQ13" s="3018"/>
      <c r="AR13" s="3018"/>
      <c r="AS13" s="3020"/>
    </row>
    <row r="14" spans="1:65" s="3" customFormat="1" ht="59.25" customHeight="1" x14ac:dyDescent="0.25">
      <c r="A14" s="2438"/>
      <c r="B14" s="2439"/>
      <c r="C14" s="643"/>
      <c r="D14" s="644"/>
      <c r="E14" s="120"/>
      <c r="F14" s="120"/>
      <c r="G14" s="2973"/>
      <c r="H14" s="3508"/>
      <c r="I14" s="2973"/>
      <c r="J14" s="2993"/>
      <c r="K14" s="2973"/>
      <c r="L14" s="2993"/>
      <c r="M14" s="2973"/>
      <c r="N14" s="2993"/>
      <c r="O14" s="2973"/>
      <c r="P14" s="3789"/>
      <c r="Q14" s="2284"/>
      <c r="R14" s="2453"/>
      <c r="S14" s="3791"/>
      <c r="T14" s="2284"/>
      <c r="U14" s="2528"/>
      <c r="V14" s="609" t="s">
        <v>1159</v>
      </c>
      <c r="W14" s="947">
        <v>6000000</v>
      </c>
      <c r="X14" s="77" t="s">
        <v>1160</v>
      </c>
      <c r="Y14" s="948">
        <v>20</v>
      </c>
      <c r="Z14" s="635" t="s">
        <v>73</v>
      </c>
      <c r="AA14" s="2254"/>
      <c r="AB14" s="2254"/>
      <c r="AC14" s="2254"/>
      <c r="AD14" s="2254"/>
      <c r="AE14" s="2254"/>
      <c r="AF14" s="2254"/>
      <c r="AG14" s="2254"/>
      <c r="AH14" s="2254"/>
      <c r="AI14" s="2254"/>
      <c r="AJ14" s="2254"/>
      <c r="AK14" s="2254"/>
      <c r="AL14" s="2254"/>
      <c r="AM14" s="2254"/>
      <c r="AN14" s="2254"/>
      <c r="AO14" s="2254"/>
      <c r="AP14" s="2254"/>
      <c r="AQ14" s="3018"/>
      <c r="AR14" s="3018"/>
      <c r="AS14" s="3020"/>
    </row>
    <row r="15" spans="1:65" s="3" customFormat="1" ht="66" customHeight="1" x14ac:dyDescent="0.25">
      <c r="A15" s="2438"/>
      <c r="B15" s="2439"/>
      <c r="C15" s="643"/>
      <c r="D15" s="644"/>
      <c r="E15" s="120"/>
      <c r="F15" s="120"/>
      <c r="G15" s="2973"/>
      <c r="H15" s="3508"/>
      <c r="I15" s="2973"/>
      <c r="J15" s="2993"/>
      <c r="K15" s="2973">
        <v>230102404</v>
      </c>
      <c r="L15" s="2993" t="s">
        <v>1161</v>
      </c>
      <c r="M15" s="2973">
        <v>230102404</v>
      </c>
      <c r="N15" s="2993" t="s">
        <v>1161</v>
      </c>
      <c r="O15" s="2973">
        <v>3</v>
      </c>
      <c r="P15" s="3789"/>
      <c r="Q15" s="2284"/>
      <c r="R15" s="2453"/>
      <c r="S15" s="3791"/>
      <c r="T15" s="2284"/>
      <c r="U15" s="2528"/>
      <c r="V15" s="609" t="s">
        <v>1162</v>
      </c>
      <c r="W15" s="947">
        <f>30000000+30000000</f>
        <v>60000000</v>
      </c>
      <c r="X15" s="77" t="s">
        <v>1160</v>
      </c>
      <c r="Y15" s="948">
        <v>20</v>
      </c>
      <c r="Z15" s="635" t="s">
        <v>73</v>
      </c>
      <c r="AA15" s="2254"/>
      <c r="AB15" s="2254"/>
      <c r="AC15" s="2254"/>
      <c r="AD15" s="2254"/>
      <c r="AE15" s="2254"/>
      <c r="AF15" s="2254"/>
      <c r="AG15" s="2254"/>
      <c r="AH15" s="2254"/>
      <c r="AI15" s="2254"/>
      <c r="AJ15" s="2254"/>
      <c r="AK15" s="2254"/>
      <c r="AL15" s="2254"/>
      <c r="AM15" s="2254"/>
      <c r="AN15" s="2254"/>
      <c r="AO15" s="2254"/>
      <c r="AP15" s="2254"/>
      <c r="AQ15" s="3018"/>
      <c r="AR15" s="3018"/>
      <c r="AS15" s="3020"/>
    </row>
    <row r="16" spans="1:65" s="3" customFormat="1" ht="66" customHeight="1" x14ac:dyDescent="0.25">
      <c r="A16" s="2438"/>
      <c r="B16" s="2439"/>
      <c r="C16" s="643"/>
      <c r="D16" s="644"/>
      <c r="E16" s="120"/>
      <c r="F16" s="120"/>
      <c r="G16" s="2973"/>
      <c r="H16" s="3508"/>
      <c r="I16" s="2973"/>
      <c r="J16" s="2993"/>
      <c r="K16" s="2973"/>
      <c r="L16" s="2993"/>
      <c r="M16" s="2973"/>
      <c r="N16" s="2993"/>
      <c r="O16" s="2973"/>
      <c r="P16" s="3789"/>
      <c r="Q16" s="2284"/>
      <c r="R16" s="2453"/>
      <c r="S16" s="3791"/>
      <c r="T16" s="2284"/>
      <c r="U16" s="2528"/>
      <c r="V16" s="2200" t="s">
        <v>1163</v>
      </c>
      <c r="W16" s="947">
        <f>90000000+50000000</f>
        <v>140000000</v>
      </c>
      <c r="X16" s="77" t="s">
        <v>1164</v>
      </c>
      <c r="Y16" s="948">
        <v>20</v>
      </c>
      <c r="Z16" s="635" t="s">
        <v>73</v>
      </c>
      <c r="AA16" s="2254"/>
      <c r="AB16" s="2254"/>
      <c r="AC16" s="2254"/>
      <c r="AD16" s="2254"/>
      <c r="AE16" s="2254"/>
      <c r="AF16" s="2254"/>
      <c r="AG16" s="2254"/>
      <c r="AH16" s="2254"/>
      <c r="AI16" s="2254"/>
      <c r="AJ16" s="2254"/>
      <c r="AK16" s="2254"/>
      <c r="AL16" s="2254"/>
      <c r="AM16" s="2254"/>
      <c r="AN16" s="2254"/>
      <c r="AO16" s="2254"/>
      <c r="AP16" s="2254"/>
      <c r="AQ16" s="3018"/>
      <c r="AR16" s="3018"/>
      <c r="AS16" s="3020"/>
    </row>
    <row r="17" spans="1:45" s="3" customFormat="1" ht="85.5" customHeight="1" x14ac:dyDescent="0.25">
      <c r="A17" s="2438"/>
      <c r="B17" s="2439"/>
      <c r="C17" s="643"/>
      <c r="D17" s="644"/>
      <c r="E17" s="120"/>
      <c r="F17" s="120"/>
      <c r="G17" s="2973"/>
      <c r="H17" s="3508"/>
      <c r="I17" s="2973"/>
      <c r="J17" s="2993"/>
      <c r="K17" s="2973"/>
      <c r="L17" s="2993"/>
      <c r="M17" s="2973"/>
      <c r="N17" s="2993"/>
      <c r="O17" s="2973"/>
      <c r="P17" s="3789"/>
      <c r="Q17" s="2284"/>
      <c r="R17" s="2453"/>
      <c r="S17" s="3791"/>
      <c r="T17" s="2284"/>
      <c r="U17" s="2528"/>
      <c r="V17" s="2345"/>
      <c r="W17" s="947">
        <f>40000000-40000000</f>
        <v>0</v>
      </c>
      <c r="X17" s="77" t="s">
        <v>1165</v>
      </c>
      <c r="Y17" s="948">
        <v>20</v>
      </c>
      <c r="Z17" s="635" t="s">
        <v>73</v>
      </c>
      <c r="AA17" s="2254"/>
      <c r="AB17" s="2254"/>
      <c r="AC17" s="2254"/>
      <c r="AD17" s="2254"/>
      <c r="AE17" s="2254"/>
      <c r="AF17" s="2254"/>
      <c r="AG17" s="2254"/>
      <c r="AH17" s="2254"/>
      <c r="AI17" s="2254"/>
      <c r="AJ17" s="2254"/>
      <c r="AK17" s="2254"/>
      <c r="AL17" s="2254"/>
      <c r="AM17" s="2254"/>
      <c r="AN17" s="2254"/>
      <c r="AO17" s="2254"/>
      <c r="AP17" s="2254"/>
      <c r="AQ17" s="3018"/>
      <c r="AR17" s="3018"/>
      <c r="AS17" s="3020"/>
    </row>
    <row r="18" spans="1:45" s="3" customFormat="1" ht="47.25" customHeight="1" x14ac:dyDescent="0.25">
      <c r="A18" s="2438"/>
      <c r="B18" s="2439"/>
      <c r="C18" s="643"/>
      <c r="D18" s="644"/>
      <c r="E18" s="120"/>
      <c r="F18" s="120"/>
      <c r="G18" s="2973"/>
      <c r="H18" s="3508"/>
      <c r="I18" s="2973"/>
      <c r="J18" s="2993"/>
      <c r="K18" s="2973"/>
      <c r="L18" s="2993"/>
      <c r="M18" s="2973"/>
      <c r="N18" s="2993"/>
      <c r="O18" s="2973"/>
      <c r="P18" s="3789"/>
      <c r="Q18" s="2284"/>
      <c r="R18" s="2453"/>
      <c r="S18" s="3791"/>
      <c r="T18" s="2284"/>
      <c r="U18" s="2528"/>
      <c r="V18" s="2200" t="s">
        <v>1166</v>
      </c>
      <c r="W18" s="947">
        <v>30000000</v>
      </c>
      <c r="X18" s="77" t="s">
        <v>1164</v>
      </c>
      <c r="Y18" s="948">
        <v>20</v>
      </c>
      <c r="Z18" s="635" t="s">
        <v>73</v>
      </c>
      <c r="AA18" s="2254"/>
      <c r="AB18" s="2254"/>
      <c r="AC18" s="2254"/>
      <c r="AD18" s="2254"/>
      <c r="AE18" s="2254"/>
      <c r="AF18" s="2254"/>
      <c r="AG18" s="2254"/>
      <c r="AH18" s="2254"/>
      <c r="AI18" s="2254"/>
      <c r="AJ18" s="2254"/>
      <c r="AK18" s="2254"/>
      <c r="AL18" s="2254"/>
      <c r="AM18" s="2254"/>
      <c r="AN18" s="2254"/>
      <c r="AO18" s="2254"/>
      <c r="AP18" s="2254"/>
      <c r="AQ18" s="3018"/>
      <c r="AR18" s="3018"/>
      <c r="AS18" s="3020"/>
    </row>
    <row r="19" spans="1:45" s="3" customFormat="1" ht="44.25" customHeight="1" x14ac:dyDescent="0.25">
      <c r="A19" s="2438"/>
      <c r="B19" s="2439"/>
      <c r="C19" s="643"/>
      <c r="D19" s="644"/>
      <c r="E19" s="120"/>
      <c r="F19" s="120"/>
      <c r="G19" s="2973"/>
      <c r="H19" s="3508"/>
      <c r="I19" s="2973"/>
      <c r="J19" s="2993"/>
      <c r="K19" s="2973"/>
      <c r="L19" s="2993"/>
      <c r="M19" s="2973"/>
      <c r="N19" s="2993"/>
      <c r="O19" s="2973"/>
      <c r="P19" s="3789"/>
      <c r="Q19" s="2284"/>
      <c r="R19" s="2454"/>
      <c r="S19" s="3791"/>
      <c r="T19" s="2284"/>
      <c r="U19" s="2529"/>
      <c r="V19" s="2345"/>
      <c r="W19" s="949">
        <v>77460000</v>
      </c>
      <c r="X19" s="77" t="s">
        <v>1167</v>
      </c>
      <c r="Y19" s="948">
        <v>88</v>
      </c>
      <c r="Z19" s="635" t="s">
        <v>374</v>
      </c>
      <c r="AA19" s="2254"/>
      <c r="AB19" s="2254"/>
      <c r="AC19" s="2254"/>
      <c r="AD19" s="2254"/>
      <c r="AE19" s="2254"/>
      <c r="AF19" s="2254"/>
      <c r="AG19" s="2254"/>
      <c r="AH19" s="2254"/>
      <c r="AI19" s="2254"/>
      <c r="AJ19" s="2254"/>
      <c r="AK19" s="2254"/>
      <c r="AL19" s="2254"/>
      <c r="AM19" s="2254"/>
      <c r="AN19" s="2254"/>
      <c r="AO19" s="2254"/>
      <c r="AP19" s="2254"/>
      <c r="AQ19" s="3018"/>
      <c r="AR19" s="3018"/>
      <c r="AS19" s="3020"/>
    </row>
    <row r="20" spans="1:45" s="3" customFormat="1" ht="72.75" customHeight="1" x14ac:dyDescent="0.25">
      <c r="A20" s="2438"/>
      <c r="B20" s="2439"/>
      <c r="C20" s="643"/>
      <c r="D20" s="644"/>
      <c r="E20" s="120"/>
      <c r="F20" s="120"/>
      <c r="G20" s="2267">
        <v>2301012</v>
      </c>
      <c r="H20" s="2285" t="s">
        <v>1168</v>
      </c>
      <c r="I20" s="2267">
        <v>2301079</v>
      </c>
      <c r="J20" s="2284" t="s">
        <v>1169</v>
      </c>
      <c r="K20" s="2267">
        <v>230101204</v>
      </c>
      <c r="L20" s="2285" t="s">
        <v>1170</v>
      </c>
      <c r="M20" s="2267">
        <v>230107902</v>
      </c>
      <c r="N20" s="2285" t="s">
        <v>1171</v>
      </c>
      <c r="O20" s="3794">
        <v>13</v>
      </c>
      <c r="P20" s="3789"/>
      <c r="Q20" s="2284"/>
      <c r="R20" s="2323">
        <f>SUM(W20:W22)/S12</f>
        <v>0</v>
      </c>
      <c r="S20" s="3791"/>
      <c r="T20" s="2284"/>
      <c r="U20" s="3792" t="s">
        <v>1172</v>
      </c>
      <c r="V20" s="609" t="s">
        <v>1173</v>
      </c>
      <c r="W20" s="949">
        <f>25000000-25000000</f>
        <v>0</v>
      </c>
      <c r="X20" s="77" t="s">
        <v>1174</v>
      </c>
      <c r="Y20" s="948">
        <v>20</v>
      </c>
      <c r="Z20" s="635" t="s">
        <v>73</v>
      </c>
      <c r="AA20" s="2254"/>
      <c r="AB20" s="2254"/>
      <c r="AC20" s="2254"/>
      <c r="AD20" s="2254"/>
      <c r="AE20" s="2254"/>
      <c r="AF20" s="2254"/>
      <c r="AG20" s="2254"/>
      <c r="AH20" s="2254"/>
      <c r="AI20" s="2254"/>
      <c r="AJ20" s="2254"/>
      <c r="AK20" s="2254"/>
      <c r="AL20" s="2254"/>
      <c r="AM20" s="2254"/>
      <c r="AN20" s="2254"/>
      <c r="AO20" s="2254"/>
      <c r="AP20" s="2254"/>
      <c r="AQ20" s="3018"/>
      <c r="AR20" s="3018"/>
      <c r="AS20" s="3020"/>
    </row>
    <row r="21" spans="1:45" s="3" customFormat="1" ht="57.75" customHeight="1" x14ac:dyDescent="0.25">
      <c r="A21" s="2438"/>
      <c r="B21" s="2439"/>
      <c r="C21" s="643"/>
      <c r="D21" s="644"/>
      <c r="E21" s="120"/>
      <c r="F21" s="120"/>
      <c r="G21" s="2274"/>
      <c r="H21" s="2462"/>
      <c r="I21" s="2274"/>
      <c r="J21" s="2284"/>
      <c r="K21" s="2274"/>
      <c r="L21" s="2462"/>
      <c r="M21" s="2274"/>
      <c r="N21" s="2462"/>
      <c r="O21" s="3794"/>
      <c r="P21" s="3789"/>
      <c r="Q21" s="2284"/>
      <c r="R21" s="2453"/>
      <c r="S21" s="3791"/>
      <c r="T21" s="2284"/>
      <c r="U21" s="3793"/>
      <c r="V21" s="609" t="s">
        <v>1175</v>
      </c>
      <c r="W21" s="949">
        <f>30000000-30000000</f>
        <v>0</v>
      </c>
      <c r="X21" s="77" t="s">
        <v>1176</v>
      </c>
      <c r="Y21" s="948">
        <v>20</v>
      </c>
      <c r="Z21" s="635" t="s">
        <v>73</v>
      </c>
      <c r="AA21" s="2254"/>
      <c r="AB21" s="2254"/>
      <c r="AC21" s="2254"/>
      <c r="AD21" s="2254"/>
      <c r="AE21" s="2254"/>
      <c r="AF21" s="2254"/>
      <c r="AG21" s="2254"/>
      <c r="AH21" s="2254"/>
      <c r="AI21" s="2254"/>
      <c r="AJ21" s="2254"/>
      <c r="AK21" s="2254"/>
      <c r="AL21" s="2254"/>
      <c r="AM21" s="2254"/>
      <c r="AN21" s="2254"/>
      <c r="AO21" s="2254"/>
      <c r="AP21" s="2254"/>
      <c r="AQ21" s="3018"/>
      <c r="AR21" s="3018"/>
      <c r="AS21" s="3020"/>
    </row>
    <row r="22" spans="1:45" s="3" customFormat="1" ht="57" customHeight="1" x14ac:dyDescent="0.25">
      <c r="A22" s="2438"/>
      <c r="B22" s="2439"/>
      <c r="C22" s="643"/>
      <c r="D22" s="644"/>
      <c r="E22" s="120"/>
      <c r="F22" s="120"/>
      <c r="G22" s="2274"/>
      <c r="H22" s="2462"/>
      <c r="I22" s="2274"/>
      <c r="J22" s="2284"/>
      <c r="K22" s="2274"/>
      <c r="L22" s="2462"/>
      <c r="M22" s="2274"/>
      <c r="N22" s="2462"/>
      <c r="O22" s="3794"/>
      <c r="P22" s="3789"/>
      <c r="Q22" s="2284"/>
      <c r="R22" s="2453"/>
      <c r="S22" s="3791"/>
      <c r="T22" s="2284"/>
      <c r="U22" s="3793"/>
      <c r="V22" s="617" t="s">
        <v>1177</v>
      </c>
      <c r="W22" s="949">
        <f>25000000-25000000</f>
        <v>0</v>
      </c>
      <c r="X22" s="77" t="s">
        <v>1174</v>
      </c>
      <c r="Y22" s="948">
        <v>20</v>
      </c>
      <c r="Z22" s="635" t="s">
        <v>73</v>
      </c>
      <c r="AA22" s="2254"/>
      <c r="AB22" s="2254"/>
      <c r="AC22" s="2254"/>
      <c r="AD22" s="2254"/>
      <c r="AE22" s="2254"/>
      <c r="AF22" s="2254"/>
      <c r="AG22" s="2254"/>
      <c r="AH22" s="2254"/>
      <c r="AI22" s="2254"/>
      <c r="AJ22" s="2254"/>
      <c r="AK22" s="2254"/>
      <c r="AL22" s="2254"/>
      <c r="AM22" s="2254"/>
      <c r="AN22" s="2254"/>
      <c r="AO22" s="2254"/>
      <c r="AP22" s="2254"/>
      <c r="AQ22" s="3018"/>
      <c r="AR22" s="3018"/>
      <c r="AS22" s="3020"/>
    </row>
    <row r="23" spans="1:45" s="3" customFormat="1" ht="94.5" customHeight="1" x14ac:dyDescent="0.25">
      <c r="A23" s="2438"/>
      <c r="B23" s="2439"/>
      <c r="C23" s="643"/>
      <c r="D23" s="644"/>
      <c r="E23" s="120"/>
      <c r="F23" s="120"/>
      <c r="G23" s="632">
        <v>2301062</v>
      </c>
      <c r="H23" s="636" t="s">
        <v>1178</v>
      </c>
      <c r="I23" s="632">
        <v>2301062</v>
      </c>
      <c r="J23" s="636" t="s">
        <v>1178</v>
      </c>
      <c r="K23" s="632">
        <v>230106201</v>
      </c>
      <c r="L23" s="636" t="s">
        <v>1179</v>
      </c>
      <c r="M23" s="632">
        <v>230106201</v>
      </c>
      <c r="N23" s="636" t="s">
        <v>1179</v>
      </c>
      <c r="O23" s="632">
        <v>9</v>
      </c>
      <c r="P23" s="2514"/>
      <c r="Q23" s="2284"/>
      <c r="R23" s="627">
        <f>SUM(W23)/S12</f>
        <v>0</v>
      </c>
      <c r="S23" s="3791"/>
      <c r="T23" s="2284"/>
      <c r="U23" s="950" t="s">
        <v>1180</v>
      </c>
      <c r="V23" s="617" t="s">
        <v>1181</v>
      </c>
      <c r="W23" s="951">
        <f>50000000-50000000</f>
        <v>0</v>
      </c>
      <c r="X23" s="77" t="s">
        <v>1182</v>
      </c>
      <c r="Y23" s="952">
        <v>20</v>
      </c>
      <c r="Z23" s="632" t="s">
        <v>73</v>
      </c>
      <c r="AA23" s="2255"/>
      <c r="AB23" s="2255"/>
      <c r="AC23" s="2255"/>
      <c r="AD23" s="2255"/>
      <c r="AE23" s="2255"/>
      <c r="AF23" s="2255"/>
      <c r="AG23" s="2255"/>
      <c r="AH23" s="2255"/>
      <c r="AI23" s="2255"/>
      <c r="AJ23" s="2255"/>
      <c r="AK23" s="2255"/>
      <c r="AL23" s="2255"/>
      <c r="AM23" s="2255"/>
      <c r="AN23" s="2255"/>
      <c r="AO23" s="2255"/>
      <c r="AP23" s="2255"/>
      <c r="AQ23" s="3057"/>
      <c r="AR23" s="3057"/>
      <c r="AS23" s="3058"/>
    </row>
    <row r="24" spans="1:45" s="74" customFormat="1" ht="108" customHeight="1" x14ac:dyDescent="0.25">
      <c r="A24" s="2438"/>
      <c r="B24" s="2439"/>
      <c r="C24" s="639"/>
      <c r="D24" s="640"/>
      <c r="E24" s="953"/>
      <c r="F24" s="953"/>
      <c r="G24" s="771">
        <v>2301035</v>
      </c>
      <c r="H24" s="621" t="s">
        <v>1183</v>
      </c>
      <c r="I24" s="771">
        <v>2301035</v>
      </c>
      <c r="J24" s="621" t="s">
        <v>1183</v>
      </c>
      <c r="K24" s="771">
        <v>230103500</v>
      </c>
      <c r="L24" s="621" t="s">
        <v>1184</v>
      </c>
      <c r="M24" s="771">
        <v>230103500</v>
      </c>
      <c r="N24" s="621" t="s">
        <v>1184</v>
      </c>
      <c r="O24" s="771">
        <v>20</v>
      </c>
      <c r="P24" s="3207">
        <v>2020003630139</v>
      </c>
      <c r="Q24" s="2458" t="s">
        <v>1185</v>
      </c>
      <c r="R24" s="954">
        <f>SUM(W24)/S24</f>
        <v>0.10328800137717335</v>
      </c>
      <c r="S24" s="3796">
        <f>SUM(W24:W32)</f>
        <v>348540000</v>
      </c>
      <c r="T24" s="2458" t="s">
        <v>1186</v>
      </c>
      <c r="U24" s="621" t="s">
        <v>1187</v>
      </c>
      <c r="V24" s="620" t="s">
        <v>1188</v>
      </c>
      <c r="W24" s="955">
        <v>36000000</v>
      </c>
      <c r="X24" s="687" t="s">
        <v>1189</v>
      </c>
      <c r="Y24" s="779">
        <v>20</v>
      </c>
      <c r="Z24" s="760" t="s">
        <v>73</v>
      </c>
      <c r="AA24" s="3173">
        <v>295972</v>
      </c>
      <c r="AB24" s="3173">
        <v>294321</v>
      </c>
      <c r="AC24" s="3173">
        <v>132302</v>
      </c>
      <c r="AD24" s="3173">
        <v>43426</v>
      </c>
      <c r="AE24" s="3173">
        <v>313940</v>
      </c>
      <c r="AF24" s="3173">
        <v>100625</v>
      </c>
      <c r="AG24" s="3173">
        <v>2145</v>
      </c>
      <c r="AH24" s="3173">
        <v>12718</v>
      </c>
      <c r="AI24" s="3173">
        <v>36</v>
      </c>
      <c r="AJ24" s="3173">
        <v>0</v>
      </c>
      <c r="AK24" s="3173">
        <v>0</v>
      </c>
      <c r="AL24" s="3173">
        <v>0</v>
      </c>
      <c r="AM24" s="3173">
        <v>70</v>
      </c>
      <c r="AN24" s="3173">
        <v>21944</v>
      </c>
      <c r="AO24" s="3173">
        <v>285</v>
      </c>
      <c r="AP24" s="3173">
        <f>SUM(AA24:AB32)</f>
        <v>590293</v>
      </c>
      <c r="AQ24" s="3582">
        <v>44197</v>
      </c>
      <c r="AR24" s="3582">
        <v>44561</v>
      </c>
      <c r="AS24" s="3173" t="s">
        <v>1156</v>
      </c>
    </row>
    <row r="25" spans="1:45" s="74" customFormat="1" ht="85.5" customHeight="1" x14ac:dyDescent="0.25">
      <c r="A25" s="2438"/>
      <c r="B25" s="2439"/>
      <c r="C25" s="639"/>
      <c r="D25" s="640"/>
      <c r="E25" s="953"/>
      <c r="F25" s="953"/>
      <c r="G25" s="771">
        <v>2301015</v>
      </c>
      <c r="H25" s="621" t="s">
        <v>1190</v>
      </c>
      <c r="I25" s="771">
        <v>2301015</v>
      </c>
      <c r="J25" s="621" t="s">
        <v>1190</v>
      </c>
      <c r="K25" s="771">
        <v>230101500</v>
      </c>
      <c r="L25" s="621" t="s">
        <v>1191</v>
      </c>
      <c r="M25" s="771">
        <v>230101500</v>
      </c>
      <c r="N25" s="621" t="s">
        <v>1191</v>
      </c>
      <c r="O25" s="771">
        <v>3</v>
      </c>
      <c r="P25" s="3254"/>
      <c r="Q25" s="2459"/>
      <c r="R25" s="954">
        <f>SUM(W25)/S24</f>
        <v>5.1644000688586676E-2</v>
      </c>
      <c r="S25" s="3797"/>
      <c r="T25" s="2459"/>
      <c r="U25" s="621" t="s">
        <v>1192</v>
      </c>
      <c r="V25" s="620" t="s">
        <v>1193</v>
      </c>
      <c r="W25" s="955">
        <v>18000000</v>
      </c>
      <c r="X25" s="687" t="s">
        <v>1194</v>
      </c>
      <c r="Y25" s="779">
        <v>20</v>
      </c>
      <c r="Z25" s="760" t="s">
        <v>73</v>
      </c>
      <c r="AA25" s="3174"/>
      <c r="AB25" s="3174"/>
      <c r="AC25" s="3174"/>
      <c r="AD25" s="3174"/>
      <c r="AE25" s="3174"/>
      <c r="AF25" s="3174"/>
      <c r="AG25" s="3174"/>
      <c r="AH25" s="3174"/>
      <c r="AI25" s="3174"/>
      <c r="AJ25" s="3174"/>
      <c r="AK25" s="3174"/>
      <c r="AL25" s="3174"/>
      <c r="AM25" s="3174"/>
      <c r="AN25" s="3174"/>
      <c r="AO25" s="3174"/>
      <c r="AP25" s="3174"/>
      <c r="AQ25" s="3174"/>
      <c r="AR25" s="3174"/>
      <c r="AS25" s="3174"/>
    </row>
    <row r="26" spans="1:45" s="74" customFormat="1" ht="60" customHeight="1" x14ac:dyDescent="0.25">
      <c r="A26" s="2438"/>
      <c r="B26" s="2439"/>
      <c r="C26" s="639"/>
      <c r="D26" s="640"/>
      <c r="E26" s="953"/>
      <c r="F26" s="953"/>
      <c r="G26" s="3173">
        <v>2301030</v>
      </c>
      <c r="H26" s="2458" t="s">
        <v>1195</v>
      </c>
      <c r="I26" s="3173">
        <v>2301030</v>
      </c>
      <c r="J26" s="2458" t="s">
        <v>1195</v>
      </c>
      <c r="K26" s="3173">
        <v>230103000</v>
      </c>
      <c r="L26" s="2458" t="s">
        <v>1196</v>
      </c>
      <c r="M26" s="3173">
        <v>230103000</v>
      </c>
      <c r="N26" s="2458" t="s">
        <v>1196</v>
      </c>
      <c r="O26" s="3173">
        <v>2500</v>
      </c>
      <c r="P26" s="3254"/>
      <c r="Q26" s="2459"/>
      <c r="R26" s="3660">
        <f>SUM(W26:W28)/S24</f>
        <v>0.74177999655706661</v>
      </c>
      <c r="S26" s="3797"/>
      <c r="T26" s="2459"/>
      <c r="U26" s="2458" t="s">
        <v>1197</v>
      </c>
      <c r="V26" s="2515" t="s">
        <v>1198</v>
      </c>
      <c r="W26" s="955">
        <v>30000000</v>
      </c>
      <c r="X26" s="687" t="s">
        <v>1199</v>
      </c>
      <c r="Y26" s="779">
        <v>20</v>
      </c>
      <c r="Z26" s="760" t="s">
        <v>73</v>
      </c>
      <c r="AA26" s="3174"/>
      <c r="AB26" s="3174"/>
      <c r="AC26" s="3174"/>
      <c r="AD26" s="3174"/>
      <c r="AE26" s="3174"/>
      <c r="AF26" s="3174"/>
      <c r="AG26" s="3174"/>
      <c r="AH26" s="3174"/>
      <c r="AI26" s="3174"/>
      <c r="AJ26" s="3174"/>
      <c r="AK26" s="3174"/>
      <c r="AL26" s="3174"/>
      <c r="AM26" s="3174"/>
      <c r="AN26" s="3174"/>
      <c r="AO26" s="3174"/>
      <c r="AP26" s="3174"/>
      <c r="AQ26" s="3174"/>
      <c r="AR26" s="3174"/>
      <c r="AS26" s="3174"/>
    </row>
    <row r="27" spans="1:45" s="74" customFormat="1" ht="60" customHeight="1" x14ac:dyDescent="0.25">
      <c r="A27" s="2438"/>
      <c r="B27" s="2439"/>
      <c r="C27" s="639"/>
      <c r="D27" s="640"/>
      <c r="E27" s="953"/>
      <c r="F27" s="953"/>
      <c r="G27" s="3174"/>
      <c r="H27" s="2459"/>
      <c r="I27" s="3174"/>
      <c r="J27" s="2459"/>
      <c r="K27" s="3174"/>
      <c r="L27" s="2459"/>
      <c r="M27" s="3174"/>
      <c r="N27" s="2459"/>
      <c r="O27" s="3174"/>
      <c r="P27" s="3254"/>
      <c r="Q27" s="2459"/>
      <c r="R27" s="3661"/>
      <c r="S27" s="3797"/>
      <c r="T27" s="2459"/>
      <c r="U27" s="2459"/>
      <c r="V27" s="2516"/>
      <c r="W27" s="955">
        <v>222540000</v>
      </c>
      <c r="X27" s="687" t="s">
        <v>1200</v>
      </c>
      <c r="Y27" s="779">
        <v>88</v>
      </c>
      <c r="Z27" s="771" t="s">
        <v>374</v>
      </c>
      <c r="AA27" s="3174"/>
      <c r="AB27" s="3174"/>
      <c r="AC27" s="3174"/>
      <c r="AD27" s="3174"/>
      <c r="AE27" s="3174"/>
      <c r="AF27" s="3174"/>
      <c r="AG27" s="3174"/>
      <c r="AH27" s="3174"/>
      <c r="AI27" s="3174"/>
      <c r="AJ27" s="3174"/>
      <c r="AK27" s="3174"/>
      <c r="AL27" s="3174"/>
      <c r="AM27" s="3174"/>
      <c r="AN27" s="3174"/>
      <c r="AO27" s="3174"/>
      <c r="AP27" s="3174"/>
      <c r="AQ27" s="3174"/>
      <c r="AR27" s="3174"/>
      <c r="AS27" s="3174"/>
    </row>
    <row r="28" spans="1:45" s="74" customFormat="1" ht="66" customHeight="1" x14ac:dyDescent="0.25">
      <c r="A28" s="2438"/>
      <c r="B28" s="2439"/>
      <c r="C28" s="639"/>
      <c r="D28" s="640"/>
      <c r="E28" s="953"/>
      <c r="F28" s="953"/>
      <c r="G28" s="3175"/>
      <c r="H28" s="2460"/>
      <c r="I28" s="3175"/>
      <c r="J28" s="2460"/>
      <c r="K28" s="3175"/>
      <c r="L28" s="2460"/>
      <c r="M28" s="3175"/>
      <c r="N28" s="2460"/>
      <c r="O28" s="3174"/>
      <c r="P28" s="3254"/>
      <c r="Q28" s="2459"/>
      <c r="R28" s="3652"/>
      <c r="S28" s="3797"/>
      <c r="T28" s="2459"/>
      <c r="U28" s="2460"/>
      <c r="V28" s="620" t="s">
        <v>1201</v>
      </c>
      <c r="W28" s="955">
        <v>6000000</v>
      </c>
      <c r="X28" s="687" t="s">
        <v>1199</v>
      </c>
      <c r="Y28" s="779">
        <v>20</v>
      </c>
      <c r="Z28" s="760" t="s">
        <v>73</v>
      </c>
      <c r="AA28" s="3174"/>
      <c r="AB28" s="3174"/>
      <c r="AC28" s="3174"/>
      <c r="AD28" s="3174"/>
      <c r="AE28" s="3174"/>
      <c r="AF28" s="3174"/>
      <c r="AG28" s="3174"/>
      <c r="AH28" s="3174"/>
      <c r="AI28" s="3174"/>
      <c r="AJ28" s="3174"/>
      <c r="AK28" s="3174"/>
      <c r="AL28" s="3174"/>
      <c r="AM28" s="3174"/>
      <c r="AN28" s="3174"/>
      <c r="AO28" s="3174"/>
      <c r="AP28" s="3174"/>
      <c r="AQ28" s="3174"/>
      <c r="AR28" s="3174"/>
      <c r="AS28" s="3174"/>
    </row>
    <row r="29" spans="1:45" s="74" customFormat="1" ht="89.25" customHeight="1" x14ac:dyDescent="0.25">
      <c r="A29" s="2438"/>
      <c r="B29" s="2439"/>
      <c r="C29" s="639"/>
      <c r="D29" s="640"/>
      <c r="E29" s="953"/>
      <c r="F29" s="953"/>
      <c r="G29" s="760">
        <v>2301004</v>
      </c>
      <c r="H29" s="645" t="s">
        <v>1202</v>
      </c>
      <c r="I29" s="760">
        <v>2301004</v>
      </c>
      <c r="J29" s="645" t="s">
        <v>1202</v>
      </c>
      <c r="K29" s="760">
        <v>230100400</v>
      </c>
      <c r="L29" s="645" t="s">
        <v>1203</v>
      </c>
      <c r="M29" s="760">
        <v>230100400</v>
      </c>
      <c r="N29" s="956" t="s">
        <v>1203</v>
      </c>
      <c r="O29" s="758">
        <v>1</v>
      </c>
      <c r="P29" s="3423"/>
      <c r="Q29" s="2459"/>
      <c r="R29" s="957">
        <f>SUM(W29:W29)/S24</f>
        <v>5.1644000688586676E-2</v>
      </c>
      <c r="S29" s="3797"/>
      <c r="T29" s="2459"/>
      <c r="U29" s="645" t="s">
        <v>1204</v>
      </c>
      <c r="V29" s="645" t="s">
        <v>1205</v>
      </c>
      <c r="W29" s="955">
        <v>18000000</v>
      </c>
      <c r="X29" s="687" t="s">
        <v>1206</v>
      </c>
      <c r="Y29" s="779">
        <v>20</v>
      </c>
      <c r="Z29" s="760" t="s">
        <v>73</v>
      </c>
      <c r="AA29" s="3174"/>
      <c r="AB29" s="3174"/>
      <c r="AC29" s="3174"/>
      <c r="AD29" s="3174"/>
      <c r="AE29" s="3174"/>
      <c r="AF29" s="3174"/>
      <c r="AG29" s="3174"/>
      <c r="AH29" s="3174"/>
      <c r="AI29" s="3174"/>
      <c r="AJ29" s="3174"/>
      <c r="AK29" s="3174"/>
      <c r="AL29" s="3174"/>
      <c r="AM29" s="3174"/>
      <c r="AN29" s="3174"/>
      <c r="AO29" s="3174"/>
      <c r="AP29" s="3174"/>
      <c r="AQ29" s="3174"/>
      <c r="AR29" s="3174"/>
      <c r="AS29" s="3174"/>
    </row>
    <row r="30" spans="1:45" s="74" customFormat="1" ht="76.5" customHeight="1" x14ac:dyDescent="0.25">
      <c r="A30" s="2438"/>
      <c r="B30" s="2439"/>
      <c r="C30" s="639"/>
      <c r="D30" s="640"/>
      <c r="E30" s="953"/>
      <c r="F30" s="953"/>
      <c r="G30" s="3173">
        <v>2301042</v>
      </c>
      <c r="H30" s="2458" t="s">
        <v>1207</v>
      </c>
      <c r="I30" s="3173">
        <v>2301042</v>
      </c>
      <c r="J30" s="2458" t="s">
        <v>1207</v>
      </c>
      <c r="K30" s="3173">
        <v>230104201</v>
      </c>
      <c r="L30" s="2458" t="s">
        <v>1208</v>
      </c>
      <c r="M30" s="3173">
        <v>230104201</v>
      </c>
      <c r="N30" s="2458" t="s">
        <v>1208</v>
      </c>
      <c r="O30" s="3525">
        <v>1</v>
      </c>
      <c r="P30" s="3423"/>
      <c r="Q30" s="2459"/>
      <c r="R30" s="3660">
        <f>SUM(W30:W32)/S24</f>
        <v>5.1644000688586676E-2</v>
      </c>
      <c r="S30" s="3797"/>
      <c r="T30" s="2459"/>
      <c r="U30" s="2458" t="s">
        <v>1209</v>
      </c>
      <c r="V30" s="652" t="s">
        <v>1210</v>
      </c>
      <c r="W30" s="958">
        <v>12000000</v>
      </c>
      <c r="X30" s="687" t="s">
        <v>1211</v>
      </c>
      <c r="Y30" s="779">
        <v>20</v>
      </c>
      <c r="Z30" s="760" t="s">
        <v>73</v>
      </c>
      <c r="AA30" s="3174"/>
      <c r="AB30" s="3174"/>
      <c r="AC30" s="3174"/>
      <c r="AD30" s="3174"/>
      <c r="AE30" s="3174"/>
      <c r="AF30" s="3174"/>
      <c r="AG30" s="3174"/>
      <c r="AH30" s="3174"/>
      <c r="AI30" s="3174"/>
      <c r="AJ30" s="3174"/>
      <c r="AK30" s="3174"/>
      <c r="AL30" s="3174"/>
      <c r="AM30" s="3174"/>
      <c r="AN30" s="3174"/>
      <c r="AO30" s="3174"/>
      <c r="AP30" s="3174"/>
      <c r="AQ30" s="3174"/>
      <c r="AR30" s="3174"/>
      <c r="AS30" s="3174"/>
    </row>
    <row r="31" spans="1:45" s="74" customFormat="1" ht="76.5" customHeight="1" x14ac:dyDescent="0.25">
      <c r="A31" s="2438"/>
      <c r="B31" s="2439"/>
      <c r="C31" s="639"/>
      <c r="D31" s="640"/>
      <c r="E31" s="953"/>
      <c r="F31" s="953"/>
      <c r="G31" s="3174"/>
      <c r="H31" s="2459"/>
      <c r="I31" s="3174"/>
      <c r="J31" s="2459"/>
      <c r="K31" s="3174"/>
      <c r="L31" s="2459"/>
      <c r="M31" s="3174"/>
      <c r="N31" s="2459"/>
      <c r="O31" s="3525"/>
      <c r="P31" s="3423"/>
      <c r="Q31" s="2459"/>
      <c r="R31" s="3661"/>
      <c r="S31" s="3797"/>
      <c r="T31" s="2459"/>
      <c r="U31" s="2459"/>
      <c r="V31" s="2515" t="s">
        <v>1212</v>
      </c>
      <c r="W31" s="958">
        <v>1500000</v>
      </c>
      <c r="X31" s="687" t="s">
        <v>1211</v>
      </c>
      <c r="Y31" s="779">
        <v>20</v>
      </c>
      <c r="Z31" s="760" t="s">
        <v>73</v>
      </c>
      <c r="AA31" s="3174"/>
      <c r="AB31" s="3174"/>
      <c r="AC31" s="3174"/>
      <c r="AD31" s="3174"/>
      <c r="AE31" s="3174"/>
      <c r="AF31" s="3174"/>
      <c r="AG31" s="3174"/>
      <c r="AH31" s="3174"/>
      <c r="AI31" s="3174"/>
      <c r="AJ31" s="3174"/>
      <c r="AK31" s="3174"/>
      <c r="AL31" s="3174"/>
      <c r="AM31" s="3174"/>
      <c r="AN31" s="3174"/>
      <c r="AO31" s="3174"/>
      <c r="AP31" s="3174"/>
      <c r="AQ31" s="3174"/>
      <c r="AR31" s="3174"/>
      <c r="AS31" s="3174"/>
    </row>
    <row r="32" spans="1:45" s="74" customFormat="1" ht="81" customHeight="1" x14ac:dyDescent="0.25">
      <c r="A32" s="2438"/>
      <c r="B32" s="2439"/>
      <c r="C32" s="639"/>
      <c r="D32" s="640"/>
      <c r="E32" s="953"/>
      <c r="F32" s="953"/>
      <c r="G32" s="3175"/>
      <c r="H32" s="2460"/>
      <c r="I32" s="3175"/>
      <c r="J32" s="2460"/>
      <c r="K32" s="3175"/>
      <c r="L32" s="2460"/>
      <c r="M32" s="3175"/>
      <c r="N32" s="2460"/>
      <c r="O32" s="3795"/>
      <c r="P32" s="3424"/>
      <c r="Q32" s="2460"/>
      <c r="R32" s="3652"/>
      <c r="S32" s="3798"/>
      <c r="T32" s="2460"/>
      <c r="U32" s="2460"/>
      <c r="V32" s="2516"/>
      <c r="W32" s="958">
        <v>4500000</v>
      </c>
      <c r="X32" s="687" t="s">
        <v>1213</v>
      </c>
      <c r="Y32" s="779">
        <v>20</v>
      </c>
      <c r="Z32" s="760" t="s">
        <v>73</v>
      </c>
      <c r="AA32" s="3174"/>
      <c r="AB32" s="3174"/>
      <c r="AC32" s="3174"/>
      <c r="AD32" s="3174"/>
      <c r="AE32" s="3174"/>
      <c r="AF32" s="3174"/>
      <c r="AG32" s="3174"/>
      <c r="AH32" s="3174"/>
      <c r="AI32" s="3174"/>
      <c r="AJ32" s="3174"/>
      <c r="AK32" s="3174"/>
      <c r="AL32" s="3174"/>
      <c r="AM32" s="3174"/>
      <c r="AN32" s="3174"/>
      <c r="AO32" s="3174"/>
      <c r="AP32" s="3174"/>
      <c r="AQ32" s="3174"/>
      <c r="AR32" s="3174"/>
      <c r="AS32" s="3174"/>
    </row>
    <row r="33" spans="1:65" s="3" customFormat="1" ht="30" customHeight="1" x14ac:dyDescent="0.25">
      <c r="A33" s="643"/>
      <c r="B33" s="644"/>
      <c r="C33" s="643"/>
      <c r="D33" s="644"/>
      <c r="E33" s="167">
        <v>2302</v>
      </c>
      <c r="F33" s="3799" t="s">
        <v>1214</v>
      </c>
      <c r="G33" s="3800"/>
      <c r="H33" s="3800"/>
      <c r="I33" s="3800"/>
      <c r="J33" s="3800"/>
      <c r="K33" s="3801"/>
      <c r="L33" s="3801"/>
      <c r="M33" s="3801"/>
      <c r="N33" s="3801"/>
      <c r="O33" s="3800"/>
      <c r="P33" s="3800"/>
      <c r="Q33" s="3801"/>
      <c r="R33" s="3801"/>
      <c r="S33" s="3801"/>
      <c r="T33" s="3801"/>
      <c r="U33" s="960"/>
      <c r="V33" s="960"/>
      <c r="W33" s="961"/>
      <c r="X33" s="962"/>
      <c r="Y33" s="963"/>
      <c r="Z33" s="964"/>
      <c r="AA33" s="964"/>
      <c r="AB33" s="964"/>
      <c r="AC33" s="964"/>
      <c r="AD33" s="964"/>
      <c r="AE33" s="964"/>
      <c r="AF33" s="964"/>
      <c r="AG33" s="964"/>
      <c r="AH33" s="964"/>
      <c r="AI33" s="964"/>
      <c r="AJ33" s="964"/>
      <c r="AK33" s="964"/>
      <c r="AL33" s="964"/>
      <c r="AM33" s="964"/>
      <c r="AN33" s="964"/>
      <c r="AO33" s="964"/>
      <c r="AP33" s="965"/>
      <c r="AQ33" s="966"/>
      <c r="AR33" s="966"/>
      <c r="AS33" s="967"/>
    </row>
    <row r="34" spans="1:65" ht="153" customHeight="1" x14ac:dyDescent="0.25">
      <c r="A34" s="968"/>
      <c r="B34" s="618"/>
      <c r="C34" s="637"/>
      <c r="D34" s="969"/>
      <c r="E34" s="2315"/>
      <c r="F34" s="2315"/>
      <c r="G34" s="970">
        <v>2302022</v>
      </c>
      <c r="H34" s="971" t="s">
        <v>1215</v>
      </c>
      <c r="I34" s="628">
        <v>2302022</v>
      </c>
      <c r="J34" s="971" t="s">
        <v>1215</v>
      </c>
      <c r="K34" s="616">
        <v>230202200</v>
      </c>
      <c r="L34" s="614" t="s">
        <v>1216</v>
      </c>
      <c r="M34" s="616">
        <v>230202200</v>
      </c>
      <c r="N34" s="624" t="s">
        <v>1216</v>
      </c>
      <c r="O34" s="623">
        <v>20</v>
      </c>
      <c r="P34" s="3802">
        <v>2020003630039</v>
      </c>
      <c r="Q34" s="3683" t="s">
        <v>1217</v>
      </c>
      <c r="R34" s="957">
        <f>SUM(W34)/S34</f>
        <v>0.24657534246575341</v>
      </c>
      <c r="S34" s="3804">
        <f>SUM(W34:W39)</f>
        <v>146000000</v>
      </c>
      <c r="T34" s="2182" t="s">
        <v>1218</v>
      </c>
      <c r="U34" s="613" t="s">
        <v>1219</v>
      </c>
      <c r="V34" s="625" t="s">
        <v>1220</v>
      </c>
      <c r="W34" s="955">
        <v>36000000</v>
      </c>
      <c r="X34" s="78" t="s">
        <v>1221</v>
      </c>
      <c r="Y34" s="972">
        <v>20</v>
      </c>
      <c r="Z34" s="615" t="s">
        <v>73</v>
      </c>
      <c r="AA34" s="2197">
        <v>295972</v>
      </c>
      <c r="AB34" s="2197">
        <v>294321</v>
      </c>
      <c r="AC34" s="2197">
        <v>132302</v>
      </c>
      <c r="AD34" s="2197">
        <v>43426</v>
      </c>
      <c r="AE34" s="2197">
        <v>313940</v>
      </c>
      <c r="AF34" s="2197">
        <v>100625</v>
      </c>
      <c r="AG34" s="2197">
        <v>2145</v>
      </c>
      <c r="AH34" s="2197">
        <v>12718</v>
      </c>
      <c r="AI34" s="2197">
        <v>36</v>
      </c>
      <c r="AJ34" s="2197">
        <v>0</v>
      </c>
      <c r="AK34" s="2197">
        <v>0</v>
      </c>
      <c r="AL34" s="2197">
        <v>0</v>
      </c>
      <c r="AM34" s="2197">
        <v>70</v>
      </c>
      <c r="AN34" s="2197">
        <v>21944</v>
      </c>
      <c r="AO34" s="3670">
        <v>285</v>
      </c>
      <c r="AP34" s="3808">
        <f>SUM(AA34:AB39)</f>
        <v>590293</v>
      </c>
      <c r="AQ34" s="3809">
        <v>44197</v>
      </c>
      <c r="AR34" s="3809">
        <v>44561</v>
      </c>
      <c r="AS34" s="2260" t="s">
        <v>1156</v>
      </c>
    </row>
    <row r="35" spans="1:65" ht="153" customHeight="1" x14ac:dyDescent="0.25">
      <c r="A35" s="968"/>
      <c r="B35" s="618"/>
      <c r="C35" s="637"/>
      <c r="E35" s="2315"/>
      <c r="F35" s="2315"/>
      <c r="G35" s="2305">
        <v>2302042</v>
      </c>
      <c r="H35" s="2793" t="s">
        <v>1222</v>
      </c>
      <c r="I35" s="2165">
        <v>2302042</v>
      </c>
      <c r="J35" s="2793" t="s">
        <v>1222</v>
      </c>
      <c r="K35" s="2716">
        <v>230204200</v>
      </c>
      <c r="L35" s="2793" t="s">
        <v>1223</v>
      </c>
      <c r="M35" s="2716">
        <v>230204200</v>
      </c>
      <c r="N35" s="3023" t="s">
        <v>1223</v>
      </c>
      <c r="O35" s="3807">
        <v>1</v>
      </c>
      <c r="P35" s="3223"/>
      <c r="Q35" s="3803"/>
      <c r="R35" s="3032">
        <f>SUM(W35,W36)/S34</f>
        <v>0.13698630136986301</v>
      </c>
      <c r="S35" s="3805"/>
      <c r="T35" s="2182"/>
      <c r="U35" s="2196" t="s">
        <v>1224</v>
      </c>
      <c r="V35" s="652" t="s">
        <v>1225</v>
      </c>
      <c r="W35" s="974">
        <f>20000000-2000000</f>
        <v>18000000</v>
      </c>
      <c r="X35" s="745" t="s">
        <v>1226</v>
      </c>
      <c r="Y35" s="975">
        <v>20</v>
      </c>
      <c r="Z35" s="760" t="s">
        <v>73</v>
      </c>
      <c r="AA35" s="2197"/>
      <c r="AB35" s="2197"/>
      <c r="AC35" s="2197"/>
      <c r="AD35" s="2197"/>
      <c r="AE35" s="2197"/>
      <c r="AF35" s="2197"/>
      <c r="AG35" s="2197"/>
      <c r="AH35" s="2197"/>
      <c r="AI35" s="2197"/>
      <c r="AJ35" s="2197"/>
      <c r="AK35" s="2197"/>
      <c r="AL35" s="2197"/>
      <c r="AM35" s="2197"/>
      <c r="AN35" s="2197"/>
      <c r="AO35" s="3670"/>
      <c r="AP35" s="3808"/>
      <c r="AQ35" s="3809"/>
      <c r="AR35" s="3809"/>
      <c r="AS35" s="2260"/>
    </row>
    <row r="36" spans="1:65" ht="102" customHeight="1" x14ac:dyDescent="0.25">
      <c r="A36" s="968"/>
      <c r="B36" s="618"/>
      <c r="C36" s="637"/>
      <c r="E36" s="2315"/>
      <c r="F36" s="2315"/>
      <c r="G36" s="2305"/>
      <c r="H36" s="2793"/>
      <c r="I36" s="2165"/>
      <c r="J36" s="2793"/>
      <c r="K36" s="2716"/>
      <c r="L36" s="2793"/>
      <c r="M36" s="2716"/>
      <c r="N36" s="3023"/>
      <c r="O36" s="3808"/>
      <c r="P36" s="3223"/>
      <c r="Q36" s="3803"/>
      <c r="R36" s="3032"/>
      <c r="S36" s="3805"/>
      <c r="T36" s="2182"/>
      <c r="U36" s="3165"/>
      <c r="V36" s="796" t="s">
        <v>1227</v>
      </c>
      <c r="W36" s="976">
        <v>2000000</v>
      </c>
      <c r="X36" s="687" t="s">
        <v>1228</v>
      </c>
      <c r="Y36" s="688">
        <v>20</v>
      </c>
      <c r="Z36" s="758" t="s">
        <v>73</v>
      </c>
      <c r="AA36" s="3648"/>
      <c r="AB36" s="2197"/>
      <c r="AC36" s="2197"/>
      <c r="AD36" s="2197"/>
      <c r="AE36" s="2197"/>
      <c r="AF36" s="2197"/>
      <c r="AG36" s="2197"/>
      <c r="AH36" s="2197"/>
      <c r="AI36" s="2197"/>
      <c r="AJ36" s="2197"/>
      <c r="AK36" s="2197"/>
      <c r="AL36" s="2197"/>
      <c r="AM36" s="2197"/>
      <c r="AN36" s="2197"/>
      <c r="AO36" s="3670"/>
      <c r="AP36" s="3808"/>
      <c r="AQ36" s="2260"/>
      <c r="AR36" s="2260"/>
      <c r="AS36" s="2260"/>
    </row>
    <row r="37" spans="1:65" ht="108.75" customHeight="1" x14ac:dyDescent="0.25">
      <c r="A37" s="968"/>
      <c r="B37" s="618"/>
      <c r="C37" s="637"/>
      <c r="E37" s="2315"/>
      <c r="F37" s="2315"/>
      <c r="G37" s="977">
        <v>2302058</v>
      </c>
      <c r="H37" s="634" t="s">
        <v>1229</v>
      </c>
      <c r="I37" s="633">
        <v>2302058</v>
      </c>
      <c r="J37" s="634" t="s">
        <v>1229</v>
      </c>
      <c r="K37" s="978">
        <v>230205800</v>
      </c>
      <c r="L37" s="634" t="s">
        <v>1230</v>
      </c>
      <c r="M37" s="978">
        <v>230205800</v>
      </c>
      <c r="N37" s="634" t="s">
        <v>1230</v>
      </c>
      <c r="O37" s="650">
        <v>300</v>
      </c>
      <c r="P37" s="3223"/>
      <c r="Q37" s="3683"/>
      <c r="R37" s="979">
        <f>W37/S34</f>
        <v>0.13698630136986301</v>
      </c>
      <c r="S37" s="3804"/>
      <c r="T37" s="2182"/>
      <c r="U37" s="613" t="s">
        <v>1231</v>
      </c>
      <c r="V37" s="653" t="s">
        <v>1232</v>
      </c>
      <c r="W37" s="980">
        <v>20000000</v>
      </c>
      <c r="X37" s="687" t="s">
        <v>1233</v>
      </c>
      <c r="Y37" s="688">
        <v>20</v>
      </c>
      <c r="Z37" s="758" t="s">
        <v>73</v>
      </c>
      <c r="AA37" s="3648"/>
      <c r="AB37" s="2197"/>
      <c r="AC37" s="2197"/>
      <c r="AD37" s="2197"/>
      <c r="AE37" s="2197"/>
      <c r="AF37" s="2197"/>
      <c r="AG37" s="2197"/>
      <c r="AH37" s="2197"/>
      <c r="AI37" s="2197"/>
      <c r="AJ37" s="2197"/>
      <c r="AK37" s="2197"/>
      <c r="AL37" s="2197"/>
      <c r="AM37" s="2197"/>
      <c r="AN37" s="2197"/>
      <c r="AO37" s="3670"/>
      <c r="AP37" s="3808"/>
      <c r="AQ37" s="2260"/>
      <c r="AR37" s="2260"/>
      <c r="AS37" s="2260"/>
    </row>
    <row r="38" spans="1:65" ht="102.6" customHeight="1" x14ac:dyDescent="0.25">
      <c r="A38" s="968"/>
      <c r="B38" s="618"/>
      <c r="C38" s="637"/>
      <c r="E38" s="2315"/>
      <c r="F38" s="2315"/>
      <c r="G38" s="630">
        <v>2302021</v>
      </c>
      <c r="H38" s="625" t="s">
        <v>1234</v>
      </c>
      <c r="I38" s="612">
        <v>2302021</v>
      </c>
      <c r="J38" s="625" t="s">
        <v>1234</v>
      </c>
      <c r="K38" s="654">
        <v>230202100</v>
      </c>
      <c r="L38" s="625" t="s">
        <v>1235</v>
      </c>
      <c r="M38" s="654">
        <v>230202100</v>
      </c>
      <c r="N38" s="625" t="s">
        <v>1235</v>
      </c>
      <c r="O38" s="981">
        <v>8</v>
      </c>
      <c r="P38" s="3223"/>
      <c r="Q38" s="3683"/>
      <c r="R38" s="954">
        <f>W38/S34</f>
        <v>0.34246575342465752</v>
      </c>
      <c r="S38" s="3804"/>
      <c r="T38" s="2182"/>
      <c r="U38" s="613" t="s">
        <v>1236</v>
      </c>
      <c r="V38" s="625" t="s">
        <v>1237</v>
      </c>
      <c r="W38" s="955">
        <v>50000000</v>
      </c>
      <c r="X38" s="982" t="s">
        <v>1238</v>
      </c>
      <c r="Y38" s="983">
        <v>20</v>
      </c>
      <c r="Z38" s="629" t="s">
        <v>73</v>
      </c>
      <c r="AA38" s="2197"/>
      <c r="AB38" s="2197"/>
      <c r="AC38" s="2197"/>
      <c r="AD38" s="2197"/>
      <c r="AE38" s="2197"/>
      <c r="AF38" s="2197"/>
      <c r="AG38" s="2197"/>
      <c r="AH38" s="2197"/>
      <c r="AI38" s="2197"/>
      <c r="AJ38" s="2197"/>
      <c r="AK38" s="2197"/>
      <c r="AL38" s="2197"/>
      <c r="AM38" s="2197"/>
      <c r="AN38" s="2197"/>
      <c r="AO38" s="3670"/>
      <c r="AP38" s="3808"/>
      <c r="AQ38" s="2260"/>
      <c r="AR38" s="2260"/>
      <c r="AS38" s="2260"/>
    </row>
    <row r="39" spans="1:65" ht="81" customHeight="1" x14ac:dyDescent="0.25">
      <c r="A39" s="984"/>
      <c r="B39" s="646"/>
      <c r="C39" s="638"/>
      <c r="D39" s="985"/>
      <c r="E39" s="2315"/>
      <c r="F39" s="2315"/>
      <c r="G39" s="986">
        <v>2302068</v>
      </c>
      <c r="H39" s="987" t="s">
        <v>1239</v>
      </c>
      <c r="I39" s="988">
        <v>2302068</v>
      </c>
      <c r="J39" s="987" t="s">
        <v>1239</v>
      </c>
      <c r="K39" s="989">
        <v>230206800</v>
      </c>
      <c r="L39" s="626" t="s">
        <v>1240</v>
      </c>
      <c r="M39" s="989">
        <v>230206800</v>
      </c>
      <c r="N39" s="626" t="s">
        <v>1240</v>
      </c>
      <c r="O39" s="647">
        <v>60</v>
      </c>
      <c r="P39" s="3223"/>
      <c r="Q39" s="3684"/>
      <c r="R39" s="957">
        <f>W39/S34</f>
        <v>0.13698630136986301</v>
      </c>
      <c r="S39" s="3806"/>
      <c r="T39" s="2196"/>
      <c r="U39" s="614" t="s">
        <v>1241</v>
      </c>
      <c r="V39" s="626" t="s">
        <v>1242</v>
      </c>
      <c r="W39" s="974">
        <v>20000000</v>
      </c>
      <c r="X39" s="78" t="s">
        <v>1243</v>
      </c>
      <c r="Y39" s="990">
        <v>20</v>
      </c>
      <c r="Z39" s="616" t="s">
        <v>73</v>
      </c>
      <c r="AA39" s="2198"/>
      <c r="AB39" s="2198"/>
      <c r="AC39" s="2198"/>
      <c r="AD39" s="2198"/>
      <c r="AE39" s="2198"/>
      <c r="AF39" s="2198"/>
      <c r="AG39" s="2198"/>
      <c r="AH39" s="2198"/>
      <c r="AI39" s="2198"/>
      <c r="AJ39" s="2198"/>
      <c r="AK39" s="2198"/>
      <c r="AL39" s="2198"/>
      <c r="AM39" s="2198"/>
      <c r="AN39" s="2198"/>
      <c r="AO39" s="2464"/>
      <c r="AP39" s="3808"/>
      <c r="AQ39" s="2260"/>
      <c r="AR39" s="2260"/>
      <c r="AS39" s="2260"/>
    </row>
    <row r="40" spans="1:65" ht="27" customHeight="1" x14ac:dyDescent="0.25">
      <c r="A40" s="991">
        <v>4</v>
      </c>
      <c r="B40" s="3810" t="s">
        <v>1244</v>
      </c>
      <c r="C40" s="3811"/>
      <c r="D40" s="3811"/>
      <c r="E40" s="3811"/>
      <c r="F40" s="3811"/>
      <c r="G40" s="3811"/>
      <c r="H40" s="992"/>
      <c r="I40" s="993"/>
      <c r="J40" s="992"/>
      <c r="K40" s="392"/>
      <c r="L40" s="931"/>
      <c r="M40" s="392"/>
      <c r="N40" s="931"/>
      <c r="O40" s="392"/>
      <c r="P40" s="993"/>
      <c r="Q40" s="931"/>
      <c r="R40" s="932"/>
      <c r="S40" s="394"/>
      <c r="T40" s="931"/>
      <c r="U40" s="931"/>
      <c r="V40" s="931"/>
      <c r="W40" s="933"/>
      <c r="X40" s="993"/>
      <c r="Y40" s="396"/>
      <c r="Z40" s="392"/>
      <c r="AA40" s="392"/>
      <c r="AB40" s="392"/>
      <c r="AC40" s="392"/>
      <c r="AD40" s="392"/>
      <c r="AE40" s="392"/>
      <c r="AF40" s="392"/>
      <c r="AG40" s="392"/>
      <c r="AH40" s="392"/>
      <c r="AI40" s="392"/>
      <c r="AJ40" s="392"/>
      <c r="AK40" s="392"/>
      <c r="AL40" s="392"/>
      <c r="AM40" s="392"/>
      <c r="AN40" s="392"/>
      <c r="AO40" s="392"/>
      <c r="AP40" s="993"/>
      <c r="AQ40" s="994"/>
      <c r="AR40" s="994"/>
      <c r="AS40" s="397"/>
      <c r="AT40" s="3"/>
      <c r="AU40" s="3"/>
      <c r="AV40" s="3"/>
      <c r="AW40" s="3"/>
      <c r="AX40" s="3"/>
      <c r="AY40" s="3"/>
      <c r="AZ40" s="3"/>
      <c r="BA40" s="3"/>
      <c r="BB40" s="3"/>
      <c r="BC40" s="3"/>
      <c r="BD40" s="3"/>
      <c r="BE40" s="3"/>
      <c r="BF40" s="3"/>
      <c r="BG40" s="3"/>
      <c r="BH40" s="3"/>
      <c r="BI40" s="3"/>
      <c r="BJ40" s="3"/>
      <c r="BK40" s="3"/>
      <c r="BL40" s="3"/>
      <c r="BM40" s="3"/>
    </row>
    <row r="41" spans="1:65" ht="27" customHeight="1" x14ac:dyDescent="0.25">
      <c r="A41" s="50"/>
      <c r="B41" s="607"/>
      <c r="C41" s="36">
        <v>23</v>
      </c>
      <c r="D41" s="2210" t="s">
        <v>1146</v>
      </c>
      <c r="E41" s="2682"/>
      <c r="F41" s="2682"/>
      <c r="G41" s="2682"/>
      <c r="H41" s="2682"/>
      <c r="I41" s="38"/>
      <c r="J41" s="995"/>
      <c r="K41" s="38"/>
      <c r="L41" s="995"/>
      <c r="M41" s="38"/>
      <c r="N41" s="995"/>
      <c r="O41" s="38"/>
      <c r="P41" s="38"/>
      <c r="Q41" s="995"/>
      <c r="R41" s="996"/>
      <c r="S41" s="42"/>
      <c r="T41" s="936"/>
      <c r="U41" s="936"/>
      <c r="V41" s="936"/>
      <c r="W41" s="938"/>
      <c r="X41" s="671"/>
      <c r="Y41" s="674"/>
      <c r="Z41" s="671"/>
      <c r="AA41" s="671"/>
      <c r="AB41" s="671"/>
      <c r="AC41" s="671"/>
      <c r="AD41" s="671"/>
      <c r="AE41" s="671"/>
      <c r="AF41" s="671"/>
      <c r="AG41" s="671"/>
      <c r="AH41" s="671"/>
      <c r="AI41" s="671"/>
      <c r="AJ41" s="671"/>
      <c r="AK41" s="671"/>
      <c r="AL41" s="671"/>
      <c r="AM41" s="671"/>
      <c r="AN41" s="671"/>
      <c r="AO41" s="671"/>
      <c r="AP41" s="671"/>
      <c r="AQ41" s="675"/>
      <c r="AR41" s="675"/>
      <c r="AS41" s="676"/>
    </row>
    <row r="42" spans="1:65" s="3" customFormat="1" ht="30" customHeight="1" x14ac:dyDescent="0.25">
      <c r="A42" s="643"/>
      <c r="B42" s="644"/>
      <c r="C42" s="641"/>
      <c r="D42" s="642"/>
      <c r="E42" s="90">
        <v>2302</v>
      </c>
      <c r="F42" s="3812" t="s">
        <v>1214</v>
      </c>
      <c r="G42" s="3813"/>
      <c r="H42" s="3813"/>
      <c r="I42" s="3813"/>
      <c r="J42" s="3813"/>
      <c r="K42" s="3813"/>
      <c r="L42" s="3813"/>
      <c r="M42" s="3813"/>
      <c r="N42" s="3813"/>
      <c r="O42" s="3813"/>
      <c r="P42" s="3813"/>
      <c r="Q42" s="3813"/>
      <c r="R42" s="3813"/>
      <c r="S42" s="3813"/>
      <c r="T42" s="940"/>
      <c r="U42" s="940"/>
      <c r="V42" s="940"/>
      <c r="W42" s="997"/>
      <c r="X42" s="962"/>
      <c r="Y42" s="998"/>
      <c r="Z42" s="680"/>
      <c r="AA42" s="680"/>
      <c r="AB42" s="680"/>
      <c r="AC42" s="680"/>
      <c r="AD42" s="680"/>
      <c r="AE42" s="680"/>
      <c r="AF42" s="680"/>
      <c r="AG42" s="680"/>
      <c r="AH42" s="680"/>
      <c r="AI42" s="680"/>
      <c r="AJ42" s="680"/>
      <c r="AK42" s="680"/>
      <c r="AL42" s="680"/>
      <c r="AM42" s="680"/>
      <c r="AN42" s="680"/>
      <c r="AO42" s="680"/>
      <c r="AP42" s="680"/>
      <c r="AQ42" s="944"/>
      <c r="AR42" s="944"/>
      <c r="AS42" s="945"/>
    </row>
    <row r="43" spans="1:65" s="525" customFormat="1" ht="57.75" customHeight="1" x14ac:dyDescent="0.25">
      <c r="A43" s="655"/>
      <c r="B43" s="649"/>
      <c r="C43" s="648"/>
      <c r="D43" s="649"/>
      <c r="E43" s="2467"/>
      <c r="F43" s="2197"/>
      <c r="G43" s="3774">
        <v>2302003</v>
      </c>
      <c r="H43" s="2834" t="s">
        <v>1245</v>
      </c>
      <c r="I43" s="3774">
        <v>2302003</v>
      </c>
      <c r="J43" s="2834" t="s">
        <v>1245</v>
      </c>
      <c r="K43" s="2190">
        <v>230200300</v>
      </c>
      <c r="L43" s="2834" t="s">
        <v>1246</v>
      </c>
      <c r="M43" s="2190">
        <v>230200300</v>
      </c>
      <c r="N43" s="2834" t="s">
        <v>1246</v>
      </c>
      <c r="O43" s="2190">
        <v>2</v>
      </c>
      <c r="P43" s="2293" t="s">
        <v>1247</v>
      </c>
      <c r="Q43" s="2283" t="s">
        <v>1248</v>
      </c>
      <c r="R43" s="3817">
        <f>SUM(W43:W44)/S43</f>
        <v>0.40268456375838924</v>
      </c>
      <c r="S43" s="3790">
        <f>SUM(W43:W49)</f>
        <v>298000000</v>
      </c>
      <c r="T43" s="2458" t="s">
        <v>1249</v>
      </c>
      <c r="U43" s="3819" t="s">
        <v>1250</v>
      </c>
      <c r="V43" s="620" t="s">
        <v>1251</v>
      </c>
      <c r="W43" s="955">
        <v>50000000</v>
      </c>
      <c r="X43" s="78" t="s">
        <v>1252</v>
      </c>
      <c r="Y43" s="972">
        <v>20</v>
      </c>
      <c r="Z43" s="615" t="s">
        <v>73</v>
      </c>
      <c r="AA43" s="2198">
        <v>295972</v>
      </c>
      <c r="AB43" s="2198">
        <v>294321</v>
      </c>
      <c r="AC43" s="2198">
        <v>132302</v>
      </c>
      <c r="AD43" s="2198">
        <v>43426</v>
      </c>
      <c r="AE43" s="2198">
        <v>313940</v>
      </c>
      <c r="AF43" s="2198">
        <v>100625</v>
      </c>
      <c r="AG43" s="2198">
        <v>2145</v>
      </c>
      <c r="AH43" s="2198">
        <v>12718</v>
      </c>
      <c r="AI43" s="2198">
        <v>36</v>
      </c>
      <c r="AJ43" s="2198">
        <v>0</v>
      </c>
      <c r="AK43" s="2198">
        <v>0</v>
      </c>
      <c r="AL43" s="2198">
        <v>0</v>
      </c>
      <c r="AM43" s="2198">
        <v>70</v>
      </c>
      <c r="AN43" s="2198">
        <v>21944</v>
      </c>
      <c r="AO43" s="2198">
        <v>285</v>
      </c>
      <c r="AP43" s="2198">
        <f>SUM(AA43:AB49)</f>
        <v>590293</v>
      </c>
      <c r="AQ43" s="3815">
        <v>44197</v>
      </c>
      <c r="AR43" s="3815">
        <v>44561</v>
      </c>
      <c r="AS43" s="3815" t="s">
        <v>1156</v>
      </c>
    </row>
    <row r="44" spans="1:65" s="525" customFormat="1" ht="57.75" customHeight="1" x14ac:dyDescent="0.25">
      <c r="A44" s="655"/>
      <c r="B44" s="649"/>
      <c r="C44" s="648"/>
      <c r="D44" s="649"/>
      <c r="E44" s="3648"/>
      <c r="F44" s="2197"/>
      <c r="G44" s="3711"/>
      <c r="H44" s="2825"/>
      <c r="I44" s="3711"/>
      <c r="J44" s="2825"/>
      <c r="K44" s="2164"/>
      <c r="L44" s="2825"/>
      <c r="M44" s="2164"/>
      <c r="N44" s="2825"/>
      <c r="O44" s="2164"/>
      <c r="P44" s="2266"/>
      <c r="Q44" s="2284"/>
      <c r="R44" s="3818"/>
      <c r="S44" s="3791"/>
      <c r="T44" s="2459"/>
      <c r="U44" s="3820"/>
      <c r="V44" s="620" t="s">
        <v>1253</v>
      </c>
      <c r="W44" s="955">
        <v>70000000</v>
      </c>
      <c r="X44" s="78" t="s">
        <v>1252</v>
      </c>
      <c r="Y44" s="972">
        <v>20</v>
      </c>
      <c r="Z44" s="615" t="s">
        <v>73</v>
      </c>
      <c r="AA44" s="2308"/>
      <c r="AB44" s="2308"/>
      <c r="AC44" s="2308"/>
      <c r="AD44" s="2308"/>
      <c r="AE44" s="2308"/>
      <c r="AF44" s="2308"/>
      <c r="AG44" s="2308"/>
      <c r="AH44" s="2308"/>
      <c r="AI44" s="2308"/>
      <c r="AJ44" s="2308"/>
      <c r="AK44" s="2308"/>
      <c r="AL44" s="2308"/>
      <c r="AM44" s="2308"/>
      <c r="AN44" s="2308"/>
      <c r="AO44" s="2308"/>
      <c r="AP44" s="2308"/>
      <c r="AQ44" s="3816"/>
      <c r="AR44" s="3816"/>
      <c r="AS44" s="3816"/>
    </row>
    <row r="45" spans="1:65" s="525" customFormat="1" ht="117.75" customHeight="1" x14ac:dyDescent="0.25">
      <c r="A45" s="655"/>
      <c r="B45" s="649"/>
      <c r="C45" s="648"/>
      <c r="D45" s="649"/>
      <c r="E45" s="3648"/>
      <c r="F45" s="2197"/>
      <c r="G45" s="631">
        <v>2302033</v>
      </c>
      <c r="H45" s="319" t="s">
        <v>1254</v>
      </c>
      <c r="I45" s="631">
        <v>2302033</v>
      </c>
      <c r="J45" s="319" t="s">
        <v>1254</v>
      </c>
      <c r="K45" s="999">
        <v>230203300</v>
      </c>
      <c r="L45" s="625" t="s">
        <v>1255</v>
      </c>
      <c r="M45" s="999">
        <v>230203300</v>
      </c>
      <c r="N45" s="625" t="s">
        <v>1255</v>
      </c>
      <c r="O45" s="635">
        <v>100</v>
      </c>
      <c r="P45" s="2266"/>
      <c r="Q45" s="2284"/>
      <c r="R45" s="619">
        <f>W45/S43</f>
        <v>0.16778523489932887</v>
      </c>
      <c r="S45" s="3791"/>
      <c r="T45" s="2459"/>
      <c r="U45" s="611" t="s">
        <v>1256</v>
      </c>
      <c r="V45" s="620" t="s">
        <v>1257</v>
      </c>
      <c r="W45" s="955">
        <v>50000000</v>
      </c>
      <c r="X45" s="78" t="s">
        <v>1258</v>
      </c>
      <c r="Y45" s="972">
        <v>20</v>
      </c>
      <c r="Z45" s="615" t="s">
        <v>73</v>
      </c>
      <c r="AA45" s="2308"/>
      <c r="AB45" s="2308"/>
      <c r="AC45" s="2308"/>
      <c r="AD45" s="2308"/>
      <c r="AE45" s="2308"/>
      <c r="AF45" s="2308"/>
      <c r="AG45" s="2308"/>
      <c r="AH45" s="2308"/>
      <c r="AI45" s="2308"/>
      <c r="AJ45" s="2308"/>
      <c r="AK45" s="2308"/>
      <c r="AL45" s="2308"/>
      <c r="AM45" s="2308"/>
      <c r="AN45" s="2308"/>
      <c r="AO45" s="2308"/>
      <c r="AP45" s="2308"/>
      <c r="AQ45" s="3816"/>
      <c r="AR45" s="3816"/>
      <c r="AS45" s="3816"/>
    </row>
    <row r="46" spans="1:65" s="525" customFormat="1" ht="80.45" customHeight="1" x14ac:dyDescent="0.25">
      <c r="A46" s="655"/>
      <c r="B46" s="649"/>
      <c r="C46" s="648"/>
      <c r="D46" s="649"/>
      <c r="E46" s="3648"/>
      <c r="F46" s="2197"/>
      <c r="G46" s="631">
        <v>2302066</v>
      </c>
      <c r="H46" s="319" t="s">
        <v>1259</v>
      </c>
      <c r="I46" s="631">
        <v>2302066</v>
      </c>
      <c r="J46" s="319" t="s">
        <v>1259</v>
      </c>
      <c r="K46" s="999">
        <v>230206600</v>
      </c>
      <c r="L46" s="625" t="s">
        <v>1260</v>
      </c>
      <c r="M46" s="999">
        <v>230206600</v>
      </c>
      <c r="N46" s="625" t="s">
        <v>1260</v>
      </c>
      <c r="O46" s="635">
        <v>50</v>
      </c>
      <c r="P46" s="2266"/>
      <c r="Q46" s="2284"/>
      <c r="R46" s="619">
        <f>W46/S43</f>
        <v>0.20134228187919462</v>
      </c>
      <c r="S46" s="3791"/>
      <c r="T46" s="2459"/>
      <c r="U46" s="610" t="s">
        <v>1261</v>
      </c>
      <c r="V46" s="653" t="s">
        <v>1262</v>
      </c>
      <c r="W46" s="955">
        <v>60000000</v>
      </c>
      <c r="X46" s="78" t="s">
        <v>1263</v>
      </c>
      <c r="Y46" s="972">
        <v>20</v>
      </c>
      <c r="Z46" s="615" t="s">
        <v>73</v>
      </c>
      <c r="AA46" s="2308"/>
      <c r="AB46" s="2308"/>
      <c r="AC46" s="2308"/>
      <c r="AD46" s="2308"/>
      <c r="AE46" s="2308"/>
      <c r="AF46" s="2308"/>
      <c r="AG46" s="2308"/>
      <c r="AH46" s="2308"/>
      <c r="AI46" s="2308"/>
      <c r="AJ46" s="2308"/>
      <c r="AK46" s="2308"/>
      <c r="AL46" s="2308"/>
      <c r="AM46" s="2308"/>
      <c r="AN46" s="2308"/>
      <c r="AO46" s="2308"/>
      <c r="AP46" s="2308"/>
      <c r="AQ46" s="3816"/>
      <c r="AR46" s="3816"/>
      <c r="AS46" s="3816"/>
    </row>
    <row r="47" spans="1:65" s="525" customFormat="1" ht="80.45" customHeight="1" x14ac:dyDescent="0.25">
      <c r="A47" s="655"/>
      <c r="B47" s="649"/>
      <c r="C47" s="648"/>
      <c r="D47" s="649"/>
      <c r="E47" s="3648"/>
      <c r="F47" s="2197"/>
      <c r="G47" s="631">
        <v>2302004</v>
      </c>
      <c r="H47" s="319" t="s">
        <v>1264</v>
      </c>
      <c r="I47" s="631">
        <v>2302004</v>
      </c>
      <c r="J47" s="319" t="s">
        <v>1264</v>
      </c>
      <c r="K47" s="999">
        <v>230200403</v>
      </c>
      <c r="L47" s="625" t="s">
        <v>1265</v>
      </c>
      <c r="M47" s="999">
        <v>230200403</v>
      </c>
      <c r="N47" s="625" t="s">
        <v>1265</v>
      </c>
      <c r="O47" s="635">
        <v>1</v>
      </c>
      <c r="P47" s="2266"/>
      <c r="Q47" s="2284"/>
      <c r="R47" s="619">
        <f>W47/S43</f>
        <v>8.3892617449664433E-2</v>
      </c>
      <c r="S47" s="3791"/>
      <c r="T47" s="2459"/>
      <c r="U47" s="610" t="s">
        <v>1266</v>
      </c>
      <c r="V47" s="653" t="s">
        <v>1267</v>
      </c>
      <c r="W47" s="955">
        <v>25000000</v>
      </c>
      <c r="X47" s="78" t="s">
        <v>1268</v>
      </c>
      <c r="Y47" s="972">
        <v>20</v>
      </c>
      <c r="Z47" s="615" t="s">
        <v>73</v>
      </c>
      <c r="AA47" s="2308"/>
      <c r="AB47" s="2308"/>
      <c r="AC47" s="2308"/>
      <c r="AD47" s="2308"/>
      <c r="AE47" s="2308"/>
      <c r="AF47" s="2308"/>
      <c r="AG47" s="2308"/>
      <c r="AH47" s="2308"/>
      <c r="AI47" s="2308"/>
      <c r="AJ47" s="2308"/>
      <c r="AK47" s="2308"/>
      <c r="AL47" s="2308"/>
      <c r="AM47" s="2308"/>
      <c r="AN47" s="2308"/>
      <c r="AO47" s="2308"/>
      <c r="AP47" s="2308"/>
      <c r="AQ47" s="3816"/>
      <c r="AR47" s="3816"/>
      <c r="AS47" s="3816"/>
    </row>
    <row r="48" spans="1:65" s="525" customFormat="1" ht="80.25" customHeight="1" x14ac:dyDescent="0.25">
      <c r="A48" s="655"/>
      <c r="B48" s="649"/>
      <c r="C48" s="648"/>
      <c r="D48" s="649"/>
      <c r="E48" s="3648"/>
      <c r="F48" s="2197"/>
      <c r="G48" s="631">
        <v>2302007</v>
      </c>
      <c r="H48" s="319" t="s">
        <v>1269</v>
      </c>
      <c r="I48" s="631">
        <v>2302007</v>
      </c>
      <c r="J48" s="319" t="s">
        <v>1269</v>
      </c>
      <c r="K48" s="999">
        <v>230200701</v>
      </c>
      <c r="L48" s="625" t="s">
        <v>1270</v>
      </c>
      <c r="M48" s="999">
        <v>230200701</v>
      </c>
      <c r="N48" s="625" t="s">
        <v>1270</v>
      </c>
      <c r="O48" s="635">
        <v>1</v>
      </c>
      <c r="P48" s="2266"/>
      <c r="Q48" s="2284"/>
      <c r="R48" s="619">
        <f>W48/S43</f>
        <v>8.3892617449664433E-2</v>
      </c>
      <c r="S48" s="3791"/>
      <c r="T48" s="2459"/>
      <c r="U48" s="610" t="s">
        <v>1271</v>
      </c>
      <c r="V48" s="653" t="s">
        <v>1272</v>
      </c>
      <c r="W48" s="955">
        <v>25000000</v>
      </c>
      <c r="X48" s="78" t="s">
        <v>1273</v>
      </c>
      <c r="Y48" s="972">
        <v>20</v>
      </c>
      <c r="Z48" s="615" t="s">
        <v>73</v>
      </c>
      <c r="AA48" s="2308"/>
      <c r="AB48" s="2308"/>
      <c r="AC48" s="2308"/>
      <c r="AD48" s="2308"/>
      <c r="AE48" s="2308"/>
      <c r="AF48" s="2308"/>
      <c r="AG48" s="2308"/>
      <c r="AH48" s="2308"/>
      <c r="AI48" s="2308"/>
      <c r="AJ48" s="2308"/>
      <c r="AK48" s="2308"/>
      <c r="AL48" s="2308"/>
      <c r="AM48" s="2308"/>
      <c r="AN48" s="2308"/>
      <c r="AO48" s="2308"/>
      <c r="AP48" s="2308"/>
      <c r="AQ48" s="3816"/>
      <c r="AR48" s="3816"/>
      <c r="AS48" s="3816"/>
    </row>
    <row r="49" spans="1:65" s="525" customFormat="1" ht="111" customHeight="1" x14ac:dyDescent="0.25">
      <c r="A49" s="1000"/>
      <c r="B49" s="651"/>
      <c r="C49" s="1001"/>
      <c r="D49" s="1002"/>
      <c r="E49" s="3814"/>
      <c r="F49" s="3700"/>
      <c r="G49" s="631">
        <v>2302083</v>
      </c>
      <c r="H49" s="319" t="s">
        <v>242</v>
      </c>
      <c r="I49" s="631">
        <v>2302083</v>
      </c>
      <c r="J49" s="656" t="s">
        <v>242</v>
      </c>
      <c r="K49" s="1003">
        <v>230208300</v>
      </c>
      <c r="L49" s="626" t="s">
        <v>1274</v>
      </c>
      <c r="M49" s="1003">
        <v>230208300</v>
      </c>
      <c r="N49" s="626" t="s">
        <v>1274</v>
      </c>
      <c r="O49" s="632">
        <v>1</v>
      </c>
      <c r="P49" s="2266"/>
      <c r="Q49" s="2284"/>
      <c r="R49" s="627">
        <f>W49/S43</f>
        <v>6.0402684563758392E-2</v>
      </c>
      <c r="S49" s="3791"/>
      <c r="T49" s="2459"/>
      <c r="U49" s="1004" t="s">
        <v>1275</v>
      </c>
      <c r="V49" s="652" t="s">
        <v>1276</v>
      </c>
      <c r="W49" s="974">
        <v>18000000</v>
      </c>
      <c r="X49" s="78" t="s">
        <v>1277</v>
      </c>
      <c r="Y49" s="990">
        <v>20</v>
      </c>
      <c r="Z49" s="616" t="s">
        <v>73</v>
      </c>
      <c r="AA49" s="2308"/>
      <c r="AB49" s="2308"/>
      <c r="AC49" s="2308"/>
      <c r="AD49" s="2308"/>
      <c r="AE49" s="2308"/>
      <c r="AF49" s="2308"/>
      <c r="AG49" s="2308"/>
      <c r="AH49" s="2308"/>
      <c r="AI49" s="2308"/>
      <c r="AJ49" s="2308"/>
      <c r="AK49" s="2308"/>
      <c r="AL49" s="2308"/>
      <c r="AM49" s="2308"/>
      <c r="AN49" s="2308"/>
      <c r="AO49" s="2308"/>
      <c r="AP49" s="2308"/>
      <c r="AQ49" s="3816"/>
      <c r="AR49" s="3816"/>
      <c r="AS49" s="3816"/>
    </row>
    <row r="50" spans="1:65" ht="27" customHeight="1" x14ac:dyDescent="0.25">
      <c r="A50" s="991">
        <v>2</v>
      </c>
      <c r="B50" s="3810" t="s">
        <v>1278</v>
      </c>
      <c r="C50" s="3811"/>
      <c r="D50" s="3811"/>
      <c r="E50" s="3811"/>
      <c r="F50" s="3811"/>
      <c r="G50" s="3811"/>
      <c r="H50" s="992"/>
      <c r="I50" s="993"/>
      <c r="J50" s="931"/>
      <c r="K50" s="392"/>
      <c r="L50" s="931"/>
      <c r="M50" s="392"/>
      <c r="N50" s="931"/>
      <c r="O50" s="392"/>
      <c r="P50" s="392"/>
      <c r="Q50" s="931"/>
      <c r="R50" s="932"/>
      <c r="S50" s="394"/>
      <c r="T50" s="931"/>
      <c r="U50" s="931"/>
      <c r="V50" s="931"/>
      <c r="W50" s="933"/>
      <c r="X50" s="993"/>
      <c r="Y50" s="396"/>
      <c r="Z50" s="392"/>
      <c r="AA50" s="392"/>
      <c r="AB50" s="392"/>
      <c r="AC50" s="392"/>
      <c r="AD50" s="392"/>
      <c r="AE50" s="392"/>
      <c r="AF50" s="392"/>
      <c r="AG50" s="392"/>
      <c r="AH50" s="392"/>
      <c r="AI50" s="392"/>
      <c r="AJ50" s="392"/>
      <c r="AK50" s="392"/>
      <c r="AL50" s="392"/>
      <c r="AM50" s="392"/>
      <c r="AN50" s="392"/>
      <c r="AO50" s="392"/>
      <c r="AP50" s="392"/>
      <c r="AQ50" s="934"/>
      <c r="AR50" s="934"/>
      <c r="AS50" s="935"/>
      <c r="AT50" s="3"/>
      <c r="AU50" s="3"/>
      <c r="AV50" s="3"/>
      <c r="AW50" s="3"/>
      <c r="AX50" s="3"/>
      <c r="AY50" s="3"/>
      <c r="AZ50" s="3"/>
      <c r="BA50" s="3"/>
      <c r="BB50" s="3"/>
      <c r="BC50" s="3"/>
      <c r="BD50" s="3"/>
      <c r="BE50" s="3"/>
      <c r="BF50" s="3"/>
      <c r="BG50" s="3"/>
      <c r="BH50" s="3"/>
      <c r="BI50" s="3"/>
      <c r="BJ50" s="3"/>
      <c r="BK50" s="3"/>
      <c r="BL50" s="3"/>
      <c r="BM50" s="3"/>
    </row>
    <row r="51" spans="1:65" ht="27" customHeight="1" x14ac:dyDescent="0.25">
      <c r="A51" s="50"/>
      <c r="B51" s="607"/>
      <c r="C51" s="36">
        <v>39</v>
      </c>
      <c r="D51" s="2681" t="s">
        <v>1279</v>
      </c>
      <c r="E51" s="2211"/>
      <c r="F51" s="2682"/>
      <c r="G51" s="2682"/>
      <c r="H51" s="2682"/>
      <c r="I51" s="2682"/>
      <c r="J51" s="2682"/>
      <c r="K51" s="38"/>
      <c r="L51" s="995"/>
      <c r="M51" s="38"/>
      <c r="N51" s="995"/>
      <c r="O51" s="671"/>
      <c r="P51" s="671"/>
      <c r="Q51" s="936"/>
      <c r="R51" s="937"/>
      <c r="S51" s="673"/>
      <c r="T51" s="936"/>
      <c r="U51" s="936"/>
      <c r="V51" s="936"/>
      <c r="W51" s="938"/>
      <c r="X51" s="671"/>
      <c r="Y51" s="674"/>
      <c r="Z51" s="671"/>
      <c r="AA51" s="671"/>
      <c r="AB51" s="671"/>
      <c r="AC51" s="671"/>
      <c r="AD51" s="671"/>
      <c r="AE51" s="671"/>
      <c r="AF51" s="671"/>
      <c r="AG51" s="671"/>
      <c r="AH51" s="671"/>
      <c r="AI51" s="671"/>
      <c r="AJ51" s="671"/>
      <c r="AK51" s="671"/>
      <c r="AL51" s="671"/>
      <c r="AM51" s="671"/>
      <c r="AN51" s="671"/>
      <c r="AO51" s="671"/>
      <c r="AP51" s="671"/>
      <c r="AQ51" s="675"/>
      <c r="AR51" s="675"/>
      <c r="AS51" s="676"/>
    </row>
    <row r="52" spans="1:65" s="3" customFormat="1" ht="45.6" customHeight="1" x14ac:dyDescent="0.25">
      <c r="A52" s="643"/>
      <c r="B52" s="644"/>
      <c r="C52" s="641"/>
      <c r="D52" s="644"/>
      <c r="E52" s="1005">
        <v>3903</v>
      </c>
      <c r="F52" s="2969" t="s">
        <v>1280</v>
      </c>
      <c r="G52" s="2970"/>
      <c r="H52" s="2970"/>
      <c r="I52" s="2970"/>
      <c r="J52" s="2970"/>
      <c r="K52" s="2970"/>
      <c r="L52" s="2970"/>
      <c r="M52" s="2970"/>
      <c r="N52" s="2970"/>
      <c r="O52" s="962"/>
      <c r="P52" s="998"/>
      <c r="Q52" s="940"/>
      <c r="R52" s="998"/>
      <c r="S52" s="998"/>
      <c r="T52" s="940"/>
      <c r="U52" s="940"/>
      <c r="V52" s="940"/>
      <c r="W52" s="997"/>
      <c r="X52" s="962"/>
      <c r="Y52" s="998"/>
      <c r="Z52" s="680"/>
      <c r="AA52" s="680"/>
      <c r="AB52" s="680"/>
      <c r="AC52" s="680"/>
      <c r="AD52" s="680"/>
      <c r="AE52" s="680"/>
      <c r="AF52" s="680"/>
      <c r="AG52" s="680"/>
      <c r="AH52" s="680"/>
      <c r="AI52" s="680"/>
      <c r="AJ52" s="680"/>
      <c r="AK52" s="680"/>
      <c r="AL52" s="680"/>
      <c r="AM52" s="680"/>
      <c r="AN52" s="680"/>
      <c r="AO52" s="680"/>
      <c r="AP52" s="680"/>
      <c r="AQ52" s="944"/>
      <c r="AR52" s="944"/>
      <c r="AS52" s="945"/>
    </row>
    <row r="53" spans="1:65" ht="60.75" customHeight="1" x14ac:dyDescent="0.25">
      <c r="A53" s="968"/>
      <c r="B53" s="618"/>
      <c r="C53" s="637"/>
      <c r="D53" s="618"/>
      <c r="E53" s="3707"/>
      <c r="F53" s="2156"/>
      <c r="G53" s="3711">
        <v>3903005</v>
      </c>
      <c r="H53" s="2824" t="s">
        <v>1281</v>
      </c>
      <c r="I53" s="3711">
        <v>3903005</v>
      </c>
      <c r="J53" s="2824" t="s">
        <v>1281</v>
      </c>
      <c r="K53" s="1007">
        <v>390300501</v>
      </c>
      <c r="L53" s="1008" t="s">
        <v>1282</v>
      </c>
      <c r="M53" s="1007">
        <v>390300501</v>
      </c>
      <c r="N53" s="1008" t="s">
        <v>1282</v>
      </c>
      <c r="O53" s="622">
        <v>1</v>
      </c>
      <c r="P53" s="3150" t="s">
        <v>1283</v>
      </c>
      <c r="Q53" s="2283" t="s">
        <v>1284</v>
      </c>
      <c r="R53" s="2536">
        <f>SUM(W53:W55)/S53</f>
        <v>1</v>
      </c>
      <c r="S53" s="3821">
        <f>SUM(W53:W55)</f>
        <v>60000000</v>
      </c>
      <c r="T53" s="2283" t="s">
        <v>1285</v>
      </c>
      <c r="U53" s="2283" t="s">
        <v>1286</v>
      </c>
      <c r="V53" s="625" t="s">
        <v>1287</v>
      </c>
      <c r="W53" s="955">
        <v>10000000</v>
      </c>
      <c r="X53" s="78" t="s">
        <v>1288</v>
      </c>
      <c r="Y53" s="972">
        <v>20</v>
      </c>
      <c r="Z53" s="615" t="s">
        <v>73</v>
      </c>
      <c r="AA53" s="2198">
        <v>295972</v>
      </c>
      <c r="AB53" s="2198">
        <v>294321</v>
      </c>
      <c r="AC53" s="2198">
        <v>132302</v>
      </c>
      <c r="AD53" s="2198">
        <v>43426</v>
      </c>
      <c r="AE53" s="2198">
        <v>313940</v>
      </c>
      <c r="AF53" s="2198">
        <v>100625</v>
      </c>
      <c r="AG53" s="2198">
        <v>2145</v>
      </c>
      <c r="AH53" s="2198">
        <v>12718</v>
      </c>
      <c r="AI53" s="2198">
        <v>36</v>
      </c>
      <c r="AJ53" s="2198">
        <v>0</v>
      </c>
      <c r="AK53" s="2198">
        <v>0</v>
      </c>
      <c r="AL53" s="2198">
        <v>0</v>
      </c>
      <c r="AM53" s="2198">
        <v>70</v>
      </c>
      <c r="AN53" s="2198">
        <v>21944</v>
      </c>
      <c r="AO53" s="2198">
        <v>285</v>
      </c>
      <c r="AP53" s="2198">
        <f>SUM(AA53:AB55)</f>
        <v>590293</v>
      </c>
      <c r="AQ53" s="3830">
        <v>44197</v>
      </c>
      <c r="AR53" s="3830">
        <v>44561</v>
      </c>
      <c r="AS53" s="3830" t="s">
        <v>1156</v>
      </c>
    </row>
    <row r="54" spans="1:65" ht="57.75" customHeight="1" x14ac:dyDescent="0.25">
      <c r="A54" s="968"/>
      <c r="B54" s="618"/>
      <c r="C54" s="637"/>
      <c r="D54" s="618"/>
      <c r="E54" s="3707"/>
      <c r="F54" s="2156"/>
      <c r="G54" s="2305"/>
      <c r="H54" s="2824"/>
      <c r="I54" s="2305"/>
      <c r="J54" s="2824"/>
      <c r="K54" s="1009">
        <v>390300507</v>
      </c>
      <c r="L54" s="1010" t="s">
        <v>1289</v>
      </c>
      <c r="M54" s="1009">
        <v>390300507</v>
      </c>
      <c r="N54" s="1010" t="s">
        <v>1289</v>
      </c>
      <c r="O54" s="622">
        <v>50</v>
      </c>
      <c r="P54" s="3152"/>
      <c r="Q54" s="2284"/>
      <c r="R54" s="2537"/>
      <c r="S54" s="3438"/>
      <c r="T54" s="2284"/>
      <c r="U54" s="2284"/>
      <c r="V54" s="625" t="s">
        <v>1290</v>
      </c>
      <c r="W54" s="955">
        <v>30000000</v>
      </c>
      <c r="X54" s="78" t="s">
        <v>1288</v>
      </c>
      <c r="Y54" s="972">
        <v>20</v>
      </c>
      <c r="Z54" s="615" t="s">
        <v>73</v>
      </c>
      <c r="AA54" s="2308"/>
      <c r="AB54" s="2308"/>
      <c r="AC54" s="2308"/>
      <c r="AD54" s="2308"/>
      <c r="AE54" s="2308"/>
      <c r="AF54" s="2308"/>
      <c r="AG54" s="2308"/>
      <c r="AH54" s="2308"/>
      <c r="AI54" s="2308"/>
      <c r="AJ54" s="2308"/>
      <c r="AK54" s="2308"/>
      <c r="AL54" s="2308"/>
      <c r="AM54" s="2308"/>
      <c r="AN54" s="2308"/>
      <c r="AO54" s="2308"/>
      <c r="AP54" s="2308"/>
      <c r="AQ54" s="3831"/>
      <c r="AR54" s="3831"/>
      <c r="AS54" s="3831"/>
    </row>
    <row r="55" spans="1:65" ht="60.75" customHeight="1" x14ac:dyDescent="0.25">
      <c r="A55" s="968"/>
      <c r="B55" s="618"/>
      <c r="C55" s="637"/>
      <c r="D55" s="618"/>
      <c r="E55" s="3709"/>
      <c r="F55" s="3822"/>
      <c r="G55" s="2305"/>
      <c r="H55" s="2835"/>
      <c r="I55" s="2305"/>
      <c r="J55" s="2835"/>
      <c r="K55" s="1009">
        <v>390300511</v>
      </c>
      <c r="L55" s="1010" t="s">
        <v>1291</v>
      </c>
      <c r="M55" s="1009">
        <v>390300511</v>
      </c>
      <c r="N55" s="1010" t="s">
        <v>1291</v>
      </c>
      <c r="O55" s="622">
        <v>50</v>
      </c>
      <c r="P55" s="3154"/>
      <c r="Q55" s="2285"/>
      <c r="R55" s="2538"/>
      <c r="S55" s="3439"/>
      <c r="T55" s="2285"/>
      <c r="U55" s="2285"/>
      <c r="V55" s="625" t="s">
        <v>1292</v>
      </c>
      <c r="W55" s="955">
        <v>20000000</v>
      </c>
      <c r="X55" s="78" t="s">
        <v>1293</v>
      </c>
      <c r="Y55" s="972">
        <v>20</v>
      </c>
      <c r="Z55" s="615" t="s">
        <v>73</v>
      </c>
      <c r="AA55" s="2309"/>
      <c r="AB55" s="2309"/>
      <c r="AC55" s="2309"/>
      <c r="AD55" s="2309"/>
      <c r="AE55" s="2309"/>
      <c r="AF55" s="2309"/>
      <c r="AG55" s="2309"/>
      <c r="AH55" s="2309"/>
      <c r="AI55" s="2309"/>
      <c r="AJ55" s="2309"/>
      <c r="AK55" s="2309"/>
      <c r="AL55" s="2309"/>
      <c r="AM55" s="2309"/>
      <c r="AN55" s="2309"/>
      <c r="AO55" s="2309"/>
      <c r="AP55" s="2309"/>
      <c r="AQ55" s="3832"/>
      <c r="AR55" s="3832"/>
      <c r="AS55" s="3832"/>
    </row>
    <row r="56" spans="1:65" s="3" customFormat="1" ht="25.9" customHeight="1" x14ac:dyDescent="0.25">
      <c r="A56" s="643"/>
      <c r="B56" s="644"/>
      <c r="C56" s="643"/>
      <c r="D56" s="644"/>
      <c r="E56" s="1005">
        <v>3904</v>
      </c>
      <c r="F56" s="3786" t="s">
        <v>1294</v>
      </c>
      <c r="G56" s="3341"/>
      <c r="H56" s="3341"/>
      <c r="I56" s="3341"/>
      <c r="J56" s="3341"/>
      <c r="K56" s="3341"/>
      <c r="L56" s="3341"/>
      <c r="M56" s="3341"/>
      <c r="N56" s="3341"/>
      <c r="O56" s="3341"/>
      <c r="P56" s="3341"/>
      <c r="Q56" s="1011"/>
      <c r="R56" s="1012"/>
      <c r="S56" s="1012"/>
      <c r="T56" s="1011"/>
      <c r="U56" s="1011"/>
      <c r="V56" s="1011"/>
      <c r="W56" s="1013"/>
      <c r="X56" s="962"/>
      <c r="Y56" s="1012"/>
      <c r="Z56" s="942"/>
      <c r="AA56" s="942"/>
      <c r="AB56" s="942"/>
      <c r="AC56" s="942"/>
      <c r="AD56" s="942"/>
      <c r="AE56" s="942"/>
      <c r="AF56" s="942"/>
      <c r="AG56" s="942"/>
      <c r="AH56" s="942"/>
      <c r="AI56" s="942"/>
      <c r="AJ56" s="942"/>
      <c r="AK56" s="942"/>
      <c r="AL56" s="942"/>
      <c r="AM56" s="942"/>
      <c r="AN56" s="942"/>
      <c r="AO56" s="942"/>
      <c r="AP56" s="942"/>
      <c r="AQ56" s="1014"/>
      <c r="AR56" s="1014"/>
      <c r="AS56" s="684"/>
    </row>
    <row r="57" spans="1:65" ht="65.25" customHeight="1" x14ac:dyDescent="0.25">
      <c r="A57" s="422"/>
      <c r="B57" s="423"/>
      <c r="C57" s="422"/>
      <c r="D57" s="423"/>
      <c r="E57" s="3833"/>
      <c r="F57" s="3834"/>
      <c r="G57" s="3021">
        <v>3904018</v>
      </c>
      <c r="H57" s="2793" t="s">
        <v>1295</v>
      </c>
      <c r="I57" s="3022">
        <v>3904018</v>
      </c>
      <c r="J57" s="2793" t="s">
        <v>1295</v>
      </c>
      <c r="K57" s="3837">
        <v>390401809</v>
      </c>
      <c r="L57" s="2793" t="s">
        <v>1296</v>
      </c>
      <c r="M57" s="3837">
        <v>390401809</v>
      </c>
      <c r="N57" s="2793" t="s">
        <v>1296</v>
      </c>
      <c r="O57" s="3823">
        <v>6</v>
      </c>
      <c r="P57" s="2973" t="s">
        <v>1297</v>
      </c>
      <c r="Q57" s="3825" t="s">
        <v>1298</v>
      </c>
      <c r="R57" s="2307">
        <f>SUM(W57:W58)/S57</f>
        <v>1</v>
      </c>
      <c r="S57" s="3828">
        <f>SUM(W57:W58)</f>
        <v>18000000</v>
      </c>
      <c r="T57" s="2993" t="s">
        <v>1299</v>
      </c>
      <c r="U57" s="3825" t="s">
        <v>1300</v>
      </c>
      <c r="V57" s="741" t="s">
        <v>1301</v>
      </c>
      <c r="W57" s="1015">
        <f>18000000-11400000</f>
        <v>6600000</v>
      </c>
      <c r="X57" s="1016" t="s">
        <v>1302</v>
      </c>
      <c r="Y57" s="3841">
        <v>20</v>
      </c>
      <c r="Z57" s="2973" t="s">
        <v>73</v>
      </c>
      <c r="AA57" s="3839">
        <v>295972</v>
      </c>
      <c r="AB57" s="2260">
        <v>294321</v>
      </c>
      <c r="AC57" s="3839">
        <v>132302</v>
      </c>
      <c r="AD57" s="2260">
        <v>43426</v>
      </c>
      <c r="AE57" s="3839">
        <v>313940</v>
      </c>
      <c r="AF57" s="2260">
        <v>100625</v>
      </c>
      <c r="AG57" s="3839">
        <v>2145</v>
      </c>
      <c r="AH57" s="2260">
        <v>12718</v>
      </c>
      <c r="AI57" s="3839">
        <v>36</v>
      </c>
      <c r="AJ57" s="2260">
        <v>0</v>
      </c>
      <c r="AK57" s="3839">
        <v>0</v>
      </c>
      <c r="AL57" s="2260">
        <v>0</v>
      </c>
      <c r="AM57" s="3839">
        <v>70</v>
      </c>
      <c r="AN57" s="2260">
        <v>21944</v>
      </c>
      <c r="AO57" s="3839">
        <v>285</v>
      </c>
      <c r="AP57" s="2260">
        <f>SUM(AA57:AB58)</f>
        <v>590293</v>
      </c>
      <c r="AQ57" s="3843">
        <v>44197</v>
      </c>
      <c r="AR57" s="3845">
        <v>44561</v>
      </c>
      <c r="AS57" s="3757" t="s">
        <v>1156</v>
      </c>
    </row>
    <row r="58" spans="1:65" ht="102" customHeight="1" x14ac:dyDescent="0.25">
      <c r="A58" s="968"/>
      <c r="B58" s="618"/>
      <c r="C58" s="637"/>
      <c r="D58" s="618"/>
      <c r="E58" s="3835"/>
      <c r="F58" s="3836"/>
      <c r="G58" s="3727"/>
      <c r="H58" s="2829"/>
      <c r="I58" s="3775"/>
      <c r="J58" s="2829"/>
      <c r="K58" s="3838"/>
      <c r="L58" s="2829"/>
      <c r="M58" s="3838"/>
      <c r="N58" s="2829"/>
      <c r="O58" s="3824"/>
      <c r="P58" s="2974"/>
      <c r="Q58" s="3826"/>
      <c r="R58" s="3827"/>
      <c r="S58" s="3829"/>
      <c r="T58" s="2988"/>
      <c r="U58" s="3826"/>
      <c r="V58" s="781" t="s">
        <v>1303</v>
      </c>
      <c r="W58" s="1017">
        <v>11400000</v>
      </c>
      <c r="X58" s="1018" t="s">
        <v>1304</v>
      </c>
      <c r="Y58" s="3842"/>
      <c r="Z58" s="2974"/>
      <c r="AA58" s="3840"/>
      <c r="AB58" s="2170"/>
      <c r="AC58" s="3840"/>
      <c r="AD58" s="2170"/>
      <c r="AE58" s="3840"/>
      <c r="AF58" s="2170"/>
      <c r="AG58" s="3840"/>
      <c r="AH58" s="2170"/>
      <c r="AI58" s="3840"/>
      <c r="AJ58" s="2170"/>
      <c r="AK58" s="3840"/>
      <c r="AL58" s="2170"/>
      <c r="AM58" s="3840"/>
      <c r="AN58" s="2170"/>
      <c r="AO58" s="3840"/>
      <c r="AP58" s="2170"/>
      <c r="AQ58" s="3844"/>
      <c r="AR58" s="3846"/>
      <c r="AS58" s="3847"/>
    </row>
    <row r="59" spans="1:65" ht="27" customHeight="1" x14ac:dyDescent="0.25">
      <c r="A59" s="1019"/>
      <c r="B59" s="1020"/>
      <c r="C59" s="1020"/>
      <c r="D59" s="1020"/>
      <c r="E59" s="1020"/>
      <c r="F59" s="1020"/>
      <c r="G59" s="1020"/>
      <c r="H59" s="1021"/>
      <c r="I59" s="1020"/>
      <c r="J59" s="1021"/>
      <c r="K59" s="1020"/>
      <c r="L59" s="1021"/>
      <c r="M59" s="1020"/>
      <c r="N59" s="1021"/>
      <c r="O59" s="1020"/>
      <c r="P59" s="1020"/>
      <c r="Q59" s="1021"/>
      <c r="R59" s="1022"/>
      <c r="S59" s="1023">
        <f>SUM(S12:S58)</f>
        <v>1196000000</v>
      </c>
      <c r="T59" s="1021"/>
      <c r="U59" s="1021"/>
      <c r="V59" s="1024" t="s">
        <v>118</v>
      </c>
      <c r="W59" s="1025">
        <f>SUM(W12:W58)</f>
        <v>1196000000</v>
      </c>
      <c r="X59" s="1026"/>
      <c r="Y59" s="1027"/>
      <c r="Z59" s="1020"/>
      <c r="AA59" s="1020"/>
      <c r="AB59" s="1020"/>
      <c r="AC59" s="1020"/>
      <c r="AD59" s="1020"/>
      <c r="AE59" s="1020"/>
      <c r="AF59" s="1020"/>
      <c r="AG59" s="1020"/>
      <c r="AH59" s="1020"/>
      <c r="AI59" s="1020"/>
      <c r="AJ59" s="1020"/>
      <c r="AK59" s="1020"/>
      <c r="AL59" s="1020"/>
      <c r="AM59" s="1020"/>
      <c r="AN59" s="1020"/>
      <c r="AO59" s="1020"/>
      <c r="AP59" s="1020"/>
      <c r="AQ59" s="1028"/>
      <c r="AR59" s="1028"/>
      <c r="AS59" s="1029"/>
    </row>
  </sheetData>
  <sheetProtection algorithmName="SHA-512" hashValue="+iY9/qJui0+QG5L1DBrU5/bGQHrqBgz1lsn8luXYZ0wdoadGyvsRPjIysvgehOPd1sSYJ5efQD0vQNZ8BnhKRQ==" saltValue="pKOJeM1BJYJyL+PPNr2BIA==" spinCount="100000" sheet="1" objects="1" scenarios="1"/>
  <mergeCells count="268">
    <mergeCell ref="AO57:AO58"/>
    <mergeCell ref="AP57:AP58"/>
    <mergeCell ref="AQ57:AQ58"/>
    <mergeCell ref="AR57:AR58"/>
    <mergeCell ref="AS57:AS58"/>
    <mergeCell ref="AI57:AI58"/>
    <mergeCell ref="AJ57:AJ58"/>
    <mergeCell ref="AK57:AK58"/>
    <mergeCell ref="AL57:AL58"/>
    <mergeCell ref="AM57:AM58"/>
    <mergeCell ref="AN57:AN58"/>
    <mergeCell ref="AC57:AC58"/>
    <mergeCell ref="AD57:AD58"/>
    <mergeCell ref="AE57:AE58"/>
    <mergeCell ref="AF57:AF58"/>
    <mergeCell ref="AG57:AG58"/>
    <mergeCell ref="AH57:AH58"/>
    <mergeCell ref="T57:T58"/>
    <mergeCell ref="U57:U58"/>
    <mergeCell ref="Y57:Y58"/>
    <mergeCell ref="Z57:Z58"/>
    <mergeCell ref="AA57:AA58"/>
    <mergeCell ref="AB57:AB58"/>
    <mergeCell ref="N57:N58"/>
    <mergeCell ref="O57:O58"/>
    <mergeCell ref="P57:P58"/>
    <mergeCell ref="Q57:Q58"/>
    <mergeCell ref="R57:R58"/>
    <mergeCell ref="S57:S58"/>
    <mergeCell ref="AS53:AS55"/>
    <mergeCell ref="F56:P56"/>
    <mergeCell ref="E57:F58"/>
    <mergeCell ref="G57:G58"/>
    <mergeCell ref="H57:H58"/>
    <mergeCell ref="I57:I58"/>
    <mergeCell ref="J57:J58"/>
    <mergeCell ref="K57:K58"/>
    <mergeCell ref="L57:L58"/>
    <mergeCell ref="M57:M58"/>
    <mergeCell ref="AM53:AM55"/>
    <mergeCell ref="AN53:AN55"/>
    <mergeCell ref="AO53:AO55"/>
    <mergeCell ref="AP53:AP55"/>
    <mergeCell ref="AQ53:AQ55"/>
    <mergeCell ref="AR53:AR55"/>
    <mergeCell ref="AG53:AG55"/>
    <mergeCell ref="AH53:AH55"/>
    <mergeCell ref="AI53:AI55"/>
    <mergeCell ref="AJ53:AJ55"/>
    <mergeCell ref="AK53:AK55"/>
    <mergeCell ref="AL53:AL55"/>
    <mergeCell ref="AA53:AA55"/>
    <mergeCell ref="AB53:AB55"/>
    <mergeCell ref="AC53:AC55"/>
    <mergeCell ref="AD53:AD55"/>
    <mergeCell ref="AE53:AE55"/>
    <mergeCell ref="AF53:AF55"/>
    <mergeCell ref="P53:P55"/>
    <mergeCell ref="Q53:Q55"/>
    <mergeCell ref="R53:R55"/>
    <mergeCell ref="S53:S55"/>
    <mergeCell ref="T53:T55"/>
    <mergeCell ref="U53:U55"/>
    <mergeCell ref="D51:J51"/>
    <mergeCell ref="F52:N52"/>
    <mergeCell ref="E53:F55"/>
    <mergeCell ref="G53:G55"/>
    <mergeCell ref="H53:H55"/>
    <mergeCell ref="I53:I55"/>
    <mergeCell ref="J53:J55"/>
    <mergeCell ref="AO43:AO49"/>
    <mergeCell ref="AP43:AP49"/>
    <mergeCell ref="AQ43:AQ49"/>
    <mergeCell ref="AR43:AR49"/>
    <mergeCell ref="AS43:AS49"/>
    <mergeCell ref="B50:G50"/>
    <mergeCell ref="AI43:AI49"/>
    <mergeCell ref="AJ43:AJ49"/>
    <mergeCell ref="AK43:AK49"/>
    <mergeCell ref="AL43:AL49"/>
    <mergeCell ref="AM43:AM49"/>
    <mergeCell ref="AN43:AN49"/>
    <mergeCell ref="AC43:AC49"/>
    <mergeCell ref="AD43:AD49"/>
    <mergeCell ref="AE43:AE49"/>
    <mergeCell ref="AF43:AF49"/>
    <mergeCell ref="AG43:AG49"/>
    <mergeCell ref="AH43:AH49"/>
    <mergeCell ref="R43:R44"/>
    <mergeCell ref="S43:S49"/>
    <mergeCell ref="T43:T49"/>
    <mergeCell ref="U43:U44"/>
    <mergeCell ref="AA43:AA49"/>
    <mergeCell ref="AB43:AB49"/>
    <mergeCell ref="L43:L44"/>
    <mergeCell ref="M43:M44"/>
    <mergeCell ref="N43:N44"/>
    <mergeCell ref="O43:O44"/>
    <mergeCell ref="P43:P49"/>
    <mergeCell ref="Q43:Q49"/>
    <mergeCell ref="U35:U36"/>
    <mergeCell ref="B40:G40"/>
    <mergeCell ref="D41:H41"/>
    <mergeCell ref="F42:S42"/>
    <mergeCell ref="E43:F49"/>
    <mergeCell ref="G43:G44"/>
    <mergeCell ref="H43:H44"/>
    <mergeCell ref="I43:I44"/>
    <mergeCell ref="J43:J44"/>
    <mergeCell ref="K43:K44"/>
    <mergeCell ref="AS34:AS39"/>
    <mergeCell ref="G35:G36"/>
    <mergeCell ref="H35:H36"/>
    <mergeCell ref="I35:I36"/>
    <mergeCell ref="J35:J36"/>
    <mergeCell ref="K35:K36"/>
    <mergeCell ref="L35:L36"/>
    <mergeCell ref="M35:M36"/>
    <mergeCell ref="N35:N36"/>
    <mergeCell ref="O35:O36"/>
    <mergeCell ref="AM34:AM39"/>
    <mergeCell ref="AN34:AN39"/>
    <mergeCell ref="AO34:AO39"/>
    <mergeCell ref="AP34:AP39"/>
    <mergeCell ref="AQ34:AQ39"/>
    <mergeCell ref="AR34:AR39"/>
    <mergeCell ref="AG34:AG39"/>
    <mergeCell ref="AH34:AH39"/>
    <mergeCell ref="AI34:AI39"/>
    <mergeCell ref="AJ34:AJ39"/>
    <mergeCell ref="AK34:AK39"/>
    <mergeCell ref="AL34:AL39"/>
    <mergeCell ref="AA34:AA39"/>
    <mergeCell ref="AB34:AB39"/>
    <mergeCell ref="AC34:AC39"/>
    <mergeCell ref="AD34:AD39"/>
    <mergeCell ref="AE34:AE39"/>
    <mergeCell ref="AF34:AF39"/>
    <mergeCell ref="R30:R32"/>
    <mergeCell ref="U30:U32"/>
    <mergeCell ref="V31:V32"/>
    <mergeCell ref="F33:T33"/>
    <mergeCell ref="E34:F39"/>
    <mergeCell ref="P34:P39"/>
    <mergeCell ref="Q34:Q39"/>
    <mergeCell ref="S34:S39"/>
    <mergeCell ref="T34:T39"/>
    <mergeCell ref="R35:R36"/>
    <mergeCell ref="AC24:AC32"/>
    <mergeCell ref="AD24:AD32"/>
    <mergeCell ref="AE24:AE32"/>
    <mergeCell ref="AF24:AF32"/>
    <mergeCell ref="V26:V27"/>
    <mergeCell ref="G30:G32"/>
    <mergeCell ref="H30:H32"/>
    <mergeCell ref="I30:I32"/>
    <mergeCell ref="J30:J32"/>
    <mergeCell ref="K30:K32"/>
    <mergeCell ref="L30:L32"/>
    <mergeCell ref="M30:M32"/>
    <mergeCell ref="N30:N32"/>
    <mergeCell ref="O30:O32"/>
    <mergeCell ref="P24:P32"/>
    <mergeCell ref="Q24:Q32"/>
    <mergeCell ref="S24:S32"/>
    <mergeCell ref="T24:T32"/>
    <mergeCell ref="R26:R28"/>
    <mergeCell ref="U26:U28"/>
    <mergeCell ref="AS24:AS32"/>
    <mergeCell ref="G26:G28"/>
    <mergeCell ref="H26:H28"/>
    <mergeCell ref="I26:I28"/>
    <mergeCell ref="J26:J28"/>
    <mergeCell ref="K26:K28"/>
    <mergeCell ref="L26:L28"/>
    <mergeCell ref="M26:M28"/>
    <mergeCell ref="N26:N28"/>
    <mergeCell ref="O26:O28"/>
    <mergeCell ref="AM24:AM32"/>
    <mergeCell ref="AN24:AN32"/>
    <mergeCell ref="AO24:AO32"/>
    <mergeCell ref="AP24:AP32"/>
    <mergeCell ref="AQ24:AQ32"/>
    <mergeCell ref="AR24:AR32"/>
    <mergeCell ref="AG24:AG32"/>
    <mergeCell ref="AH24:AH32"/>
    <mergeCell ref="AI24:AI32"/>
    <mergeCell ref="AJ24:AJ32"/>
    <mergeCell ref="AK24:AK32"/>
    <mergeCell ref="AL24:AL32"/>
    <mergeCell ref="AA24:AA32"/>
    <mergeCell ref="AB24:AB32"/>
    <mergeCell ref="J20:J22"/>
    <mergeCell ref="K20:K22"/>
    <mergeCell ref="L20:L22"/>
    <mergeCell ref="AR12:AR23"/>
    <mergeCell ref="AS12:AS23"/>
    <mergeCell ref="K15:K19"/>
    <mergeCell ref="L15:L19"/>
    <mergeCell ref="M15:M19"/>
    <mergeCell ref="N15:N19"/>
    <mergeCell ref="O15:O19"/>
    <mergeCell ref="V16:V17"/>
    <mergeCell ref="V18:V19"/>
    <mergeCell ref="M20:M22"/>
    <mergeCell ref="AL12:AL23"/>
    <mergeCell ref="AM12:AM23"/>
    <mergeCell ref="AN12:AN23"/>
    <mergeCell ref="AO12:AO23"/>
    <mergeCell ref="AP12:AP23"/>
    <mergeCell ref="AQ12:AQ23"/>
    <mergeCell ref="AF12:AF23"/>
    <mergeCell ref="AG12:AG23"/>
    <mergeCell ref="N20:N22"/>
    <mergeCell ref="O20:O22"/>
    <mergeCell ref="R20:R22"/>
    <mergeCell ref="AH12:AH23"/>
    <mergeCell ref="AI12:AI23"/>
    <mergeCell ref="AJ12:AJ23"/>
    <mergeCell ref="AK12:AK23"/>
    <mergeCell ref="U12:U19"/>
    <mergeCell ref="AA12:AA23"/>
    <mergeCell ref="AB12:AB23"/>
    <mergeCell ref="AC12:AC23"/>
    <mergeCell ref="AD12:AD23"/>
    <mergeCell ref="AE12:AE23"/>
    <mergeCell ref="U20:U22"/>
    <mergeCell ref="B9:L9"/>
    <mergeCell ref="D10:H10"/>
    <mergeCell ref="A11:B32"/>
    <mergeCell ref="F11:Q11"/>
    <mergeCell ref="E12:F13"/>
    <mergeCell ref="G12:G19"/>
    <mergeCell ref="H12:H19"/>
    <mergeCell ref="X7:Z7"/>
    <mergeCell ref="AA7:AB7"/>
    <mergeCell ref="O12:O14"/>
    <mergeCell ref="P12:P23"/>
    <mergeCell ref="Q12:Q23"/>
    <mergeCell ref="R12:R19"/>
    <mergeCell ref="S12:S23"/>
    <mergeCell ref="T12:T23"/>
    <mergeCell ref="I12:I19"/>
    <mergeCell ref="J12:J19"/>
    <mergeCell ref="K12:K14"/>
    <mergeCell ref="L12:L14"/>
    <mergeCell ref="M12:M14"/>
    <mergeCell ref="N12:N14"/>
    <mergeCell ref="G20:G22"/>
    <mergeCell ref="H20:H22"/>
    <mergeCell ref="I20:I22"/>
    <mergeCell ref="A1:AQ4"/>
    <mergeCell ref="A5:O6"/>
    <mergeCell ref="P5:AS5"/>
    <mergeCell ref="AA6:AO6"/>
    <mergeCell ref="A7:B7"/>
    <mergeCell ref="C7:D7"/>
    <mergeCell ref="E7:F7"/>
    <mergeCell ref="G7:J7"/>
    <mergeCell ref="K7:N7"/>
    <mergeCell ref="O7:W7"/>
    <mergeCell ref="AQ7:AQ8"/>
    <mergeCell ref="AR7:AR8"/>
    <mergeCell ref="AS7:AS8"/>
    <mergeCell ref="AC7:AF7"/>
    <mergeCell ref="AG7:AL7"/>
    <mergeCell ref="AM7:AO7"/>
    <mergeCell ref="AP7:AP8"/>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S94"/>
  <sheetViews>
    <sheetView showGridLines="0" zoomScale="55" zoomScaleNormal="55" workbookViewId="0">
      <selection activeCell="A5" sqref="A5:O6"/>
    </sheetView>
  </sheetViews>
  <sheetFormatPr baseColWidth="10" defaultRowHeight="15" x14ac:dyDescent="0.25"/>
  <cols>
    <col min="1" max="1" width="15.85546875" style="1119" customWidth="1"/>
    <col min="2" max="2" width="14.42578125" style="1119" customWidth="1"/>
    <col min="3" max="3" width="13.140625" style="1119" customWidth="1"/>
    <col min="4" max="4" width="14.5703125" style="1119" customWidth="1"/>
    <col min="5" max="5" width="15.28515625" style="1119" customWidth="1"/>
    <col min="6" max="6" width="16.7109375" style="1119" customWidth="1"/>
    <col min="7" max="7" width="13.85546875" style="1119" customWidth="1"/>
    <col min="8" max="8" width="18.5703125" style="1119" customWidth="1"/>
    <col min="9" max="9" width="22.7109375" style="1119" customWidth="1"/>
    <col min="10" max="10" width="18.85546875" style="1119" customWidth="1"/>
    <col min="11" max="11" width="14" style="1119" customWidth="1"/>
    <col min="12" max="12" width="21.140625" style="1119" customWidth="1"/>
    <col min="13" max="14" width="20.5703125" style="1119" customWidth="1"/>
    <col min="15" max="15" width="11.85546875" style="1119" customWidth="1"/>
    <col min="16" max="16" width="26.7109375" style="1119" customWidth="1"/>
    <col min="17" max="17" width="27" style="1119" customWidth="1"/>
    <col min="18" max="18" width="12.42578125" style="1119" customWidth="1"/>
    <col min="19" max="19" width="27" style="1119" customWidth="1"/>
    <col min="20" max="20" width="40.85546875" style="1119" customWidth="1"/>
    <col min="21" max="21" width="29.140625" style="1119" customWidth="1"/>
    <col min="22" max="22" width="49.85546875" style="1119" customWidth="1"/>
    <col min="23" max="23" width="30.140625" style="1119" customWidth="1"/>
    <col min="24" max="24" width="40.5703125" style="1119" customWidth="1"/>
    <col min="25" max="25" width="15.85546875" style="1119" customWidth="1"/>
    <col min="26" max="26" width="21.140625" style="1119" customWidth="1"/>
    <col min="27" max="28" width="9.140625" style="1119" bestFit="1" customWidth="1"/>
    <col min="29" max="29" width="10.7109375" style="1119" customWidth="1"/>
    <col min="30" max="41" width="9.140625" style="1119" bestFit="1" customWidth="1"/>
    <col min="42" max="42" width="18.5703125" style="1119" customWidth="1"/>
    <col min="43" max="43" width="20.5703125" style="1119" customWidth="1"/>
    <col min="44" max="44" width="23" style="1119" customWidth="1"/>
    <col min="45" max="45" width="22.7109375" style="1119" customWidth="1"/>
  </cols>
  <sheetData>
    <row r="1" spans="1:45" ht="15.75" x14ac:dyDescent="0.25">
      <c r="A1" s="2954" t="s">
        <v>1651</v>
      </c>
      <c r="B1" s="2241"/>
      <c r="C1" s="2241"/>
      <c r="D1" s="2241"/>
      <c r="E1" s="2241"/>
      <c r="F1" s="2241"/>
      <c r="G1" s="2241"/>
      <c r="H1" s="2241"/>
      <c r="I1" s="2241"/>
      <c r="J1" s="2241"/>
      <c r="K1" s="2241"/>
      <c r="L1" s="2241"/>
      <c r="M1" s="2241"/>
      <c r="N1" s="2241"/>
      <c r="O1" s="2241"/>
      <c r="P1" s="2241"/>
      <c r="Q1" s="2241"/>
      <c r="R1" s="2241"/>
      <c r="S1" s="2241"/>
      <c r="T1" s="2241"/>
      <c r="U1" s="2241"/>
      <c r="V1" s="2241"/>
      <c r="W1" s="2241"/>
      <c r="X1" s="2241"/>
      <c r="Y1" s="2241"/>
      <c r="Z1" s="2241"/>
      <c r="AA1" s="2241"/>
      <c r="AB1" s="2241"/>
      <c r="AC1" s="2241"/>
      <c r="AD1" s="2241"/>
      <c r="AE1" s="2241"/>
      <c r="AF1" s="2241"/>
      <c r="AG1" s="2241"/>
      <c r="AH1" s="2241"/>
      <c r="AI1" s="2241"/>
      <c r="AJ1" s="2241"/>
      <c r="AK1" s="2241"/>
      <c r="AL1" s="2241"/>
      <c r="AM1" s="2241"/>
      <c r="AN1" s="2241"/>
      <c r="AO1" s="2241"/>
      <c r="AP1" s="2241"/>
      <c r="AQ1" s="2241"/>
      <c r="AR1" s="1038" t="s">
        <v>1</v>
      </c>
      <c r="AS1" s="1283" t="s">
        <v>1141</v>
      </c>
    </row>
    <row r="2" spans="1:45" ht="15.75" x14ac:dyDescent="0.25">
      <c r="A2" s="2246"/>
      <c r="B2" s="2236"/>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C2" s="2236"/>
      <c r="AD2" s="2236"/>
      <c r="AE2" s="2236"/>
      <c r="AF2" s="2236"/>
      <c r="AG2" s="2236"/>
      <c r="AH2" s="2236"/>
      <c r="AI2" s="2236"/>
      <c r="AJ2" s="2236"/>
      <c r="AK2" s="2236"/>
      <c r="AL2" s="2236"/>
      <c r="AM2" s="2236"/>
      <c r="AN2" s="2236"/>
      <c r="AO2" s="2236"/>
      <c r="AP2" s="2236"/>
      <c r="AQ2" s="2236"/>
      <c r="AR2" s="1038" t="s">
        <v>3</v>
      </c>
      <c r="AS2" s="1284">
        <v>9</v>
      </c>
    </row>
    <row r="3" spans="1:45" ht="15.75" x14ac:dyDescent="0.25">
      <c r="A3" s="2246"/>
      <c r="B3" s="2236"/>
      <c r="C3" s="2236"/>
      <c r="D3" s="2236"/>
      <c r="E3" s="2236"/>
      <c r="F3" s="2236"/>
      <c r="G3" s="2236"/>
      <c r="H3" s="2236"/>
      <c r="I3" s="2236"/>
      <c r="J3" s="2236"/>
      <c r="K3" s="2236"/>
      <c r="L3" s="2236"/>
      <c r="M3" s="2236"/>
      <c r="N3" s="2236"/>
      <c r="O3" s="2236"/>
      <c r="P3" s="2236"/>
      <c r="Q3" s="2236"/>
      <c r="R3" s="2236"/>
      <c r="S3" s="2236"/>
      <c r="T3" s="2236"/>
      <c r="U3" s="2236"/>
      <c r="V3" s="2236"/>
      <c r="W3" s="2236"/>
      <c r="X3" s="2236"/>
      <c r="Y3" s="2236"/>
      <c r="Z3" s="2236"/>
      <c r="AA3" s="2236"/>
      <c r="AB3" s="2236"/>
      <c r="AC3" s="2236"/>
      <c r="AD3" s="2236"/>
      <c r="AE3" s="2236"/>
      <c r="AF3" s="2236"/>
      <c r="AG3" s="2236"/>
      <c r="AH3" s="2236"/>
      <c r="AI3" s="2236"/>
      <c r="AJ3" s="2236"/>
      <c r="AK3" s="2236"/>
      <c r="AL3" s="2236"/>
      <c r="AM3" s="2236"/>
      <c r="AN3" s="2236"/>
      <c r="AO3" s="2236"/>
      <c r="AP3" s="2236"/>
      <c r="AQ3" s="2236"/>
      <c r="AR3" s="1038" t="s">
        <v>4</v>
      </c>
      <c r="AS3" s="1285">
        <v>44266</v>
      </c>
    </row>
    <row r="4" spans="1:45" ht="15.75" x14ac:dyDescent="0.25">
      <c r="A4" s="2246"/>
      <c r="B4" s="2236"/>
      <c r="C4" s="2236"/>
      <c r="D4" s="2236"/>
      <c r="E4" s="2236"/>
      <c r="F4" s="2236"/>
      <c r="G4" s="2236"/>
      <c r="H4" s="2236"/>
      <c r="I4" s="2236"/>
      <c r="J4" s="2236"/>
      <c r="K4" s="2236"/>
      <c r="L4" s="2236"/>
      <c r="M4" s="2236"/>
      <c r="N4" s="2236"/>
      <c r="O4" s="2236"/>
      <c r="P4" s="2236"/>
      <c r="Q4" s="2236"/>
      <c r="R4" s="2236"/>
      <c r="S4" s="2236"/>
      <c r="T4" s="2236"/>
      <c r="U4" s="2236"/>
      <c r="V4" s="2236"/>
      <c r="W4" s="2236"/>
      <c r="X4" s="2236"/>
      <c r="Y4" s="2238"/>
      <c r="Z4" s="2236"/>
      <c r="AA4" s="2236"/>
      <c r="AB4" s="2236"/>
      <c r="AC4" s="2236"/>
      <c r="AD4" s="2236"/>
      <c r="AE4" s="2236"/>
      <c r="AF4" s="2236"/>
      <c r="AG4" s="2236"/>
      <c r="AH4" s="2236"/>
      <c r="AI4" s="2236"/>
      <c r="AJ4" s="2236"/>
      <c r="AK4" s="2236"/>
      <c r="AL4" s="2236"/>
      <c r="AM4" s="2236"/>
      <c r="AN4" s="2236"/>
      <c r="AO4" s="2236"/>
      <c r="AP4" s="2236"/>
      <c r="AQ4" s="2236"/>
      <c r="AR4" s="1038" t="s">
        <v>5</v>
      </c>
      <c r="AS4" s="1286" t="s">
        <v>120</v>
      </c>
    </row>
    <row r="5" spans="1:45" ht="15.75" x14ac:dyDescent="0.25">
      <c r="A5" s="2240" t="s">
        <v>7</v>
      </c>
      <c r="B5" s="2241"/>
      <c r="C5" s="2241"/>
      <c r="D5" s="2241"/>
      <c r="E5" s="2241"/>
      <c r="F5" s="2241"/>
      <c r="G5" s="2241"/>
      <c r="H5" s="2241"/>
      <c r="I5" s="2241"/>
      <c r="J5" s="2241"/>
      <c r="K5" s="2241"/>
      <c r="L5" s="2241"/>
      <c r="M5" s="2241"/>
      <c r="N5" s="2241"/>
      <c r="O5" s="2242"/>
      <c r="P5" s="2581"/>
      <c r="Q5" s="2580"/>
      <c r="R5" s="2580"/>
      <c r="S5" s="2580"/>
      <c r="T5" s="2580"/>
      <c r="U5" s="2580"/>
      <c r="V5" s="2580"/>
      <c r="W5" s="2580"/>
      <c r="X5" s="2581"/>
      <c r="Y5" s="2581"/>
      <c r="Z5" s="2580"/>
      <c r="AA5" s="2580"/>
      <c r="AB5" s="2580"/>
      <c r="AC5" s="2580"/>
      <c r="AD5" s="2580"/>
      <c r="AE5" s="2580"/>
      <c r="AF5" s="2580"/>
      <c r="AG5" s="2580"/>
      <c r="AH5" s="2580"/>
      <c r="AI5" s="2580"/>
      <c r="AJ5" s="2580"/>
      <c r="AK5" s="2580"/>
      <c r="AL5" s="2580"/>
      <c r="AM5" s="2580"/>
      <c r="AN5" s="2580"/>
      <c r="AO5" s="2580"/>
      <c r="AP5" s="2580"/>
      <c r="AQ5" s="2580"/>
      <c r="AR5" s="2580"/>
      <c r="AS5" s="2245"/>
    </row>
    <row r="6" spans="1:45" ht="15.75" x14ac:dyDescent="0.25">
      <c r="A6" s="2580"/>
      <c r="B6" s="2581"/>
      <c r="C6" s="2581"/>
      <c r="D6" s="2581"/>
      <c r="E6" s="2581"/>
      <c r="F6" s="2581"/>
      <c r="G6" s="2581"/>
      <c r="H6" s="2581"/>
      <c r="I6" s="2581"/>
      <c r="J6" s="2581"/>
      <c r="K6" s="2581"/>
      <c r="L6" s="2581"/>
      <c r="M6" s="2581"/>
      <c r="N6" s="2581"/>
      <c r="O6" s="2244"/>
      <c r="P6" s="1033"/>
      <c r="Q6" s="1033"/>
      <c r="R6" s="1033"/>
      <c r="S6" s="1033"/>
      <c r="T6" s="1033"/>
      <c r="U6" s="1033"/>
      <c r="V6" s="1033"/>
      <c r="W6" s="1033"/>
      <c r="X6" s="1033"/>
      <c r="Y6" s="1033"/>
      <c r="Z6" s="1033"/>
      <c r="AA6" s="1033"/>
      <c r="AB6" s="1033"/>
      <c r="AC6" s="2243" t="s">
        <v>8</v>
      </c>
      <c r="AD6" s="2238"/>
      <c r="AE6" s="2238"/>
      <c r="AF6" s="2238"/>
      <c r="AG6" s="2238"/>
      <c r="AH6" s="2238"/>
      <c r="AI6" s="2238"/>
      <c r="AJ6" s="2238"/>
      <c r="AK6" s="2238"/>
      <c r="AL6" s="2238"/>
      <c r="AM6" s="2238"/>
      <c r="AN6" s="2238"/>
      <c r="AO6" s="2238"/>
      <c r="AP6" s="2238"/>
      <c r="AQ6" s="2239"/>
      <c r="AR6" s="1033"/>
      <c r="AS6" s="1034"/>
    </row>
    <row r="7" spans="1:45" ht="30" customHeight="1" x14ac:dyDescent="0.25">
      <c r="A7" s="3848" t="s">
        <v>9</v>
      </c>
      <c r="B7" s="3848"/>
      <c r="C7" s="3848" t="s">
        <v>10</v>
      </c>
      <c r="D7" s="3848"/>
      <c r="E7" s="3848" t="s">
        <v>11</v>
      </c>
      <c r="F7" s="3848"/>
      <c r="G7" s="2353" t="s">
        <v>12</v>
      </c>
      <c r="H7" s="2958"/>
      <c r="I7" s="2958"/>
      <c r="J7" s="2958"/>
      <c r="K7" s="2353" t="s">
        <v>13</v>
      </c>
      <c r="L7" s="2958"/>
      <c r="M7" s="2958"/>
      <c r="N7" s="2958"/>
      <c r="O7" s="3849" t="s">
        <v>14</v>
      </c>
      <c r="P7" s="2403"/>
      <c r="Q7" s="2403"/>
      <c r="R7" s="2403"/>
      <c r="S7" s="2403"/>
      <c r="T7" s="2403"/>
      <c r="U7" s="2403"/>
      <c r="V7" s="2403"/>
      <c r="W7" s="2403"/>
      <c r="X7" s="2212" t="s">
        <v>15</v>
      </c>
      <c r="Y7" s="2212"/>
      <c r="Z7" s="2212"/>
      <c r="AA7" s="2401" t="s">
        <v>16</v>
      </c>
      <c r="AB7" s="2401"/>
      <c r="AC7" s="2215" t="s">
        <v>17</v>
      </c>
      <c r="AD7" s="2216"/>
      <c r="AE7" s="2216"/>
      <c r="AF7" s="3644"/>
      <c r="AG7" s="2359" t="s">
        <v>18</v>
      </c>
      <c r="AH7" s="2360"/>
      <c r="AI7" s="2360"/>
      <c r="AJ7" s="2360"/>
      <c r="AK7" s="2360"/>
      <c r="AL7" s="3140"/>
      <c r="AM7" s="2218" t="s">
        <v>19</v>
      </c>
      <c r="AN7" s="2218"/>
      <c r="AO7" s="2218"/>
      <c r="AP7" s="2986" t="s">
        <v>20</v>
      </c>
      <c r="AQ7" s="2405" t="s">
        <v>21</v>
      </c>
      <c r="AR7" s="2405" t="s">
        <v>22</v>
      </c>
      <c r="AS7" s="2251" t="s">
        <v>23</v>
      </c>
    </row>
    <row r="8" spans="1:45" ht="144.75" x14ac:dyDescent="0.25">
      <c r="A8" s="1070" t="s">
        <v>24</v>
      </c>
      <c r="B8" s="18" t="s">
        <v>25</v>
      </c>
      <c r="C8" s="1070" t="s">
        <v>24</v>
      </c>
      <c r="D8" s="18" t="s">
        <v>25</v>
      </c>
      <c r="E8" s="18" t="s">
        <v>24</v>
      </c>
      <c r="F8" s="18" t="s">
        <v>25</v>
      </c>
      <c r="G8" s="18" t="s">
        <v>26</v>
      </c>
      <c r="H8" s="18" t="s">
        <v>27</v>
      </c>
      <c r="I8" s="18" t="s">
        <v>28</v>
      </c>
      <c r="J8" s="18" t="s">
        <v>122</v>
      </c>
      <c r="K8" s="18" t="s">
        <v>26</v>
      </c>
      <c r="L8" s="18" t="s">
        <v>30</v>
      </c>
      <c r="M8" s="18" t="s">
        <v>31</v>
      </c>
      <c r="N8" s="923" t="s">
        <v>32</v>
      </c>
      <c r="O8" s="18" t="s">
        <v>185</v>
      </c>
      <c r="P8" s="18" t="s">
        <v>34</v>
      </c>
      <c r="Q8" s="18" t="s">
        <v>35</v>
      </c>
      <c r="R8" s="1248" t="s">
        <v>36</v>
      </c>
      <c r="S8" s="1249" t="s">
        <v>37</v>
      </c>
      <c r="T8" s="18" t="s">
        <v>38</v>
      </c>
      <c r="U8" s="18" t="s">
        <v>39</v>
      </c>
      <c r="V8" s="18" t="s">
        <v>40</v>
      </c>
      <c r="W8" s="1249" t="s">
        <v>1652</v>
      </c>
      <c r="X8" s="18" t="s">
        <v>42</v>
      </c>
      <c r="Y8" s="1070" t="s">
        <v>43</v>
      </c>
      <c r="Z8" s="18" t="s">
        <v>25</v>
      </c>
      <c r="AA8" s="142" t="s">
        <v>44</v>
      </c>
      <c r="AB8" s="1041" t="s">
        <v>45</v>
      </c>
      <c r="AC8" s="142" t="s">
        <v>46</v>
      </c>
      <c r="AD8" s="142" t="s">
        <v>47</v>
      </c>
      <c r="AE8" s="142" t="s">
        <v>188</v>
      </c>
      <c r="AF8" s="142" t="s">
        <v>49</v>
      </c>
      <c r="AG8" s="142" t="s">
        <v>50</v>
      </c>
      <c r="AH8" s="142" t="s">
        <v>51</v>
      </c>
      <c r="AI8" s="142" t="s">
        <v>52</v>
      </c>
      <c r="AJ8" s="142" t="s">
        <v>53</v>
      </c>
      <c r="AK8" s="142" t="s">
        <v>54</v>
      </c>
      <c r="AL8" s="142" t="s">
        <v>55</v>
      </c>
      <c r="AM8" s="142" t="s">
        <v>56</v>
      </c>
      <c r="AN8" s="142" t="s">
        <v>57</v>
      </c>
      <c r="AO8" s="142" t="s">
        <v>58</v>
      </c>
      <c r="AP8" s="2987"/>
      <c r="AQ8" s="2405"/>
      <c r="AR8" s="2405"/>
      <c r="AS8" s="2251"/>
    </row>
    <row r="9" spans="1:45" ht="15.75" x14ac:dyDescent="0.25">
      <c r="A9" s="1287"/>
      <c r="B9" s="1288"/>
      <c r="C9" s="1288"/>
      <c r="D9" s="1288"/>
      <c r="E9" s="1288"/>
      <c r="F9" s="1288"/>
      <c r="G9" s="1288"/>
      <c r="H9" s="1288"/>
      <c r="I9" s="1288"/>
      <c r="J9" s="1288"/>
      <c r="K9" s="1289"/>
      <c r="L9" s="1289"/>
      <c r="M9" s="1289"/>
      <c r="N9" s="1288"/>
      <c r="O9" s="1288"/>
      <c r="P9" s="1288"/>
      <c r="Q9" s="1288"/>
      <c r="R9" s="1290"/>
      <c r="S9" s="1291"/>
      <c r="T9" s="1288"/>
      <c r="U9" s="1288"/>
      <c r="V9" s="1288"/>
      <c r="W9" s="1291"/>
      <c r="X9" s="1291"/>
      <c r="Y9" s="1287"/>
      <c r="Z9" s="1288"/>
      <c r="AA9" s="1292"/>
      <c r="AB9" s="1293"/>
      <c r="AC9" s="1292"/>
      <c r="AD9" s="1292"/>
      <c r="AE9" s="1292"/>
      <c r="AF9" s="1292"/>
      <c r="AG9" s="1292"/>
      <c r="AH9" s="1292"/>
      <c r="AI9" s="1292"/>
      <c r="AJ9" s="1292"/>
      <c r="AK9" s="1292"/>
      <c r="AL9" s="1292"/>
      <c r="AM9" s="1292"/>
      <c r="AN9" s="1292"/>
      <c r="AO9" s="1292"/>
      <c r="AP9" s="1292"/>
      <c r="AQ9" s="1294"/>
      <c r="AR9" s="1294"/>
      <c r="AS9" s="1295"/>
    </row>
    <row r="10" spans="1:45" ht="15.75" x14ac:dyDescent="0.25">
      <c r="A10" s="1296">
        <v>1</v>
      </c>
      <c r="B10" s="3852" t="s">
        <v>390</v>
      </c>
      <c r="C10" s="3852"/>
      <c r="D10" s="3852"/>
      <c r="E10" s="3852"/>
      <c r="F10" s="3852"/>
      <c r="G10" s="3852"/>
      <c r="H10" s="3852"/>
      <c r="I10" s="3852"/>
      <c r="J10" s="1297"/>
      <c r="K10" s="1298" t="s">
        <v>134</v>
      </c>
      <c r="L10" s="1298"/>
      <c r="M10" s="1298" t="s">
        <v>134</v>
      </c>
      <c r="N10" s="1298"/>
      <c r="O10" s="1298" t="s">
        <v>134</v>
      </c>
      <c r="P10" s="1298" t="s">
        <v>134</v>
      </c>
      <c r="Q10" s="1298" t="s">
        <v>134</v>
      </c>
      <c r="R10" s="1298" t="s">
        <v>134</v>
      </c>
      <c r="S10" s="1298" t="s">
        <v>134</v>
      </c>
      <c r="T10" s="1298" t="s">
        <v>134</v>
      </c>
      <c r="U10" s="1298" t="s">
        <v>134</v>
      </c>
      <c r="V10" s="1298" t="s">
        <v>134</v>
      </c>
      <c r="W10" s="1298" t="s">
        <v>134</v>
      </c>
      <c r="X10" s="1298" t="s">
        <v>134</v>
      </c>
      <c r="Y10" s="1298" t="s">
        <v>134</v>
      </c>
      <c r="Z10" s="1298" t="s">
        <v>134</v>
      </c>
      <c r="AA10" s="1298" t="s">
        <v>134</v>
      </c>
      <c r="AB10" s="1298" t="s">
        <v>134</v>
      </c>
      <c r="AC10" s="1298" t="s">
        <v>134</v>
      </c>
      <c r="AD10" s="1298" t="s">
        <v>134</v>
      </c>
      <c r="AE10" s="1298" t="s">
        <v>134</v>
      </c>
      <c r="AF10" s="1298" t="s">
        <v>134</v>
      </c>
      <c r="AG10" s="1298" t="s">
        <v>134</v>
      </c>
      <c r="AH10" s="1298" t="s">
        <v>134</v>
      </c>
      <c r="AI10" s="1298" t="s">
        <v>134</v>
      </c>
      <c r="AJ10" s="1298" t="s">
        <v>134</v>
      </c>
      <c r="AK10" s="1298" t="s">
        <v>134</v>
      </c>
      <c r="AL10" s="1298" t="s">
        <v>134</v>
      </c>
      <c r="AM10" s="1298" t="s">
        <v>134</v>
      </c>
      <c r="AN10" s="1298" t="s">
        <v>134</v>
      </c>
      <c r="AO10" s="1298" t="s">
        <v>134</v>
      </c>
      <c r="AP10" s="1298" t="s">
        <v>134</v>
      </c>
      <c r="AQ10" s="1298" t="s">
        <v>134</v>
      </c>
      <c r="AR10" s="1298" t="s">
        <v>134</v>
      </c>
      <c r="AS10" s="1299" t="s">
        <v>134</v>
      </c>
    </row>
    <row r="11" spans="1:45" ht="15.75" x14ac:dyDescent="0.25">
      <c r="A11" s="1300"/>
      <c r="B11" s="1301"/>
      <c r="C11" s="1302">
        <v>43</v>
      </c>
      <c r="D11" s="3609" t="s">
        <v>473</v>
      </c>
      <c r="E11" s="2531"/>
      <c r="F11" s="2531"/>
      <c r="G11" s="2531"/>
      <c r="H11" s="2531"/>
      <c r="I11" s="2531"/>
      <c r="J11" s="2531"/>
      <c r="K11" s="2531"/>
      <c r="L11" s="2531"/>
      <c r="M11" s="2531"/>
      <c r="N11" s="1071"/>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4"/>
    </row>
    <row r="12" spans="1:45" ht="15.75" x14ac:dyDescent="0.25">
      <c r="A12" s="1069"/>
      <c r="B12" s="1305" t="s">
        <v>134</v>
      </c>
      <c r="C12" s="1306"/>
      <c r="D12" s="1305"/>
      <c r="E12" s="52">
        <v>4301</v>
      </c>
      <c r="F12" s="3853" t="s">
        <v>474</v>
      </c>
      <c r="G12" s="3854"/>
      <c r="H12" s="3854"/>
      <c r="I12" s="3854"/>
      <c r="J12" s="3854"/>
      <c r="K12" s="3854"/>
      <c r="L12" s="3854"/>
      <c r="M12" s="3854"/>
      <c r="N12" s="3854"/>
      <c r="O12" s="3854"/>
      <c r="P12" s="3854"/>
      <c r="Q12" s="3854"/>
      <c r="R12" s="3854"/>
      <c r="S12" s="3854"/>
      <c r="T12" s="3854"/>
      <c r="U12" s="1307" t="s">
        <v>134</v>
      </c>
      <c r="V12" s="1307" t="s">
        <v>134</v>
      </c>
      <c r="W12" s="1307" t="s">
        <v>134</v>
      </c>
      <c r="X12" s="1307" t="s">
        <v>134</v>
      </c>
      <c r="Y12" s="1307" t="s">
        <v>134</v>
      </c>
      <c r="Z12" s="1307" t="s">
        <v>134</v>
      </c>
      <c r="AA12" s="1308" t="s">
        <v>134</v>
      </c>
      <c r="AB12" s="1308" t="s">
        <v>134</v>
      </c>
      <c r="AC12" s="1308" t="s">
        <v>134</v>
      </c>
      <c r="AD12" s="1308" t="s">
        <v>134</v>
      </c>
      <c r="AE12" s="1308" t="s">
        <v>134</v>
      </c>
      <c r="AF12" s="1308" t="s">
        <v>134</v>
      </c>
      <c r="AG12" s="1308" t="s">
        <v>134</v>
      </c>
      <c r="AH12" s="1308" t="s">
        <v>134</v>
      </c>
      <c r="AI12" s="1308" t="s">
        <v>134</v>
      </c>
      <c r="AJ12" s="1308" t="s">
        <v>134</v>
      </c>
      <c r="AK12" s="1308" t="s">
        <v>134</v>
      </c>
      <c r="AL12" s="1308" t="s">
        <v>134</v>
      </c>
      <c r="AM12" s="1308" t="s">
        <v>134</v>
      </c>
      <c r="AN12" s="1308" t="s">
        <v>134</v>
      </c>
      <c r="AO12" s="1308" t="s">
        <v>134</v>
      </c>
      <c r="AP12" s="1308" t="s">
        <v>134</v>
      </c>
      <c r="AQ12" s="1308" t="s">
        <v>134</v>
      </c>
      <c r="AR12" s="1308" t="s">
        <v>134</v>
      </c>
      <c r="AS12" s="1309" t="s">
        <v>134</v>
      </c>
    </row>
    <row r="13" spans="1:45" ht="37.5" customHeight="1" x14ac:dyDescent="0.25">
      <c r="A13" s="1310"/>
      <c r="B13" s="1305"/>
      <c r="C13" s="1311"/>
      <c r="D13" s="1312"/>
      <c r="E13" s="3850" t="s">
        <v>134</v>
      </c>
      <c r="F13" s="3850" t="s">
        <v>134</v>
      </c>
      <c r="G13" s="2364">
        <v>4301007</v>
      </c>
      <c r="H13" s="2387" t="s">
        <v>1571</v>
      </c>
      <c r="I13" s="2364">
        <v>4301007</v>
      </c>
      <c r="J13" s="2387" t="s">
        <v>1571</v>
      </c>
      <c r="K13" s="2364">
        <v>430100701</v>
      </c>
      <c r="L13" s="2387" t="s">
        <v>1572</v>
      </c>
      <c r="M13" s="2364">
        <v>430100701</v>
      </c>
      <c r="N13" s="2387" t="s">
        <v>1572</v>
      </c>
      <c r="O13" s="3596">
        <v>12</v>
      </c>
      <c r="P13" s="3855">
        <v>2020003630009</v>
      </c>
      <c r="Q13" s="3859" t="s">
        <v>1570</v>
      </c>
      <c r="R13" s="3862">
        <f>SUM(W13:W22)/S13</f>
        <v>0.49964515797410991</v>
      </c>
      <c r="S13" s="3867">
        <f>SUM(W13:W51)</f>
        <v>5326871683.9799995</v>
      </c>
      <c r="T13" s="3859" t="s">
        <v>1653</v>
      </c>
      <c r="U13" s="3859" t="s">
        <v>1654</v>
      </c>
      <c r="V13" s="3860" t="s">
        <v>1655</v>
      </c>
      <c r="W13" s="1313">
        <v>745120983.30999994</v>
      </c>
      <c r="X13" s="1094" t="s">
        <v>1574</v>
      </c>
      <c r="Y13" s="1094">
        <v>5</v>
      </c>
      <c r="Z13" s="1094" t="s">
        <v>1573</v>
      </c>
      <c r="AA13" s="3868">
        <v>6991</v>
      </c>
      <c r="AB13" s="3503">
        <v>6453</v>
      </c>
      <c r="AC13" s="3503">
        <v>0</v>
      </c>
      <c r="AD13" s="3503">
        <v>0</v>
      </c>
      <c r="AE13" s="3503">
        <v>0</v>
      </c>
      <c r="AF13" s="3503">
        <v>0</v>
      </c>
      <c r="AG13" s="3503">
        <v>0</v>
      </c>
      <c r="AH13" s="3503">
        <v>0</v>
      </c>
      <c r="AI13" s="3503">
        <v>0</v>
      </c>
      <c r="AJ13" s="3503">
        <v>0</v>
      </c>
      <c r="AK13" s="3503">
        <v>0</v>
      </c>
      <c r="AL13" s="3503">
        <v>0</v>
      </c>
      <c r="AM13" s="3503">
        <v>0</v>
      </c>
      <c r="AN13" s="3503">
        <v>0</v>
      </c>
      <c r="AO13" s="3503">
        <v>0</v>
      </c>
      <c r="AP13" s="3503">
        <f>SUM(AA13:AO51)</f>
        <v>13444</v>
      </c>
      <c r="AQ13" s="2180">
        <v>44200</v>
      </c>
      <c r="AR13" s="2180">
        <v>44560</v>
      </c>
      <c r="AS13" s="3503" t="s">
        <v>1656</v>
      </c>
    </row>
    <row r="14" spans="1:45" ht="37.5" customHeight="1" x14ac:dyDescent="0.25">
      <c r="A14" s="1310"/>
      <c r="B14" s="1305"/>
      <c r="C14" s="1311"/>
      <c r="D14" s="1312"/>
      <c r="E14" s="3850"/>
      <c r="F14" s="3850"/>
      <c r="G14" s="2364"/>
      <c r="H14" s="3851"/>
      <c r="I14" s="2364"/>
      <c r="J14" s="3851"/>
      <c r="K14" s="2364"/>
      <c r="L14" s="3851"/>
      <c r="M14" s="2364"/>
      <c r="N14" s="3851"/>
      <c r="O14" s="3596"/>
      <c r="P14" s="3855"/>
      <c r="Q14" s="3859"/>
      <c r="R14" s="3862"/>
      <c r="S14" s="3867"/>
      <c r="T14" s="3859"/>
      <c r="U14" s="3859"/>
      <c r="V14" s="3861"/>
      <c r="W14" s="1313">
        <v>460056673.81</v>
      </c>
      <c r="X14" s="1094" t="s">
        <v>1576</v>
      </c>
      <c r="Y14" s="1094">
        <v>25</v>
      </c>
      <c r="Z14" s="1094" t="s">
        <v>1575</v>
      </c>
      <c r="AA14" s="3868"/>
      <c r="AB14" s="3503"/>
      <c r="AC14" s="3503"/>
      <c r="AD14" s="3503"/>
      <c r="AE14" s="3503"/>
      <c r="AF14" s="3503"/>
      <c r="AG14" s="3503"/>
      <c r="AH14" s="3503"/>
      <c r="AI14" s="3503"/>
      <c r="AJ14" s="3503"/>
      <c r="AK14" s="3503"/>
      <c r="AL14" s="3503"/>
      <c r="AM14" s="3503"/>
      <c r="AN14" s="3503"/>
      <c r="AO14" s="3503"/>
      <c r="AP14" s="3503"/>
      <c r="AQ14" s="2180"/>
      <c r="AR14" s="2180"/>
      <c r="AS14" s="3503"/>
    </row>
    <row r="15" spans="1:45" ht="66" customHeight="1" x14ac:dyDescent="0.25">
      <c r="A15" s="1310"/>
      <c r="B15" s="1305"/>
      <c r="C15" s="1311"/>
      <c r="D15" s="1312"/>
      <c r="E15" s="3850"/>
      <c r="F15" s="3850"/>
      <c r="G15" s="2364"/>
      <c r="H15" s="3851"/>
      <c r="I15" s="2364"/>
      <c r="J15" s="3851"/>
      <c r="K15" s="2364"/>
      <c r="L15" s="3851"/>
      <c r="M15" s="2364"/>
      <c r="N15" s="3851"/>
      <c r="O15" s="3596"/>
      <c r="P15" s="3855"/>
      <c r="Q15" s="3859"/>
      <c r="R15" s="3862"/>
      <c r="S15" s="3867"/>
      <c r="T15" s="3859"/>
      <c r="U15" s="3859"/>
      <c r="V15" s="1314" t="s">
        <v>1657</v>
      </c>
      <c r="W15" s="1313">
        <v>602703853</v>
      </c>
      <c r="X15" s="1094" t="s">
        <v>1578</v>
      </c>
      <c r="Y15" s="1094">
        <v>28</v>
      </c>
      <c r="Z15" s="1094" t="s">
        <v>1577</v>
      </c>
      <c r="AA15" s="3868"/>
      <c r="AB15" s="3503"/>
      <c r="AC15" s="3503"/>
      <c r="AD15" s="3503"/>
      <c r="AE15" s="3503"/>
      <c r="AF15" s="3503"/>
      <c r="AG15" s="3503"/>
      <c r="AH15" s="3503"/>
      <c r="AI15" s="3503"/>
      <c r="AJ15" s="3503"/>
      <c r="AK15" s="3503"/>
      <c r="AL15" s="3503"/>
      <c r="AM15" s="3503"/>
      <c r="AN15" s="3503"/>
      <c r="AO15" s="3503"/>
      <c r="AP15" s="3503"/>
      <c r="AQ15" s="2180"/>
      <c r="AR15" s="2180"/>
      <c r="AS15" s="3503"/>
    </row>
    <row r="16" spans="1:45" ht="74.25" customHeight="1" x14ac:dyDescent="0.25">
      <c r="A16" s="1310"/>
      <c r="B16" s="1305"/>
      <c r="C16" s="1311"/>
      <c r="D16" s="1312"/>
      <c r="E16" s="3850"/>
      <c r="F16" s="3850"/>
      <c r="G16" s="2364"/>
      <c r="H16" s="3851"/>
      <c r="I16" s="2364"/>
      <c r="J16" s="3851"/>
      <c r="K16" s="2364"/>
      <c r="L16" s="3851"/>
      <c r="M16" s="2364"/>
      <c r="N16" s="3851"/>
      <c r="O16" s="3596"/>
      <c r="P16" s="3855"/>
      <c r="Q16" s="3859"/>
      <c r="R16" s="3862"/>
      <c r="S16" s="3867"/>
      <c r="T16" s="3859"/>
      <c r="U16" s="3859"/>
      <c r="V16" s="3857" t="s">
        <v>1658</v>
      </c>
      <c r="W16" s="1313">
        <v>145384615</v>
      </c>
      <c r="X16" s="1094" t="s">
        <v>1580</v>
      </c>
      <c r="Y16" s="1094">
        <v>7</v>
      </c>
      <c r="Z16" s="1094" t="s">
        <v>1579</v>
      </c>
      <c r="AA16" s="3868"/>
      <c r="AB16" s="3503"/>
      <c r="AC16" s="3503"/>
      <c r="AD16" s="3503"/>
      <c r="AE16" s="3503"/>
      <c r="AF16" s="3503"/>
      <c r="AG16" s="3503"/>
      <c r="AH16" s="3503"/>
      <c r="AI16" s="3503"/>
      <c r="AJ16" s="3503"/>
      <c r="AK16" s="3503"/>
      <c r="AL16" s="3503"/>
      <c r="AM16" s="3503"/>
      <c r="AN16" s="3503"/>
      <c r="AO16" s="3503"/>
      <c r="AP16" s="3503"/>
      <c r="AQ16" s="3503"/>
      <c r="AR16" s="3503"/>
      <c r="AS16" s="3503"/>
    </row>
    <row r="17" spans="1:45" ht="74.25" customHeight="1" x14ac:dyDescent="0.25">
      <c r="A17" s="1310"/>
      <c r="B17" s="1305"/>
      <c r="C17" s="1311"/>
      <c r="D17" s="1312"/>
      <c r="E17" s="3850"/>
      <c r="F17" s="3850"/>
      <c r="G17" s="2364"/>
      <c r="H17" s="3851"/>
      <c r="I17" s="2364"/>
      <c r="J17" s="3851"/>
      <c r="K17" s="2364"/>
      <c r="L17" s="3851"/>
      <c r="M17" s="2364"/>
      <c r="N17" s="3851"/>
      <c r="O17" s="3596"/>
      <c r="P17" s="3855"/>
      <c r="Q17" s="3859"/>
      <c r="R17" s="3862"/>
      <c r="S17" s="3867"/>
      <c r="T17" s="3859"/>
      <c r="U17" s="3859"/>
      <c r="V17" s="3857"/>
      <c r="W17" s="1313">
        <v>229425464</v>
      </c>
      <c r="X17" s="1094" t="s">
        <v>1581</v>
      </c>
      <c r="Y17" s="1094">
        <v>28</v>
      </c>
      <c r="Z17" s="1094" t="s">
        <v>1577</v>
      </c>
      <c r="AA17" s="3868"/>
      <c r="AB17" s="3503"/>
      <c r="AC17" s="3503"/>
      <c r="AD17" s="3503"/>
      <c r="AE17" s="3503"/>
      <c r="AF17" s="3503"/>
      <c r="AG17" s="3503"/>
      <c r="AH17" s="3503"/>
      <c r="AI17" s="3503"/>
      <c r="AJ17" s="3503"/>
      <c r="AK17" s="3503"/>
      <c r="AL17" s="3503"/>
      <c r="AM17" s="3503"/>
      <c r="AN17" s="3503"/>
      <c r="AO17" s="3503"/>
      <c r="AP17" s="3503"/>
      <c r="AQ17" s="3503"/>
      <c r="AR17" s="3503"/>
      <c r="AS17" s="3503"/>
    </row>
    <row r="18" spans="1:45" ht="74.25" customHeight="1" x14ac:dyDescent="0.25">
      <c r="A18" s="1310"/>
      <c r="B18" s="1305" t="s">
        <v>134</v>
      </c>
      <c r="C18" s="1311"/>
      <c r="D18" s="1312"/>
      <c r="E18" s="3850"/>
      <c r="F18" s="3850"/>
      <c r="G18" s="2364"/>
      <c r="H18" s="3851"/>
      <c r="I18" s="2364"/>
      <c r="J18" s="3851"/>
      <c r="K18" s="2364"/>
      <c r="L18" s="3851"/>
      <c r="M18" s="2364"/>
      <c r="N18" s="3851"/>
      <c r="O18" s="3596"/>
      <c r="P18" s="3855"/>
      <c r="Q18" s="3859"/>
      <c r="R18" s="3862"/>
      <c r="S18" s="3867"/>
      <c r="T18" s="3859"/>
      <c r="U18" s="3859"/>
      <c r="V18" s="3857"/>
      <c r="W18" s="1313">
        <v>60000000</v>
      </c>
      <c r="X18" s="1094" t="s">
        <v>1583</v>
      </c>
      <c r="Y18" s="1094">
        <v>12</v>
      </c>
      <c r="Z18" s="1094" t="s">
        <v>1582</v>
      </c>
      <c r="AA18" s="3868"/>
      <c r="AB18" s="3503"/>
      <c r="AC18" s="3503"/>
      <c r="AD18" s="3503"/>
      <c r="AE18" s="3503"/>
      <c r="AF18" s="3503"/>
      <c r="AG18" s="3503"/>
      <c r="AH18" s="3503"/>
      <c r="AI18" s="3503"/>
      <c r="AJ18" s="3503"/>
      <c r="AK18" s="3503"/>
      <c r="AL18" s="3503"/>
      <c r="AM18" s="3503"/>
      <c r="AN18" s="3503"/>
      <c r="AO18" s="3503"/>
      <c r="AP18" s="3503"/>
      <c r="AQ18" s="3503"/>
      <c r="AR18" s="3503"/>
      <c r="AS18" s="3503"/>
    </row>
    <row r="19" spans="1:45" ht="37.5" customHeight="1" x14ac:dyDescent="0.25">
      <c r="A19" s="1310"/>
      <c r="B19" s="1305"/>
      <c r="C19" s="1311"/>
      <c r="D19" s="1312"/>
      <c r="E19" s="3850"/>
      <c r="F19" s="3850"/>
      <c r="G19" s="2364"/>
      <c r="H19" s="3851"/>
      <c r="I19" s="2364"/>
      <c r="J19" s="3851"/>
      <c r="K19" s="2364"/>
      <c r="L19" s="3851"/>
      <c r="M19" s="2364"/>
      <c r="N19" s="3851"/>
      <c r="O19" s="3596"/>
      <c r="P19" s="3855"/>
      <c r="Q19" s="3859"/>
      <c r="R19" s="3862"/>
      <c r="S19" s="3867"/>
      <c r="T19" s="3859"/>
      <c r="U19" s="3859"/>
      <c r="V19" s="3857" t="s">
        <v>1659</v>
      </c>
      <c r="W19" s="1313">
        <v>38625517.93</v>
      </c>
      <c r="X19" s="1094" t="s">
        <v>1584</v>
      </c>
      <c r="Y19" s="1094">
        <v>12</v>
      </c>
      <c r="Z19" s="1094" t="s">
        <v>1582</v>
      </c>
      <c r="AA19" s="3868"/>
      <c r="AB19" s="3503"/>
      <c r="AC19" s="3503"/>
      <c r="AD19" s="3503"/>
      <c r="AE19" s="3503"/>
      <c r="AF19" s="3503"/>
      <c r="AG19" s="3503"/>
      <c r="AH19" s="3503"/>
      <c r="AI19" s="3503"/>
      <c r="AJ19" s="3503"/>
      <c r="AK19" s="3503"/>
      <c r="AL19" s="3503"/>
      <c r="AM19" s="3503"/>
      <c r="AN19" s="3503"/>
      <c r="AO19" s="3503"/>
      <c r="AP19" s="3503"/>
      <c r="AQ19" s="3503"/>
      <c r="AR19" s="3503"/>
      <c r="AS19" s="3503"/>
    </row>
    <row r="20" spans="1:45" ht="37.5" customHeight="1" x14ac:dyDescent="0.25">
      <c r="A20" s="1310"/>
      <c r="B20" s="1305"/>
      <c r="C20" s="1311"/>
      <c r="D20" s="1312"/>
      <c r="E20" s="1315"/>
      <c r="F20" s="1315"/>
      <c r="G20" s="2364"/>
      <c r="H20" s="3851"/>
      <c r="I20" s="2364"/>
      <c r="J20" s="3851"/>
      <c r="K20" s="2364"/>
      <c r="L20" s="3851"/>
      <c r="M20" s="2364"/>
      <c r="N20" s="3851"/>
      <c r="O20" s="3596"/>
      <c r="P20" s="3855"/>
      <c r="Q20" s="3859"/>
      <c r="R20" s="3862"/>
      <c r="S20" s="3867"/>
      <c r="T20" s="3859"/>
      <c r="U20" s="3859"/>
      <c r="V20" s="3857"/>
      <c r="W20" s="1313">
        <v>285613152</v>
      </c>
      <c r="X20" s="1094" t="s">
        <v>1585</v>
      </c>
      <c r="Y20" s="1094">
        <v>28</v>
      </c>
      <c r="Z20" s="1094" t="s">
        <v>1577</v>
      </c>
      <c r="AA20" s="3868"/>
      <c r="AB20" s="3503"/>
      <c r="AC20" s="3503"/>
      <c r="AD20" s="3503"/>
      <c r="AE20" s="3503"/>
      <c r="AF20" s="3503"/>
      <c r="AG20" s="3503"/>
      <c r="AH20" s="3503"/>
      <c r="AI20" s="3503"/>
      <c r="AJ20" s="3503"/>
      <c r="AK20" s="3503"/>
      <c r="AL20" s="3503"/>
      <c r="AM20" s="3503"/>
      <c r="AN20" s="3503"/>
      <c r="AO20" s="3503"/>
      <c r="AP20" s="3503"/>
      <c r="AQ20" s="3503"/>
      <c r="AR20" s="3503"/>
      <c r="AS20" s="3503"/>
    </row>
    <row r="21" spans="1:45" ht="37.5" customHeight="1" x14ac:dyDescent="0.25">
      <c r="A21" s="1310"/>
      <c r="B21" s="1305"/>
      <c r="C21" s="1311"/>
      <c r="D21" s="1312"/>
      <c r="E21" s="1110" t="s">
        <v>134</v>
      </c>
      <c r="F21" s="1110" t="s">
        <v>134</v>
      </c>
      <c r="G21" s="2364"/>
      <c r="H21" s="3851"/>
      <c r="I21" s="2364"/>
      <c r="J21" s="3851"/>
      <c r="K21" s="2364"/>
      <c r="L21" s="3851"/>
      <c r="M21" s="2364"/>
      <c r="N21" s="3851"/>
      <c r="O21" s="3596"/>
      <c r="P21" s="3855"/>
      <c r="Q21" s="3859"/>
      <c r="R21" s="3862"/>
      <c r="S21" s="3867"/>
      <c r="T21" s="3859"/>
      <c r="U21" s="3859"/>
      <c r="V21" s="3857"/>
      <c r="W21" s="1313">
        <v>70000000</v>
      </c>
      <c r="X21" s="1094" t="s">
        <v>1586</v>
      </c>
      <c r="Y21" s="1094">
        <v>7</v>
      </c>
      <c r="Z21" s="1094" t="s">
        <v>1579</v>
      </c>
      <c r="AA21" s="3868"/>
      <c r="AB21" s="3503"/>
      <c r="AC21" s="3503"/>
      <c r="AD21" s="3503"/>
      <c r="AE21" s="3503"/>
      <c r="AF21" s="3503"/>
      <c r="AG21" s="3503"/>
      <c r="AH21" s="3503"/>
      <c r="AI21" s="3503"/>
      <c r="AJ21" s="3503"/>
      <c r="AK21" s="3503"/>
      <c r="AL21" s="3503"/>
      <c r="AM21" s="3503"/>
      <c r="AN21" s="3503"/>
      <c r="AO21" s="3503"/>
      <c r="AP21" s="3503"/>
      <c r="AQ21" s="3503"/>
      <c r="AR21" s="3503"/>
      <c r="AS21" s="3503"/>
    </row>
    <row r="22" spans="1:45" ht="37.5" customHeight="1" thickBot="1" x14ac:dyDescent="0.3">
      <c r="A22" s="1069"/>
      <c r="B22" s="1051"/>
      <c r="C22" s="1085"/>
      <c r="D22" s="1086"/>
      <c r="E22" s="73"/>
      <c r="F22" s="73"/>
      <c r="G22" s="2364"/>
      <c r="H22" s="2385"/>
      <c r="I22" s="2364"/>
      <c r="J22" s="2385"/>
      <c r="K22" s="2364"/>
      <c r="L22" s="2385"/>
      <c r="M22" s="2364"/>
      <c r="N22" s="2385"/>
      <c r="O22" s="3596"/>
      <c r="P22" s="3855"/>
      <c r="Q22" s="3859"/>
      <c r="R22" s="3862"/>
      <c r="S22" s="3867"/>
      <c r="T22" s="3859"/>
      <c r="U22" s="3865"/>
      <c r="V22" s="3858"/>
      <c r="W22" s="1316">
        <v>24615385</v>
      </c>
      <c r="X22" s="1317" t="s">
        <v>1587</v>
      </c>
      <c r="Y22" s="1317">
        <v>7</v>
      </c>
      <c r="Z22" s="1317" t="s">
        <v>1579</v>
      </c>
      <c r="AA22" s="3868"/>
      <c r="AB22" s="3503"/>
      <c r="AC22" s="3503"/>
      <c r="AD22" s="3503"/>
      <c r="AE22" s="3503"/>
      <c r="AF22" s="3503"/>
      <c r="AG22" s="3503"/>
      <c r="AH22" s="3503"/>
      <c r="AI22" s="3503"/>
      <c r="AJ22" s="3503"/>
      <c r="AK22" s="3503"/>
      <c r="AL22" s="3503"/>
      <c r="AM22" s="3503"/>
      <c r="AN22" s="3503"/>
      <c r="AO22" s="3503"/>
      <c r="AP22" s="3503"/>
      <c r="AQ22" s="3856"/>
      <c r="AR22" s="3856"/>
      <c r="AS22" s="3856"/>
    </row>
    <row r="23" spans="1:45" ht="37.5" customHeight="1" thickTop="1" x14ac:dyDescent="0.25">
      <c r="A23" s="1069"/>
      <c r="B23" s="1051"/>
      <c r="C23" s="1069"/>
      <c r="D23" s="1051"/>
      <c r="G23" s="2165">
        <v>4301037</v>
      </c>
      <c r="H23" s="2829" t="s">
        <v>1588</v>
      </c>
      <c r="I23" s="2165">
        <v>4301037</v>
      </c>
      <c r="J23" s="2829" t="s">
        <v>1588</v>
      </c>
      <c r="K23" s="2364">
        <v>430103701</v>
      </c>
      <c r="L23" s="2386" t="s">
        <v>1589</v>
      </c>
      <c r="M23" s="2364">
        <v>430103701</v>
      </c>
      <c r="N23" s="2386" t="s">
        <v>1589</v>
      </c>
      <c r="O23" s="3596">
        <v>12</v>
      </c>
      <c r="P23" s="3855"/>
      <c r="Q23" s="3859"/>
      <c r="R23" s="3862">
        <f>SUM(W23:W32)/S13</f>
        <v>8.9363059611816106E-2</v>
      </c>
      <c r="S23" s="3867"/>
      <c r="T23" s="3859"/>
      <c r="U23" s="3863" t="s">
        <v>1660</v>
      </c>
      <c r="V23" s="3866" t="s">
        <v>1661</v>
      </c>
      <c r="W23" s="1318">
        <v>65820060</v>
      </c>
      <c r="X23" s="1319" t="s">
        <v>1590</v>
      </c>
      <c r="Y23" s="1319">
        <v>12</v>
      </c>
      <c r="Z23" s="1319" t="s">
        <v>1582</v>
      </c>
      <c r="AA23" s="3868"/>
      <c r="AB23" s="3503"/>
      <c r="AC23" s="3503"/>
      <c r="AD23" s="3503"/>
      <c r="AE23" s="3503"/>
      <c r="AF23" s="3503"/>
      <c r="AG23" s="3503"/>
      <c r="AH23" s="3503"/>
      <c r="AI23" s="3503"/>
      <c r="AJ23" s="3503"/>
      <c r="AK23" s="3503"/>
      <c r="AL23" s="3503"/>
      <c r="AM23" s="3503"/>
      <c r="AN23" s="3503"/>
      <c r="AO23" s="3503"/>
      <c r="AP23" s="3503"/>
      <c r="AQ23" s="2180">
        <v>44200</v>
      </c>
      <c r="AR23" s="2180">
        <v>44560</v>
      </c>
      <c r="AS23" s="3503" t="s">
        <v>1656</v>
      </c>
    </row>
    <row r="24" spans="1:45" ht="37.5" customHeight="1" x14ac:dyDescent="0.25">
      <c r="A24" s="1069"/>
      <c r="B24" s="1051"/>
      <c r="C24" s="1069"/>
      <c r="D24" s="1051"/>
      <c r="G24" s="2165"/>
      <c r="H24" s="2824"/>
      <c r="I24" s="2165"/>
      <c r="J24" s="2824"/>
      <c r="K24" s="2364"/>
      <c r="L24" s="2386"/>
      <c r="M24" s="2364"/>
      <c r="N24" s="2386"/>
      <c r="O24" s="3596"/>
      <c r="P24" s="3855"/>
      <c r="Q24" s="3859"/>
      <c r="R24" s="3862"/>
      <c r="S24" s="3867"/>
      <c r="T24" s="3859"/>
      <c r="U24" s="3859"/>
      <c r="V24" s="3857"/>
      <c r="W24" s="1313">
        <v>40000000</v>
      </c>
      <c r="X24" s="1094" t="s">
        <v>1592</v>
      </c>
      <c r="Y24" s="1094">
        <v>24</v>
      </c>
      <c r="Z24" s="1099" t="s">
        <v>1591</v>
      </c>
      <c r="AA24" s="3868"/>
      <c r="AB24" s="3503"/>
      <c r="AC24" s="3503"/>
      <c r="AD24" s="3503"/>
      <c r="AE24" s="3503"/>
      <c r="AF24" s="3503"/>
      <c r="AG24" s="3503"/>
      <c r="AH24" s="3503"/>
      <c r="AI24" s="3503"/>
      <c r="AJ24" s="3503"/>
      <c r="AK24" s="3503"/>
      <c r="AL24" s="3503"/>
      <c r="AM24" s="3503"/>
      <c r="AN24" s="3503"/>
      <c r="AO24" s="3503"/>
      <c r="AP24" s="3503"/>
      <c r="AQ24" s="2180"/>
      <c r="AR24" s="2180"/>
      <c r="AS24" s="3503"/>
    </row>
    <row r="25" spans="1:45" ht="37.5" customHeight="1" x14ac:dyDescent="0.25">
      <c r="A25" s="1069"/>
      <c r="B25" s="1051"/>
      <c r="C25" s="1069"/>
      <c r="D25" s="1051"/>
      <c r="G25" s="2165"/>
      <c r="H25" s="2824"/>
      <c r="I25" s="2165"/>
      <c r="J25" s="2824"/>
      <c r="K25" s="2364"/>
      <c r="L25" s="2386"/>
      <c r="M25" s="2364"/>
      <c r="N25" s="2386"/>
      <c r="O25" s="3596"/>
      <c r="P25" s="3855"/>
      <c r="Q25" s="3859"/>
      <c r="R25" s="3862"/>
      <c r="S25" s="3867"/>
      <c r="T25" s="3859"/>
      <c r="U25" s="3859"/>
      <c r="V25" s="3857"/>
      <c r="W25" s="1313">
        <v>75000000</v>
      </c>
      <c r="X25" s="1094" t="s">
        <v>1593</v>
      </c>
      <c r="Y25" s="1094">
        <v>7</v>
      </c>
      <c r="Z25" s="1094" t="s">
        <v>1579</v>
      </c>
      <c r="AA25" s="3868"/>
      <c r="AB25" s="3503"/>
      <c r="AC25" s="3503"/>
      <c r="AD25" s="3503"/>
      <c r="AE25" s="3503"/>
      <c r="AF25" s="3503"/>
      <c r="AG25" s="3503"/>
      <c r="AH25" s="3503"/>
      <c r="AI25" s="3503"/>
      <c r="AJ25" s="3503"/>
      <c r="AK25" s="3503"/>
      <c r="AL25" s="3503"/>
      <c r="AM25" s="3503"/>
      <c r="AN25" s="3503"/>
      <c r="AO25" s="3503"/>
      <c r="AP25" s="3503"/>
      <c r="AQ25" s="3503"/>
      <c r="AR25" s="3503"/>
      <c r="AS25" s="3503"/>
    </row>
    <row r="26" spans="1:45" ht="37.5" customHeight="1" x14ac:dyDescent="0.25">
      <c r="A26" s="1069"/>
      <c r="B26" s="1051"/>
      <c r="C26" s="1069"/>
      <c r="D26" s="1051"/>
      <c r="G26" s="2165"/>
      <c r="H26" s="2824"/>
      <c r="I26" s="2165"/>
      <c r="J26" s="2824"/>
      <c r="K26" s="2364"/>
      <c r="L26" s="2386"/>
      <c r="M26" s="2364"/>
      <c r="N26" s="2386"/>
      <c r="O26" s="3596"/>
      <c r="P26" s="3855"/>
      <c r="Q26" s="3859"/>
      <c r="R26" s="3862"/>
      <c r="S26" s="3867"/>
      <c r="T26" s="3859"/>
      <c r="U26" s="3859"/>
      <c r="V26" s="3857" t="s">
        <v>1662</v>
      </c>
      <c r="W26" s="1313">
        <v>31000000</v>
      </c>
      <c r="X26" s="1094" t="s">
        <v>1594</v>
      </c>
      <c r="Y26" s="1094">
        <v>12</v>
      </c>
      <c r="Z26" s="1094" t="s">
        <v>1582</v>
      </c>
      <c r="AA26" s="3868"/>
      <c r="AB26" s="3503"/>
      <c r="AC26" s="3503"/>
      <c r="AD26" s="3503"/>
      <c r="AE26" s="3503"/>
      <c r="AF26" s="3503"/>
      <c r="AG26" s="3503"/>
      <c r="AH26" s="3503"/>
      <c r="AI26" s="3503"/>
      <c r="AJ26" s="3503"/>
      <c r="AK26" s="3503"/>
      <c r="AL26" s="3503"/>
      <c r="AM26" s="3503"/>
      <c r="AN26" s="3503"/>
      <c r="AO26" s="3503"/>
      <c r="AP26" s="3503"/>
      <c r="AQ26" s="3503"/>
      <c r="AR26" s="3503"/>
      <c r="AS26" s="3503"/>
    </row>
    <row r="27" spans="1:45" ht="37.5" customHeight="1" x14ac:dyDescent="0.25">
      <c r="A27" s="1069"/>
      <c r="B27" s="1051"/>
      <c r="C27" s="1069"/>
      <c r="D27" s="1051"/>
      <c r="G27" s="2165"/>
      <c r="H27" s="2824"/>
      <c r="I27" s="2165"/>
      <c r="J27" s="2824"/>
      <c r="K27" s="2364"/>
      <c r="L27" s="2386"/>
      <c r="M27" s="2364"/>
      <c r="N27" s="2386"/>
      <c r="O27" s="3596"/>
      <c r="P27" s="3855"/>
      <c r="Q27" s="3859"/>
      <c r="R27" s="3862"/>
      <c r="S27" s="3867"/>
      <c r="T27" s="3859"/>
      <c r="U27" s="3859"/>
      <c r="V27" s="3857"/>
      <c r="W27" s="1313">
        <v>50000000</v>
      </c>
      <c r="X27" s="1094" t="s">
        <v>1593</v>
      </c>
      <c r="Y27" s="1094">
        <v>7</v>
      </c>
      <c r="Z27" s="1094" t="s">
        <v>1579</v>
      </c>
      <c r="AA27" s="3868"/>
      <c r="AB27" s="3503"/>
      <c r="AC27" s="3503"/>
      <c r="AD27" s="3503"/>
      <c r="AE27" s="3503"/>
      <c r="AF27" s="3503"/>
      <c r="AG27" s="3503"/>
      <c r="AH27" s="3503"/>
      <c r="AI27" s="3503"/>
      <c r="AJ27" s="3503"/>
      <c r="AK27" s="3503"/>
      <c r="AL27" s="3503"/>
      <c r="AM27" s="3503"/>
      <c r="AN27" s="3503"/>
      <c r="AO27" s="3503"/>
      <c r="AP27" s="3503"/>
      <c r="AQ27" s="3503"/>
      <c r="AR27" s="3503"/>
      <c r="AS27" s="3503"/>
    </row>
    <row r="28" spans="1:45" ht="37.5" customHeight="1" x14ac:dyDescent="0.25">
      <c r="A28" s="1069"/>
      <c r="B28" s="1051"/>
      <c r="C28" s="1069"/>
      <c r="D28" s="1051"/>
      <c r="G28" s="2165"/>
      <c r="H28" s="2824"/>
      <c r="I28" s="2165"/>
      <c r="J28" s="2824"/>
      <c r="K28" s="2364"/>
      <c r="L28" s="2386"/>
      <c r="M28" s="2364"/>
      <c r="N28" s="2386"/>
      <c r="O28" s="3596"/>
      <c r="P28" s="3855"/>
      <c r="Q28" s="3859"/>
      <c r="R28" s="3862"/>
      <c r="S28" s="3867"/>
      <c r="T28" s="3859"/>
      <c r="U28" s="3859"/>
      <c r="V28" s="3857"/>
      <c r="W28" s="1313">
        <v>20000000</v>
      </c>
      <c r="X28" s="1094" t="s">
        <v>1595</v>
      </c>
      <c r="Y28" s="1094">
        <v>7</v>
      </c>
      <c r="Z28" s="1094" t="s">
        <v>1579</v>
      </c>
      <c r="AA28" s="3868"/>
      <c r="AB28" s="3503"/>
      <c r="AC28" s="3503"/>
      <c r="AD28" s="3503"/>
      <c r="AE28" s="3503"/>
      <c r="AF28" s="3503"/>
      <c r="AG28" s="3503"/>
      <c r="AH28" s="3503"/>
      <c r="AI28" s="3503"/>
      <c r="AJ28" s="3503"/>
      <c r="AK28" s="3503"/>
      <c r="AL28" s="3503"/>
      <c r="AM28" s="3503"/>
      <c r="AN28" s="3503"/>
      <c r="AO28" s="3503"/>
      <c r="AP28" s="3503"/>
      <c r="AQ28" s="3503"/>
      <c r="AR28" s="3503"/>
      <c r="AS28" s="3503"/>
    </row>
    <row r="29" spans="1:45" ht="37.5" customHeight="1" x14ac:dyDescent="0.25">
      <c r="A29" s="1069"/>
      <c r="B29" s="1051"/>
      <c r="C29" s="1069"/>
      <c r="D29" s="1051"/>
      <c r="G29" s="2165"/>
      <c r="H29" s="2824"/>
      <c r="I29" s="2165"/>
      <c r="J29" s="2824"/>
      <c r="K29" s="2364"/>
      <c r="L29" s="2386"/>
      <c r="M29" s="2364"/>
      <c r="N29" s="2386"/>
      <c r="O29" s="3596"/>
      <c r="P29" s="3855"/>
      <c r="Q29" s="3859"/>
      <c r="R29" s="3862"/>
      <c r="S29" s="3867"/>
      <c r="T29" s="3859"/>
      <c r="U29" s="3859"/>
      <c r="V29" s="3857" t="s">
        <v>1663</v>
      </c>
      <c r="W29" s="1313">
        <v>80000000</v>
      </c>
      <c r="X29" s="1094" t="s">
        <v>1594</v>
      </c>
      <c r="Y29" s="1094">
        <v>12</v>
      </c>
      <c r="Z29" s="1094" t="s">
        <v>1582</v>
      </c>
      <c r="AA29" s="3868"/>
      <c r="AB29" s="3503"/>
      <c r="AC29" s="3503"/>
      <c r="AD29" s="3503"/>
      <c r="AE29" s="3503"/>
      <c r="AF29" s="3503"/>
      <c r="AG29" s="3503"/>
      <c r="AH29" s="3503"/>
      <c r="AI29" s="3503"/>
      <c r="AJ29" s="3503"/>
      <c r="AK29" s="3503"/>
      <c r="AL29" s="3503"/>
      <c r="AM29" s="3503"/>
      <c r="AN29" s="3503"/>
      <c r="AO29" s="3503"/>
      <c r="AP29" s="3503"/>
      <c r="AQ29" s="3503"/>
      <c r="AR29" s="3503"/>
      <c r="AS29" s="3503"/>
    </row>
    <row r="30" spans="1:45" ht="37.5" customHeight="1" x14ac:dyDescent="0.25">
      <c r="A30" s="1069"/>
      <c r="B30" s="1051"/>
      <c r="C30" s="1069"/>
      <c r="D30" s="1051"/>
      <c r="G30" s="2165"/>
      <c r="H30" s="2824"/>
      <c r="I30" s="2165"/>
      <c r="J30" s="2824"/>
      <c r="K30" s="2364"/>
      <c r="L30" s="2386"/>
      <c r="M30" s="2364"/>
      <c r="N30" s="2386"/>
      <c r="O30" s="3596"/>
      <c r="P30" s="3855"/>
      <c r="Q30" s="3859"/>
      <c r="R30" s="3862"/>
      <c r="S30" s="3867"/>
      <c r="T30" s="3859"/>
      <c r="U30" s="3864"/>
      <c r="V30" s="3860"/>
      <c r="W30" s="1320">
        <v>68338279.909999996</v>
      </c>
      <c r="X30" s="1099" t="s">
        <v>1597</v>
      </c>
      <c r="Y30" s="1099">
        <v>21</v>
      </c>
      <c r="Z30" s="1099" t="s">
        <v>1596</v>
      </c>
      <c r="AA30" s="3868"/>
      <c r="AB30" s="3503"/>
      <c r="AC30" s="3503"/>
      <c r="AD30" s="3503"/>
      <c r="AE30" s="3503"/>
      <c r="AF30" s="3503"/>
      <c r="AG30" s="3503"/>
      <c r="AH30" s="3503"/>
      <c r="AI30" s="3503"/>
      <c r="AJ30" s="3503"/>
      <c r="AK30" s="3503"/>
      <c r="AL30" s="3503"/>
      <c r="AM30" s="3503"/>
      <c r="AN30" s="3503"/>
      <c r="AO30" s="3503"/>
      <c r="AP30" s="3503"/>
      <c r="AQ30" s="3503"/>
      <c r="AR30" s="3503"/>
      <c r="AS30" s="3503"/>
    </row>
    <row r="31" spans="1:45" ht="37.5" customHeight="1" x14ac:dyDescent="0.25">
      <c r="A31" s="1069"/>
      <c r="B31" s="1051"/>
      <c r="C31" s="1069"/>
      <c r="D31" s="1051"/>
      <c r="G31" s="2165"/>
      <c r="H31" s="2824"/>
      <c r="I31" s="2165"/>
      <c r="J31" s="2824"/>
      <c r="K31" s="2364"/>
      <c r="L31" s="2386"/>
      <c r="M31" s="2364"/>
      <c r="N31" s="2386"/>
      <c r="O31" s="3596"/>
      <c r="P31" s="3855"/>
      <c r="Q31" s="3859"/>
      <c r="R31" s="3862"/>
      <c r="S31" s="3867"/>
      <c r="T31" s="3859"/>
      <c r="U31" s="3864"/>
      <c r="V31" s="3860"/>
      <c r="W31" s="1320">
        <v>25867211.93</v>
      </c>
      <c r="X31" s="1099" t="s">
        <v>1599</v>
      </c>
      <c r="Y31" s="1099">
        <v>22</v>
      </c>
      <c r="Z31" s="1099" t="s">
        <v>1598</v>
      </c>
      <c r="AA31" s="3868"/>
      <c r="AB31" s="3503"/>
      <c r="AC31" s="3503"/>
      <c r="AD31" s="3503"/>
      <c r="AE31" s="3503"/>
      <c r="AF31" s="3503"/>
      <c r="AG31" s="3503"/>
      <c r="AH31" s="3503"/>
      <c r="AI31" s="3503"/>
      <c r="AJ31" s="3503"/>
      <c r="AK31" s="3503"/>
      <c r="AL31" s="3503"/>
      <c r="AM31" s="3503"/>
      <c r="AN31" s="3503"/>
      <c r="AO31" s="3503"/>
      <c r="AP31" s="3503"/>
      <c r="AQ31" s="3503"/>
      <c r="AR31" s="3503"/>
      <c r="AS31" s="3503"/>
    </row>
    <row r="32" spans="1:45" ht="37.5" customHeight="1" thickBot="1" x14ac:dyDescent="0.3">
      <c r="A32" s="1069"/>
      <c r="B32" s="1051"/>
      <c r="C32" s="1069"/>
      <c r="D32" s="1051"/>
      <c r="G32" s="2165"/>
      <c r="H32" s="2824"/>
      <c r="I32" s="2165"/>
      <c r="J32" s="2824"/>
      <c r="K32" s="2364"/>
      <c r="L32" s="2386"/>
      <c r="M32" s="2364"/>
      <c r="N32" s="2386"/>
      <c r="O32" s="3596"/>
      <c r="P32" s="3855"/>
      <c r="Q32" s="3859"/>
      <c r="R32" s="3862"/>
      <c r="S32" s="3867"/>
      <c r="T32" s="3859"/>
      <c r="U32" s="3865"/>
      <c r="V32" s="3858"/>
      <c r="W32" s="1316">
        <v>20000000</v>
      </c>
      <c r="X32" s="1317" t="s">
        <v>1600</v>
      </c>
      <c r="Y32" s="1317">
        <v>7</v>
      </c>
      <c r="Z32" s="1317" t="s">
        <v>1579</v>
      </c>
      <c r="AA32" s="3868"/>
      <c r="AB32" s="3503"/>
      <c r="AC32" s="3503"/>
      <c r="AD32" s="3503"/>
      <c r="AE32" s="3503"/>
      <c r="AF32" s="3503"/>
      <c r="AG32" s="3503"/>
      <c r="AH32" s="3503"/>
      <c r="AI32" s="3503"/>
      <c r="AJ32" s="3503"/>
      <c r="AK32" s="3503"/>
      <c r="AL32" s="3503"/>
      <c r="AM32" s="3503"/>
      <c r="AN32" s="3503"/>
      <c r="AO32" s="3503"/>
      <c r="AP32" s="3503"/>
      <c r="AQ32" s="3856"/>
      <c r="AR32" s="3856"/>
      <c r="AS32" s="3856"/>
    </row>
    <row r="33" spans="1:45" ht="37.5" customHeight="1" thickTop="1" x14ac:dyDescent="0.25">
      <c r="A33" s="1069"/>
      <c r="B33" s="1051"/>
      <c r="C33" s="1069"/>
      <c r="D33" s="1051"/>
      <c r="G33" s="2165"/>
      <c r="H33" s="2824"/>
      <c r="I33" s="2165"/>
      <c r="J33" s="2824"/>
      <c r="K33" s="2364">
        <v>430103704</v>
      </c>
      <c r="L33" s="2386" t="s">
        <v>1601</v>
      </c>
      <c r="M33" s="2364">
        <v>430103704</v>
      </c>
      <c r="N33" s="2386" t="s">
        <v>1601</v>
      </c>
      <c r="O33" s="3596">
        <v>12</v>
      </c>
      <c r="P33" s="3855"/>
      <c r="Q33" s="3859"/>
      <c r="R33" s="3862">
        <f>SUM(W33:W48)/S13</f>
        <v>0.39669105742963379</v>
      </c>
      <c r="S33" s="3867"/>
      <c r="T33" s="3859"/>
      <c r="U33" s="3863" t="s">
        <v>1664</v>
      </c>
      <c r="V33" s="3866" t="s">
        <v>1665</v>
      </c>
      <c r="W33" s="1318">
        <v>136127636</v>
      </c>
      <c r="X33" s="1319" t="s">
        <v>1603</v>
      </c>
      <c r="Y33" s="1319">
        <v>4</v>
      </c>
      <c r="Z33" s="1319" t="s">
        <v>1602</v>
      </c>
      <c r="AA33" s="3868"/>
      <c r="AB33" s="3503"/>
      <c r="AC33" s="3503"/>
      <c r="AD33" s="3503"/>
      <c r="AE33" s="3503"/>
      <c r="AF33" s="3503"/>
      <c r="AG33" s="3503"/>
      <c r="AH33" s="3503"/>
      <c r="AI33" s="3503"/>
      <c r="AJ33" s="3503"/>
      <c r="AK33" s="3503"/>
      <c r="AL33" s="3503"/>
      <c r="AM33" s="3503"/>
      <c r="AN33" s="3503"/>
      <c r="AO33" s="3503"/>
      <c r="AP33" s="3503"/>
      <c r="AQ33" s="2180">
        <v>44200</v>
      </c>
      <c r="AR33" s="2180">
        <v>44560</v>
      </c>
      <c r="AS33" s="3503" t="s">
        <v>1656</v>
      </c>
    </row>
    <row r="34" spans="1:45" ht="37.5" customHeight="1" x14ac:dyDescent="0.25">
      <c r="A34" s="1069"/>
      <c r="B34" s="1051"/>
      <c r="C34" s="1069"/>
      <c r="D34" s="1051"/>
      <c r="G34" s="2165"/>
      <c r="H34" s="2824"/>
      <c r="I34" s="2165"/>
      <c r="J34" s="2824"/>
      <c r="K34" s="2364"/>
      <c r="L34" s="2386"/>
      <c r="M34" s="2364"/>
      <c r="N34" s="2386"/>
      <c r="O34" s="3596"/>
      <c r="P34" s="3855"/>
      <c r="Q34" s="3859"/>
      <c r="R34" s="3862"/>
      <c r="S34" s="3867"/>
      <c r="T34" s="3859"/>
      <c r="U34" s="3859"/>
      <c r="V34" s="3857"/>
      <c r="W34" s="1313">
        <v>600000000</v>
      </c>
      <c r="X34" s="1094" t="s">
        <v>1604</v>
      </c>
      <c r="Y34" s="1094">
        <v>28</v>
      </c>
      <c r="Z34" s="1099" t="s">
        <v>1666</v>
      </c>
      <c r="AA34" s="3868"/>
      <c r="AB34" s="3503"/>
      <c r="AC34" s="3503"/>
      <c r="AD34" s="3503"/>
      <c r="AE34" s="3503"/>
      <c r="AF34" s="3503"/>
      <c r="AG34" s="3503"/>
      <c r="AH34" s="3503"/>
      <c r="AI34" s="3503"/>
      <c r="AJ34" s="3503"/>
      <c r="AK34" s="3503"/>
      <c r="AL34" s="3503"/>
      <c r="AM34" s="3503"/>
      <c r="AN34" s="3503"/>
      <c r="AO34" s="3503"/>
      <c r="AP34" s="3503"/>
      <c r="AQ34" s="2180"/>
      <c r="AR34" s="2180"/>
      <c r="AS34" s="3503"/>
    </row>
    <row r="35" spans="1:45" ht="37.5" customHeight="1" x14ac:dyDescent="0.25">
      <c r="A35" s="1069"/>
      <c r="B35" s="1051"/>
      <c r="C35" s="1069"/>
      <c r="D35" s="1051"/>
      <c r="G35" s="2165"/>
      <c r="H35" s="2824"/>
      <c r="I35" s="2165"/>
      <c r="J35" s="2824"/>
      <c r="K35" s="2364"/>
      <c r="L35" s="2386"/>
      <c r="M35" s="2364"/>
      <c r="N35" s="2386"/>
      <c r="O35" s="3596"/>
      <c r="P35" s="3855"/>
      <c r="Q35" s="3859"/>
      <c r="R35" s="3862"/>
      <c r="S35" s="3867"/>
      <c r="T35" s="3859"/>
      <c r="U35" s="3859"/>
      <c r="V35" s="3857"/>
      <c r="W35" s="1313">
        <v>70000000</v>
      </c>
      <c r="X35" s="1094" t="s">
        <v>1592</v>
      </c>
      <c r="Y35" s="1094">
        <v>24</v>
      </c>
      <c r="Z35" s="1099" t="s">
        <v>1591</v>
      </c>
      <c r="AA35" s="3868"/>
      <c r="AB35" s="3503"/>
      <c r="AC35" s="3503"/>
      <c r="AD35" s="3503"/>
      <c r="AE35" s="3503"/>
      <c r="AF35" s="3503"/>
      <c r="AG35" s="3503"/>
      <c r="AH35" s="3503"/>
      <c r="AI35" s="3503"/>
      <c r="AJ35" s="3503"/>
      <c r="AK35" s="3503"/>
      <c r="AL35" s="3503"/>
      <c r="AM35" s="3503"/>
      <c r="AN35" s="3503"/>
      <c r="AO35" s="3503"/>
      <c r="AP35" s="3503"/>
      <c r="AQ35" s="2180"/>
      <c r="AR35" s="2180"/>
      <c r="AS35" s="3503"/>
    </row>
    <row r="36" spans="1:45" ht="37.5" customHeight="1" x14ac:dyDescent="0.25">
      <c r="A36" s="1069"/>
      <c r="B36" s="1051"/>
      <c r="C36" s="1069"/>
      <c r="D36" s="1051"/>
      <c r="G36" s="2165"/>
      <c r="H36" s="2824"/>
      <c r="I36" s="2165"/>
      <c r="J36" s="2824"/>
      <c r="K36" s="2364"/>
      <c r="L36" s="2386"/>
      <c r="M36" s="2364"/>
      <c r="N36" s="2386"/>
      <c r="O36" s="3596"/>
      <c r="P36" s="3855"/>
      <c r="Q36" s="3859"/>
      <c r="R36" s="3862"/>
      <c r="S36" s="3867"/>
      <c r="T36" s="3859"/>
      <c r="U36" s="3859"/>
      <c r="V36" s="3857"/>
      <c r="W36" s="1313">
        <v>58617531.109999999</v>
      </c>
      <c r="X36" s="1094" t="s">
        <v>1606</v>
      </c>
      <c r="Y36" s="1094">
        <v>21</v>
      </c>
      <c r="Z36" s="1094" t="s">
        <v>1605</v>
      </c>
      <c r="AA36" s="3868"/>
      <c r="AB36" s="3503"/>
      <c r="AC36" s="3503"/>
      <c r="AD36" s="3503"/>
      <c r="AE36" s="3503"/>
      <c r="AF36" s="3503"/>
      <c r="AG36" s="3503"/>
      <c r="AH36" s="3503"/>
      <c r="AI36" s="3503"/>
      <c r="AJ36" s="3503"/>
      <c r="AK36" s="3503"/>
      <c r="AL36" s="3503"/>
      <c r="AM36" s="3503"/>
      <c r="AN36" s="3503"/>
      <c r="AO36" s="3503"/>
      <c r="AP36" s="3503"/>
      <c r="AQ36" s="2180"/>
      <c r="AR36" s="2180"/>
      <c r="AS36" s="3503"/>
    </row>
    <row r="37" spans="1:45" ht="37.5" customHeight="1" x14ac:dyDescent="0.25">
      <c r="A37" s="1069"/>
      <c r="B37" s="1051"/>
      <c r="C37" s="1069"/>
      <c r="D37" s="1051"/>
      <c r="G37" s="2165"/>
      <c r="H37" s="2824"/>
      <c r="I37" s="2165"/>
      <c r="J37" s="2824"/>
      <c r="K37" s="2364"/>
      <c r="L37" s="2386"/>
      <c r="M37" s="2364"/>
      <c r="N37" s="2386"/>
      <c r="O37" s="3596"/>
      <c r="P37" s="3855"/>
      <c r="Q37" s="3859"/>
      <c r="R37" s="3862"/>
      <c r="S37" s="3867"/>
      <c r="T37" s="3859"/>
      <c r="U37" s="3859"/>
      <c r="V37" s="3857"/>
      <c r="W37" s="1313">
        <v>66355890</v>
      </c>
      <c r="X37" s="1094" t="s">
        <v>1608</v>
      </c>
      <c r="Y37" s="1094">
        <v>3</v>
      </c>
      <c r="Z37" s="1094" t="s">
        <v>1607</v>
      </c>
      <c r="AA37" s="3868"/>
      <c r="AB37" s="3503"/>
      <c r="AC37" s="3503"/>
      <c r="AD37" s="3503"/>
      <c r="AE37" s="3503"/>
      <c r="AF37" s="3503"/>
      <c r="AG37" s="3503"/>
      <c r="AH37" s="3503"/>
      <c r="AI37" s="3503"/>
      <c r="AJ37" s="3503"/>
      <c r="AK37" s="3503"/>
      <c r="AL37" s="3503"/>
      <c r="AM37" s="3503"/>
      <c r="AN37" s="3503"/>
      <c r="AO37" s="3503"/>
      <c r="AP37" s="3503"/>
      <c r="AQ37" s="3503"/>
      <c r="AR37" s="3503"/>
      <c r="AS37" s="3503"/>
    </row>
    <row r="38" spans="1:45" ht="37.5" customHeight="1" x14ac:dyDescent="0.25">
      <c r="A38" s="1069"/>
      <c r="B38" s="1051"/>
      <c r="C38" s="1069"/>
      <c r="D38" s="1051"/>
      <c r="G38" s="2165"/>
      <c r="H38" s="2824"/>
      <c r="I38" s="2165"/>
      <c r="J38" s="2824"/>
      <c r="K38" s="2364"/>
      <c r="L38" s="2386"/>
      <c r="M38" s="2364"/>
      <c r="N38" s="2386"/>
      <c r="O38" s="3596"/>
      <c r="P38" s="3855"/>
      <c r="Q38" s="3859"/>
      <c r="R38" s="3862"/>
      <c r="S38" s="3867"/>
      <c r="T38" s="3859"/>
      <c r="U38" s="3859"/>
      <c r="V38" s="3857"/>
      <c r="W38" s="1313">
        <v>420000000</v>
      </c>
      <c r="X38" s="1094" t="s">
        <v>1593</v>
      </c>
      <c r="Y38" s="1094">
        <v>7</v>
      </c>
      <c r="Z38" s="1094" t="s">
        <v>1579</v>
      </c>
      <c r="AA38" s="3868"/>
      <c r="AB38" s="3503"/>
      <c r="AC38" s="3503"/>
      <c r="AD38" s="3503"/>
      <c r="AE38" s="3503"/>
      <c r="AF38" s="3503"/>
      <c r="AG38" s="3503"/>
      <c r="AH38" s="3503"/>
      <c r="AI38" s="3503"/>
      <c r="AJ38" s="3503"/>
      <c r="AK38" s="3503"/>
      <c r="AL38" s="3503"/>
      <c r="AM38" s="3503"/>
      <c r="AN38" s="3503"/>
      <c r="AO38" s="3503"/>
      <c r="AP38" s="3503"/>
      <c r="AQ38" s="3503"/>
      <c r="AR38" s="3503"/>
      <c r="AS38" s="3503"/>
    </row>
    <row r="39" spans="1:45" ht="37.5" customHeight="1" x14ac:dyDescent="0.25">
      <c r="A39" s="1069"/>
      <c r="B39" s="1051"/>
      <c r="C39" s="1069"/>
      <c r="D39" s="1051"/>
      <c r="G39" s="2165"/>
      <c r="H39" s="2824"/>
      <c r="I39" s="2165"/>
      <c r="J39" s="2824"/>
      <c r="K39" s="2364"/>
      <c r="L39" s="2386"/>
      <c r="M39" s="2364"/>
      <c r="N39" s="2386"/>
      <c r="O39" s="3596"/>
      <c r="P39" s="3855"/>
      <c r="Q39" s="3859"/>
      <c r="R39" s="3862"/>
      <c r="S39" s="3867"/>
      <c r="T39" s="3859"/>
      <c r="U39" s="3859"/>
      <c r="V39" s="3857" t="s">
        <v>1667</v>
      </c>
      <c r="W39" s="1313">
        <v>90000000</v>
      </c>
      <c r="X39" s="1094" t="s">
        <v>1600</v>
      </c>
      <c r="Y39" s="1094">
        <v>7</v>
      </c>
      <c r="Z39" s="1094" t="s">
        <v>1579</v>
      </c>
      <c r="AA39" s="3868"/>
      <c r="AB39" s="3503"/>
      <c r="AC39" s="3503"/>
      <c r="AD39" s="3503"/>
      <c r="AE39" s="3503"/>
      <c r="AF39" s="3503"/>
      <c r="AG39" s="3503"/>
      <c r="AH39" s="3503"/>
      <c r="AI39" s="3503"/>
      <c r="AJ39" s="3503"/>
      <c r="AK39" s="3503"/>
      <c r="AL39" s="3503"/>
      <c r="AM39" s="3503"/>
      <c r="AN39" s="3503"/>
      <c r="AO39" s="3503"/>
      <c r="AP39" s="3503"/>
      <c r="AQ39" s="3503"/>
      <c r="AR39" s="3503"/>
      <c r="AS39" s="3503"/>
    </row>
    <row r="40" spans="1:45" ht="37.5" customHeight="1" x14ac:dyDescent="0.25">
      <c r="A40" s="1069"/>
      <c r="B40" s="1051"/>
      <c r="C40" s="1069"/>
      <c r="D40" s="1051"/>
      <c r="G40" s="2165"/>
      <c r="H40" s="2824"/>
      <c r="I40" s="2165"/>
      <c r="J40" s="2824"/>
      <c r="K40" s="2364"/>
      <c r="L40" s="2386"/>
      <c r="M40" s="2364"/>
      <c r="N40" s="2386"/>
      <c r="O40" s="3596"/>
      <c r="P40" s="3855"/>
      <c r="Q40" s="3859"/>
      <c r="R40" s="3862"/>
      <c r="S40" s="3867"/>
      <c r="T40" s="3859"/>
      <c r="U40" s="3859"/>
      <c r="V40" s="3857"/>
      <c r="W40" s="1313">
        <v>150000000</v>
      </c>
      <c r="X40" s="1094" t="s">
        <v>1609</v>
      </c>
      <c r="Y40" s="1094">
        <v>28</v>
      </c>
      <c r="Z40" s="1094" t="s">
        <v>1666</v>
      </c>
      <c r="AA40" s="3868"/>
      <c r="AB40" s="3503"/>
      <c r="AC40" s="3503"/>
      <c r="AD40" s="3503"/>
      <c r="AE40" s="3503"/>
      <c r="AF40" s="3503"/>
      <c r="AG40" s="3503"/>
      <c r="AH40" s="3503"/>
      <c r="AI40" s="3503"/>
      <c r="AJ40" s="3503"/>
      <c r="AK40" s="3503"/>
      <c r="AL40" s="3503"/>
      <c r="AM40" s="3503"/>
      <c r="AN40" s="3503"/>
      <c r="AO40" s="3503"/>
      <c r="AP40" s="3503"/>
      <c r="AQ40" s="3503"/>
      <c r="AR40" s="3503"/>
      <c r="AS40" s="3503"/>
    </row>
    <row r="41" spans="1:45" ht="37.5" customHeight="1" x14ac:dyDescent="0.25">
      <c r="A41" s="1069"/>
      <c r="B41" s="1051"/>
      <c r="C41" s="1069"/>
      <c r="D41" s="1051"/>
      <c r="G41" s="2165"/>
      <c r="H41" s="2824"/>
      <c r="I41" s="2165"/>
      <c r="J41" s="2824"/>
      <c r="K41" s="2364"/>
      <c r="L41" s="2386"/>
      <c r="M41" s="2364"/>
      <c r="N41" s="2386"/>
      <c r="O41" s="3596"/>
      <c r="P41" s="3855"/>
      <c r="Q41" s="3859"/>
      <c r="R41" s="3862"/>
      <c r="S41" s="3867"/>
      <c r="T41" s="3859"/>
      <c r="U41" s="3859"/>
      <c r="V41" s="3857"/>
      <c r="W41" s="1313">
        <v>250000000</v>
      </c>
      <c r="X41" s="1094" t="s">
        <v>1610</v>
      </c>
      <c r="Y41" s="1094">
        <v>28</v>
      </c>
      <c r="Z41" s="1094" t="s">
        <v>1666</v>
      </c>
      <c r="AA41" s="3868"/>
      <c r="AB41" s="3503"/>
      <c r="AC41" s="3503"/>
      <c r="AD41" s="3503"/>
      <c r="AE41" s="3503"/>
      <c r="AF41" s="3503"/>
      <c r="AG41" s="3503"/>
      <c r="AH41" s="3503"/>
      <c r="AI41" s="3503"/>
      <c r="AJ41" s="3503"/>
      <c r="AK41" s="3503"/>
      <c r="AL41" s="3503"/>
      <c r="AM41" s="3503"/>
      <c r="AN41" s="3503"/>
      <c r="AO41" s="3503"/>
      <c r="AP41" s="3503"/>
      <c r="AQ41" s="3503"/>
      <c r="AR41" s="3503"/>
      <c r="AS41" s="3503"/>
    </row>
    <row r="42" spans="1:45" ht="37.5" customHeight="1" x14ac:dyDescent="0.25">
      <c r="A42" s="1069"/>
      <c r="B42" s="1051"/>
      <c r="C42" s="1069"/>
      <c r="D42" s="1051"/>
      <c r="G42" s="2165"/>
      <c r="H42" s="2824"/>
      <c r="I42" s="2165"/>
      <c r="J42" s="2824"/>
      <c r="K42" s="2364"/>
      <c r="L42" s="2386"/>
      <c r="M42" s="2364"/>
      <c r="N42" s="2386"/>
      <c r="O42" s="3596"/>
      <c r="P42" s="3855"/>
      <c r="Q42" s="3859"/>
      <c r="R42" s="3862"/>
      <c r="S42" s="3867"/>
      <c r="T42" s="3859"/>
      <c r="U42" s="3859"/>
      <c r="V42" s="3857"/>
      <c r="W42" s="1313">
        <v>35000000</v>
      </c>
      <c r="X42" s="1094" t="s">
        <v>1595</v>
      </c>
      <c r="Y42" s="1094">
        <v>7</v>
      </c>
      <c r="Z42" s="1094" t="s">
        <v>1579</v>
      </c>
      <c r="AA42" s="3868"/>
      <c r="AB42" s="3503"/>
      <c r="AC42" s="3503"/>
      <c r="AD42" s="3503"/>
      <c r="AE42" s="3503"/>
      <c r="AF42" s="3503"/>
      <c r="AG42" s="3503"/>
      <c r="AH42" s="3503"/>
      <c r="AI42" s="3503"/>
      <c r="AJ42" s="3503"/>
      <c r="AK42" s="3503"/>
      <c r="AL42" s="3503"/>
      <c r="AM42" s="3503"/>
      <c r="AN42" s="3503"/>
      <c r="AO42" s="3503"/>
      <c r="AP42" s="3503"/>
      <c r="AQ42" s="3503"/>
      <c r="AR42" s="3503"/>
      <c r="AS42" s="3503"/>
    </row>
    <row r="43" spans="1:45" ht="37.5" customHeight="1" x14ac:dyDescent="0.25">
      <c r="A43" s="1069"/>
      <c r="B43" s="1051"/>
      <c r="C43" s="1069"/>
      <c r="D43" s="1051"/>
      <c r="G43" s="2165"/>
      <c r="H43" s="2824"/>
      <c r="I43" s="2165"/>
      <c r="J43" s="2824"/>
      <c r="K43" s="2364"/>
      <c r="L43" s="2386"/>
      <c r="M43" s="2364"/>
      <c r="N43" s="2386"/>
      <c r="O43" s="3596"/>
      <c r="P43" s="3855"/>
      <c r="Q43" s="3859"/>
      <c r="R43" s="3862"/>
      <c r="S43" s="3867"/>
      <c r="T43" s="3859"/>
      <c r="U43" s="3859"/>
      <c r="V43" s="3857"/>
      <c r="W43" s="1313">
        <v>60000000</v>
      </c>
      <c r="X43" s="1094" t="s">
        <v>1611</v>
      </c>
      <c r="Y43" s="1094">
        <v>12</v>
      </c>
      <c r="Z43" s="1094" t="s">
        <v>1582</v>
      </c>
      <c r="AA43" s="3868"/>
      <c r="AB43" s="3503"/>
      <c r="AC43" s="3503"/>
      <c r="AD43" s="3503"/>
      <c r="AE43" s="3503"/>
      <c r="AF43" s="3503"/>
      <c r="AG43" s="3503"/>
      <c r="AH43" s="3503"/>
      <c r="AI43" s="3503"/>
      <c r="AJ43" s="3503"/>
      <c r="AK43" s="3503"/>
      <c r="AL43" s="3503"/>
      <c r="AM43" s="3503"/>
      <c r="AN43" s="3503"/>
      <c r="AO43" s="3503"/>
      <c r="AP43" s="3503"/>
      <c r="AQ43" s="3503"/>
      <c r="AR43" s="3503"/>
      <c r="AS43" s="3503"/>
    </row>
    <row r="44" spans="1:45" ht="37.5" customHeight="1" x14ac:dyDescent="0.25">
      <c r="A44" s="1069"/>
      <c r="B44" s="1051"/>
      <c r="C44" s="1069"/>
      <c r="D44" s="1051"/>
      <c r="G44" s="2165"/>
      <c r="H44" s="2824"/>
      <c r="I44" s="2165"/>
      <c r="J44" s="2824"/>
      <c r="K44" s="2364"/>
      <c r="L44" s="2386"/>
      <c r="M44" s="2364"/>
      <c r="N44" s="2386"/>
      <c r="O44" s="3596"/>
      <c r="P44" s="3855"/>
      <c r="Q44" s="3859"/>
      <c r="R44" s="3862"/>
      <c r="S44" s="3867"/>
      <c r="T44" s="3859"/>
      <c r="U44" s="3859"/>
      <c r="V44" s="3857"/>
      <c r="W44" s="1313">
        <v>57021304</v>
      </c>
      <c r="X44" s="1094" t="s">
        <v>1594</v>
      </c>
      <c r="Y44" s="1094">
        <v>12</v>
      </c>
      <c r="Z44" s="1094" t="s">
        <v>1582</v>
      </c>
      <c r="AA44" s="3868"/>
      <c r="AB44" s="3503"/>
      <c r="AC44" s="3503"/>
      <c r="AD44" s="3503"/>
      <c r="AE44" s="3503"/>
      <c r="AF44" s="3503"/>
      <c r="AG44" s="3503"/>
      <c r="AH44" s="3503"/>
      <c r="AI44" s="3503"/>
      <c r="AJ44" s="3503"/>
      <c r="AK44" s="3503"/>
      <c r="AL44" s="3503"/>
      <c r="AM44" s="3503"/>
      <c r="AN44" s="3503"/>
      <c r="AO44" s="3503"/>
      <c r="AP44" s="3503"/>
      <c r="AQ44" s="3503"/>
      <c r="AR44" s="3503"/>
      <c r="AS44" s="3503"/>
    </row>
    <row r="45" spans="1:45" ht="37.5" customHeight="1" x14ac:dyDescent="0.25">
      <c r="A45" s="1069"/>
      <c r="B45" s="1051"/>
      <c r="C45" s="1069"/>
      <c r="D45" s="1051"/>
      <c r="G45" s="2165"/>
      <c r="H45" s="2824"/>
      <c r="I45" s="2165"/>
      <c r="J45" s="2824"/>
      <c r="K45" s="2364"/>
      <c r="L45" s="2386"/>
      <c r="M45" s="2364"/>
      <c r="N45" s="2386"/>
      <c r="O45" s="3596"/>
      <c r="P45" s="3855"/>
      <c r="Q45" s="3859"/>
      <c r="R45" s="3862"/>
      <c r="S45" s="3867"/>
      <c r="T45" s="3859"/>
      <c r="U45" s="3859"/>
      <c r="V45" s="3857" t="s">
        <v>1668</v>
      </c>
      <c r="W45" s="1321">
        <v>20000000</v>
      </c>
      <c r="X45" s="1094" t="s">
        <v>1593</v>
      </c>
      <c r="Y45" s="1094">
        <v>7</v>
      </c>
      <c r="Z45" s="1094" t="s">
        <v>1579</v>
      </c>
      <c r="AA45" s="3868"/>
      <c r="AB45" s="3503"/>
      <c r="AC45" s="3503"/>
      <c r="AD45" s="3503"/>
      <c r="AE45" s="3503"/>
      <c r="AF45" s="3503"/>
      <c r="AG45" s="3503"/>
      <c r="AH45" s="3503"/>
      <c r="AI45" s="3503"/>
      <c r="AJ45" s="3503"/>
      <c r="AK45" s="3503"/>
      <c r="AL45" s="3503"/>
      <c r="AM45" s="3503"/>
      <c r="AN45" s="3503"/>
      <c r="AO45" s="3503"/>
      <c r="AP45" s="3503"/>
      <c r="AQ45" s="3503"/>
      <c r="AR45" s="3503"/>
      <c r="AS45" s="3503"/>
    </row>
    <row r="46" spans="1:45" ht="37.5" customHeight="1" x14ac:dyDescent="0.25">
      <c r="A46" s="1069"/>
      <c r="B46" s="1051"/>
      <c r="C46" s="1069"/>
      <c r="D46" s="1051"/>
      <c r="G46" s="2165"/>
      <c r="H46" s="2824"/>
      <c r="I46" s="2165"/>
      <c r="J46" s="2824"/>
      <c r="K46" s="2364"/>
      <c r="L46" s="2386"/>
      <c r="M46" s="2364"/>
      <c r="N46" s="2386"/>
      <c r="O46" s="3596"/>
      <c r="P46" s="3855"/>
      <c r="Q46" s="3859"/>
      <c r="R46" s="3862"/>
      <c r="S46" s="3867"/>
      <c r="T46" s="3859"/>
      <c r="U46" s="3859"/>
      <c r="V46" s="3857"/>
      <c r="W46" s="1321">
        <v>30000000</v>
      </c>
      <c r="X46" s="1094" t="s">
        <v>1595</v>
      </c>
      <c r="Y46" s="1094">
        <v>7</v>
      </c>
      <c r="Z46" s="1094" t="s">
        <v>1579</v>
      </c>
      <c r="AA46" s="3868"/>
      <c r="AB46" s="3503"/>
      <c r="AC46" s="3503"/>
      <c r="AD46" s="3503"/>
      <c r="AE46" s="3503"/>
      <c r="AF46" s="3503"/>
      <c r="AG46" s="3503"/>
      <c r="AH46" s="3503"/>
      <c r="AI46" s="3503"/>
      <c r="AJ46" s="3503"/>
      <c r="AK46" s="3503"/>
      <c r="AL46" s="3503"/>
      <c r="AM46" s="3503"/>
      <c r="AN46" s="3503"/>
      <c r="AO46" s="3503"/>
      <c r="AP46" s="3503"/>
      <c r="AQ46" s="3503"/>
      <c r="AR46" s="3503"/>
      <c r="AS46" s="3503"/>
    </row>
    <row r="47" spans="1:45" ht="37.5" customHeight="1" x14ac:dyDescent="0.25">
      <c r="A47" s="1069"/>
      <c r="B47" s="1051"/>
      <c r="C47" s="1069"/>
      <c r="D47" s="1051"/>
      <c r="G47" s="2165"/>
      <c r="H47" s="2824"/>
      <c r="I47" s="2165"/>
      <c r="J47" s="2824"/>
      <c r="K47" s="2364"/>
      <c r="L47" s="2386"/>
      <c r="M47" s="2364"/>
      <c r="N47" s="2386"/>
      <c r="O47" s="3596"/>
      <c r="P47" s="3855"/>
      <c r="Q47" s="3859"/>
      <c r="R47" s="3862"/>
      <c r="S47" s="3867"/>
      <c r="T47" s="3859"/>
      <c r="U47" s="3859"/>
      <c r="V47" s="3857"/>
      <c r="W47" s="1321">
        <v>30000000</v>
      </c>
      <c r="X47" s="1094" t="s">
        <v>1613</v>
      </c>
      <c r="Y47" s="1094">
        <v>9</v>
      </c>
      <c r="Z47" s="1094" t="s">
        <v>1612</v>
      </c>
      <c r="AA47" s="3868"/>
      <c r="AB47" s="3503"/>
      <c r="AC47" s="3503"/>
      <c r="AD47" s="3503"/>
      <c r="AE47" s="3503"/>
      <c r="AF47" s="3503"/>
      <c r="AG47" s="3503"/>
      <c r="AH47" s="3503"/>
      <c r="AI47" s="3503"/>
      <c r="AJ47" s="3503"/>
      <c r="AK47" s="3503"/>
      <c r="AL47" s="3503"/>
      <c r="AM47" s="3503"/>
      <c r="AN47" s="3503"/>
      <c r="AO47" s="3503"/>
      <c r="AP47" s="3503"/>
      <c r="AQ47" s="3503"/>
      <c r="AR47" s="3503"/>
      <c r="AS47" s="3503"/>
    </row>
    <row r="48" spans="1:45" ht="37.5" customHeight="1" thickBot="1" x14ac:dyDescent="0.3">
      <c r="A48" s="1069"/>
      <c r="B48" s="1051"/>
      <c r="C48" s="1069"/>
      <c r="D48" s="1051"/>
      <c r="G48" s="2165"/>
      <c r="H48" s="2825"/>
      <c r="I48" s="2165"/>
      <c r="J48" s="2825"/>
      <c r="K48" s="2364"/>
      <c r="L48" s="2386"/>
      <c r="M48" s="2364"/>
      <c r="N48" s="2386"/>
      <c r="O48" s="3596"/>
      <c r="P48" s="3855"/>
      <c r="Q48" s="3859"/>
      <c r="R48" s="3862"/>
      <c r="S48" s="3867"/>
      <c r="T48" s="3859"/>
      <c r="U48" s="3865"/>
      <c r="V48" s="3858"/>
      <c r="W48" s="1316">
        <v>40000000</v>
      </c>
      <c r="X48" s="1317" t="s">
        <v>1614</v>
      </c>
      <c r="Y48" s="1317">
        <v>3</v>
      </c>
      <c r="Z48" s="1317" t="s">
        <v>1607</v>
      </c>
      <c r="AA48" s="3868"/>
      <c r="AB48" s="3503"/>
      <c r="AC48" s="3503"/>
      <c r="AD48" s="3503"/>
      <c r="AE48" s="3503"/>
      <c r="AF48" s="3503"/>
      <c r="AG48" s="3503"/>
      <c r="AH48" s="3503"/>
      <c r="AI48" s="3503"/>
      <c r="AJ48" s="3503"/>
      <c r="AK48" s="3503"/>
      <c r="AL48" s="3503"/>
      <c r="AM48" s="3503"/>
      <c r="AN48" s="3503"/>
      <c r="AO48" s="3503"/>
      <c r="AP48" s="3503"/>
      <c r="AQ48" s="3856"/>
      <c r="AR48" s="3856"/>
      <c r="AS48" s="3856"/>
    </row>
    <row r="49" spans="1:45" ht="102" customHeight="1" thickTop="1" x14ac:dyDescent="0.25">
      <c r="A49" s="1069"/>
      <c r="B49" s="1051"/>
      <c r="C49" s="1069"/>
      <c r="D49" s="1051"/>
      <c r="G49" s="2364" t="s">
        <v>62</v>
      </c>
      <c r="H49" s="2386" t="s">
        <v>1615</v>
      </c>
      <c r="I49" s="2364">
        <v>4301006</v>
      </c>
      <c r="J49" s="2387" t="s">
        <v>1616</v>
      </c>
      <c r="K49" s="2364" t="s">
        <v>62</v>
      </c>
      <c r="L49" s="2386" t="s">
        <v>1617</v>
      </c>
      <c r="M49" s="2364">
        <v>430100600</v>
      </c>
      <c r="N49" s="2387" t="s">
        <v>1618</v>
      </c>
      <c r="O49" s="3596">
        <v>1</v>
      </c>
      <c r="P49" s="3855"/>
      <c r="Q49" s="3859"/>
      <c r="R49" s="3862">
        <f>SUM(W49:W51)/S13</f>
        <v>1.4300724984440235E-2</v>
      </c>
      <c r="S49" s="3867"/>
      <c r="T49" s="3859"/>
      <c r="U49" s="3863" t="s">
        <v>1669</v>
      </c>
      <c r="V49" s="3866" t="s">
        <v>1670</v>
      </c>
      <c r="W49" s="1318">
        <v>20000000</v>
      </c>
      <c r="X49" s="1319" t="s">
        <v>1619</v>
      </c>
      <c r="Y49" s="1319">
        <v>3</v>
      </c>
      <c r="Z49" s="1319" t="s">
        <v>1607</v>
      </c>
      <c r="AA49" s="3868"/>
      <c r="AB49" s="3503"/>
      <c r="AC49" s="3503"/>
      <c r="AD49" s="3503"/>
      <c r="AE49" s="3503"/>
      <c r="AF49" s="3503"/>
      <c r="AG49" s="3503"/>
      <c r="AH49" s="3503"/>
      <c r="AI49" s="3503"/>
      <c r="AJ49" s="3503"/>
      <c r="AK49" s="3503"/>
      <c r="AL49" s="3503"/>
      <c r="AM49" s="3503"/>
      <c r="AN49" s="3503"/>
      <c r="AO49" s="3503"/>
      <c r="AP49" s="3503"/>
      <c r="AQ49" s="2180">
        <v>44200</v>
      </c>
      <c r="AR49" s="2180">
        <v>44560</v>
      </c>
      <c r="AS49" s="3503" t="s">
        <v>1656</v>
      </c>
    </row>
    <row r="50" spans="1:45" ht="102" customHeight="1" x14ac:dyDescent="0.25">
      <c r="A50" s="1069"/>
      <c r="B50" s="1051"/>
      <c r="C50" s="1069"/>
      <c r="D50" s="1051"/>
      <c r="G50" s="2364"/>
      <c r="H50" s="2386"/>
      <c r="I50" s="2364"/>
      <c r="J50" s="3851"/>
      <c r="K50" s="2364"/>
      <c r="L50" s="2386"/>
      <c r="M50" s="2364"/>
      <c r="N50" s="3851"/>
      <c r="O50" s="3596"/>
      <c r="P50" s="3855"/>
      <c r="Q50" s="3859"/>
      <c r="R50" s="3862"/>
      <c r="S50" s="3867"/>
      <c r="T50" s="3859"/>
      <c r="U50" s="3859"/>
      <c r="V50" s="3857"/>
      <c r="W50" s="1321">
        <v>50000000</v>
      </c>
      <c r="X50" s="1094" t="s">
        <v>1620</v>
      </c>
      <c r="Y50" s="1094">
        <v>12</v>
      </c>
      <c r="Z50" s="799" t="s">
        <v>1582</v>
      </c>
      <c r="AA50" s="3868"/>
      <c r="AB50" s="3503"/>
      <c r="AC50" s="3503"/>
      <c r="AD50" s="3503"/>
      <c r="AE50" s="3503"/>
      <c r="AF50" s="3503"/>
      <c r="AG50" s="3503"/>
      <c r="AH50" s="3503"/>
      <c r="AI50" s="3503"/>
      <c r="AJ50" s="3503"/>
      <c r="AK50" s="3503"/>
      <c r="AL50" s="3503"/>
      <c r="AM50" s="3503"/>
      <c r="AN50" s="3503"/>
      <c r="AO50" s="3503"/>
      <c r="AP50" s="3503"/>
      <c r="AQ50" s="3503"/>
      <c r="AR50" s="3503"/>
      <c r="AS50" s="3503"/>
    </row>
    <row r="51" spans="1:45" ht="102" customHeight="1" thickBot="1" x14ac:dyDescent="0.3">
      <c r="A51" s="1069"/>
      <c r="B51" s="1051"/>
      <c r="C51" s="1069"/>
      <c r="D51" s="1051"/>
      <c r="G51" s="2364"/>
      <c r="H51" s="2386"/>
      <c r="I51" s="2364"/>
      <c r="J51" s="2385"/>
      <c r="K51" s="2364"/>
      <c r="L51" s="2386"/>
      <c r="M51" s="2364"/>
      <c r="N51" s="2385"/>
      <c r="O51" s="3596"/>
      <c r="P51" s="3855"/>
      <c r="Q51" s="3859"/>
      <c r="R51" s="3862"/>
      <c r="S51" s="3867"/>
      <c r="T51" s="3859"/>
      <c r="U51" s="3865"/>
      <c r="V51" s="1322" t="s">
        <v>1671</v>
      </c>
      <c r="W51" s="1316">
        <v>6178126.9800000004</v>
      </c>
      <c r="X51" s="1317" t="s">
        <v>1621</v>
      </c>
      <c r="Y51" s="1317">
        <v>3</v>
      </c>
      <c r="Z51" s="1317" t="s">
        <v>1607</v>
      </c>
      <c r="AA51" s="3868"/>
      <c r="AB51" s="3503"/>
      <c r="AC51" s="3503"/>
      <c r="AD51" s="3503"/>
      <c r="AE51" s="3503"/>
      <c r="AF51" s="3503"/>
      <c r="AG51" s="3503"/>
      <c r="AH51" s="3503"/>
      <c r="AI51" s="3503"/>
      <c r="AJ51" s="3503"/>
      <c r="AK51" s="3503"/>
      <c r="AL51" s="3503"/>
      <c r="AM51" s="3503"/>
      <c r="AN51" s="3503"/>
      <c r="AO51" s="3503"/>
      <c r="AP51" s="3503"/>
      <c r="AQ51" s="3503"/>
      <c r="AR51" s="3503"/>
      <c r="AS51" s="3503"/>
    </row>
    <row r="52" spans="1:45" ht="16.5" thickTop="1" x14ac:dyDescent="0.25">
      <c r="A52" s="1310" t="s">
        <v>134</v>
      </c>
      <c r="B52" s="1305" t="s">
        <v>134</v>
      </c>
      <c r="C52" s="1310"/>
      <c r="D52" s="1305"/>
      <c r="E52" s="1323">
        <v>4302</v>
      </c>
      <c r="F52" s="1324" t="s">
        <v>1672</v>
      </c>
      <c r="G52" s="1325"/>
      <c r="H52" s="408"/>
      <c r="I52" s="1325"/>
      <c r="J52" s="408"/>
      <c r="K52" s="1325"/>
      <c r="L52" s="408"/>
      <c r="M52" s="1325"/>
      <c r="N52" s="408"/>
      <c r="O52" s="1325"/>
      <c r="P52" s="1325"/>
      <c r="Q52" s="408"/>
      <c r="R52" s="1326" t="s">
        <v>134</v>
      </c>
      <c r="S52" s="1327" t="s">
        <v>134</v>
      </c>
      <c r="T52" s="1328" t="s">
        <v>134</v>
      </c>
      <c r="U52" s="1328" t="s">
        <v>134</v>
      </c>
      <c r="V52" s="1328" t="s">
        <v>134</v>
      </c>
      <c r="W52" s="1327"/>
      <c r="X52" s="733"/>
      <c r="Y52" s="1326" t="s">
        <v>134</v>
      </c>
      <c r="Z52" s="1326" t="s">
        <v>134</v>
      </c>
      <c r="AA52" s="1329" t="s">
        <v>134</v>
      </c>
      <c r="AB52" s="1329" t="s">
        <v>134</v>
      </c>
      <c r="AC52" s="1329" t="s">
        <v>134</v>
      </c>
      <c r="AD52" s="1329" t="s">
        <v>134</v>
      </c>
      <c r="AE52" s="1329" t="s">
        <v>134</v>
      </c>
      <c r="AF52" s="1329" t="s">
        <v>134</v>
      </c>
      <c r="AG52" s="1329" t="s">
        <v>134</v>
      </c>
      <c r="AH52" s="1329" t="s">
        <v>134</v>
      </c>
      <c r="AI52" s="1329" t="s">
        <v>134</v>
      </c>
      <c r="AJ52" s="1329" t="s">
        <v>134</v>
      </c>
      <c r="AK52" s="1329" t="s">
        <v>134</v>
      </c>
      <c r="AL52" s="1329" t="s">
        <v>134</v>
      </c>
      <c r="AM52" s="1329" t="s">
        <v>134</v>
      </c>
      <c r="AN52" s="1329" t="s">
        <v>134</v>
      </c>
      <c r="AO52" s="1329" t="s">
        <v>134</v>
      </c>
      <c r="AP52" s="1329" t="s">
        <v>134</v>
      </c>
      <c r="AQ52" s="1329" t="s">
        <v>134</v>
      </c>
      <c r="AR52" s="1329" t="s">
        <v>134</v>
      </c>
      <c r="AS52" s="1330" t="s">
        <v>134</v>
      </c>
    </row>
    <row r="53" spans="1:45" ht="36" customHeight="1" x14ac:dyDescent="0.25">
      <c r="A53" s="1069"/>
      <c r="B53" s="1051"/>
      <c r="C53" s="1069"/>
      <c r="D53" s="1051"/>
      <c r="E53" s="3593" t="s">
        <v>134</v>
      </c>
      <c r="F53" s="3593" t="s">
        <v>134</v>
      </c>
      <c r="G53" s="3869">
        <v>4302075</v>
      </c>
      <c r="H53" s="3864" t="s">
        <v>1622</v>
      </c>
      <c r="I53" s="3869">
        <v>4302075</v>
      </c>
      <c r="J53" s="3859" t="s">
        <v>1622</v>
      </c>
      <c r="K53" s="3596">
        <v>430207500</v>
      </c>
      <c r="L53" s="3859" t="s">
        <v>1623</v>
      </c>
      <c r="M53" s="3596">
        <v>430207500</v>
      </c>
      <c r="N53" s="3859" t="s">
        <v>1623</v>
      </c>
      <c r="O53" s="3596">
        <v>25</v>
      </c>
      <c r="P53" s="3855">
        <v>2020003630010</v>
      </c>
      <c r="Q53" s="3864" t="s">
        <v>1673</v>
      </c>
      <c r="R53" s="3886">
        <f>SUM(W53:W76)/S53</f>
        <v>1</v>
      </c>
      <c r="S53" s="3888">
        <f>SUM(W53:W76)</f>
        <v>7651306047.4099998</v>
      </c>
      <c r="T53" s="3864" t="s">
        <v>1674</v>
      </c>
      <c r="U53" s="3869" t="s">
        <v>1675</v>
      </c>
      <c r="V53" s="3857" t="s">
        <v>1676</v>
      </c>
      <c r="W53" s="1321">
        <v>250000000</v>
      </c>
      <c r="X53" s="1094" t="s">
        <v>1624</v>
      </c>
      <c r="Y53" s="1094">
        <v>4</v>
      </c>
      <c r="Z53" s="1094" t="s">
        <v>1602</v>
      </c>
      <c r="AA53" s="3885">
        <v>230</v>
      </c>
      <c r="AB53" s="2222">
        <v>270</v>
      </c>
      <c r="AC53" s="2222">
        <v>0</v>
      </c>
      <c r="AD53" s="2222">
        <v>0</v>
      </c>
      <c r="AE53" s="2222">
        <v>0</v>
      </c>
      <c r="AF53" s="2222">
        <v>0</v>
      </c>
      <c r="AG53" s="2222">
        <v>0</v>
      </c>
      <c r="AH53" s="2222">
        <v>0</v>
      </c>
      <c r="AI53" s="2222">
        <v>0</v>
      </c>
      <c r="AJ53" s="2222">
        <v>0</v>
      </c>
      <c r="AK53" s="2222">
        <v>0</v>
      </c>
      <c r="AL53" s="2222">
        <v>0</v>
      </c>
      <c r="AM53" s="2222">
        <v>0</v>
      </c>
      <c r="AN53" s="2222">
        <v>0</v>
      </c>
      <c r="AO53" s="2222">
        <v>0</v>
      </c>
      <c r="AP53" s="2222">
        <f>SUM(AA53:AO76)</f>
        <v>500</v>
      </c>
      <c r="AQ53" s="3903">
        <v>44200</v>
      </c>
      <c r="AR53" s="3903">
        <v>44560</v>
      </c>
      <c r="AS53" s="3897" t="s">
        <v>1656</v>
      </c>
    </row>
    <row r="54" spans="1:45" ht="36" customHeight="1" x14ac:dyDescent="0.25">
      <c r="A54" s="1069"/>
      <c r="B54" s="1051"/>
      <c r="C54" s="1069"/>
      <c r="D54" s="1051"/>
      <c r="E54" s="3593"/>
      <c r="F54" s="3593"/>
      <c r="G54" s="3871"/>
      <c r="H54" s="3872"/>
      <c r="I54" s="3871"/>
      <c r="J54" s="3859"/>
      <c r="K54" s="3596"/>
      <c r="L54" s="3859"/>
      <c r="M54" s="3596"/>
      <c r="N54" s="3859"/>
      <c r="O54" s="3596"/>
      <c r="P54" s="3855"/>
      <c r="Q54" s="3872"/>
      <c r="R54" s="3887"/>
      <c r="S54" s="3889"/>
      <c r="T54" s="3872"/>
      <c r="U54" s="3871"/>
      <c r="V54" s="3857"/>
      <c r="W54" s="1321">
        <v>1530323292</v>
      </c>
      <c r="X54" s="1094" t="s">
        <v>1625</v>
      </c>
      <c r="Y54" s="1094">
        <v>28</v>
      </c>
      <c r="Z54" s="1094" t="s">
        <v>1577</v>
      </c>
      <c r="AA54" s="3885"/>
      <c r="AB54" s="2222"/>
      <c r="AC54" s="2222"/>
      <c r="AD54" s="2222"/>
      <c r="AE54" s="2222"/>
      <c r="AF54" s="2222"/>
      <c r="AG54" s="2222"/>
      <c r="AH54" s="2222"/>
      <c r="AI54" s="2222"/>
      <c r="AJ54" s="2222"/>
      <c r="AK54" s="2222"/>
      <c r="AL54" s="2222"/>
      <c r="AM54" s="2222"/>
      <c r="AN54" s="2222"/>
      <c r="AO54" s="2222"/>
      <c r="AP54" s="2222"/>
      <c r="AQ54" s="3904"/>
      <c r="AR54" s="3904"/>
      <c r="AS54" s="3897"/>
    </row>
    <row r="55" spans="1:45" ht="36" customHeight="1" x14ac:dyDescent="0.25">
      <c r="A55" s="1069"/>
      <c r="B55" s="1051"/>
      <c r="C55" s="1069"/>
      <c r="D55" s="1051"/>
      <c r="E55" s="3593"/>
      <c r="F55" s="3593"/>
      <c r="G55" s="3871"/>
      <c r="H55" s="3872"/>
      <c r="I55" s="3871"/>
      <c r="J55" s="3859"/>
      <c r="K55" s="3596"/>
      <c r="L55" s="3859"/>
      <c r="M55" s="3596"/>
      <c r="N55" s="3859"/>
      <c r="O55" s="3596"/>
      <c r="P55" s="3855"/>
      <c r="Q55" s="3872"/>
      <c r="R55" s="3887"/>
      <c r="S55" s="3889"/>
      <c r="T55" s="3872"/>
      <c r="U55" s="3871"/>
      <c r="V55" s="3857"/>
      <c r="W55" s="1321">
        <v>323078233.44</v>
      </c>
      <c r="X55" s="1094" t="s">
        <v>1627</v>
      </c>
      <c r="Y55" s="1094">
        <v>22</v>
      </c>
      <c r="Z55" s="1094" t="s">
        <v>1626</v>
      </c>
      <c r="AA55" s="3885"/>
      <c r="AB55" s="2222"/>
      <c r="AC55" s="2222"/>
      <c r="AD55" s="2222"/>
      <c r="AE55" s="2222"/>
      <c r="AF55" s="2222"/>
      <c r="AG55" s="2222"/>
      <c r="AH55" s="2222"/>
      <c r="AI55" s="2222"/>
      <c r="AJ55" s="2222"/>
      <c r="AK55" s="2222"/>
      <c r="AL55" s="2222"/>
      <c r="AM55" s="2222"/>
      <c r="AN55" s="2222"/>
      <c r="AO55" s="2222"/>
      <c r="AP55" s="2222"/>
      <c r="AQ55" s="3904"/>
      <c r="AR55" s="3904"/>
      <c r="AS55" s="3897"/>
    </row>
    <row r="56" spans="1:45" ht="36" customHeight="1" x14ac:dyDescent="0.25">
      <c r="A56" s="1069"/>
      <c r="B56" s="1051"/>
      <c r="C56" s="1069"/>
      <c r="D56" s="1051"/>
      <c r="E56" s="3593"/>
      <c r="F56" s="3593"/>
      <c r="G56" s="3871"/>
      <c r="H56" s="3872"/>
      <c r="I56" s="3871"/>
      <c r="J56" s="3859"/>
      <c r="K56" s="3596"/>
      <c r="L56" s="3859"/>
      <c r="M56" s="3596"/>
      <c r="N56" s="3859"/>
      <c r="O56" s="3596"/>
      <c r="P56" s="3855"/>
      <c r="Q56" s="3872"/>
      <c r="R56" s="3887"/>
      <c r="S56" s="3889"/>
      <c r="T56" s="3872"/>
      <c r="U56" s="3871"/>
      <c r="V56" s="3857"/>
      <c r="W56" s="1321">
        <v>100000000</v>
      </c>
      <c r="X56" s="1094" t="s">
        <v>1628</v>
      </c>
      <c r="Y56" s="1094">
        <v>21</v>
      </c>
      <c r="Z56" s="1094" t="s">
        <v>1605</v>
      </c>
      <c r="AA56" s="3885"/>
      <c r="AB56" s="2222"/>
      <c r="AC56" s="2222"/>
      <c r="AD56" s="2222"/>
      <c r="AE56" s="2222"/>
      <c r="AF56" s="2222"/>
      <c r="AG56" s="2222"/>
      <c r="AH56" s="2222"/>
      <c r="AI56" s="2222"/>
      <c r="AJ56" s="2222"/>
      <c r="AK56" s="2222"/>
      <c r="AL56" s="2222"/>
      <c r="AM56" s="2222"/>
      <c r="AN56" s="2222"/>
      <c r="AO56" s="2222"/>
      <c r="AP56" s="2222"/>
      <c r="AQ56" s="3904"/>
      <c r="AR56" s="3904"/>
      <c r="AS56" s="3897"/>
    </row>
    <row r="57" spans="1:45" ht="36" customHeight="1" x14ac:dyDescent="0.25">
      <c r="A57" s="1069"/>
      <c r="B57" s="1051"/>
      <c r="C57" s="1069"/>
      <c r="D57" s="1051"/>
      <c r="E57" s="3593"/>
      <c r="F57" s="3593"/>
      <c r="G57" s="3871"/>
      <c r="H57" s="3872"/>
      <c r="I57" s="3871"/>
      <c r="J57" s="3859"/>
      <c r="K57" s="3596"/>
      <c r="L57" s="3859"/>
      <c r="M57" s="3596"/>
      <c r="N57" s="3859"/>
      <c r="O57" s="3596"/>
      <c r="P57" s="3855"/>
      <c r="Q57" s="3872"/>
      <c r="R57" s="3887"/>
      <c r="S57" s="3889"/>
      <c r="T57" s="3872"/>
      <c r="U57" s="3871"/>
      <c r="V57" s="3857"/>
      <c r="W57" s="1321">
        <v>58390811</v>
      </c>
      <c r="X57" s="1094" t="s">
        <v>1629</v>
      </c>
      <c r="Y57" s="1094">
        <v>3</v>
      </c>
      <c r="Z57" s="1094" t="s">
        <v>1607</v>
      </c>
      <c r="AA57" s="3885"/>
      <c r="AB57" s="2222"/>
      <c r="AC57" s="2222"/>
      <c r="AD57" s="2222"/>
      <c r="AE57" s="2222"/>
      <c r="AF57" s="2222"/>
      <c r="AG57" s="2222"/>
      <c r="AH57" s="2222"/>
      <c r="AI57" s="2222"/>
      <c r="AJ57" s="2222"/>
      <c r="AK57" s="2222"/>
      <c r="AL57" s="2222"/>
      <c r="AM57" s="2222"/>
      <c r="AN57" s="2222"/>
      <c r="AO57" s="2222"/>
      <c r="AP57" s="2222"/>
      <c r="AQ57" s="3897"/>
      <c r="AR57" s="3897"/>
      <c r="AS57" s="3897"/>
    </row>
    <row r="58" spans="1:45" ht="36" customHeight="1" x14ac:dyDescent="0.25">
      <c r="A58" s="1069"/>
      <c r="B58" s="1051"/>
      <c r="C58" s="1069"/>
      <c r="D58" s="1051"/>
      <c r="E58" s="3593"/>
      <c r="F58" s="3593"/>
      <c r="G58" s="3871"/>
      <c r="H58" s="3872"/>
      <c r="I58" s="3871"/>
      <c r="J58" s="3859"/>
      <c r="K58" s="3596"/>
      <c r="L58" s="3859"/>
      <c r="M58" s="3596"/>
      <c r="N58" s="3859"/>
      <c r="O58" s="3596"/>
      <c r="P58" s="3855"/>
      <c r="Q58" s="3872"/>
      <c r="R58" s="3887"/>
      <c r="S58" s="3889"/>
      <c r="T58" s="3872"/>
      <c r="U58" s="3871"/>
      <c r="V58" s="3860" t="s">
        <v>1677</v>
      </c>
      <c r="W58" s="1321">
        <v>1084247733.1800001</v>
      </c>
      <c r="X58" s="1094" t="s">
        <v>1630</v>
      </c>
      <c r="Y58" s="1094">
        <v>24</v>
      </c>
      <c r="Z58" s="1094" t="s">
        <v>1591</v>
      </c>
      <c r="AA58" s="3885"/>
      <c r="AB58" s="2222"/>
      <c r="AC58" s="2222"/>
      <c r="AD58" s="2222"/>
      <c r="AE58" s="2222"/>
      <c r="AF58" s="2222"/>
      <c r="AG58" s="2222"/>
      <c r="AH58" s="2222"/>
      <c r="AI58" s="2222"/>
      <c r="AJ58" s="2222"/>
      <c r="AK58" s="2222"/>
      <c r="AL58" s="2222"/>
      <c r="AM58" s="2222"/>
      <c r="AN58" s="2222"/>
      <c r="AO58" s="2222"/>
      <c r="AP58" s="2222"/>
      <c r="AQ58" s="3897"/>
      <c r="AR58" s="3897"/>
      <c r="AS58" s="3897"/>
    </row>
    <row r="59" spans="1:45" ht="36" customHeight="1" x14ac:dyDescent="0.25">
      <c r="A59" s="1069"/>
      <c r="B59" s="1051"/>
      <c r="C59" s="1069"/>
      <c r="D59" s="1051"/>
      <c r="E59" s="3593"/>
      <c r="F59" s="3593"/>
      <c r="G59" s="3871"/>
      <c r="H59" s="3872"/>
      <c r="I59" s="3871"/>
      <c r="J59" s="3859"/>
      <c r="K59" s="3596"/>
      <c r="L59" s="3859"/>
      <c r="M59" s="3596"/>
      <c r="N59" s="3859"/>
      <c r="O59" s="3596"/>
      <c r="P59" s="3855"/>
      <c r="Q59" s="3872"/>
      <c r="R59" s="3887"/>
      <c r="S59" s="3889"/>
      <c r="T59" s="3872"/>
      <c r="U59" s="3871"/>
      <c r="V59" s="3898"/>
      <c r="W59" s="1321">
        <v>226064658</v>
      </c>
      <c r="X59" s="1094" t="s">
        <v>1625</v>
      </c>
      <c r="Y59" s="1094">
        <v>28</v>
      </c>
      <c r="Z59" s="1094" t="s">
        <v>1577</v>
      </c>
      <c r="AA59" s="3885"/>
      <c r="AB59" s="2222"/>
      <c r="AC59" s="2222"/>
      <c r="AD59" s="2222"/>
      <c r="AE59" s="2222"/>
      <c r="AF59" s="2222"/>
      <c r="AG59" s="2222"/>
      <c r="AH59" s="2222"/>
      <c r="AI59" s="2222"/>
      <c r="AJ59" s="2222"/>
      <c r="AK59" s="2222"/>
      <c r="AL59" s="2222"/>
      <c r="AM59" s="2222"/>
      <c r="AN59" s="2222"/>
      <c r="AO59" s="2222"/>
      <c r="AP59" s="2222"/>
      <c r="AQ59" s="3897"/>
      <c r="AR59" s="3897"/>
      <c r="AS59" s="3897"/>
    </row>
    <row r="60" spans="1:45" ht="36" customHeight="1" x14ac:dyDescent="0.25">
      <c r="A60" s="1069"/>
      <c r="B60" s="1051"/>
      <c r="C60" s="1069"/>
      <c r="D60" s="1051"/>
      <c r="E60" s="3593"/>
      <c r="F60" s="3593"/>
      <c r="G60" s="3871"/>
      <c r="H60" s="3872"/>
      <c r="I60" s="3871"/>
      <c r="J60" s="3859"/>
      <c r="K60" s="3596"/>
      <c r="L60" s="3859"/>
      <c r="M60" s="3596"/>
      <c r="N60" s="3859"/>
      <c r="O60" s="3596"/>
      <c r="P60" s="3855"/>
      <c r="Q60" s="3872"/>
      <c r="R60" s="3887"/>
      <c r="S60" s="3889"/>
      <c r="T60" s="3872"/>
      <c r="U60" s="3871"/>
      <c r="V60" s="3898"/>
      <c r="W60" s="1321">
        <v>455625353.79000002</v>
      </c>
      <c r="X60" s="1094" t="s">
        <v>1631</v>
      </c>
      <c r="Y60" s="1094">
        <v>26</v>
      </c>
      <c r="Z60" s="1094" t="s">
        <v>1591</v>
      </c>
      <c r="AA60" s="3885"/>
      <c r="AB60" s="2222"/>
      <c r="AC60" s="2222"/>
      <c r="AD60" s="2222"/>
      <c r="AE60" s="2222"/>
      <c r="AF60" s="2222"/>
      <c r="AG60" s="2222"/>
      <c r="AH60" s="2222"/>
      <c r="AI60" s="2222"/>
      <c r="AJ60" s="2222"/>
      <c r="AK60" s="2222"/>
      <c r="AL60" s="2222"/>
      <c r="AM60" s="2222"/>
      <c r="AN60" s="2222"/>
      <c r="AO60" s="2222"/>
      <c r="AP60" s="2222"/>
      <c r="AQ60" s="3897"/>
      <c r="AR60" s="3897"/>
      <c r="AS60" s="3897"/>
    </row>
    <row r="61" spans="1:45" ht="36" customHeight="1" x14ac:dyDescent="0.25">
      <c r="A61" s="1069"/>
      <c r="B61" s="1051"/>
      <c r="C61" s="1069"/>
      <c r="D61" s="1051"/>
      <c r="E61" s="3593"/>
      <c r="F61" s="3593"/>
      <c r="G61" s="3871"/>
      <c r="H61" s="3872"/>
      <c r="I61" s="3871"/>
      <c r="J61" s="3859"/>
      <c r="K61" s="3596"/>
      <c r="L61" s="3859"/>
      <c r="M61" s="3596"/>
      <c r="N61" s="3859"/>
      <c r="O61" s="3596"/>
      <c r="P61" s="3855"/>
      <c r="Q61" s="3872"/>
      <c r="R61" s="3887"/>
      <c r="S61" s="3889"/>
      <c r="T61" s="3872"/>
      <c r="U61" s="3871"/>
      <c r="V61" s="3898"/>
      <c r="W61" s="1321">
        <v>285000000</v>
      </c>
      <c r="X61" s="1094" t="s">
        <v>1624</v>
      </c>
      <c r="Y61" s="1094">
        <v>4</v>
      </c>
      <c r="Z61" s="1094" t="s">
        <v>1602</v>
      </c>
      <c r="AA61" s="3885"/>
      <c r="AB61" s="2222"/>
      <c r="AC61" s="2222"/>
      <c r="AD61" s="2222"/>
      <c r="AE61" s="2222"/>
      <c r="AF61" s="2222"/>
      <c r="AG61" s="2222"/>
      <c r="AH61" s="2222"/>
      <c r="AI61" s="2222"/>
      <c r="AJ61" s="2222"/>
      <c r="AK61" s="2222"/>
      <c r="AL61" s="2222"/>
      <c r="AM61" s="2222"/>
      <c r="AN61" s="2222"/>
      <c r="AO61" s="2222"/>
      <c r="AP61" s="2222"/>
      <c r="AQ61" s="3897"/>
      <c r="AR61" s="3897"/>
      <c r="AS61" s="3897"/>
    </row>
    <row r="62" spans="1:45" ht="36" customHeight="1" x14ac:dyDescent="0.25">
      <c r="A62" s="1069"/>
      <c r="B62" s="1051"/>
      <c r="C62" s="1069"/>
      <c r="D62" s="1051"/>
      <c r="E62" s="3593"/>
      <c r="F62" s="3593"/>
      <c r="G62" s="3871"/>
      <c r="H62" s="3872"/>
      <c r="I62" s="3871"/>
      <c r="J62" s="3859"/>
      <c r="K62" s="3596"/>
      <c r="L62" s="3859"/>
      <c r="M62" s="3596"/>
      <c r="N62" s="3859"/>
      <c r="O62" s="3596"/>
      <c r="P62" s="3855"/>
      <c r="Q62" s="3872"/>
      <c r="R62" s="3887"/>
      <c r="S62" s="3889"/>
      <c r="T62" s="3872"/>
      <c r="U62" s="3871"/>
      <c r="V62" s="3861"/>
      <c r="W62" s="1321">
        <v>69000000</v>
      </c>
      <c r="X62" s="1094" t="s">
        <v>1632</v>
      </c>
      <c r="Y62" s="1094">
        <v>12</v>
      </c>
      <c r="Z62" s="1094" t="s">
        <v>1582</v>
      </c>
      <c r="AA62" s="3885"/>
      <c r="AB62" s="2222"/>
      <c r="AC62" s="2222"/>
      <c r="AD62" s="2222"/>
      <c r="AE62" s="2222"/>
      <c r="AF62" s="2222"/>
      <c r="AG62" s="2222"/>
      <c r="AH62" s="2222"/>
      <c r="AI62" s="2222"/>
      <c r="AJ62" s="2222"/>
      <c r="AK62" s="2222"/>
      <c r="AL62" s="2222"/>
      <c r="AM62" s="2222"/>
      <c r="AN62" s="2222"/>
      <c r="AO62" s="2222"/>
      <c r="AP62" s="2222"/>
      <c r="AQ62" s="3897"/>
      <c r="AR62" s="3897"/>
      <c r="AS62" s="3897"/>
    </row>
    <row r="63" spans="1:45" ht="36" customHeight="1" x14ac:dyDescent="0.25">
      <c r="A63" s="1069"/>
      <c r="B63" s="1051"/>
      <c r="C63" s="1069"/>
      <c r="D63" s="1051"/>
      <c r="E63" s="3593"/>
      <c r="F63" s="3593"/>
      <c r="G63" s="3871"/>
      <c r="H63" s="3872"/>
      <c r="I63" s="3871"/>
      <c r="J63" s="3859"/>
      <c r="K63" s="3596"/>
      <c r="L63" s="3859"/>
      <c r="M63" s="3596"/>
      <c r="N63" s="3859"/>
      <c r="O63" s="3596"/>
      <c r="P63" s="3855"/>
      <c r="Q63" s="3872"/>
      <c r="R63" s="3887"/>
      <c r="S63" s="3889"/>
      <c r="T63" s="3872"/>
      <c r="U63" s="3871"/>
      <c r="V63" s="3857" t="s">
        <v>1678</v>
      </c>
      <c r="W63" s="1331">
        <v>149120550</v>
      </c>
      <c r="X63" s="1099" t="s">
        <v>1633</v>
      </c>
      <c r="Y63" s="1099">
        <v>4</v>
      </c>
      <c r="Z63" s="1099" t="s">
        <v>1602</v>
      </c>
      <c r="AA63" s="3885"/>
      <c r="AB63" s="2222"/>
      <c r="AC63" s="2222"/>
      <c r="AD63" s="2222"/>
      <c r="AE63" s="2222"/>
      <c r="AF63" s="2222"/>
      <c r="AG63" s="2222"/>
      <c r="AH63" s="2222"/>
      <c r="AI63" s="2222"/>
      <c r="AJ63" s="2222"/>
      <c r="AK63" s="2222"/>
      <c r="AL63" s="2222"/>
      <c r="AM63" s="2222"/>
      <c r="AN63" s="2222"/>
      <c r="AO63" s="2222"/>
      <c r="AP63" s="2222"/>
      <c r="AQ63" s="3897"/>
      <c r="AR63" s="3897"/>
      <c r="AS63" s="3897"/>
    </row>
    <row r="64" spans="1:45" ht="36" customHeight="1" x14ac:dyDescent="0.25">
      <c r="A64" s="1069"/>
      <c r="B64" s="1051"/>
      <c r="C64" s="1069"/>
      <c r="D64" s="1051"/>
      <c r="E64" s="3593"/>
      <c r="F64" s="3593"/>
      <c r="G64" s="3871"/>
      <c r="H64" s="3872"/>
      <c r="I64" s="3871"/>
      <c r="J64" s="3859"/>
      <c r="K64" s="3596"/>
      <c r="L64" s="3859"/>
      <c r="M64" s="3596"/>
      <c r="N64" s="3859"/>
      <c r="O64" s="3596"/>
      <c r="P64" s="3855"/>
      <c r="Q64" s="3872"/>
      <c r="R64" s="3887"/>
      <c r="S64" s="3889"/>
      <c r="T64" s="3872"/>
      <c r="U64" s="3871"/>
      <c r="V64" s="3899"/>
      <c r="W64" s="1282">
        <v>1044258634</v>
      </c>
      <c r="X64" s="1049" t="s">
        <v>1634</v>
      </c>
      <c r="Y64" s="1049">
        <v>28</v>
      </c>
      <c r="Z64" s="1049" t="s">
        <v>1577</v>
      </c>
      <c r="AA64" s="3885"/>
      <c r="AB64" s="2222"/>
      <c r="AC64" s="2222"/>
      <c r="AD64" s="2222"/>
      <c r="AE64" s="2222"/>
      <c r="AF64" s="2222"/>
      <c r="AG64" s="2222"/>
      <c r="AH64" s="2222"/>
      <c r="AI64" s="2222"/>
      <c r="AJ64" s="2222"/>
      <c r="AK64" s="2222"/>
      <c r="AL64" s="2222"/>
      <c r="AM64" s="2222"/>
      <c r="AN64" s="2222"/>
      <c r="AO64" s="2222"/>
      <c r="AP64" s="2222"/>
      <c r="AQ64" s="3897"/>
      <c r="AR64" s="3897"/>
      <c r="AS64" s="3897"/>
    </row>
    <row r="65" spans="1:45" ht="36" customHeight="1" x14ac:dyDescent="0.25">
      <c r="A65" s="1069"/>
      <c r="B65" s="1051"/>
      <c r="C65" s="1069"/>
      <c r="D65" s="1051"/>
      <c r="E65" s="3593"/>
      <c r="F65" s="3593"/>
      <c r="G65" s="3871"/>
      <c r="H65" s="3872"/>
      <c r="I65" s="3871"/>
      <c r="J65" s="3859"/>
      <c r="K65" s="3596"/>
      <c r="L65" s="3859"/>
      <c r="M65" s="3596"/>
      <c r="N65" s="3859"/>
      <c r="O65" s="3596"/>
      <c r="P65" s="3855"/>
      <c r="Q65" s="3872"/>
      <c r="R65" s="3887"/>
      <c r="S65" s="3889"/>
      <c r="T65" s="3872"/>
      <c r="U65" s="3871"/>
      <c r="V65" s="3899"/>
      <c r="W65" s="1282">
        <v>550000000</v>
      </c>
      <c r="X65" s="1049" t="s">
        <v>1635</v>
      </c>
      <c r="Y65" s="1049">
        <v>28</v>
      </c>
      <c r="Z65" s="1049" t="s">
        <v>1577</v>
      </c>
      <c r="AA65" s="3885"/>
      <c r="AB65" s="2222"/>
      <c r="AC65" s="2222"/>
      <c r="AD65" s="2222"/>
      <c r="AE65" s="2222"/>
      <c r="AF65" s="2222"/>
      <c r="AG65" s="2222"/>
      <c r="AH65" s="2222"/>
      <c r="AI65" s="2222"/>
      <c r="AJ65" s="2222"/>
      <c r="AK65" s="2222"/>
      <c r="AL65" s="2222"/>
      <c r="AM65" s="2222"/>
      <c r="AN65" s="2222"/>
      <c r="AO65" s="2222"/>
      <c r="AP65" s="2222"/>
      <c r="AQ65" s="3897"/>
      <c r="AR65" s="3897"/>
      <c r="AS65" s="3897"/>
    </row>
    <row r="66" spans="1:45" ht="36" customHeight="1" x14ac:dyDescent="0.25">
      <c r="A66" s="1069"/>
      <c r="B66" s="1051"/>
      <c r="C66" s="1069"/>
      <c r="D66" s="1051"/>
      <c r="E66" s="3593"/>
      <c r="F66" s="3593"/>
      <c r="G66" s="3871"/>
      <c r="H66" s="3872"/>
      <c r="I66" s="3871"/>
      <c r="J66" s="3859"/>
      <c r="K66" s="3596"/>
      <c r="L66" s="3859"/>
      <c r="M66" s="3596"/>
      <c r="N66" s="3859"/>
      <c r="O66" s="3596"/>
      <c r="P66" s="3855"/>
      <c r="Q66" s="3872"/>
      <c r="R66" s="3887"/>
      <c r="S66" s="3889"/>
      <c r="T66" s="3872"/>
      <c r="U66" s="3871"/>
      <c r="V66" s="3857"/>
      <c r="W66" s="1281">
        <v>70000000</v>
      </c>
      <c r="X66" s="1043" t="s">
        <v>1637</v>
      </c>
      <c r="Y66" s="1043">
        <v>23</v>
      </c>
      <c r="Z66" s="1043" t="s">
        <v>1636</v>
      </c>
      <c r="AA66" s="3885"/>
      <c r="AB66" s="2222"/>
      <c r="AC66" s="2222"/>
      <c r="AD66" s="2222"/>
      <c r="AE66" s="2222"/>
      <c r="AF66" s="2222"/>
      <c r="AG66" s="2222"/>
      <c r="AH66" s="2222"/>
      <c r="AI66" s="2222"/>
      <c r="AJ66" s="2222"/>
      <c r="AK66" s="2222"/>
      <c r="AL66" s="2222"/>
      <c r="AM66" s="2222"/>
      <c r="AN66" s="2222"/>
      <c r="AO66" s="2222"/>
      <c r="AP66" s="2222"/>
      <c r="AQ66" s="3897"/>
      <c r="AR66" s="3897"/>
      <c r="AS66" s="3897"/>
    </row>
    <row r="67" spans="1:45" ht="36" customHeight="1" x14ac:dyDescent="0.25">
      <c r="A67" s="1069"/>
      <c r="B67" s="1051"/>
      <c r="C67" s="1069"/>
      <c r="D67" s="1051"/>
      <c r="E67" s="3593"/>
      <c r="F67" s="3593"/>
      <c r="G67" s="3871"/>
      <c r="H67" s="3872"/>
      <c r="I67" s="3871"/>
      <c r="J67" s="3859"/>
      <c r="K67" s="3596"/>
      <c r="L67" s="3859"/>
      <c r="M67" s="3596"/>
      <c r="N67" s="3859"/>
      <c r="O67" s="3596"/>
      <c r="P67" s="3855"/>
      <c r="Q67" s="3872"/>
      <c r="R67" s="3887"/>
      <c r="S67" s="3889"/>
      <c r="T67" s="3872"/>
      <c r="U67" s="3871"/>
      <c r="V67" s="3857"/>
      <c r="W67" s="1321">
        <v>50000000</v>
      </c>
      <c r="X67" s="1094" t="s">
        <v>1638</v>
      </c>
      <c r="Y67" s="1094">
        <v>12</v>
      </c>
      <c r="Z67" s="1094" t="s">
        <v>1582</v>
      </c>
      <c r="AA67" s="3885"/>
      <c r="AB67" s="2222"/>
      <c r="AC67" s="2222"/>
      <c r="AD67" s="2222"/>
      <c r="AE67" s="2222"/>
      <c r="AF67" s="2222"/>
      <c r="AG67" s="2222"/>
      <c r="AH67" s="2222"/>
      <c r="AI67" s="2222"/>
      <c r="AJ67" s="2222"/>
      <c r="AK67" s="2222"/>
      <c r="AL67" s="2222"/>
      <c r="AM67" s="2222"/>
      <c r="AN67" s="2222"/>
      <c r="AO67" s="2222"/>
      <c r="AP67" s="2222"/>
      <c r="AQ67" s="3897"/>
      <c r="AR67" s="3897"/>
      <c r="AS67" s="3897"/>
    </row>
    <row r="68" spans="1:45" ht="36" customHeight="1" x14ac:dyDescent="0.25">
      <c r="A68" s="1069"/>
      <c r="B68" s="1051"/>
      <c r="C68" s="1069"/>
      <c r="D68" s="1051"/>
      <c r="E68" s="3593"/>
      <c r="F68" s="3593"/>
      <c r="G68" s="3871"/>
      <c r="H68" s="3872"/>
      <c r="I68" s="3871"/>
      <c r="J68" s="3859"/>
      <c r="K68" s="3596"/>
      <c r="L68" s="3859"/>
      <c r="M68" s="3596"/>
      <c r="N68" s="3859"/>
      <c r="O68" s="3596"/>
      <c r="P68" s="3855"/>
      <c r="Q68" s="3872"/>
      <c r="R68" s="3887"/>
      <c r="S68" s="3889"/>
      <c r="T68" s="3872"/>
      <c r="U68" s="3871"/>
      <c r="V68" s="3857" t="s">
        <v>1679</v>
      </c>
      <c r="W68" s="1321">
        <v>50164200</v>
      </c>
      <c r="X68" s="1094" t="s">
        <v>1638</v>
      </c>
      <c r="Y68" s="1094">
        <v>12</v>
      </c>
      <c r="Z68" s="1094" t="s">
        <v>1582</v>
      </c>
      <c r="AA68" s="3885"/>
      <c r="AB68" s="2222"/>
      <c r="AC68" s="2222"/>
      <c r="AD68" s="2222"/>
      <c r="AE68" s="2222"/>
      <c r="AF68" s="2222"/>
      <c r="AG68" s="2222"/>
      <c r="AH68" s="2222"/>
      <c r="AI68" s="2222"/>
      <c r="AJ68" s="2222"/>
      <c r="AK68" s="2222"/>
      <c r="AL68" s="2222"/>
      <c r="AM68" s="2222"/>
      <c r="AN68" s="2222"/>
      <c r="AO68" s="2222"/>
      <c r="AP68" s="2222"/>
      <c r="AQ68" s="3897"/>
      <c r="AR68" s="3897"/>
      <c r="AS68" s="3897"/>
    </row>
    <row r="69" spans="1:45" ht="36" customHeight="1" x14ac:dyDescent="0.25">
      <c r="A69" s="1069"/>
      <c r="B69" s="1051"/>
      <c r="C69" s="1069"/>
      <c r="D69" s="1051"/>
      <c r="E69" s="3593"/>
      <c r="F69" s="3593"/>
      <c r="G69" s="3871"/>
      <c r="H69" s="3872"/>
      <c r="I69" s="3871"/>
      <c r="J69" s="3859"/>
      <c r="K69" s="3596"/>
      <c r="L69" s="3859"/>
      <c r="M69" s="3596"/>
      <c r="N69" s="3859"/>
      <c r="O69" s="3596"/>
      <c r="P69" s="3855"/>
      <c r="Q69" s="3872"/>
      <c r="R69" s="3887"/>
      <c r="S69" s="3889"/>
      <c r="T69" s="3872"/>
      <c r="U69" s="3871"/>
      <c r="V69" s="3857"/>
      <c r="W69" s="1321">
        <v>60805175</v>
      </c>
      <c r="X69" s="1094" t="s">
        <v>1639</v>
      </c>
      <c r="Y69" s="1094">
        <v>3</v>
      </c>
      <c r="Z69" s="1094" t="s">
        <v>1607</v>
      </c>
      <c r="AA69" s="3885"/>
      <c r="AB69" s="2222"/>
      <c r="AC69" s="2222"/>
      <c r="AD69" s="2222"/>
      <c r="AE69" s="2222"/>
      <c r="AF69" s="2222"/>
      <c r="AG69" s="2222"/>
      <c r="AH69" s="2222"/>
      <c r="AI69" s="2222"/>
      <c r="AJ69" s="2222"/>
      <c r="AK69" s="2222"/>
      <c r="AL69" s="2222"/>
      <c r="AM69" s="2222"/>
      <c r="AN69" s="2222"/>
      <c r="AO69" s="2222"/>
      <c r="AP69" s="2222"/>
      <c r="AQ69" s="3897"/>
      <c r="AR69" s="3897"/>
      <c r="AS69" s="3897"/>
    </row>
    <row r="70" spans="1:45" ht="82.5" customHeight="1" x14ac:dyDescent="0.25">
      <c r="A70" s="1069"/>
      <c r="B70" s="1051"/>
      <c r="C70" s="1069"/>
      <c r="D70" s="1051"/>
      <c r="E70" s="3593"/>
      <c r="F70" s="3593"/>
      <c r="G70" s="3871"/>
      <c r="H70" s="3872"/>
      <c r="I70" s="3871"/>
      <c r="J70" s="3864"/>
      <c r="K70" s="3869"/>
      <c r="L70" s="3864"/>
      <c r="M70" s="3869"/>
      <c r="N70" s="3864"/>
      <c r="O70" s="3869"/>
      <c r="P70" s="3870"/>
      <c r="Q70" s="3872"/>
      <c r="R70" s="3887"/>
      <c r="S70" s="3889"/>
      <c r="T70" s="3872"/>
      <c r="U70" s="3871"/>
      <c r="V70" s="1332" t="s">
        <v>1680</v>
      </c>
      <c r="W70" s="1331">
        <v>527742469</v>
      </c>
      <c r="X70" s="1099" t="s">
        <v>1640</v>
      </c>
      <c r="Y70" s="1099">
        <v>28</v>
      </c>
      <c r="Z70" s="1099" t="s">
        <v>1577</v>
      </c>
      <c r="AA70" s="3885"/>
      <c r="AB70" s="2222"/>
      <c r="AC70" s="2222"/>
      <c r="AD70" s="2222"/>
      <c r="AE70" s="2222"/>
      <c r="AF70" s="2222"/>
      <c r="AG70" s="2222"/>
      <c r="AH70" s="2222"/>
      <c r="AI70" s="2222"/>
      <c r="AJ70" s="2222"/>
      <c r="AK70" s="2222"/>
      <c r="AL70" s="2222"/>
      <c r="AM70" s="2222"/>
      <c r="AN70" s="2222"/>
      <c r="AO70" s="2222"/>
      <c r="AP70" s="2222"/>
      <c r="AQ70" s="3897"/>
      <c r="AR70" s="3897"/>
      <c r="AS70" s="3897"/>
    </row>
    <row r="71" spans="1:45" ht="63.75" customHeight="1" x14ac:dyDescent="0.25">
      <c r="A71" s="1069"/>
      <c r="B71" s="1051"/>
      <c r="C71" s="1069"/>
      <c r="D71" s="1051"/>
      <c r="E71" s="3593"/>
      <c r="F71" s="3593"/>
      <c r="G71" s="3871"/>
      <c r="H71" s="3872"/>
      <c r="I71" s="3871"/>
      <c r="J71" s="3864"/>
      <c r="K71" s="3869"/>
      <c r="L71" s="3864"/>
      <c r="M71" s="3869"/>
      <c r="N71" s="3864"/>
      <c r="O71" s="3869"/>
      <c r="P71" s="3870"/>
      <c r="Q71" s="3872"/>
      <c r="R71" s="3887"/>
      <c r="S71" s="3889"/>
      <c r="T71" s="3872"/>
      <c r="U71" s="3871"/>
      <c r="V71" s="1044" t="s">
        <v>1681</v>
      </c>
      <c r="W71" s="1282">
        <v>26000000</v>
      </c>
      <c r="X71" s="1049" t="s">
        <v>1641</v>
      </c>
      <c r="Y71" s="1049">
        <v>23</v>
      </c>
      <c r="Z71" s="1049" t="s">
        <v>1636</v>
      </c>
      <c r="AA71" s="3885"/>
      <c r="AB71" s="2222"/>
      <c r="AC71" s="2222"/>
      <c r="AD71" s="2222"/>
      <c r="AE71" s="2222"/>
      <c r="AF71" s="2222"/>
      <c r="AG71" s="2222"/>
      <c r="AH71" s="2222"/>
      <c r="AI71" s="2222"/>
      <c r="AJ71" s="2222"/>
      <c r="AK71" s="2222"/>
      <c r="AL71" s="2222"/>
      <c r="AM71" s="2222"/>
      <c r="AN71" s="2222"/>
      <c r="AO71" s="2222"/>
      <c r="AP71" s="2222"/>
      <c r="AQ71" s="3897"/>
      <c r="AR71" s="3897"/>
      <c r="AS71" s="3897"/>
    </row>
    <row r="72" spans="1:45" ht="36" customHeight="1" x14ac:dyDescent="0.25">
      <c r="A72" s="1069"/>
      <c r="B72" s="1051"/>
      <c r="C72" s="1069"/>
      <c r="D72" s="1051"/>
      <c r="E72" s="3593"/>
      <c r="F72" s="3593"/>
      <c r="G72" s="3871"/>
      <c r="H72" s="3872"/>
      <c r="I72" s="3871"/>
      <c r="J72" s="3864"/>
      <c r="K72" s="3869"/>
      <c r="L72" s="3864"/>
      <c r="M72" s="3869"/>
      <c r="N72" s="3864"/>
      <c r="O72" s="3869"/>
      <c r="P72" s="3870"/>
      <c r="Q72" s="3872"/>
      <c r="R72" s="3887"/>
      <c r="S72" s="3889"/>
      <c r="T72" s="3872"/>
      <c r="U72" s="3871"/>
      <c r="V72" s="3900" t="s">
        <v>1682</v>
      </c>
      <c r="W72" s="1282">
        <v>50000000</v>
      </c>
      <c r="X72" s="1049" t="s">
        <v>1643</v>
      </c>
      <c r="Y72" s="1049">
        <v>24</v>
      </c>
      <c r="Z72" s="1049" t="s">
        <v>1642</v>
      </c>
      <c r="AA72" s="3885"/>
      <c r="AB72" s="2222"/>
      <c r="AC72" s="2222"/>
      <c r="AD72" s="2222"/>
      <c r="AE72" s="2222"/>
      <c r="AF72" s="2222"/>
      <c r="AG72" s="2222"/>
      <c r="AH72" s="2222"/>
      <c r="AI72" s="2222"/>
      <c r="AJ72" s="2222"/>
      <c r="AK72" s="2222"/>
      <c r="AL72" s="2222"/>
      <c r="AM72" s="2222"/>
      <c r="AN72" s="2222"/>
      <c r="AO72" s="2222"/>
      <c r="AP72" s="2222"/>
      <c r="AQ72" s="3897"/>
      <c r="AR72" s="3897"/>
      <c r="AS72" s="3897"/>
    </row>
    <row r="73" spans="1:45" ht="36" customHeight="1" x14ac:dyDescent="0.25">
      <c r="A73" s="1069"/>
      <c r="B73" s="1051"/>
      <c r="C73" s="1069"/>
      <c r="D73" s="1051"/>
      <c r="E73" s="3593"/>
      <c r="F73" s="3593"/>
      <c r="G73" s="3871"/>
      <c r="H73" s="3872"/>
      <c r="I73" s="3871"/>
      <c r="J73" s="3864"/>
      <c r="K73" s="3869"/>
      <c r="L73" s="3864"/>
      <c r="M73" s="3869"/>
      <c r="N73" s="3864"/>
      <c r="O73" s="3869"/>
      <c r="P73" s="3870"/>
      <c r="Q73" s="3872"/>
      <c r="R73" s="3887"/>
      <c r="S73" s="3889"/>
      <c r="T73" s="3872"/>
      <c r="U73" s="3871"/>
      <c r="V73" s="3901"/>
      <c r="W73" s="1282">
        <v>110000000</v>
      </c>
      <c r="X73" s="1049" t="s">
        <v>1635</v>
      </c>
      <c r="Y73" s="1049">
        <v>28</v>
      </c>
      <c r="Z73" s="1049" t="s">
        <v>1577</v>
      </c>
      <c r="AA73" s="3885"/>
      <c r="AB73" s="2222"/>
      <c r="AC73" s="2222"/>
      <c r="AD73" s="2222"/>
      <c r="AE73" s="2222"/>
      <c r="AF73" s="2222"/>
      <c r="AG73" s="2222"/>
      <c r="AH73" s="2222"/>
      <c r="AI73" s="2222"/>
      <c r="AJ73" s="2222"/>
      <c r="AK73" s="2222"/>
      <c r="AL73" s="2222"/>
      <c r="AM73" s="2222"/>
      <c r="AN73" s="2222"/>
      <c r="AO73" s="2222"/>
      <c r="AP73" s="2222"/>
      <c r="AQ73" s="3897"/>
      <c r="AR73" s="3897"/>
      <c r="AS73" s="3897"/>
    </row>
    <row r="74" spans="1:45" ht="36" customHeight="1" x14ac:dyDescent="0.25">
      <c r="A74" s="1069"/>
      <c r="B74" s="1051"/>
      <c r="C74" s="1069"/>
      <c r="D74" s="1051"/>
      <c r="E74" s="3593"/>
      <c r="F74" s="3593"/>
      <c r="G74" s="3871"/>
      <c r="H74" s="3872"/>
      <c r="I74" s="3871"/>
      <c r="J74" s="3864"/>
      <c r="K74" s="3869"/>
      <c r="L74" s="3864"/>
      <c r="M74" s="3869"/>
      <c r="N74" s="3864"/>
      <c r="O74" s="3869"/>
      <c r="P74" s="3870"/>
      <c r="Q74" s="3872"/>
      <c r="R74" s="3887"/>
      <c r="S74" s="3889"/>
      <c r="T74" s="3872"/>
      <c r="U74" s="3871"/>
      <c r="V74" s="3901"/>
      <c r="W74" s="1282">
        <v>545484938</v>
      </c>
      <c r="X74" s="1049" t="s">
        <v>1634</v>
      </c>
      <c r="Y74" s="1049">
        <v>28</v>
      </c>
      <c r="Z74" s="1049" t="s">
        <v>1577</v>
      </c>
      <c r="AA74" s="3885"/>
      <c r="AB74" s="2222"/>
      <c r="AC74" s="2222"/>
      <c r="AD74" s="2222"/>
      <c r="AE74" s="2222"/>
      <c r="AF74" s="2222"/>
      <c r="AG74" s="2222"/>
      <c r="AH74" s="2222"/>
      <c r="AI74" s="2222"/>
      <c r="AJ74" s="2222"/>
      <c r="AK74" s="2222"/>
      <c r="AL74" s="2222"/>
      <c r="AM74" s="2222"/>
      <c r="AN74" s="2222"/>
      <c r="AO74" s="2222"/>
      <c r="AP74" s="2222"/>
      <c r="AQ74" s="3897"/>
      <c r="AR74" s="3897"/>
      <c r="AS74" s="3897"/>
    </row>
    <row r="75" spans="1:45" ht="36" customHeight="1" x14ac:dyDescent="0.25">
      <c r="A75" s="1069"/>
      <c r="B75" s="1051"/>
      <c r="C75" s="1069"/>
      <c r="D75" s="1051"/>
      <c r="E75" s="3593"/>
      <c r="F75" s="3593"/>
      <c r="G75" s="3871"/>
      <c r="H75" s="3872"/>
      <c r="I75" s="3871"/>
      <c r="J75" s="3864"/>
      <c r="K75" s="3869"/>
      <c r="L75" s="3864"/>
      <c r="M75" s="3869"/>
      <c r="N75" s="3864"/>
      <c r="O75" s="3869"/>
      <c r="P75" s="3870"/>
      <c r="Q75" s="3872"/>
      <c r="R75" s="3887"/>
      <c r="S75" s="3889"/>
      <c r="T75" s="3872"/>
      <c r="U75" s="3871"/>
      <c r="V75" s="3898"/>
      <c r="W75" s="1282">
        <v>4000000</v>
      </c>
      <c r="X75" s="1049" t="s">
        <v>1644</v>
      </c>
      <c r="Y75" s="1049">
        <v>23</v>
      </c>
      <c r="Z75" s="1049" t="s">
        <v>1636</v>
      </c>
      <c r="AA75" s="3885"/>
      <c r="AB75" s="2222"/>
      <c r="AC75" s="2222"/>
      <c r="AD75" s="2222"/>
      <c r="AE75" s="2222"/>
      <c r="AF75" s="2222"/>
      <c r="AG75" s="2222"/>
      <c r="AH75" s="2222"/>
      <c r="AI75" s="2222"/>
      <c r="AJ75" s="2222"/>
      <c r="AK75" s="2222"/>
      <c r="AL75" s="2222"/>
      <c r="AM75" s="2222"/>
      <c r="AN75" s="2222"/>
      <c r="AO75" s="2222"/>
      <c r="AP75" s="2222"/>
      <c r="AQ75" s="3897"/>
      <c r="AR75" s="3897"/>
      <c r="AS75" s="3897"/>
    </row>
    <row r="76" spans="1:45" ht="36" customHeight="1" thickBot="1" x14ac:dyDescent="0.3">
      <c r="A76" s="1069"/>
      <c r="B76" s="1051"/>
      <c r="C76" s="1069"/>
      <c r="D76" s="1051"/>
      <c r="E76" s="3593"/>
      <c r="F76" s="3593"/>
      <c r="G76" s="3871"/>
      <c r="H76" s="3872"/>
      <c r="I76" s="3871"/>
      <c r="J76" s="3864"/>
      <c r="K76" s="3869"/>
      <c r="L76" s="3864"/>
      <c r="M76" s="3869"/>
      <c r="N76" s="3864"/>
      <c r="O76" s="3869"/>
      <c r="P76" s="3870"/>
      <c r="Q76" s="3872"/>
      <c r="R76" s="3887"/>
      <c r="S76" s="3889"/>
      <c r="T76" s="3872"/>
      <c r="U76" s="3906"/>
      <c r="V76" s="3902"/>
      <c r="W76" s="1333">
        <v>32000000</v>
      </c>
      <c r="X76" s="1317" t="s">
        <v>1645</v>
      </c>
      <c r="Y76" s="1317">
        <v>26</v>
      </c>
      <c r="Z76" s="1317" t="s">
        <v>1591</v>
      </c>
      <c r="AA76" s="3885"/>
      <c r="AB76" s="2222"/>
      <c r="AC76" s="2222"/>
      <c r="AD76" s="2222"/>
      <c r="AE76" s="2222"/>
      <c r="AF76" s="2222"/>
      <c r="AG76" s="2222"/>
      <c r="AH76" s="2222"/>
      <c r="AI76" s="2222"/>
      <c r="AJ76" s="2222"/>
      <c r="AK76" s="2222"/>
      <c r="AL76" s="2222"/>
      <c r="AM76" s="2222"/>
      <c r="AN76" s="2222"/>
      <c r="AO76" s="2222"/>
      <c r="AP76" s="2222"/>
      <c r="AQ76" s="3905"/>
      <c r="AR76" s="3905"/>
      <c r="AS76" s="3897"/>
    </row>
    <row r="77" spans="1:45" ht="63" customHeight="1" thickTop="1" x14ac:dyDescent="0.25">
      <c r="A77" s="1069"/>
      <c r="B77" s="1051"/>
      <c r="C77" s="1069"/>
      <c r="D77" s="1051"/>
      <c r="E77" s="1100"/>
      <c r="F77" s="1100"/>
      <c r="G77" s="3873">
        <v>4302075</v>
      </c>
      <c r="H77" s="3876" t="s">
        <v>1622</v>
      </c>
      <c r="I77" s="3879">
        <v>4302004</v>
      </c>
      <c r="J77" s="3876" t="s">
        <v>1646</v>
      </c>
      <c r="K77" s="3882" t="s">
        <v>62</v>
      </c>
      <c r="L77" s="2177" t="s">
        <v>1647</v>
      </c>
      <c r="M77" s="3890">
        <v>430200401</v>
      </c>
      <c r="N77" s="2177" t="s">
        <v>1648</v>
      </c>
      <c r="O77" s="3869">
        <v>1</v>
      </c>
      <c r="P77" s="3870">
        <v>2020003630013</v>
      </c>
      <c r="Q77" s="3864" t="s">
        <v>1683</v>
      </c>
      <c r="R77" s="3886">
        <f>W79/S77</f>
        <v>0.23644001790732383</v>
      </c>
      <c r="S77" s="3908">
        <f>SUM(W77:W79)</f>
        <v>126882074.64</v>
      </c>
      <c r="T77" s="3864" t="s">
        <v>1684</v>
      </c>
      <c r="U77" s="3871" t="s">
        <v>1685</v>
      </c>
      <c r="V77" s="2206" t="s">
        <v>1686</v>
      </c>
      <c r="W77" s="1334">
        <v>35000000</v>
      </c>
      <c r="X77" s="1043" t="s">
        <v>1649</v>
      </c>
      <c r="Y77" s="1111">
        <v>4</v>
      </c>
      <c r="Z77" s="1111" t="s">
        <v>1602</v>
      </c>
      <c r="AA77" s="2150">
        <v>0</v>
      </c>
      <c r="AB77" s="2150">
        <v>0</v>
      </c>
      <c r="AC77" s="2150">
        <v>0</v>
      </c>
      <c r="AD77" s="2150">
        <v>0</v>
      </c>
      <c r="AE77" s="2150">
        <v>0</v>
      </c>
      <c r="AF77" s="2150">
        <v>0</v>
      </c>
      <c r="AG77" s="2150">
        <v>0</v>
      </c>
      <c r="AH77" s="2150">
        <v>0</v>
      </c>
      <c r="AI77" s="2150">
        <v>0</v>
      </c>
      <c r="AJ77" s="2150">
        <v>0</v>
      </c>
      <c r="AK77" s="2150">
        <v>0</v>
      </c>
      <c r="AL77" s="2150">
        <v>0</v>
      </c>
      <c r="AM77" s="2150">
        <v>0</v>
      </c>
      <c r="AN77" s="2150">
        <v>0</v>
      </c>
      <c r="AO77" s="2150">
        <v>0</v>
      </c>
      <c r="AP77" s="2150">
        <f>SUM(AA77:AO79)</f>
        <v>0</v>
      </c>
      <c r="AQ77" s="3904">
        <v>44200</v>
      </c>
      <c r="AR77" s="3904">
        <v>44560</v>
      </c>
      <c r="AS77" s="2150" t="s">
        <v>1656</v>
      </c>
    </row>
    <row r="78" spans="1:45" ht="64.5" customHeight="1" x14ac:dyDescent="0.25">
      <c r="A78" s="1069"/>
      <c r="B78" s="1051"/>
      <c r="C78" s="1069"/>
      <c r="D78" s="1051"/>
      <c r="E78" s="1100"/>
      <c r="F78" s="1100"/>
      <c r="G78" s="3874"/>
      <c r="H78" s="3877"/>
      <c r="I78" s="3880"/>
      <c r="J78" s="3877"/>
      <c r="K78" s="3883"/>
      <c r="L78" s="2178"/>
      <c r="M78" s="3891"/>
      <c r="N78" s="2178"/>
      <c r="O78" s="3871"/>
      <c r="P78" s="3894"/>
      <c r="Q78" s="3872"/>
      <c r="R78" s="3887"/>
      <c r="S78" s="3909"/>
      <c r="T78" s="3872"/>
      <c r="U78" s="3871"/>
      <c r="V78" s="2155"/>
      <c r="W78" s="1282">
        <v>61882074.640000001</v>
      </c>
      <c r="X78" s="1049" t="s">
        <v>1650</v>
      </c>
      <c r="Y78" s="1049">
        <v>23</v>
      </c>
      <c r="Z78" s="1049" t="s">
        <v>1636</v>
      </c>
      <c r="AA78" s="2150"/>
      <c r="AB78" s="2150"/>
      <c r="AC78" s="2150"/>
      <c r="AD78" s="2150"/>
      <c r="AE78" s="2150"/>
      <c r="AF78" s="2150"/>
      <c r="AG78" s="2150"/>
      <c r="AH78" s="2150"/>
      <c r="AI78" s="2150"/>
      <c r="AJ78" s="2150"/>
      <c r="AK78" s="2150"/>
      <c r="AL78" s="2150"/>
      <c r="AM78" s="2150"/>
      <c r="AN78" s="2150"/>
      <c r="AO78" s="2150"/>
      <c r="AP78" s="2150"/>
      <c r="AQ78" s="3904"/>
      <c r="AR78" s="3904"/>
      <c r="AS78" s="2150"/>
    </row>
    <row r="79" spans="1:45" ht="67.5" customHeight="1" x14ac:dyDescent="0.25">
      <c r="A79" s="1069"/>
      <c r="B79" s="1051"/>
      <c r="C79" s="1069"/>
      <c r="D79" s="1051"/>
      <c r="E79" s="1100" t="s">
        <v>134</v>
      </c>
      <c r="F79" s="1100" t="s">
        <v>134</v>
      </c>
      <c r="G79" s="3875"/>
      <c r="H79" s="3878"/>
      <c r="I79" s="3881"/>
      <c r="J79" s="3878"/>
      <c r="K79" s="3884"/>
      <c r="L79" s="3728"/>
      <c r="M79" s="3892"/>
      <c r="N79" s="3728"/>
      <c r="O79" s="3893"/>
      <c r="P79" s="3895"/>
      <c r="Q79" s="3896"/>
      <c r="R79" s="3907"/>
      <c r="S79" s="3910"/>
      <c r="T79" s="3896"/>
      <c r="U79" s="3893"/>
      <c r="V79" s="1335" t="s">
        <v>1687</v>
      </c>
      <c r="W79" s="1336">
        <v>30000000</v>
      </c>
      <c r="X79" s="1337" t="s">
        <v>1650</v>
      </c>
      <c r="Y79" s="1337">
        <v>23</v>
      </c>
      <c r="Z79" s="1337" t="s">
        <v>1636</v>
      </c>
      <c r="AA79" s="2150"/>
      <c r="AB79" s="2150">
        <v>0</v>
      </c>
      <c r="AC79" s="2150">
        <v>0</v>
      </c>
      <c r="AD79" s="2150">
        <v>0</v>
      </c>
      <c r="AE79" s="2150">
        <v>0</v>
      </c>
      <c r="AF79" s="2150" t="s">
        <v>134</v>
      </c>
      <c r="AG79" s="2150" t="s">
        <v>134</v>
      </c>
      <c r="AH79" s="2150" t="s">
        <v>134</v>
      </c>
      <c r="AI79" s="2150" t="s">
        <v>134</v>
      </c>
      <c r="AJ79" s="2150" t="s">
        <v>134</v>
      </c>
      <c r="AK79" s="2150" t="s">
        <v>134</v>
      </c>
      <c r="AL79" s="2150" t="s">
        <v>134</v>
      </c>
      <c r="AM79" s="2150">
        <v>0</v>
      </c>
      <c r="AN79" s="2150" t="s">
        <v>134</v>
      </c>
      <c r="AO79" s="2150" t="s">
        <v>134</v>
      </c>
      <c r="AP79" s="2150">
        <v>0</v>
      </c>
      <c r="AQ79" s="3904">
        <v>44200</v>
      </c>
      <c r="AR79" s="3904">
        <v>44560</v>
      </c>
      <c r="AS79" s="2150" t="s">
        <v>1656</v>
      </c>
    </row>
    <row r="80" spans="1:45" ht="15.75" x14ac:dyDescent="0.25">
      <c r="A80" s="1338"/>
      <c r="B80" s="1339"/>
      <c r="C80" s="1339"/>
      <c r="D80" s="1339"/>
      <c r="E80" s="1339" t="s">
        <v>134</v>
      </c>
      <c r="F80" s="1339" t="s">
        <v>134</v>
      </c>
      <c r="G80" s="1339" t="s">
        <v>134</v>
      </c>
      <c r="H80" s="1339"/>
      <c r="I80" s="1339" t="s">
        <v>134</v>
      </c>
      <c r="J80" s="1339"/>
      <c r="K80" s="1339" t="s">
        <v>134</v>
      </c>
      <c r="L80" s="1339"/>
      <c r="M80" s="1339" t="s">
        <v>134</v>
      </c>
      <c r="N80" s="1339"/>
      <c r="O80" s="1339" t="s">
        <v>134</v>
      </c>
      <c r="P80" s="1339" t="s">
        <v>134</v>
      </c>
      <c r="Q80" s="1339" t="s">
        <v>134</v>
      </c>
      <c r="R80" s="1339" t="s">
        <v>134</v>
      </c>
      <c r="S80" s="1340">
        <f>SUM(S13:S78)</f>
        <v>13105059806.029999</v>
      </c>
      <c r="T80" s="1339" t="s">
        <v>134</v>
      </c>
      <c r="U80" s="1339" t="s">
        <v>134</v>
      </c>
      <c r="V80" s="1339" t="s">
        <v>134</v>
      </c>
      <c r="W80" s="1341">
        <f>SUM(W13:W51,W53:W79)</f>
        <v>13105059806.029999</v>
      </c>
      <c r="X80" s="1339" t="s">
        <v>134</v>
      </c>
      <c r="Y80" s="1339" t="s">
        <v>134</v>
      </c>
      <c r="Z80" s="1339" t="s">
        <v>134</v>
      </c>
      <c r="AA80" s="1339" t="s">
        <v>134</v>
      </c>
      <c r="AB80" s="1339" t="s">
        <v>134</v>
      </c>
      <c r="AC80" s="1339" t="s">
        <v>134</v>
      </c>
      <c r="AD80" s="1339" t="s">
        <v>134</v>
      </c>
      <c r="AE80" s="1339" t="s">
        <v>134</v>
      </c>
      <c r="AF80" s="1339" t="s">
        <v>134</v>
      </c>
      <c r="AG80" s="1339" t="s">
        <v>134</v>
      </c>
      <c r="AH80" s="1339" t="s">
        <v>134</v>
      </c>
      <c r="AI80" s="1339" t="s">
        <v>134</v>
      </c>
      <c r="AJ80" s="1339" t="s">
        <v>134</v>
      </c>
      <c r="AK80" s="1339" t="s">
        <v>134</v>
      </c>
      <c r="AL80" s="1339" t="s">
        <v>134</v>
      </c>
      <c r="AM80" s="1339" t="s">
        <v>134</v>
      </c>
      <c r="AN80" s="1339" t="s">
        <v>134</v>
      </c>
      <c r="AO80" s="1339" t="s">
        <v>134</v>
      </c>
      <c r="AP80" s="1339" t="s">
        <v>134</v>
      </c>
      <c r="AQ80" s="1339" t="s">
        <v>134</v>
      </c>
      <c r="AR80" s="1339" t="s">
        <v>134</v>
      </c>
      <c r="AS80" s="1342" t="s">
        <v>134</v>
      </c>
    </row>
    <row r="82" spans="19:24" x14ac:dyDescent="0.25">
      <c r="S82" s="123"/>
      <c r="W82" s="123"/>
    </row>
    <row r="85" spans="19:24" x14ac:dyDescent="0.25">
      <c r="W85" s="123"/>
    </row>
    <row r="86" spans="19:24" x14ac:dyDescent="0.25">
      <c r="W86" s="1343"/>
      <c r="X86" s="1344"/>
    </row>
    <row r="87" spans="19:24" x14ac:dyDescent="0.25">
      <c r="W87" s="1343"/>
      <c r="X87" s="1344"/>
    </row>
    <row r="88" spans="19:24" x14ac:dyDescent="0.25">
      <c r="W88" s="1343"/>
      <c r="X88" s="1344"/>
    </row>
    <row r="89" spans="19:24" x14ac:dyDescent="0.25">
      <c r="W89" s="1343"/>
      <c r="X89" s="1344"/>
    </row>
    <row r="90" spans="19:24" x14ac:dyDescent="0.25">
      <c r="W90" s="1343"/>
      <c r="X90" s="1344"/>
    </row>
    <row r="91" spans="19:24" x14ac:dyDescent="0.25">
      <c r="W91" s="1343"/>
      <c r="X91" s="1344"/>
    </row>
    <row r="92" spans="19:24" x14ac:dyDescent="0.25">
      <c r="W92" s="1343"/>
      <c r="X92" s="1344"/>
    </row>
    <row r="93" spans="19:24" x14ac:dyDescent="0.25">
      <c r="W93" s="1343"/>
      <c r="X93" s="1344"/>
    </row>
    <row r="94" spans="19:24" x14ac:dyDescent="0.25">
      <c r="W94" s="1343"/>
      <c r="X94" s="1344"/>
    </row>
  </sheetData>
  <sheetProtection algorithmName="SHA-512" hashValue="l38euREzJy0yKjoGh7F0oeH3vhfb4NeeVG6eINWL4jLhOjl03GCckmXVEdQSe95wTbLXLKWrMDIRti77Qaddgg==" saltValue="DX93p+sx6nLzcG+mVzlfgQ==" spinCount="100000" sheet="1" objects="1" scenarios="1"/>
  <mergeCells count="182">
    <mergeCell ref="AS77:AS79"/>
    <mergeCell ref="AH77:AH79"/>
    <mergeCell ref="AI77:AI79"/>
    <mergeCell ref="AJ77:AJ79"/>
    <mergeCell ref="AK77:AK79"/>
    <mergeCell ref="AL77:AL79"/>
    <mergeCell ref="AM77:AM79"/>
    <mergeCell ref="T77:T79"/>
    <mergeCell ref="U77:U79"/>
    <mergeCell ref="V77:V78"/>
    <mergeCell ref="AA77:AA79"/>
    <mergeCell ref="AN77:AN79"/>
    <mergeCell ref="AO77:AO79"/>
    <mergeCell ref="AP77:AP79"/>
    <mergeCell ref="AQ77:AQ79"/>
    <mergeCell ref="AR77:AR79"/>
    <mergeCell ref="L77:L79"/>
    <mergeCell ref="M77:M79"/>
    <mergeCell ref="N77:N79"/>
    <mergeCell ref="O77:O79"/>
    <mergeCell ref="P77:P79"/>
    <mergeCell ref="Q77:Q79"/>
    <mergeCell ref="AS53:AS76"/>
    <mergeCell ref="V58:V62"/>
    <mergeCell ref="V63:V67"/>
    <mergeCell ref="V68:V69"/>
    <mergeCell ref="V72:V76"/>
    <mergeCell ref="AQ53:AQ76"/>
    <mergeCell ref="AR53:AR76"/>
    <mergeCell ref="T53:T76"/>
    <mergeCell ref="U53:U76"/>
    <mergeCell ref="V53:V57"/>
    <mergeCell ref="AB77:AB79"/>
    <mergeCell ref="AC77:AC79"/>
    <mergeCell ref="AD77:AD79"/>
    <mergeCell ref="AE77:AE79"/>
    <mergeCell ref="AF77:AF79"/>
    <mergeCell ref="AG77:AG79"/>
    <mergeCell ref="R77:R79"/>
    <mergeCell ref="S77:S79"/>
    <mergeCell ref="G77:G79"/>
    <mergeCell ref="H77:H79"/>
    <mergeCell ref="I77:I79"/>
    <mergeCell ref="J77:J79"/>
    <mergeCell ref="K77:K79"/>
    <mergeCell ref="AM53:AM76"/>
    <mergeCell ref="AN53:AN76"/>
    <mergeCell ref="AO53:AO76"/>
    <mergeCell ref="AP53:AP76"/>
    <mergeCell ref="AG53:AG76"/>
    <mergeCell ref="AH53:AH76"/>
    <mergeCell ref="AI53:AI76"/>
    <mergeCell ref="AJ53:AJ76"/>
    <mergeCell ref="AK53:AK76"/>
    <mergeCell ref="AL53:AL76"/>
    <mergeCell ref="AA53:AA76"/>
    <mergeCell ref="AB53:AB76"/>
    <mergeCell ref="AC53:AC76"/>
    <mergeCell ref="AD53:AD76"/>
    <mergeCell ref="AE53:AE76"/>
    <mergeCell ref="AF53:AF76"/>
    <mergeCell ref="Q53:Q76"/>
    <mergeCell ref="R53:R76"/>
    <mergeCell ref="S53:S76"/>
    <mergeCell ref="K53:K76"/>
    <mergeCell ref="L53:L76"/>
    <mergeCell ref="M53:M76"/>
    <mergeCell ref="N53:N76"/>
    <mergeCell ref="O53:O76"/>
    <mergeCell ref="P53:P76"/>
    <mergeCell ref="E53:E76"/>
    <mergeCell ref="F53:F76"/>
    <mergeCell ref="G53:G76"/>
    <mergeCell ref="H53:H76"/>
    <mergeCell ref="I53:I76"/>
    <mergeCell ref="J53:J76"/>
    <mergeCell ref="AS23:AS32"/>
    <mergeCell ref="V26:V28"/>
    <mergeCell ref="V29:V32"/>
    <mergeCell ref="K33:K48"/>
    <mergeCell ref="L33:L48"/>
    <mergeCell ref="M33:M48"/>
    <mergeCell ref="N33:N48"/>
    <mergeCell ref="O33:O48"/>
    <mergeCell ref="R33:R48"/>
    <mergeCell ref="U33:U48"/>
    <mergeCell ref="AK13:AK51"/>
    <mergeCell ref="AL13:AL51"/>
    <mergeCell ref="AA13:AA51"/>
    <mergeCell ref="AB13:AB51"/>
    <mergeCell ref="AC13:AC51"/>
    <mergeCell ref="AD13:AD51"/>
    <mergeCell ref="AE13:AE51"/>
    <mergeCell ref="R49:R51"/>
    <mergeCell ref="U49:U51"/>
    <mergeCell ref="V49:V50"/>
    <mergeCell ref="AQ49:AQ51"/>
    <mergeCell ref="AR49:AR51"/>
    <mergeCell ref="AS49:AS51"/>
    <mergeCell ref="AS33:AS48"/>
    <mergeCell ref="AR33:AR48"/>
    <mergeCell ref="AG13:AG51"/>
    <mergeCell ref="AH13:AH51"/>
    <mergeCell ref="AI13:AI51"/>
    <mergeCell ref="AJ13:AJ51"/>
    <mergeCell ref="G49:G51"/>
    <mergeCell ref="H49:H51"/>
    <mergeCell ref="I49:I51"/>
    <mergeCell ref="J49:J51"/>
    <mergeCell ref="K49:K51"/>
    <mergeCell ref="L49:L51"/>
    <mergeCell ref="M49:M51"/>
    <mergeCell ref="V39:V44"/>
    <mergeCell ref="V45:V48"/>
    <mergeCell ref="AF13:AF51"/>
    <mergeCell ref="V13:V14"/>
    <mergeCell ref="R23:R32"/>
    <mergeCell ref="U23:U32"/>
    <mergeCell ref="V23:V25"/>
    <mergeCell ref="V33:V38"/>
    <mergeCell ref="R13:R22"/>
    <mergeCell ref="S13:S51"/>
    <mergeCell ref="T13:T51"/>
    <mergeCell ref="U13:U22"/>
    <mergeCell ref="AS13:AS22"/>
    <mergeCell ref="V16:V18"/>
    <mergeCell ref="V19:V22"/>
    <mergeCell ref="G23:G48"/>
    <mergeCell ref="H23:H48"/>
    <mergeCell ref="I23:I48"/>
    <mergeCell ref="J23:J48"/>
    <mergeCell ref="K23:K32"/>
    <mergeCell ref="L23:L32"/>
    <mergeCell ref="M23:M32"/>
    <mergeCell ref="AM13:AM51"/>
    <mergeCell ref="AN13:AN51"/>
    <mergeCell ref="AO13:AO51"/>
    <mergeCell ref="AP13:AP51"/>
    <mergeCell ref="AQ13:AQ22"/>
    <mergeCell ref="AR13:AR22"/>
    <mergeCell ref="AQ23:AQ32"/>
    <mergeCell ref="AR23:AR32"/>
    <mergeCell ref="AQ33:AQ48"/>
    <mergeCell ref="N23:N32"/>
    <mergeCell ref="O23:O32"/>
    <mergeCell ref="N49:N51"/>
    <mergeCell ref="O49:O51"/>
    <mergeCell ref="Q13:Q51"/>
    <mergeCell ref="E13:E19"/>
    <mergeCell ref="F13:F19"/>
    <mergeCell ref="G13:G22"/>
    <mergeCell ref="H13:H22"/>
    <mergeCell ref="I13:I22"/>
    <mergeCell ref="J13:J22"/>
    <mergeCell ref="AQ7:AQ8"/>
    <mergeCell ref="AR7:AR8"/>
    <mergeCell ref="AS7:AS8"/>
    <mergeCell ref="B10:I10"/>
    <mergeCell ref="D11:M11"/>
    <mergeCell ref="F12:T12"/>
    <mergeCell ref="X7:Z7"/>
    <mergeCell ref="AA7:AB7"/>
    <mergeCell ref="AC7:AF7"/>
    <mergeCell ref="AG7:AL7"/>
    <mergeCell ref="AM7:AO7"/>
    <mergeCell ref="AP7:AP8"/>
    <mergeCell ref="K13:K22"/>
    <mergeCell ref="L13:L22"/>
    <mergeCell ref="M13:M22"/>
    <mergeCell ref="N13:N22"/>
    <mergeCell ref="O13:O22"/>
    <mergeCell ref="P13:P51"/>
    <mergeCell ref="A1:AQ4"/>
    <mergeCell ref="A5:O6"/>
    <mergeCell ref="P5:AS5"/>
    <mergeCell ref="AC6:AQ6"/>
    <mergeCell ref="A7:B7"/>
    <mergeCell ref="C7:D7"/>
    <mergeCell ref="E7:F7"/>
    <mergeCell ref="G7:J7"/>
    <mergeCell ref="K7:N7"/>
    <mergeCell ref="O7:W7"/>
  </mergeCells>
  <pageMargins left="0.7" right="0.7" top="0.75" bottom="0.75" header="0.3" footer="0.3"/>
  <pageSetup paperSize="258" scale="11" fitToHeight="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L16"/>
  <sheetViews>
    <sheetView showGridLines="0" zoomScale="70" zoomScaleNormal="70" workbookViewId="0">
      <selection activeCell="A5" sqref="A5:O6"/>
    </sheetView>
  </sheetViews>
  <sheetFormatPr baseColWidth="10" defaultColWidth="9.140625" defaultRowHeight="14.25" x14ac:dyDescent="0.25"/>
  <cols>
    <col min="1" max="1" width="13.28515625" style="1264" customWidth="1"/>
    <col min="2" max="4" width="15.140625" style="1264" customWidth="1"/>
    <col min="5" max="5" width="12" style="1264" customWidth="1"/>
    <col min="6" max="6" width="11.85546875" style="1264" customWidth="1"/>
    <col min="7" max="7" width="15.5703125" style="1264" customWidth="1"/>
    <col min="8" max="8" width="37" style="1264" customWidth="1"/>
    <col min="9" max="9" width="20.140625" style="1264" customWidth="1"/>
    <col min="10" max="10" width="37" style="1264" customWidth="1"/>
    <col min="11" max="11" width="14.85546875" style="1264" customWidth="1"/>
    <col min="12" max="14" width="26" style="1264" customWidth="1"/>
    <col min="15" max="15" width="9.140625" style="1264" bestFit="1" customWidth="1"/>
    <col min="16" max="16" width="24.5703125" style="1264" customWidth="1"/>
    <col min="17" max="17" width="28.140625" style="1264" customWidth="1"/>
    <col min="18" max="18" width="16.5703125" style="1264" customWidth="1"/>
    <col min="19" max="19" width="23.7109375" style="1264" customWidth="1"/>
    <col min="20" max="20" width="22.140625" style="1264" customWidth="1"/>
    <col min="21" max="21" width="26.140625" style="1264" customWidth="1"/>
    <col min="22" max="22" width="22.85546875" style="1264" customWidth="1"/>
    <col min="23" max="24" width="21.28515625" style="1264" customWidth="1"/>
    <col min="25" max="25" width="12.28515625" style="1264" customWidth="1"/>
    <col min="26" max="26" width="21.140625" style="1264" customWidth="1"/>
    <col min="27" max="28" width="9.140625" style="1264" bestFit="1" customWidth="1"/>
    <col min="29" max="29" width="10.7109375" style="1264" customWidth="1"/>
    <col min="30" max="41" width="9.140625" style="1264" bestFit="1" customWidth="1"/>
    <col min="42" max="42" width="18.5703125" style="1264" customWidth="1"/>
    <col min="43" max="43" width="20.5703125" style="1264" customWidth="1"/>
    <col min="44" max="44" width="18.140625" style="1264" customWidth="1"/>
    <col min="45" max="45" width="32.28515625" style="1264" customWidth="1"/>
    <col min="46" max="16384" width="9.140625" style="1264"/>
  </cols>
  <sheetData>
    <row r="1" spans="1:64" s="1119" customFormat="1" ht="18.75" customHeight="1" x14ac:dyDescent="0.25">
      <c r="A1" s="2349" t="s">
        <v>1537</v>
      </c>
      <c r="B1" s="2955"/>
      <c r="C1" s="2955"/>
      <c r="D1" s="2955"/>
      <c r="E1" s="2955"/>
      <c r="F1" s="2955"/>
      <c r="G1" s="2955"/>
      <c r="H1" s="2955"/>
      <c r="I1" s="2955"/>
      <c r="J1" s="2955"/>
      <c r="K1" s="2955"/>
      <c r="L1" s="2955"/>
      <c r="M1" s="2955"/>
      <c r="N1" s="2955"/>
      <c r="O1" s="2955"/>
      <c r="P1" s="2955"/>
      <c r="Q1" s="2955"/>
      <c r="R1" s="2955"/>
      <c r="S1" s="2955"/>
      <c r="T1" s="2955"/>
      <c r="U1" s="2955"/>
      <c r="V1" s="2955"/>
      <c r="W1" s="2955"/>
      <c r="X1" s="2955"/>
      <c r="Y1" s="2955"/>
      <c r="Z1" s="2955"/>
      <c r="AA1" s="2955"/>
      <c r="AB1" s="2955"/>
      <c r="AC1" s="2955"/>
      <c r="AD1" s="2955"/>
      <c r="AE1" s="2955"/>
      <c r="AF1" s="2955"/>
      <c r="AG1" s="2955"/>
      <c r="AH1" s="2955"/>
      <c r="AI1" s="2955"/>
      <c r="AJ1" s="2955"/>
      <c r="AK1" s="2955"/>
      <c r="AL1" s="2955"/>
      <c r="AM1" s="2955"/>
      <c r="AN1" s="2955"/>
      <c r="AO1" s="2955"/>
      <c r="AP1" s="2955"/>
      <c r="AQ1" s="2237"/>
      <c r="AR1" s="1038" t="s">
        <v>1</v>
      </c>
      <c r="AS1" s="1038" t="s">
        <v>1141</v>
      </c>
      <c r="AT1" s="3"/>
      <c r="AU1" s="3"/>
      <c r="AV1" s="3"/>
      <c r="AW1" s="3"/>
      <c r="AX1" s="3"/>
      <c r="AY1" s="3"/>
      <c r="AZ1" s="3"/>
      <c r="BA1" s="3"/>
      <c r="BB1" s="3"/>
      <c r="BC1" s="3"/>
      <c r="BD1" s="3"/>
      <c r="BE1" s="3"/>
      <c r="BF1" s="3"/>
      <c r="BG1" s="3"/>
      <c r="BH1" s="3"/>
      <c r="BI1" s="3"/>
      <c r="BJ1" s="3"/>
      <c r="BK1" s="3"/>
      <c r="BL1" s="3"/>
    </row>
    <row r="2" spans="1:64" s="1119" customFormat="1" ht="15" customHeight="1" x14ac:dyDescent="0.25">
      <c r="A2" s="2955"/>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1038" t="s">
        <v>3</v>
      </c>
      <c r="AS2" s="1038" t="s">
        <v>693</v>
      </c>
      <c r="AT2" s="3"/>
      <c r="AU2" s="3"/>
      <c r="AV2" s="3"/>
      <c r="AW2" s="3"/>
      <c r="AX2" s="3"/>
      <c r="AY2" s="3"/>
      <c r="AZ2" s="3"/>
      <c r="BA2" s="3"/>
      <c r="BB2" s="3"/>
      <c r="BC2" s="3"/>
      <c r="BD2" s="3"/>
      <c r="BE2" s="3"/>
      <c r="BF2" s="3"/>
      <c r="BG2" s="3"/>
      <c r="BH2" s="3"/>
      <c r="BI2" s="3"/>
      <c r="BJ2" s="3"/>
      <c r="BK2" s="3"/>
      <c r="BL2" s="3"/>
    </row>
    <row r="3" spans="1:64" s="1119" customFormat="1" ht="17.25" customHeight="1" x14ac:dyDescent="0.25">
      <c r="A3" s="2955"/>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1038" t="s">
        <v>4</v>
      </c>
      <c r="AS3" s="1088" t="s">
        <v>1142</v>
      </c>
      <c r="AT3" s="3"/>
      <c r="AU3" s="3"/>
      <c r="AV3" s="3"/>
      <c r="AW3" s="3"/>
      <c r="AX3" s="3"/>
      <c r="AY3" s="3"/>
      <c r="AZ3" s="3"/>
      <c r="BA3" s="3"/>
      <c r="BB3" s="3"/>
      <c r="BC3" s="3"/>
      <c r="BD3" s="3"/>
      <c r="BE3" s="3"/>
      <c r="BF3" s="3"/>
      <c r="BG3" s="3"/>
      <c r="BH3" s="3"/>
      <c r="BI3" s="3"/>
      <c r="BJ3" s="3"/>
      <c r="BK3" s="3"/>
      <c r="BL3" s="3"/>
    </row>
    <row r="4" spans="1:64" s="1119" customFormat="1" ht="19.5" customHeight="1" x14ac:dyDescent="0.25">
      <c r="A4" s="2238"/>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9"/>
      <c r="AR4" s="1038" t="s">
        <v>5</v>
      </c>
      <c r="AS4" s="659" t="s">
        <v>120</v>
      </c>
      <c r="AT4" s="3"/>
      <c r="AU4" s="3"/>
      <c r="AV4" s="3"/>
      <c r="AW4" s="3"/>
      <c r="AX4" s="3"/>
      <c r="AY4" s="3"/>
      <c r="AZ4" s="3"/>
      <c r="BA4" s="3"/>
      <c r="BB4" s="3"/>
      <c r="BC4" s="3"/>
      <c r="BD4" s="3"/>
      <c r="BE4" s="3"/>
      <c r="BF4" s="3"/>
      <c r="BG4" s="3"/>
      <c r="BH4" s="3"/>
      <c r="BI4" s="3"/>
      <c r="BJ4" s="3"/>
      <c r="BK4" s="3"/>
      <c r="BL4" s="3"/>
    </row>
    <row r="5" spans="1:64" s="1119" customFormat="1" ht="20.25" customHeight="1" x14ac:dyDescent="0.25">
      <c r="A5" s="2240" t="s">
        <v>7</v>
      </c>
      <c r="B5" s="2241"/>
      <c r="C5" s="2241"/>
      <c r="D5" s="2241"/>
      <c r="E5" s="2241"/>
      <c r="F5" s="2241"/>
      <c r="G5" s="2241"/>
      <c r="H5" s="2241"/>
      <c r="I5" s="2241"/>
      <c r="J5" s="2241"/>
      <c r="K5" s="2241"/>
      <c r="L5" s="2241"/>
      <c r="M5" s="2241"/>
      <c r="N5" s="2241"/>
      <c r="O5" s="2242"/>
      <c r="P5" s="2581"/>
      <c r="Q5" s="2581"/>
      <c r="R5" s="2581"/>
      <c r="S5" s="2581"/>
      <c r="T5" s="2581"/>
      <c r="U5" s="2581"/>
      <c r="V5" s="2581"/>
      <c r="W5" s="2581"/>
      <c r="X5" s="2581"/>
      <c r="Y5" s="2581"/>
      <c r="Z5" s="2581"/>
      <c r="AA5" s="2581"/>
      <c r="AB5" s="2581"/>
      <c r="AC5" s="2581"/>
      <c r="AD5" s="2581"/>
      <c r="AE5" s="2581"/>
      <c r="AF5" s="2581"/>
      <c r="AG5" s="2581"/>
      <c r="AH5" s="2581"/>
      <c r="AI5" s="2581"/>
      <c r="AJ5" s="2581"/>
      <c r="AK5" s="2581"/>
      <c r="AL5" s="2581"/>
      <c r="AM5" s="2581"/>
      <c r="AN5" s="2581"/>
      <c r="AO5" s="2581"/>
      <c r="AP5" s="2581"/>
      <c r="AQ5" s="2581"/>
      <c r="AR5" s="2581"/>
      <c r="AS5" s="2244"/>
      <c r="AT5" s="3"/>
      <c r="AU5" s="3"/>
      <c r="AV5" s="3"/>
      <c r="AW5" s="3"/>
      <c r="AX5" s="3"/>
      <c r="AY5" s="3"/>
      <c r="AZ5" s="3"/>
      <c r="BA5" s="3"/>
      <c r="BB5" s="3"/>
      <c r="BC5" s="3"/>
      <c r="BD5" s="3"/>
      <c r="BE5" s="3"/>
      <c r="BF5" s="3"/>
      <c r="BG5" s="3"/>
      <c r="BH5" s="3"/>
      <c r="BI5" s="3"/>
      <c r="BJ5" s="3"/>
      <c r="BK5" s="3"/>
      <c r="BL5" s="3"/>
    </row>
    <row r="6" spans="1:64" s="1119" customFormat="1" ht="16.5" customHeight="1" x14ac:dyDescent="0.25">
      <c r="A6" s="2243"/>
      <c r="B6" s="2238"/>
      <c r="C6" s="2238"/>
      <c r="D6" s="2238"/>
      <c r="E6" s="2238"/>
      <c r="F6" s="2238"/>
      <c r="G6" s="2238"/>
      <c r="H6" s="2238"/>
      <c r="I6" s="2238"/>
      <c r="J6" s="2238"/>
      <c r="K6" s="2238"/>
      <c r="L6" s="2238"/>
      <c r="M6" s="2238"/>
      <c r="N6" s="2238"/>
      <c r="O6" s="2239"/>
      <c r="P6" s="1032"/>
      <c r="Q6" s="1032"/>
      <c r="R6" s="1032"/>
      <c r="S6" s="1032"/>
      <c r="T6" s="1032"/>
      <c r="U6" s="1032"/>
      <c r="V6" s="1032"/>
      <c r="W6" s="1032"/>
      <c r="X6" s="1032"/>
      <c r="Y6" s="1032"/>
      <c r="Z6" s="1032"/>
      <c r="AA6" s="1032"/>
      <c r="AB6" s="1032"/>
      <c r="AC6" s="2246" t="s">
        <v>8</v>
      </c>
      <c r="AD6" s="2236"/>
      <c r="AE6" s="2236"/>
      <c r="AF6" s="2236"/>
      <c r="AG6" s="2236"/>
      <c r="AH6" s="2236"/>
      <c r="AI6" s="2236"/>
      <c r="AJ6" s="2236"/>
      <c r="AK6" s="2236"/>
      <c r="AL6" s="2236"/>
      <c r="AM6" s="2236"/>
      <c r="AN6" s="2236"/>
      <c r="AO6" s="2236"/>
      <c r="AP6" s="2236"/>
      <c r="AQ6" s="2237"/>
      <c r="AR6" s="1032"/>
      <c r="AS6" s="1129"/>
      <c r="AT6" s="3"/>
      <c r="AU6" s="3"/>
      <c r="AV6" s="3"/>
      <c r="AW6" s="3"/>
      <c r="AX6" s="3"/>
      <c r="AY6" s="3"/>
      <c r="AZ6" s="3"/>
      <c r="BA6" s="3"/>
      <c r="BB6" s="3"/>
      <c r="BC6" s="3"/>
      <c r="BD6" s="3"/>
      <c r="BE6" s="3"/>
      <c r="BF6" s="3"/>
      <c r="BG6" s="3"/>
      <c r="BH6" s="3"/>
      <c r="BI6" s="3"/>
      <c r="BJ6" s="3"/>
      <c r="BK6" s="3"/>
      <c r="BL6" s="3"/>
    </row>
    <row r="7" spans="1:64" s="1119" customFormat="1" ht="30.75" customHeight="1" x14ac:dyDescent="0.25">
      <c r="A7" s="2212" t="s">
        <v>9</v>
      </c>
      <c r="B7" s="2212"/>
      <c r="C7" s="2212" t="s">
        <v>10</v>
      </c>
      <c r="D7" s="2212"/>
      <c r="E7" s="2212" t="s">
        <v>11</v>
      </c>
      <c r="F7" s="2212"/>
      <c r="G7" s="2212" t="s">
        <v>12</v>
      </c>
      <c r="H7" s="2212"/>
      <c r="I7" s="2212"/>
      <c r="J7" s="2212"/>
      <c r="K7" s="2212" t="s">
        <v>13</v>
      </c>
      <c r="L7" s="2212"/>
      <c r="M7" s="2212"/>
      <c r="N7" s="2212"/>
      <c r="O7" s="3911" t="s">
        <v>14</v>
      </c>
      <c r="P7" s="3911"/>
      <c r="Q7" s="3911"/>
      <c r="R7" s="3911"/>
      <c r="S7" s="3911"/>
      <c r="T7" s="3911"/>
      <c r="U7" s="3911"/>
      <c r="V7" s="3911"/>
      <c r="W7" s="3911"/>
      <c r="X7" s="2212" t="s">
        <v>15</v>
      </c>
      <c r="Y7" s="2212"/>
      <c r="Z7" s="2212"/>
      <c r="AA7" s="2401" t="s">
        <v>16</v>
      </c>
      <c r="AB7" s="2401"/>
      <c r="AC7" s="2218" t="s">
        <v>17</v>
      </c>
      <c r="AD7" s="2218"/>
      <c r="AE7" s="2218"/>
      <c r="AF7" s="2217" t="s">
        <v>18</v>
      </c>
      <c r="AG7" s="2217"/>
      <c r="AH7" s="2217"/>
      <c r="AI7" s="2217"/>
      <c r="AJ7" s="2217"/>
      <c r="AK7" s="2217"/>
      <c r="AL7" s="1042"/>
      <c r="AM7" s="2218" t="s">
        <v>19</v>
      </c>
      <c r="AN7" s="2218"/>
      <c r="AO7" s="2218"/>
      <c r="AP7" s="3912" t="s">
        <v>20</v>
      </c>
      <c r="AQ7" s="2405" t="s">
        <v>1538</v>
      </c>
      <c r="AR7" s="2405" t="s">
        <v>1539</v>
      </c>
      <c r="AS7" s="2251" t="s">
        <v>23</v>
      </c>
      <c r="AT7" s="3"/>
      <c r="AU7" s="3"/>
      <c r="AV7" s="3"/>
      <c r="AW7" s="3"/>
      <c r="AX7" s="3"/>
      <c r="AY7" s="3"/>
      <c r="AZ7" s="3"/>
      <c r="BA7" s="3"/>
      <c r="BB7" s="3"/>
      <c r="BC7" s="3"/>
      <c r="BD7" s="3"/>
      <c r="BE7" s="3"/>
      <c r="BF7" s="3"/>
      <c r="BG7" s="3"/>
      <c r="BH7" s="3"/>
      <c r="BI7" s="3"/>
      <c r="BJ7" s="3"/>
      <c r="BK7" s="3"/>
      <c r="BL7" s="3"/>
    </row>
    <row r="8" spans="1:64" s="1119" customFormat="1" ht="126.75" customHeight="1" x14ac:dyDescent="0.25">
      <c r="A8" s="1070" t="s">
        <v>24</v>
      </c>
      <c r="B8" s="18" t="s">
        <v>25</v>
      </c>
      <c r="C8" s="1070" t="s">
        <v>24</v>
      </c>
      <c r="D8" s="18" t="s">
        <v>25</v>
      </c>
      <c r="E8" s="18" t="s">
        <v>24</v>
      </c>
      <c r="F8" s="18" t="s">
        <v>25</v>
      </c>
      <c r="G8" s="18" t="s">
        <v>26</v>
      </c>
      <c r="H8" s="18" t="s">
        <v>27</v>
      </c>
      <c r="I8" s="18" t="s">
        <v>28</v>
      </c>
      <c r="J8" s="18" t="s">
        <v>122</v>
      </c>
      <c r="K8" s="18" t="s">
        <v>26</v>
      </c>
      <c r="L8" s="18" t="s">
        <v>30</v>
      </c>
      <c r="M8" s="18" t="s">
        <v>31</v>
      </c>
      <c r="N8" s="18" t="s">
        <v>32</v>
      </c>
      <c r="O8" s="18" t="s">
        <v>185</v>
      </c>
      <c r="P8" s="18" t="s">
        <v>34</v>
      </c>
      <c r="Q8" s="18" t="s">
        <v>35</v>
      </c>
      <c r="R8" s="1248" t="s">
        <v>36</v>
      </c>
      <c r="S8" s="1249" t="s">
        <v>37</v>
      </c>
      <c r="T8" s="18" t="s">
        <v>38</v>
      </c>
      <c r="U8" s="18" t="s">
        <v>39</v>
      </c>
      <c r="V8" s="18" t="s">
        <v>40</v>
      </c>
      <c r="W8" s="1249" t="s">
        <v>1540</v>
      </c>
      <c r="X8" s="18" t="s">
        <v>42</v>
      </c>
      <c r="Y8" s="1070" t="s">
        <v>43</v>
      </c>
      <c r="Z8" s="18" t="s">
        <v>25</v>
      </c>
      <c r="AA8" s="142" t="s">
        <v>44</v>
      </c>
      <c r="AB8" s="1041" t="s">
        <v>45</v>
      </c>
      <c r="AC8" s="142" t="s">
        <v>46</v>
      </c>
      <c r="AD8" s="142" t="s">
        <v>47</v>
      </c>
      <c r="AE8" s="142" t="s">
        <v>48</v>
      </c>
      <c r="AF8" s="142" t="s">
        <v>49</v>
      </c>
      <c r="AG8" s="142" t="s">
        <v>50</v>
      </c>
      <c r="AH8" s="142" t="s">
        <v>51</v>
      </c>
      <c r="AI8" s="142" t="s">
        <v>52</v>
      </c>
      <c r="AJ8" s="142" t="s">
        <v>53</v>
      </c>
      <c r="AK8" s="142" t="s">
        <v>54</v>
      </c>
      <c r="AL8" s="142" t="s">
        <v>55</v>
      </c>
      <c r="AM8" s="142" t="s">
        <v>56</v>
      </c>
      <c r="AN8" s="142" t="s">
        <v>57</v>
      </c>
      <c r="AO8" s="142" t="s">
        <v>58</v>
      </c>
      <c r="AP8" s="3913"/>
      <c r="AQ8" s="2405"/>
      <c r="AR8" s="2405"/>
      <c r="AS8" s="2251"/>
      <c r="AT8" s="3"/>
      <c r="AU8" s="3"/>
      <c r="AV8" s="3"/>
      <c r="AW8" s="3"/>
      <c r="AX8" s="3"/>
      <c r="AY8" s="3"/>
      <c r="AZ8" s="3"/>
      <c r="BA8" s="3"/>
      <c r="BB8" s="3"/>
      <c r="BC8" s="3"/>
      <c r="BD8" s="3"/>
      <c r="BE8" s="3"/>
      <c r="BF8" s="3"/>
      <c r="BG8" s="3"/>
      <c r="BH8" s="3"/>
      <c r="BI8" s="3"/>
      <c r="BJ8" s="3"/>
      <c r="BK8" s="3"/>
      <c r="BL8" s="3"/>
    </row>
    <row r="9" spans="1:64" s="1119" customFormat="1" ht="21" customHeight="1" x14ac:dyDescent="0.25">
      <c r="A9" s="1250">
        <v>3</v>
      </c>
      <c r="B9" s="3914" t="s">
        <v>503</v>
      </c>
      <c r="C9" s="3915"/>
      <c r="D9" s="3915"/>
      <c r="E9" s="3915"/>
      <c r="F9" s="3915"/>
      <c r="G9" s="1251" t="s">
        <v>134</v>
      </c>
      <c r="H9" s="1251" t="s">
        <v>134</v>
      </c>
      <c r="I9" s="1251"/>
      <c r="J9" s="1251"/>
      <c r="K9" s="24"/>
      <c r="L9" s="24"/>
      <c r="M9" s="24"/>
      <c r="N9" s="24"/>
      <c r="O9" s="24"/>
      <c r="P9" s="24"/>
      <c r="Q9" s="24"/>
      <c r="R9" s="26"/>
      <c r="S9" s="27"/>
      <c r="T9" s="29"/>
      <c r="U9" s="24"/>
      <c r="V9" s="24"/>
      <c r="W9" s="24"/>
      <c r="X9" s="24"/>
      <c r="Y9" s="24"/>
      <c r="Z9" s="24"/>
      <c r="AA9" s="29"/>
      <c r="AB9" s="30"/>
      <c r="AC9" s="24"/>
      <c r="AD9" s="24"/>
      <c r="AE9" s="24"/>
      <c r="AF9" s="24"/>
      <c r="AG9" s="24"/>
      <c r="AH9" s="24"/>
      <c r="AI9" s="24"/>
      <c r="AJ9" s="24"/>
      <c r="AK9" s="24"/>
      <c r="AL9" s="24"/>
      <c r="AM9" s="24"/>
      <c r="AN9" s="24"/>
      <c r="AO9" s="24"/>
      <c r="AP9" s="24"/>
      <c r="AQ9" s="24"/>
      <c r="AR9" s="24"/>
      <c r="AS9" s="397"/>
      <c r="AT9" s="3"/>
      <c r="AU9" s="3"/>
      <c r="AV9" s="3"/>
      <c r="AW9" s="3"/>
      <c r="AX9" s="3"/>
      <c r="AY9" s="3"/>
      <c r="AZ9" s="3"/>
      <c r="BA9" s="3"/>
      <c r="BB9" s="3"/>
      <c r="BC9" s="3"/>
      <c r="BD9" s="3"/>
      <c r="BE9" s="3"/>
      <c r="BF9" s="3"/>
      <c r="BG9" s="3"/>
      <c r="BH9" s="3"/>
      <c r="BI9" s="3"/>
      <c r="BJ9" s="3"/>
    </row>
    <row r="10" spans="1:64" s="74" customFormat="1" ht="21" customHeight="1" x14ac:dyDescent="0.25">
      <c r="A10" s="1252"/>
      <c r="B10" s="1253"/>
      <c r="C10" s="1254">
        <v>24</v>
      </c>
      <c r="D10" s="1255" t="s">
        <v>504</v>
      </c>
      <c r="E10" s="1256"/>
      <c r="F10" s="1257"/>
      <c r="G10" s="1257"/>
      <c r="H10" s="1257"/>
      <c r="I10" s="1257"/>
      <c r="J10" s="1257"/>
      <c r="K10" s="38"/>
      <c r="L10" s="38"/>
      <c r="M10" s="38"/>
      <c r="N10" s="38"/>
      <c r="O10" s="38"/>
      <c r="P10" s="38"/>
      <c r="Q10" s="38"/>
      <c r="R10" s="39"/>
      <c r="S10" s="40"/>
      <c r="T10" s="42"/>
      <c r="U10" s="38"/>
      <c r="V10" s="38"/>
      <c r="W10" s="38"/>
      <c r="X10" s="38"/>
      <c r="Y10" s="38"/>
      <c r="Z10" s="38"/>
      <c r="AA10" s="42"/>
      <c r="AB10" s="43"/>
      <c r="AC10" s="38"/>
      <c r="AD10" s="38"/>
      <c r="AE10" s="38"/>
      <c r="AF10" s="38"/>
      <c r="AG10" s="38"/>
      <c r="AH10" s="38"/>
      <c r="AI10" s="38"/>
      <c r="AJ10" s="38"/>
      <c r="AK10" s="38"/>
      <c r="AL10" s="38"/>
      <c r="AM10" s="38"/>
      <c r="AN10" s="38"/>
      <c r="AO10" s="38"/>
      <c r="AP10" s="38"/>
      <c r="AQ10" s="38"/>
      <c r="AR10" s="38"/>
      <c r="AS10" s="401"/>
    </row>
    <row r="11" spans="1:64" ht="21.75" customHeight="1" x14ac:dyDescent="0.25">
      <c r="A11" s="3916" t="s">
        <v>134</v>
      </c>
      <c r="B11" s="3917"/>
      <c r="C11" s="1258"/>
      <c r="D11" s="1259"/>
      <c r="E11" s="1260">
        <v>2409</v>
      </c>
      <c r="F11" s="2397" t="s">
        <v>1541</v>
      </c>
      <c r="G11" s="2672"/>
      <c r="H11" s="2672"/>
      <c r="I11" s="2672"/>
      <c r="J11" s="2672"/>
      <c r="K11" s="2672"/>
      <c r="L11" s="1261" t="s">
        <v>134</v>
      </c>
      <c r="M11" s="1261"/>
      <c r="N11" s="1261"/>
      <c r="O11" s="1261" t="s">
        <v>134</v>
      </c>
      <c r="P11" s="1261" t="s">
        <v>134</v>
      </c>
      <c r="Q11" s="1261" t="s">
        <v>134</v>
      </c>
      <c r="R11" s="1261" t="s">
        <v>134</v>
      </c>
      <c r="S11" s="1261" t="s">
        <v>134</v>
      </c>
      <c r="T11" s="1261" t="s">
        <v>134</v>
      </c>
      <c r="U11" s="1261" t="s">
        <v>134</v>
      </c>
      <c r="V11" s="1261" t="s">
        <v>134</v>
      </c>
      <c r="W11" s="1261" t="s">
        <v>134</v>
      </c>
      <c r="X11" s="1261" t="s">
        <v>134</v>
      </c>
      <c r="Y11" s="1261" t="s">
        <v>134</v>
      </c>
      <c r="Z11" s="1261" t="s">
        <v>134</v>
      </c>
      <c r="AA11" s="1261" t="s">
        <v>134</v>
      </c>
      <c r="AB11" s="1261" t="s">
        <v>134</v>
      </c>
      <c r="AC11" s="1261" t="s">
        <v>134</v>
      </c>
      <c r="AD11" s="1261" t="s">
        <v>134</v>
      </c>
      <c r="AE11" s="1261" t="s">
        <v>134</v>
      </c>
      <c r="AF11" s="1261" t="s">
        <v>134</v>
      </c>
      <c r="AG11" s="1261" t="s">
        <v>134</v>
      </c>
      <c r="AH11" s="1261" t="s">
        <v>134</v>
      </c>
      <c r="AI11" s="1261" t="s">
        <v>134</v>
      </c>
      <c r="AJ11" s="1261" t="s">
        <v>134</v>
      </c>
      <c r="AK11" s="1261" t="s">
        <v>134</v>
      </c>
      <c r="AL11" s="1261" t="s">
        <v>134</v>
      </c>
      <c r="AM11" s="1261" t="s">
        <v>134</v>
      </c>
      <c r="AN11" s="1261" t="s">
        <v>134</v>
      </c>
      <c r="AO11" s="1261" t="s">
        <v>134</v>
      </c>
      <c r="AP11" s="1261" t="s">
        <v>134</v>
      </c>
      <c r="AQ11" s="1261" t="s">
        <v>134</v>
      </c>
      <c r="AR11" s="1261" t="s">
        <v>134</v>
      </c>
      <c r="AS11" s="1262" t="s">
        <v>134</v>
      </c>
      <c r="AT11" s="1263" t="s">
        <v>134</v>
      </c>
      <c r="AU11" s="1263" t="s">
        <v>134</v>
      </c>
      <c r="AV11" s="1263" t="s">
        <v>134</v>
      </c>
      <c r="AW11" s="1263" t="s">
        <v>134</v>
      </c>
      <c r="AX11" s="1263" t="s">
        <v>134</v>
      </c>
      <c r="AY11" s="1263" t="s">
        <v>134</v>
      </c>
      <c r="AZ11" s="1263" t="s">
        <v>134</v>
      </c>
      <c r="BA11" s="1263" t="s">
        <v>134</v>
      </c>
      <c r="BB11" s="1263" t="s">
        <v>134</v>
      </c>
      <c r="BC11" s="1263" t="s">
        <v>134</v>
      </c>
      <c r="BD11" s="1263" t="s">
        <v>134</v>
      </c>
      <c r="BE11" s="1263" t="s">
        <v>134</v>
      </c>
      <c r="BF11" s="1263" t="s">
        <v>134</v>
      </c>
      <c r="BG11" s="1263" t="s">
        <v>134</v>
      </c>
      <c r="BH11" s="1263" t="s">
        <v>134</v>
      </c>
      <c r="BI11" s="1263" t="s">
        <v>134</v>
      </c>
      <c r="BJ11" s="1263" t="s">
        <v>134</v>
      </c>
      <c r="BK11" s="1263" t="s">
        <v>134</v>
      </c>
    </row>
    <row r="12" spans="1:64" ht="86.25" customHeight="1" x14ac:dyDescent="0.25">
      <c r="A12" s="3916"/>
      <c r="B12" s="3917"/>
      <c r="C12" s="1265"/>
      <c r="D12" s="1266"/>
      <c r="E12" s="3724" t="s">
        <v>134</v>
      </c>
      <c r="F12" s="3920" t="s">
        <v>134</v>
      </c>
      <c r="G12" s="1120" t="s">
        <v>62</v>
      </c>
      <c r="H12" s="1267" t="s">
        <v>1542</v>
      </c>
      <c r="I12" s="1120">
        <v>2409009</v>
      </c>
      <c r="J12" s="1267" t="s">
        <v>1543</v>
      </c>
      <c r="K12" s="1120" t="s">
        <v>62</v>
      </c>
      <c r="L12" s="1267" t="s">
        <v>1544</v>
      </c>
      <c r="M12" s="1120">
        <v>240900900</v>
      </c>
      <c r="N12" s="1267" t="s">
        <v>1545</v>
      </c>
      <c r="O12" s="1268">
        <v>1</v>
      </c>
      <c r="P12" s="2191" t="s">
        <v>1546</v>
      </c>
      <c r="Q12" s="2824" t="s">
        <v>1547</v>
      </c>
      <c r="R12" s="1269">
        <f>W12/S12</f>
        <v>0.24672897196261681</v>
      </c>
      <c r="S12" s="3923">
        <f>SUM(W12:W15)</f>
        <v>110210000</v>
      </c>
      <c r="T12" s="3926" t="s">
        <v>1548</v>
      </c>
      <c r="U12" s="2281" t="s">
        <v>1549</v>
      </c>
      <c r="V12" s="1270" t="s">
        <v>1550</v>
      </c>
      <c r="W12" s="1271">
        <v>27192000</v>
      </c>
      <c r="X12" s="1268" t="s">
        <v>1551</v>
      </c>
      <c r="Y12" s="1268">
        <v>23</v>
      </c>
      <c r="Z12" s="1268" t="s">
        <v>1552</v>
      </c>
      <c r="AA12" s="3503">
        <v>57163</v>
      </c>
      <c r="AB12" s="3503">
        <v>57815</v>
      </c>
      <c r="AC12" s="3503">
        <v>27805</v>
      </c>
      <c r="AD12" s="3503">
        <v>8790</v>
      </c>
      <c r="AE12" s="3503">
        <v>60583</v>
      </c>
      <c r="AF12" s="3503">
        <v>17800</v>
      </c>
      <c r="AG12" s="3503">
        <v>283</v>
      </c>
      <c r="AH12" s="3503">
        <v>1495</v>
      </c>
      <c r="AI12" s="3503">
        <v>8</v>
      </c>
      <c r="AJ12" s="3503">
        <v>0</v>
      </c>
      <c r="AK12" s="3503">
        <v>0</v>
      </c>
      <c r="AL12" s="3503">
        <v>0</v>
      </c>
      <c r="AM12" s="3503">
        <v>44350</v>
      </c>
      <c r="AN12" s="3503">
        <v>6251</v>
      </c>
      <c r="AO12" s="3503">
        <v>75687</v>
      </c>
      <c r="AP12" s="3503">
        <f>SUM(AC12:AO15)</f>
        <v>243052</v>
      </c>
      <c r="AQ12" s="2180">
        <v>44198</v>
      </c>
      <c r="AR12" s="2180">
        <v>44561</v>
      </c>
      <c r="AS12" s="3503" t="s">
        <v>1553</v>
      </c>
      <c r="AT12" s="1272" t="s">
        <v>134</v>
      </c>
      <c r="AU12" s="1272" t="s">
        <v>134</v>
      </c>
      <c r="AV12" s="1272" t="s">
        <v>134</v>
      </c>
      <c r="AW12" s="1272" t="s">
        <v>134</v>
      </c>
      <c r="AX12" s="1272" t="s">
        <v>134</v>
      </c>
      <c r="AY12" s="1272" t="s">
        <v>134</v>
      </c>
      <c r="AZ12" s="1272" t="s">
        <v>134</v>
      </c>
      <c r="BA12" s="1272" t="s">
        <v>134</v>
      </c>
      <c r="BB12" s="1272" t="s">
        <v>134</v>
      </c>
      <c r="BC12" s="1272" t="s">
        <v>134</v>
      </c>
      <c r="BD12" s="1272" t="s">
        <v>134</v>
      </c>
      <c r="BE12" s="1272" t="s">
        <v>134</v>
      </c>
      <c r="BF12" s="1272" t="s">
        <v>134</v>
      </c>
      <c r="BG12" s="1272" t="s">
        <v>134</v>
      </c>
      <c r="BH12" s="1272" t="s">
        <v>134</v>
      </c>
      <c r="BI12" s="1272" t="s">
        <v>134</v>
      </c>
      <c r="BJ12" s="1272" t="s">
        <v>134</v>
      </c>
      <c r="BK12" s="1272" t="s">
        <v>134</v>
      </c>
    </row>
    <row r="13" spans="1:64" ht="92.25" customHeight="1" x14ac:dyDescent="0.25">
      <c r="A13" s="3916"/>
      <c r="B13" s="3917"/>
      <c r="C13" s="1265"/>
      <c r="D13" s="1266"/>
      <c r="E13" s="3725"/>
      <c r="F13" s="3768"/>
      <c r="G13" s="1120" t="s">
        <v>62</v>
      </c>
      <c r="H13" s="1267" t="s">
        <v>1554</v>
      </c>
      <c r="I13" s="1120">
        <v>2409022</v>
      </c>
      <c r="J13" s="1267" t="s">
        <v>1555</v>
      </c>
      <c r="K13" s="1120" t="s">
        <v>62</v>
      </c>
      <c r="L13" s="1267" t="s">
        <v>1556</v>
      </c>
      <c r="M13" s="1120">
        <v>240902202</v>
      </c>
      <c r="N13" s="1267" t="s">
        <v>1557</v>
      </c>
      <c r="O13" s="1268">
        <v>1</v>
      </c>
      <c r="P13" s="2191"/>
      <c r="Q13" s="2824"/>
      <c r="R13" s="1269">
        <f>W13/S12</f>
        <v>7.8504672897196259E-2</v>
      </c>
      <c r="S13" s="3924"/>
      <c r="T13" s="3926"/>
      <c r="U13" s="2281"/>
      <c r="V13" s="1050" t="s">
        <v>1558</v>
      </c>
      <c r="W13" s="1273">
        <v>8652000</v>
      </c>
      <c r="X13" s="1268" t="s">
        <v>1559</v>
      </c>
      <c r="Y13" s="1268">
        <v>23</v>
      </c>
      <c r="Z13" s="1268" t="s">
        <v>1552</v>
      </c>
      <c r="AA13" s="3503"/>
      <c r="AB13" s="3503"/>
      <c r="AC13" s="3503"/>
      <c r="AD13" s="3503"/>
      <c r="AE13" s="3503"/>
      <c r="AF13" s="3503"/>
      <c r="AG13" s="3503"/>
      <c r="AH13" s="3503"/>
      <c r="AI13" s="3503"/>
      <c r="AJ13" s="3503"/>
      <c r="AK13" s="3503"/>
      <c r="AL13" s="3503"/>
      <c r="AM13" s="3503"/>
      <c r="AN13" s="3503"/>
      <c r="AO13" s="3503"/>
      <c r="AP13" s="3503"/>
      <c r="AQ13" s="3503"/>
      <c r="AR13" s="3503"/>
      <c r="AS13" s="3503"/>
      <c r="AT13" s="1272" t="s">
        <v>134</v>
      </c>
      <c r="AU13" s="1272" t="s">
        <v>134</v>
      </c>
      <c r="AV13" s="1272" t="s">
        <v>134</v>
      </c>
      <c r="AW13" s="1272" t="s">
        <v>134</v>
      </c>
      <c r="AX13" s="1272" t="s">
        <v>134</v>
      </c>
      <c r="AY13" s="1272" t="s">
        <v>134</v>
      </c>
      <c r="AZ13" s="1272" t="s">
        <v>134</v>
      </c>
      <c r="BA13" s="1272" t="s">
        <v>134</v>
      </c>
      <c r="BB13" s="1272" t="s">
        <v>134</v>
      </c>
      <c r="BC13" s="1272" t="s">
        <v>134</v>
      </c>
      <c r="BD13" s="1272" t="s">
        <v>134</v>
      </c>
      <c r="BE13" s="1272" t="s">
        <v>134</v>
      </c>
      <c r="BF13" s="1272" t="s">
        <v>134</v>
      </c>
      <c r="BG13" s="1272" t="s">
        <v>134</v>
      </c>
      <c r="BH13" s="1272" t="s">
        <v>134</v>
      </c>
      <c r="BI13" s="1272" t="s">
        <v>134</v>
      </c>
      <c r="BJ13" s="1272" t="s">
        <v>134</v>
      </c>
      <c r="BK13" s="1272" t="s">
        <v>134</v>
      </c>
    </row>
    <row r="14" spans="1:64" ht="113.25" customHeight="1" x14ac:dyDescent="0.25">
      <c r="A14" s="3916"/>
      <c r="B14" s="3917"/>
      <c r="C14" s="1265"/>
      <c r="D14" s="1266"/>
      <c r="E14" s="3725"/>
      <c r="F14" s="3768"/>
      <c r="G14" s="1120" t="s">
        <v>62</v>
      </c>
      <c r="H14" s="1267" t="s">
        <v>1560</v>
      </c>
      <c r="I14" s="1120">
        <v>2409014</v>
      </c>
      <c r="J14" s="1267" t="s">
        <v>1337</v>
      </c>
      <c r="K14" s="1120" t="s">
        <v>62</v>
      </c>
      <c r="L14" s="1267" t="s">
        <v>1561</v>
      </c>
      <c r="M14" s="1120">
        <v>240901400</v>
      </c>
      <c r="N14" s="1267" t="s">
        <v>1110</v>
      </c>
      <c r="O14" s="1268">
        <v>1</v>
      </c>
      <c r="P14" s="2191"/>
      <c r="Q14" s="2824"/>
      <c r="R14" s="1269">
        <f>W14/S12</f>
        <v>0.23551401869158878</v>
      </c>
      <c r="S14" s="3924"/>
      <c r="T14" s="3926"/>
      <c r="U14" s="2281"/>
      <c r="V14" s="1050" t="s">
        <v>1562</v>
      </c>
      <c r="W14" s="1273">
        <v>25956000</v>
      </c>
      <c r="X14" s="1268" t="s">
        <v>1563</v>
      </c>
      <c r="Y14" s="1268">
        <v>23</v>
      </c>
      <c r="Z14" s="1268" t="s">
        <v>1552</v>
      </c>
      <c r="AA14" s="3503"/>
      <c r="AB14" s="3503"/>
      <c r="AC14" s="3503"/>
      <c r="AD14" s="3503"/>
      <c r="AE14" s="3503"/>
      <c r="AF14" s="3503"/>
      <c r="AG14" s="3503"/>
      <c r="AH14" s="3503"/>
      <c r="AI14" s="3503"/>
      <c r="AJ14" s="3503"/>
      <c r="AK14" s="3503"/>
      <c r="AL14" s="3503"/>
      <c r="AM14" s="3503"/>
      <c r="AN14" s="3503"/>
      <c r="AO14" s="3503"/>
      <c r="AP14" s="3503"/>
      <c r="AQ14" s="3503"/>
      <c r="AR14" s="3503"/>
      <c r="AS14" s="3503"/>
      <c r="AT14" s="1272" t="s">
        <v>134</v>
      </c>
      <c r="AU14" s="1272" t="s">
        <v>134</v>
      </c>
      <c r="AV14" s="1272" t="s">
        <v>134</v>
      </c>
      <c r="AW14" s="1272" t="s">
        <v>134</v>
      </c>
      <c r="AX14" s="1272" t="s">
        <v>134</v>
      </c>
      <c r="AY14" s="1272" t="s">
        <v>134</v>
      </c>
      <c r="AZ14" s="1272" t="s">
        <v>134</v>
      </c>
      <c r="BA14" s="1272" t="s">
        <v>134</v>
      </c>
      <c r="BB14" s="1272" t="s">
        <v>134</v>
      </c>
      <c r="BC14" s="1272" t="s">
        <v>134</v>
      </c>
      <c r="BD14" s="1272" t="s">
        <v>134</v>
      </c>
      <c r="BE14" s="1272" t="s">
        <v>134</v>
      </c>
      <c r="BF14" s="1272" t="s">
        <v>134</v>
      </c>
      <c r="BG14" s="1272" t="s">
        <v>134</v>
      </c>
      <c r="BH14" s="1272" t="s">
        <v>134</v>
      </c>
      <c r="BI14" s="1272" t="s">
        <v>134</v>
      </c>
      <c r="BJ14" s="1272" t="s">
        <v>134</v>
      </c>
      <c r="BK14" s="1272" t="s">
        <v>134</v>
      </c>
    </row>
    <row r="15" spans="1:64" ht="109.5" customHeight="1" x14ac:dyDescent="0.25">
      <c r="A15" s="3916"/>
      <c r="B15" s="3917"/>
      <c r="C15" s="1265"/>
      <c r="D15" s="1266"/>
      <c r="E15" s="3764"/>
      <c r="F15" s="3921"/>
      <c r="G15" s="1120" t="s">
        <v>62</v>
      </c>
      <c r="H15" s="1267" t="s">
        <v>1564</v>
      </c>
      <c r="I15" s="1120">
        <v>2409039</v>
      </c>
      <c r="J15" s="1267" t="s">
        <v>1565</v>
      </c>
      <c r="K15" s="1120" t="s">
        <v>62</v>
      </c>
      <c r="L15" s="1267" t="s">
        <v>1566</v>
      </c>
      <c r="M15" s="1120">
        <v>240903905</v>
      </c>
      <c r="N15" s="1267" t="s">
        <v>1567</v>
      </c>
      <c r="O15" s="1268">
        <v>1</v>
      </c>
      <c r="P15" s="2164"/>
      <c r="Q15" s="2825"/>
      <c r="R15" s="1269">
        <f>W15/S12</f>
        <v>0.43925233644859812</v>
      </c>
      <c r="S15" s="3925"/>
      <c r="T15" s="3927"/>
      <c r="U15" s="2774"/>
      <c r="V15" s="1050" t="s">
        <v>1568</v>
      </c>
      <c r="W15" s="1274">
        <v>48410000</v>
      </c>
      <c r="X15" s="1268" t="s">
        <v>1569</v>
      </c>
      <c r="Y15" s="1268">
        <v>23</v>
      </c>
      <c r="Z15" s="1268" t="s">
        <v>1552</v>
      </c>
      <c r="AA15" s="3922"/>
      <c r="AB15" s="3922"/>
      <c r="AC15" s="3922"/>
      <c r="AD15" s="3922"/>
      <c r="AE15" s="3922"/>
      <c r="AF15" s="3922"/>
      <c r="AG15" s="3922"/>
      <c r="AH15" s="3922"/>
      <c r="AI15" s="3922"/>
      <c r="AJ15" s="3922"/>
      <c r="AK15" s="3922"/>
      <c r="AL15" s="3922"/>
      <c r="AM15" s="3922"/>
      <c r="AN15" s="3922"/>
      <c r="AO15" s="3922"/>
      <c r="AP15" s="3922"/>
      <c r="AQ15" s="3856"/>
      <c r="AR15" s="3856"/>
      <c r="AS15" s="3856"/>
      <c r="AT15" s="1272" t="s">
        <v>134</v>
      </c>
      <c r="AU15" s="1272" t="s">
        <v>134</v>
      </c>
      <c r="AV15" s="1272" t="s">
        <v>134</v>
      </c>
      <c r="AW15" s="1272" t="s">
        <v>134</v>
      </c>
      <c r="AX15" s="1272" t="s">
        <v>134</v>
      </c>
      <c r="AY15" s="1272" t="s">
        <v>134</v>
      </c>
      <c r="AZ15" s="1272" t="s">
        <v>134</v>
      </c>
      <c r="BA15" s="1272" t="s">
        <v>134</v>
      </c>
      <c r="BB15" s="1272" t="s">
        <v>134</v>
      </c>
      <c r="BC15" s="1272" t="s">
        <v>134</v>
      </c>
      <c r="BD15" s="1272" t="s">
        <v>134</v>
      </c>
      <c r="BE15" s="1272" t="s">
        <v>134</v>
      </c>
      <c r="BF15" s="1272" t="s">
        <v>134</v>
      </c>
      <c r="BG15" s="1272" t="s">
        <v>134</v>
      </c>
      <c r="BH15" s="1272" t="s">
        <v>134</v>
      </c>
      <c r="BI15" s="1272" t="s">
        <v>134</v>
      </c>
      <c r="BJ15" s="1272" t="s">
        <v>134</v>
      </c>
      <c r="BK15" s="1272" t="s">
        <v>134</v>
      </c>
    </row>
    <row r="16" spans="1:64" s="1119" customFormat="1" ht="25.5" customHeight="1" x14ac:dyDescent="0.25">
      <c r="A16" s="3918"/>
      <c r="B16" s="3919"/>
      <c r="C16" s="1275"/>
      <c r="D16" s="1276"/>
      <c r="E16" s="1277" t="s">
        <v>134</v>
      </c>
      <c r="F16" s="1277" t="s">
        <v>134</v>
      </c>
      <c r="G16" s="1277" t="s">
        <v>134</v>
      </c>
      <c r="H16" s="1277" t="s">
        <v>134</v>
      </c>
      <c r="I16" s="1277"/>
      <c r="J16" s="1277"/>
      <c r="K16" s="1277" t="s">
        <v>134</v>
      </c>
      <c r="L16" s="1277" t="s">
        <v>134</v>
      </c>
      <c r="M16" s="1277"/>
      <c r="N16" s="1277"/>
      <c r="O16" s="1277" t="s">
        <v>134</v>
      </c>
      <c r="P16" s="1277" t="s">
        <v>134</v>
      </c>
      <c r="Q16" s="1277" t="s">
        <v>134</v>
      </c>
      <c r="R16" s="1277" t="s">
        <v>134</v>
      </c>
      <c r="S16" s="1278">
        <f>SUM(S12:S15)</f>
        <v>110210000</v>
      </c>
      <c r="T16" s="1277" t="s">
        <v>134</v>
      </c>
      <c r="U16" s="1277" t="s">
        <v>134</v>
      </c>
      <c r="V16" s="1277" t="s">
        <v>134</v>
      </c>
      <c r="W16" s="1279">
        <f>SUM(W12:W15)</f>
        <v>110210000</v>
      </c>
      <c r="X16" s="1277" t="s">
        <v>134</v>
      </c>
      <c r="Y16" s="1277" t="s">
        <v>134</v>
      </c>
      <c r="Z16" s="1277" t="s">
        <v>134</v>
      </c>
      <c r="AA16" s="1277" t="s">
        <v>134</v>
      </c>
      <c r="AB16" s="1277" t="s">
        <v>134</v>
      </c>
      <c r="AC16" s="1277" t="s">
        <v>134</v>
      </c>
      <c r="AD16" s="1277" t="s">
        <v>134</v>
      </c>
      <c r="AE16" s="1277" t="s">
        <v>134</v>
      </c>
      <c r="AF16" s="1277" t="s">
        <v>134</v>
      </c>
      <c r="AG16" s="1277" t="s">
        <v>134</v>
      </c>
      <c r="AH16" s="1277" t="s">
        <v>134</v>
      </c>
      <c r="AI16" s="1277" t="s">
        <v>134</v>
      </c>
      <c r="AJ16" s="1277" t="s">
        <v>134</v>
      </c>
      <c r="AK16" s="1277" t="s">
        <v>134</v>
      </c>
      <c r="AL16" s="1277" t="s">
        <v>134</v>
      </c>
      <c r="AM16" s="1277" t="s">
        <v>134</v>
      </c>
      <c r="AN16" s="1277" t="s">
        <v>134</v>
      </c>
      <c r="AO16" s="1277" t="s">
        <v>134</v>
      </c>
      <c r="AP16" s="1277" t="s">
        <v>134</v>
      </c>
      <c r="AQ16" s="1277" t="s">
        <v>134</v>
      </c>
      <c r="AR16" s="1277" t="s">
        <v>134</v>
      </c>
      <c r="AS16" s="1280" t="s">
        <v>134</v>
      </c>
      <c r="AT16" s="1272" t="s">
        <v>134</v>
      </c>
      <c r="AU16" s="1272" t="s">
        <v>134</v>
      </c>
      <c r="AV16" s="1272" t="s">
        <v>134</v>
      </c>
      <c r="AW16" s="1272" t="s">
        <v>134</v>
      </c>
      <c r="AX16" s="1272" t="s">
        <v>134</v>
      </c>
      <c r="AY16" s="1272" t="s">
        <v>134</v>
      </c>
      <c r="AZ16" s="1272" t="s">
        <v>134</v>
      </c>
      <c r="BA16" s="1272" t="s">
        <v>134</v>
      </c>
      <c r="BB16" s="1272" t="s">
        <v>134</v>
      </c>
      <c r="BC16" s="1272" t="s">
        <v>134</v>
      </c>
      <c r="BD16" s="1272" t="s">
        <v>134</v>
      </c>
      <c r="BE16" s="1272" t="s">
        <v>134</v>
      </c>
      <c r="BF16" s="1272" t="s">
        <v>134</v>
      </c>
      <c r="BG16" s="1272" t="s">
        <v>134</v>
      </c>
      <c r="BH16" s="1272" t="s">
        <v>134</v>
      </c>
      <c r="BI16" s="1272" t="s">
        <v>134</v>
      </c>
      <c r="BJ16" s="1272" t="s">
        <v>134</v>
      </c>
      <c r="BK16" s="1272" t="s">
        <v>134</v>
      </c>
    </row>
  </sheetData>
  <sheetProtection algorithmName="SHA-512" hashValue="8bX/Mk9i2eqHVf7pD2TIJCrlHujZiTzh0IkB8aqRZwL2M4YiESvBC5mi7p1vYglFJuObKdWJ4euCxT1Q2v+RSg==" saltValue="aVlVahlXrbI1ifB3GePwaQ==" spinCount="100000" sheet="1" objects="1" scenarios="1"/>
  <mergeCells count="48">
    <mergeCell ref="AP12:AP15"/>
    <mergeCell ref="AQ12:AQ15"/>
    <mergeCell ref="AR12:AR15"/>
    <mergeCell ref="AS12:AS15"/>
    <mergeCell ref="AJ12:AJ15"/>
    <mergeCell ref="AK12:AK15"/>
    <mergeCell ref="AL12:AL15"/>
    <mergeCell ref="AM12:AM15"/>
    <mergeCell ref="AN12:AN15"/>
    <mergeCell ref="AO12:AO15"/>
    <mergeCell ref="AI12:AI15"/>
    <mergeCell ref="S12:S15"/>
    <mergeCell ref="T12:T15"/>
    <mergeCell ref="U12:U15"/>
    <mergeCell ref="AA12:AA15"/>
    <mergeCell ref="AB12:AB15"/>
    <mergeCell ref="AC12:AC15"/>
    <mergeCell ref="AD12:AD15"/>
    <mergeCell ref="AE12:AE15"/>
    <mergeCell ref="AF12:AF15"/>
    <mergeCell ref="AG12:AG15"/>
    <mergeCell ref="AH12:AH15"/>
    <mergeCell ref="P12:P15"/>
    <mergeCell ref="Q12:Q15"/>
    <mergeCell ref="X7:Z7"/>
    <mergeCell ref="AA7:AB7"/>
    <mergeCell ref="AC7:AE7"/>
    <mergeCell ref="B9:F9"/>
    <mergeCell ref="A11:B16"/>
    <mergeCell ref="F11:K11"/>
    <mergeCell ref="E12:E15"/>
    <mergeCell ref="F12:F15"/>
    <mergeCell ref="A1:AQ4"/>
    <mergeCell ref="A5:O6"/>
    <mergeCell ref="P5:AS5"/>
    <mergeCell ref="AC6:AQ6"/>
    <mergeCell ref="A7:B7"/>
    <mergeCell ref="C7:D7"/>
    <mergeCell ref="E7:F7"/>
    <mergeCell ref="G7:J7"/>
    <mergeCell ref="K7:N7"/>
    <mergeCell ref="O7:W7"/>
    <mergeCell ref="AQ7:AQ8"/>
    <mergeCell ref="AR7:AR8"/>
    <mergeCell ref="AS7:AS8"/>
    <mergeCell ref="AF7:AK7"/>
    <mergeCell ref="AM7:AO7"/>
    <mergeCell ref="AP7:AP8"/>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XFB51"/>
  <sheetViews>
    <sheetView showGridLines="0" zoomScale="60" zoomScaleNormal="60" workbookViewId="0">
      <selection activeCell="A16" sqref="A16"/>
    </sheetView>
  </sheetViews>
  <sheetFormatPr baseColWidth="10" defaultRowHeight="15.75" x14ac:dyDescent="0.25"/>
  <cols>
    <col min="1" max="1" width="14.5703125" style="246" customWidth="1"/>
    <col min="2" max="4" width="15.140625" style="246" customWidth="1"/>
    <col min="5" max="5" width="13.140625" style="246" customWidth="1"/>
    <col min="6" max="6" width="13" style="246" customWidth="1"/>
    <col min="7" max="7" width="16.5703125" style="246" customWidth="1"/>
    <col min="8" max="8" width="37" style="246" customWidth="1"/>
    <col min="9" max="9" width="19.42578125" style="246" customWidth="1"/>
    <col min="10" max="10" width="29.140625" style="246" customWidth="1"/>
    <col min="11" max="11" width="14.85546875" style="246" customWidth="1"/>
    <col min="12" max="14" width="26" style="246" customWidth="1"/>
    <col min="15" max="15" width="28.42578125" style="1119" customWidth="1"/>
    <col min="16" max="16" width="42.140625" style="246" customWidth="1"/>
    <col min="17" max="17" width="42.85546875" style="246" customWidth="1"/>
    <col min="18" max="18" width="37.7109375" style="246" customWidth="1"/>
    <col min="19" max="19" width="28.140625" style="246" customWidth="1"/>
    <col min="20" max="20" width="44.5703125" style="246" customWidth="1"/>
    <col min="21" max="21" width="31.5703125" style="246" customWidth="1"/>
    <col min="22" max="22" width="40.42578125" style="246" customWidth="1"/>
    <col min="23" max="23" width="28.140625" style="246" customWidth="1"/>
    <col min="24" max="24" width="36" style="246" customWidth="1"/>
    <col min="25" max="25" width="12.28515625" style="1119" customWidth="1"/>
    <col min="26" max="26" width="21.140625" style="246" customWidth="1"/>
    <col min="27" max="42" width="13.5703125" style="1465" customWidth="1"/>
    <col min="43" max="43" width="20.5703125" style="246" customWidth="1"/>
    <col min="44" max="44" width="20.140625" style="246" customWidth="1"/>
    <col min="45" max="45" width="18" style="246" customWidth="1"/>
  </cols>
  <sheetData>
    <row r="1" spans="1:16382" s="246" customFormat="1" ht="24.75" customHeight="1" x14ac:dyDescent="0.2">
      <c r="A1" s="2955" t="s">
        <v>2263</v>
      </c>
      <c r="B1" s="2955"/>
      <c r="C1" s="2955"/>
      <c r="D1" s="2955"/>
      <c r="E1" s="2955"/>
      <c r="F1" s="2955"/>
      <c r="G1" s="2955"/>
      <c r="H1" s="2955"/>
      <c r="I1" s="2955"/>
      <c r="J1" s="2955"/>
      <c r="K1" s="2955"/>
      <c r="L1" s="2955"/>
      <c r="M1" s="2955"/>
      <c r="N1" s="2955"/>
      <c r="O1" s="2955"/>
      <c r="P1" s="2955"/>
      <c r="Q1" s="2955"/>
      <c r="R1" s="2955"/>
      <c r="S1" s="2955"/>
      <c r="T1" s="2955"/>
      <c r="U1" s="2955"/>
      <c r="V1" s="2955"/>
      <c r="W1" s="2955"/>
      <c r="X1" s="2955"/>
      <c r="Y1" s="2955"/>
      <c r="Z1" s="2955"/>
      <c r="AA1" s="2955"/>
      <c r="AB1" s="2955"/>
      <c r="AC1" s="2955"/>
      <c r="AD1" s="2955"/>
      <c r="AE1" s="2955"/>
      <c r="AF1" s="2955"/>
      <c r="AG1" s="2955"/>
      <c r="AH1" s="2955"/>
      <c r="AI1" s="2955"/>
      <c r="AJ1" s="2955"/>
      <c r="AK1" s="2955"/>
      <c r="AL1" s="2955"/>
      <c r="AM1" s="2237"/>
      <c r="AN1" s="1038" t="s">
        <v>1</v>
      </c>
      <c r="AO1" s="1038" t="s">
        <v>1141</v>
      </c>
      <c r="AP1" s="245"/>
      <c r="AQ1" s="245"/>
      <c r="AR1" s="245"/>
      <c r="AS1" s="245"/>
      <c r="AT1" s="245"/>
      <c r="AU1" s="245"/>
      <c r="AV1" s="245"/>
      <c r="AW1" s="245"/>
      <c r="AX1" s="245"/>
      <c r="AY1" s="245"/>
      <c r="AZ1" s="245"/>
      <c r="BA1" s="245"/>
      <c r="BB1" s="245"/>
      <c r="BC1" s="245"/>
      <c r="BD1" s="245"/>
      <c r="BE1" s="245"/>
      <c r="BF1" s="245"/>
      <c r="BG1" s="245"/>
    </row>
    <row r="2" spans="1:16382" s="246" customFormat="1" ht="33" customHeight="1" x14ac:dyDescent="0.2">
      <c r="A2" s="2955"/>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237"/>
      <c r="AN2" s="1038" t="s">
        <v>3</v>
      </c>
      <c r="AO2" s="1038" t="s">
        <v>2264</v>
      </c>
      <c r="AP2" s="245"/>
      <c r="AQ2" s="245"/>
      <c r="AR2" s="245"/>
      <c r="AS2" s="245"/>
      <c r="AT2" s="245"/>
      <c r="AU2" s="245"/>
      <c r="AV2" s="245"/>
      <c r="AW2" s="245"/>
      <c r="AX2" s="245"/>
      <c r="AY2" s="245"/>
      <c r="AZ2" s="245"/>
      <c r="BA2" s="245"/>
      <c r="BB2" s="245"/>
      <c r="BC2" s="245"/>
      <c r="BD2" s="245"/>
      <c r="BE2" s="245"/>
      <c r="BF2" s="245"/>
      <c r="BG2" s="245"/>
    </row>
    <row r="3" spans="1:16382" s="246" customFormat="1" ht="27" customHeight="1" x14ac:dyDescent="0.2">
      <c r="A3" s="2955"/>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237"/>
      <c r="AN3" s="1038" t="s">
        <v>4</v>
      </c>
      <c r="AO3" s="1088" t="s">
        <v>2265</v>
      </c>
      <c r="AP3" s="245"/>
      <c r="AQ3" s="245"/>
      <c r="AR3" s="245"/>
      <c r="AS3" s="245"/>
      <c r="AT3" s="245"/>
      <c r="AU3" s="245"/>
      <c r="AV3" s="245"/>
      <c r="AW3" s="245"/>
      <c r="AX3" s="245"/>
      <c r="AY3" s="245"/>
      <c r="AZ3" s="245"/>
      <c r="BA3" s="245"/>
      <c r="BB3" s="245"/>
      <c r="BC3" s="245"/>
      <c r="BD3" s="245"/>
      <c r="BE3" s="245"/>
      <c r="BF3" s="245"/>
      <c r="BG3" s="245"/>
    </row>
    <row r="4" spans="1:16382" s="246" customFormat="1" ht="27" customHeight="1" x14ac:dyDescent="0.2">
      <c r="A4" s="2238"/>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9"/>
      <c r="AN4" s="1038" t="s">
        <v>5</v>
      </c>
      <c r="AO4" s="659" t="s">
        <v>120</v>
      </c>
      <c r="AP4" s="245"/>
      <c r="AQ4" s="245"/>
      <c r="AR4" s="245"/>
      <c r="AS4" s="245"/>
      <c r="AT4" s="245"/>
      <c r="AU4" s="245"/>
      <c r="AV4" s="245"/>
      <c r="AW4" s="245"/>
      <c r="AX4" s="245"/>
      <c r="AY4" s="245"/>
      <c r="AZ4" s="245"/>
      <c r="BA4" s="245"/>
      <c r="BB4" s="245"/>
      <c r="BC4" s="245"/>
      <c r="BD4" s="245"/>
      <c r="BE4" s="245"/>
      <c r="BF4" s="245"/>
      <c r="BG4" s="245"/>
    </row>
    <row r="5" spans="1:16382" s="246" customFormat="1" ht="20.25" customHeight="1" x14ac:dyDescent="0.2">
      <c r="A5" s="2241" t="s">
        <v>7</v>
      </c>
      <c r="B5" s="2241"/>
      <c r="C5" s="2241"/>
      <c r="D5" s="2241"/>
      <c r="E5" s="2241"/>
      <c r="F5" s="2241"/>
      <c r="G5" s="2241"/>
      <c r="H5" s="2241"/>
      <c r="I5" s="2241"/>
      <c r="J5" s="2241"/>
      <c r="K5" s="2241"/>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c r="AL5" s="1072"/>
      <c r="AM5" s="1072"/>
      <c r="AN5" s="1072"/>
      <c r="AO5" s="1037"/>
      <c r="AP5" s="245"/>
      <c r="AQ5" s="245"/>
      <c r="AR5" s="245"/>
      <c r="AS5" s="245"/>
      <c r="AT5" s="245"/>
      <c r="AU5" s="245"/>
      <c r="AV5" s="245"/>
      <c r="AW5" s="245"/>
      <c r="AX5" s="245"/>
      <c r="AY5" s="245"/>
      <c r="AZ5" s="245"/>
      <c r="BA5" s="245"/>
      <c r="BB5" s="245"/>
      <c r="BC5" s="245"/>
      <c r="BD5" s="245"/>
      <c r="BE5" s="245"/>
      <c r="BF5" s="245"/>
      <c r="BG5" s="245"/>
    </row>
    <row r="6" spans="1:16382" s="246" customFormat="1" ht="16.5" customHeight="1" x14ac:dyDescent="0.2">
      <c r="A6" s="2955"/>
      <c r="B6" s="2955"/>
      <c r="C6" s="2955"/>
      <c r="D6" s="2955"/>
      <c r="E6" s="2955"/>
      <c r="F6" s="2955"/>
      <c r="G6" s="2955"/>
      <c r="H6" s="2955"/>
      <c r="I6" s="2955"/>
      <c r="J6" s="2955"/>
      <c r="K6" s="2955"/>
      <c r="L6" s="1129"/>
      <c r="M6" s="1129"/>
      <c r="N6" s="1129"/>
      <c r="O6" s="1129"/>
      <c r="P6" s="1129"/>
      <c r="Q6" s="1129"/>
      <c r="R6" s="1129"/>
      <c r="S6" s="1129"/>
      <c r="T6" s="1033"/>
      <c r="U6" s="1033"/>
      <c r="V6" s="1033"/>
      <c r="W6" s="1406"/>
      <c r="X6" s="1406"/>
      <c r="Y6" s="1036" t="s">
        <v>8</v>
      </c>
      <c r="Z6" s="1033"/>
      <c r="AA6" s="1033"/>
      <c r="AB6" s="1033"/>
      <c r="AC6" s="1033"/>
      <c r="AD6" s="1033"/>
      <c r="AE6" s="1033"/>
      <c r="AF6" s="1033"/>
      <c r="AG6" s="1033"/>
      <c r="AH6" s="1033"/>
      <c r="AI6" s="1033"/>
      <c r="AJ6" s="1033"/>
      <c r="AK6" s="1033"/>
      <c r="AL6" s="1033"/>
      <c r="AM6" s="1794"/>
      <c r="AN6" s="1793"/>
      <c r="AO6" s="1129"/>
      <c r="AP6" s="245"/>
      <c r="AQ6" s="245"/>
      <c r="AR6" s="245"/>
      <c r="AS6" s="245"/>
      <c r="AT6" s="245"/>
      <c r="AU6" s="245"/>
      <c r="AV6" s="245"/>
      <c r="AW6" s="245"/>
      <c r="AX6" s="245"/>
      <c r="AY6" s="245"/>
      <c r="AZ6" s="245"/>
      <c r="BA6" s="245"/>
      <c r="BB6" s="245"/>
      <c r="BC6" s="245"/>
      <c r="BD6" s="245"/>
      <c r="BE6" s="245"/>
      <c r="BF6" s="245"/>
      <c r="BG6" s="245"/>
    </row>
    <row r="7" spans="1:16382" s="246" customFormat="1" ht="30.75" customHeight="1" x14ac:dyDescent="0.2">
      <c r="A7" s="1040" t="s">
        <v>9</v>
      </c>
      <c r="B7" s="1057"/>
      <c r="C7" s="1039" t="s">
        <v>10</v>
      </c>
      <c r="D7" s="1040"/>
      <c r="E7" s="1040" t="s">
        <v>11</v>
      </c>
      <c r="F7" s="1057"/>
      <c r="G7" s="1040" t="s">
        <v>12</v>
      </c>
      <c r="H7" s="1057"/>
      <c r="I7" s="1040" t="s">
        <v>2266</v>
      </c>
      <c r="J7" s="1040"/>
      <c r="K7" s="1130" t="s">
        <v>14</v>
      </c>
      <c r="L7" s="1130"/>
      <c r="M7" s="1130"/>
      <c r="N7" s="1130"/>
      <c r="O7" s="1130"/>
      <c r="P7" s="1130"/>
      <c r="Q7" s="1130"/>
      <c r="R7" s="1130"/>
      <c r="S7" s="1130"/>
      <c r="T7" s="3933" t="s">
        <v>15</v>
      </c>
      <c r="U7" s="3138"/>
      <c r="V7" s="3139"/>
      <c r="W7" s="2213" t="s">
        <v>16</v>
      </c>
      <c r="X7" s="3643"/>
      <c r="Y7" s="2213" t="s">
        <v>17</v>
      </c>
      <c r="Z7" s="2214"/>
      <c r="AA7" s="3643"/>
      <c r="AB7" s="3934" t="s">
        <v>18</v>
      </c>
      <c r="AC7" s="3935"/>
      <c r="AD7" s="3935"/>
      <c r="AE7" s="3935"/>
      <c r="AF7" s="3935"/>
      <c r="AG7" s="3935"/>
      <c r="AH7" s="3936"/>
      <c r="AI7" s="2213" t="s">
        <v>19</v>
      </c>
      <c r="AJ7" s="2214"/>
      <c r="AK7" s="3643"/>
      <c r="AL7" s="3937" t="s">
        <v>20</v>
      </c>
      <c r="AM7" s="2965" t="s">
        <v>21</v>
      </c>
      <c r="AN7" s="3929" t="s">
        <v>22</v>
      </c>
      <c r="AO7" s="3931" t="s">
        <v>23</v>
      </c>
      <c r="AP7" s="245"/>
      <c r="AQ7" s="245"/>
      <c r="AR7" s="245"/>
      <c r="AS7" s="245"/>
      <c r="AT7" s="245"/>
      <c r="AU7" s="245"/>
      <c r="AV7" s="245"/>
      <c r="AW7" s="245"/>
      <c r="AX7" s="245"/>
      <c r="AY7" s="245"/>
      <c r="AZ7" s="245"/>
      <c r="BA7" s="245"/>
      <c r="BB7" s="245"/>
      <c r="BC7" s="245"/>
      <c r="BD7" s="245"/>
      <c r="BE7" s="245"/>
      <c r="BF7" s="245"/>
      <c r="BG7" s="245"/>
    </row>
    <row r="8" spans="1:16382" s="246" customFormat="1" ht="142.5" customHeight="1" x14ac:dyDescent="0.2">
      <c r="A8" s="239" t="s">
        <v>24</v>
      </c>
      <c r="B8" s="18" t="s">
        <v>25</v>
      </c>
      <c r="C8" s="239" t="s">
        <v>24</v>
      </c>
      <c r="D8" s="18" t="s">
        <v>25</v>
      </c>
      <c r="E8" s="922" t="s">
        <v>24</v>
      </c>
      <c r="F8" s="18" t="s">
        <v>25</v>
      </c>
      <c r="G8" s="18" t="s">
        <v>24</v>
      </c>
      <c r="H8" s="18" t="s">
        <v>25</v>
      </c>
      <c r="I8" s="18" t="s">
        <v>24</v>
      </c>
      <c r="J8" s="923" t="s">
        <v>25</v>
      </c>
      <c r="K8" s="924" t="s">
        <v>185</v>
      </c>
      <c r="L8" s="924" t="s">
        <v>34</v>
      </c>
      <c r="M8" s="924" t="s">
        <v>35</v>
      </c>
      <c r="N8" s="1131" t="s">
        <v>36</v>
      </c>
      <c r="O8" s="926" t="s">
        <v>37</v>
      </c>
      <c r="P8" s="924" t="s">
        <v>38</v>
      </c>
      <c r="Q8" s="924" t="s">
        <v>39</v>
      </c>
      <c r="R8" s="924" t="s">
        <v>40</v>
      </c>
      <c r="S8" s="926" t="s">
        <v>37</v>
      </c>
      <c r="T8" s="924" t="s">
        <v>42</v>
      </c>
      <c r="U8" s="239" t="s">
        <v>43</v>
      </c>
      <c r="V8" s="240" t="s">
        <v>25</v>
      </c>
      <c r="W8" s="1407" t="s">
        <v>44</v>
      </c>
      <c r="X8" s="1407" t="s">
        <v>45</v>
      </c>
      <c r="Y8" s="1408" t="s">
        <v>46</v>
      </c>
      <c r="Z8" s="1408" t="s">
        <v>47</v>
      </c>
      <c r="AA8" s="1408" t="s">
        <v>188</v>
      </c>
      <c r="AB8" s="1408" t="s">
        <v>49</v>
      </c>
      <c r="AC8" s="1408" t="s">
        <v>50</v>
      </c>
      <c r="AD8" s="1408" t="s">
        <v>51</v>
      </c>
      <c r="AE8" s="1408" t="s">
        <v>52</v>
      </c>
      <c r="AF8" s="1408" t="s">
        <v>189</v>
      </c>
      <c r="AG8" s="1408" t="s">
        <v>54</v>
      </c>
      <c r="AH8" s="1408" t="s">
        <v>55</v>
      </c>
      <c r="AI8" s="1408" t="s">
        <v>56</v>
      </c>
      <c r="AJ8" s="1408" t="s">
        <v>57</v>
      </c>
      <c r="AK8" s="1408" t="s">
        <v>58</v>
      </c>
      <c r="AL8" s="3938"/>
      <c r="AM8" s="3928"/>
      <c r="AN8" s="3930"/>
      <c r="AO8" s="3932"/>
      <c r="AP8" s="245"/>
      <c r="AQ8" s="245"/>
      <c r="AR8" s="245"/>
      <c r="AS8" s="245"/>
      <c r="AT8" s="245"/>
      <c r="AU8" s="245"/>
      <c r="AV8" s="245"/>
      <c r="AW8" s="245"/>
      <c r="AX8" s="245"/>
      <c r="AY8" s="245"/>
      <c r="AZ8" s="245"/>
      <c r="BA8" s="245"/>
      <c r="BB8" s="245"/>
      <c r="BC8" s="245"/>
      <c r="BD8" s="245"/>
      <c r="BE8" s="245"/>
      <c r="BF8" s="245"/>
      <c r="BG8" s="245"/>
    </row>
    <row r="9" spans="1:16382" s="1415" customFormat="1" ht="21" customHeight="1" x14ac:dyDescent="0.25">
      <c r="A9" s="1860">
        <v>1</v>
      </c>
      <c r="B9" s="3939" t="s">
        <v>390</v>
      </c>
      <c r="C9" s="3940"/>
      <c r="D9" s="3940"/>
      <c r="E9" s="1409"/>
      <c r="F9" s="1409"/>
      <c r="G9" s="1409"/>
      <c r="H9" s="1409"/>
      <c r="I9" s="1409"/>
      <c r="J9" s="1409"/>
      <c r="K9" s="1298" t="s">
        <v>134</v>
      </c>
      <c r="L9" s="1409" t="s">
        <v>134</v>
      </c>
      <c r="M9" s="1409" t="s">
        <v>134</v>
      </c>
      <c r="N9" s="1409" t="s">
        <v>134</v>
      </c>
      <c r="O9" s="1409" t="s">
        <v>134</v>
      </c>
      <c r="P9" s="1409" t="s">
        <v>134</v>
      </c>
      <c r="Q9" s="1409" t="s">
        <v>134</v>
      </c>
      <c r="R9" s="1410" t="s">
        <v>134</v>
      </c>
      <c r="S9" s="1409" t="s">
        <v>134</v>
      </c>
      <c r="T9" s="1409" t="s">
        <v>134</v>
      </c>
      <c r="U9" s="1298" t="s">
        <v>134</v>
      </c>
      <c r="V9" s="1409" t="s">
        <v>134</v>
      </c>
      <c r="W9" s="1411" t="s">
        <v>134</v>
      </c>
      <c r="X9" s="1411" t="s">
        <v>134</v>
      </c>
      <c r="Y9" s="1411" t="s">
        <v>134</v>
      </c>
      <c r="Z9" s="1411" t="s">
        <v>134</v>
      </c>
      <c r="AA9" s="1411" t="s">
        <v>134</v>
      </c>
      <c r="AB9" s="1411" t="s">
        <v>134</v>
      </c>
      <c r="AC9" s="1411" t="s">
        <v>134</v>
      </c>
      <c r="AD9" s="1411" t="s">
        <v>134</v>
      </c>
      <c r="AE9" s="1411" t="s">
        <v>134</v>
      </c>
      <c r="AF9" s="1411" t="s">
        <v>134</v>
      </c>
      <c r="AG9" s="1411" t="s">
        <v>134</v>
      </c>
      <c r="AH9" s="1411" t="s">
        <v>134</v>
      </c>
      <c r="AI9" s="1411" t="s">
        <v>134</v>
      </c>
      <c r="AJ9" s="1411" t="s">
        <v>134</v>
      </c>
      <c r="AK9" s="1411" t="s">
        <v>134</v>
      </c>
      <c r="AL9" s="1411" t="s">
        <v>134</v>
      </c>
      <c r="AM9" s="1409" t="s">
        <v>134</v>
      </c>
      <c r="AN9" s="1409" t="s">
        <v>134</v>
      </c>
      <c r="AO9" s="1412" t="s">
        <v>134</v>
      </c>
      <c r="AP9" s="1413" t="s">
        <v>134</v>
      </c>
      <c r="AQ9" s="1413" t="s">
        <v>134</v>
      </c>
      <c r="AR9" s="1413" t="s">
        <v>134</v>
      </c>
      <c r="AS9" s="1413" t="s">
        <v>134</v>
      </c>
      <c r="AT9" s="1413" t="s">
        <v>134</v>
      </c>
      <c r="AU9" s="1413" t="s">
        <v>134</v>
      </c>
      <c r="AV9" s="1413" t="s">
        <v>134</v>
      </c>
      <c r="AW9" s="1413" t="s">
        <v>134</v>
      </c>
      <c r="AX9" s="1413" t="s">
        <v>134</v>
      </c>
      <c r="AY9" s="1413" t="s">
        <v>134</v>
      </c>
      <c r="AZ9" s="1413" t="s">
        <v>134</v>
      </c>
      <c r="BA9" s="1413" t="s">
        <v>134</v>
      </c>
      <c r="BB9" s="1413" t="s">
        <v>134</v>
      </c>
      <c r="BC9" s="1413" t="s">
        <v>134</v>
      </c>
      <c r="BD9" s="1413" t="s">
        <v>134</v>
      </c>
      <c r="BE9" s="1413" t="s">
        <v>134</v>
      </c>
      <c r="BF9" s="1413" t="s">
        <v>134</v>
      </c>
      <c r="BG9" s="1413" t="s">
        <v>134</v>
      </c>
      <c r="BH9" s="1413" t="s">
        <v>134</v>
      </c>
      <c r="BI9" s="1413" t="s">
        <v>134</v>
      </c>
      <c r="BJ9" s="1414"/>
      <c r="BK9" s="1414"/>
      <c r="BL9" s="1414"/>
      <c r="BM9" s="1414"/>
      <c r="BN9" s="1414"/>
      <c r="BO9" s="1414"/>
      <c r="BP9" s="1414"/>
      <c r="BQ9" s="1414"/>
      <c r="BR9" s="1414"/>
      <c r="BS9" s="1414"/>
      <c r="BT9" s="1414"/>
      <c r="BU9" s="1414"/>
      <c r="BV9" s="1414"/>
    </row>
    <row r="10" spans="1:16382" s="1415" customFormat="1" ht="21" customHeight="1" x14ac:dyDescent="0.25">
      <c r="A10" s="1861"/>
      <c r="B10" s="1862"/>
      <c r="C10" s="1858">
        <v>43</v>
      </c>
      <c r="D10" s="2681" t="s">
        <v>473</v>
      </c>
      <c r="E10" s="2211"/>
      <c r="F10" s="2211"/>
      <c r="G10" s="2211"/>
      <c r="H10" s="1416"/>
      <c r="I10" s="1416"/>
      <c r="J10" s="1416"/>
      <c r="K10" s="1417"/>
      <c r="L10" s="1416"/>
      <c r="M10" s="1416"/>
      <c r="N10" s="1416"/>
      <c r="O10" s="1416"/>
      <c r="P10" s="1416"/>
      <c r="Q10" s="1416"/>
      <c r="R10" s="1418"/>
      <c r="S10" s="1416"/>
      <c r="T10" s="1416"/>
      <c r="U10" s="1417"/>
      <c r="V10" s="1416"/>
      <c r="W10" s="1419"/>
      <c r="X10" s="1419"/>
      <c r="Y10" s="1419"/>
      <c r="Z10" s="1419"/>
      <c r="AA10" s="1419"/>
      <c r="AB10" s="1419"/>
      <c r="AC10" s="1419"/>
      <c r="AD10" s="1419"/>
      <c r="AE10" s="1419"/>
      <c r="AF10" s="1419"/>
      <c r="AG10" s="1419"/>
      <c r="AH10" s="1419"/>
      <c r="AI10" s="1419"/>
      <c r="AJ10" s="1419"/>
      <c r="AK10" s="1419"/>
      <c r="AL10" s="1419"/>
      <c r="AM10" s="1416"/>
      <c r="AN10" s="1416"/>
      <c r="AO10" s="1420"/>
      <c r="AP10" s="1414"/>
      <c r="AQ10" s="1414"/>
      <c r="AR10" s="1414"/>
      <c r="AS10" s="1414"/>
      <c r="AT10" s="1414"/>
      <c r="AU10" s="1414"/>
      <c r="AV10" s="1414"/>
      <c r="AW10" s="1414"/>
      <c r="AX10" s="1414"/>
      <c r="AY10" s="1414"/>
      <c r="AZ10" s="1414"/>
      <c r="BA10" s="1414"/>
      <c r="BB10" s="1414"/>
      <c r="BC10" s="1414"/>
      <c r="BD10" s="1414"/>
      <c r="BE10" s="1414"/>
      <c r="BF10" s="1414"/>
      <c r="BG10" s="1414"/>
      <c r="BH10" s="1414"/>
      <c r="BI10" s="1414"/>
      <c r="BJ10" s="1414"/>
      <c r="BK10" s="1414"/>
      <c r="BL10" s="1414"/>
      <c r="BM10" s="1414"/>
      <c r="BN10" s="1414"/>
      <c r="BO10" s="1414"/>
      <c r="BP10" s="1414"/>
      <c r="BQ10" s="1414"/>
      <c r="BR10" s="1414"/>
      <c r="BS10" s="1414"/>
      <c r="BT10" s="1414"/>
      <c r="BU10" s="1414"/>
      <c r="BV10" s="1414"/>
    </row>
    <row r="11" spans="1:16382" s="1429" customFormat="1" ht="27" customHeight="1" x14ac:dyDescent="0.25">
      <c r="A11" s="1855" t="s">
        <v>134</v>
      </c>
      <c r="B11" s="1863" t="s">
        <v>134</v>
      </c>
      <c r="C11" s="1422"/>
      <c r="D11" s="1422"/>
      <c r="E11" s="1842">
        <v>4301</v>
      </c>
      <c r="F11" s="3941" t="s">
        <v>2267</v>
      </c>
      <c r="G11" s="3942"/>
      <c r="H11" s="3942"/>
      <c r="I11" s="3942"/>
      <c r="J11" s="3942"/>
      <c r="K11" s="3942"/>
      <c r="L11" s="3942"/>
      <c r="M11" s="3942"/>
      <c r="N11" s="3942"/>
      <c r="O11" s="3942"/>
      <c r="P11" s="3942"/>
      <c r="Q11" s="1423" t="s">
        <v>134</v>
      </c>
      <c r="R11" s="1423" t="s">
        <v>134</v>
      </c>
      <c r="S11" s="1423" t="s">
        <v>134</v>
      </c>
      <c r="T11" s="1423" t="s">
        <v>134</v>
      </c>
      <c r="U11" s="1323" t="s">
        <v>134</v>
      </c>
      <c r="V11" s="1423" t="s">
        <v>134</v>
      </c>
      <c r="W11" s="1424" t="s">
        <v>134</v>
      </c>
      <c r="X11" s="1424" t="s">
        <v>134</v>
      </c>
      <c r="Y11" s="1424" t="s">
        <v>134</v>
      </c>
      <c r="Z11" s="1424" t="s">
        <v>134</v>
      </c>
      <c r="AA11" s="1424" t="s">
        <v>134</v>
      </c>
      <c r="AB11" s="1424" t="s">
        <v>134</v>
      </c>
      <c r="AC11" s="1424" t="s">
        <v>134</v>
      </c>
      <c r="AD11" s="1424" t="s">
        <v>134</v>
      </c>
      <c r="AE11" s="1424" t="s">
        <v>134</v>
      </c>
      <c r="AF11" s="1424" t="s">
        <v>134</v>
      </c>
      <c r="AG11" s="1424" t="s">
        <v>134</v>
      </c>
      <c r="AH11" s="1424" t="s">
        <v>134</v>
      </c>
      <c r="AI11" s="1425" t="s">
        <v>134</v>
      </c>
      <c r="AJ11" s="1425" t="s">
        <v>134</v>
      </c>
      <c r="AK11" s="1425" t="s">
        <v>134</v>
      </c>
      <c r="AL11" s="1425" t="s">
        <v>134</v>
      </c>
      <c r="AM11" s="1426" t="s">
        <v>134</v>
      </c>
      <c r="AN11" s="1426" t="s">
        <v>134</v>
      </c>
      <c r="AO11" s="1427" t="s">
        <v>134</v>
      </c>
      <c r="AP11" s="1428" t="s">
        <v>134</v>
      </c>
      <c r="AQ11" s="1428" t="s">
        <v>134</v>
      </c>
      <c r="AR11" s="1428" t="s">
        <v>134</v>
      </c>
      <c r="AS11" s="1428" t="s">
        <v>134</v>
      </c>
      <c r="AT11" s="1428" t="s">
        <v>134</v>
      </c>
      <c r="AU11" s="1428" t="s">
        <v>134</v>
      </c>
      <c r="AV11" s="1428" t="s">
        <v>134</v>
      </c>
      <c r="AW11" s="1428" t="s">
        <v>134</v>
      </c>
      <c r="AX11" s="1428" t="s">
        <v>134</v>
      </c>
      <c r="AY11" s="1428" t="s">
        <v>134</v>
      </c>
      <c r="AZ11" s="1428" t="s">
        <v>134</v>
      </c>
      <c r="BA11" s="1428" t="s">
        <v>134</v>
      </c>
      <c r="BB11" s="1428" t="s">
        <v>134</v>
      </c>
      <c r="BC11" s="1428" t="s">
        <v>134</v>
      </c>
      <c r="BD11" s="1428" t="s">
        <v>134</v>
      </c>
      <c r="BE11" s="1428" t="s">
        <v>134</v>
      </c>
      <c r="BF11" s="1428" t="s">
        <v>134</v>
      </c>
      <c r="BG11" s="1428" t="s">
        <v>134</v>
      </c>
      <c r="BH11" s="1428" t="s">
        <v>134</v>
      </c>
      <c r="BI11" s="1428" t="s">
        <v>134</v>
      </c>
      <c r="BJ11" s="1428" t="s">
        <v>134</v>
      </c>
      <c r="BK11" s="1428" t="s">
        <v>134</v>
      </c>
      <c r="BL11" s="1428" t="s">
        <v>134</v>
      </c>
      <c r="BM11" s="1428" t="s">
        <v>134</v>
      </c>
      <c r="BN11" s="1428" t="s">
        <v>134</v>
      </c>
      <c r="BO11" s="1428" t="s">
        <v>134</v>
      </c>
      <c r="BP11" s="1428" t="s">
        <v>134</v>
      </c>
      <c r="BQ11" s="1428" t="s">
        <v>134</v>
      </c>
      <c r="BR11" s="1428" t="s">
        <v>134</v>
      </c>
      <c r="BS11" s="1428" t="s">
        <v>134</v>
      </c>
      <c r="BT11" s="1428" t="s">
        <v>134</v>
      </c>
      <c r="BU11" s="1428" t="s">
        <v>134</v>
      </c>
      <c r="BV11" s="1428" t="s">
        <v>134</v>
      </c>
      <c r="BW11" s="1429" t="s">
        <v>134</v>
      </c>
      <c r="BX11" s="1429" t="s">
        <v>134</v>
      </c>
      <c r="BY11" s="1429" t="s">
        <v>134</v>
      </c>
      <c r="BZ11" s="1429" t="s">
        <v>134</v>
      </c>
      <c r="CA11" s="1429" t="s">
        <v>134</v>
      </c>
      <c r="CB11" s="1429" t="s">
        <v>134</v>
      </c>
      <c r="CC11" s="1429" t="s">
        <v>134</v>
      </c>
      <c r="CD11" s="1429" t="s">
        <v>134</v>
      </c>
      <c r="CE11" s="1429" t="s">
        <v>134</v>
      </c>
      <c r="CF11" s="1429" t="s">
        <v>134</v>
      </c>
      <c r="CG11" s="1429" t="s">
        <v>134</v>
      </c>
      <c r="CH11" s="1429" t="s">
        <v>134</v>
      </c>
      <c r="CI11" s="1429" t="s">
        <v>134</v>
      </c>
      <c r="CJ11" s="1429" t="s">
        <v>134</v>
      </c>
      <c r="CK11" s="1429" t="s">
        <v>134</v>
      </c>
      <c r="CL11" s="1429" t="s">
        <v>134</v>
      </c>
      <c r="CM11" s="1429" t="s">
        <v>134</v>
      </c>
      <c r="CN11" s="1429" t="s">
        <v>134</v>
      </c>
      <c r="CO11" s="1429" t="s">
        <v>134</v>
      </c>
      <c r="CP11" s="1429" t="s">
        <v>134</v>
      </c>
      <c r="CQ11" s="1429" t="s">
        <v>134</v>
      </c>
      <c r="CR11" s="1429" t="s">
        <v>134</v>
      </c>
      <c r="CS11" s="1429" t="s">
        <v>134</v>
      </c>
      <c r="CT11" s="1429" t="s">
        <v>134</v>
      </c>
      <c r="CU11" s="1429" t="s">
        <v>134</v>
      </c>
      <c r="CV11" s="1429" t="s">
        <v>134</v>
      </c>
      <c r="CW11" s="1429" t="s">
        <v>134</v>
      </c>
      <c r="CX11" s="1429" t="s">
        <v>134</v>
      </c>
      <c r="CY11" s="1429" t="s">
        <v>134</v>
      </c>
      <c r="CZ11" s="1429" t="s">
        <v>134</v>
      </c>
      <c r="DA11" s="1429" t="s">
        <v>134</v>
      </c>
      <c r="DB11" s="1429" t="s">
        <v>134</v>
      </c>
      <c r="DC11" s="1429" t="s">
        <v>134</v>
      </c>
      <c r="DD11" s="1429" t="s">
        <v>134</v>
      </c>
      <c r="DE11" s="1429" t="s">
        <v>134</v>
      </c>
      <c r="DF11" s="1429" t="s">
        <v>134</v>
      </c>
      <c r="DG11" s="1429" t="s">
        <v>134</v>
      </c>
      <c r="DH11" s="1429" t="s">
        <v>134</v>
      </c>
      <c r="DI11" s="1429" t="s">
        <v>134</v>
      </c>
      <c r="DJ11" s="1429" t="s">
        <v>134</v>
      </c>
      <c r="DK11" s="1429" t="s">
        <v>134</v>
      </c>
      <c r="DL11" s="1429" t="s">
        <v>134</v>
      </c>
      <c r="DM11" s="1429" t="s">
        <v>134</v>
      </c>
      <c r="DN11" s="1429" t="s">
        <v>134</v>
      </c>
      <c r="DO11" s="1429" t="s">
        <v>134</v>
      </c>
      <c r="DP11" s="1429" t="s">
        <v>134</v>
      </c>
      <c r="DQ11" s="1429" t="s">
        <v>134</v>
      </c>
      <c r="DR11" s="1429" t="s">
        <v>134</v>
      </c>
      <c r="DS11" s="1429" t="s">
        <v>134</v>
      </c>
      <c r="DT11" s="1429" t="s">
        <v>134</v>
      </c>
      <c r="DU11" s="1429" t="s">
        <v>134</v>
      </c>
      <c r="DV11" s="1429" t="s">
        <v>134</v>
      </c>
      <c r="DW11" s="1429" t="s">
        <v>134</v>
      </c>
      <c r="DX11" s="1429" t="s">
        <v>134</v>
      </c>
      <c r="DY11" s="1429" t="s">
        <v>134</v>
      </c>
      <c r="DZ11" s="1429" t="s">
        <v>134</v>
      </c>
      <c r="EA11" s="1429" t="s">
        <v>134</v>
      </c>
      <c r="EB11" s="1429" t="s">
        <v>134</v>
      </c>
      <c r="EC11" s="1429" t="s">
        <v>134</v>
      </c>
      <c r="ED11" s="1429" t="s">
        <v>134</v>
      </c>
      <c r="EE11" s="1429" t="s">
        <v>134</v>
      </c>
      <c r="EF11" s="1429" t="s">
        <v>134</v>
      </c>
      <c r="EG11" s="1429" t="s">
        <v>134</v>
      </c>
      <c r="EH11" s="1429" t="s">
        <v>134</v>
      </c>
      <c r="EI11" s="1429" t="s">
        <v>134</v>
      </c>
      <c r="EJ11" s="1429" t="s">
        <v>134</v>
      </c>
      <c r="EK11" s="1429" t="s">
        <v>134</v>
      </c>
      <c r="EL11" s="1429" t="s">
        <v>134</v>
      </c>
      <c r="EM11" s="1429" t="s">
        <v>134</v>
      </c>
      <c r="EN11" s="1429" t="s">
        <v>134</v>
      </c>
      <c r="EO11" s="1429" t="s">
        <v>134</v>
      </c>
      <c r="EP11" s="1429" t="s">
        <v>134</v>
      </c>
      <c r="EQ11" s="1429" t="s">
        <v>134</v>
      </c>
      <c r="ER11" s="1429" t="s">
        <v>134</v>
      </c>
      <c r="ES11" s="1429" t="s">
        <v>134</v>
      </c>
      <c r="ET11" s="1429" t="s">
        <v>134</v>
      </c>
      <c r="EU11" s="1429" t="s">
        <v>134</v>
      </c>
      <c r="EV11" s="1429" t="s">
        <v>134</v>
      </c>
      <c r="EW11" s="1429" t="s">
        <v>134</v>
      </c>
      <c r="EX11" s="1429" t="s">
        <v>134</v>
      </c>
      <c r="EY11" s="1429" t="s">
        <v>134</v>
      </c>
      <c r="EZ11" s="1429" t="s">
        <v>134</v>
      </c>
      <c r="FA11" s="1429" t="s">
        <v>134</v>
      </c>
      <c r="FB11" s="1429" t="s">
        <v>134</v>
      </c>
      <c r="FC11" s="1429" t="s">
        <v>134</v>
      </c>
      <c r="FD11" s="1429" t="s">
        <v>134</v>
      </c>
      <c r="FE11" s="1429" t="s">
        <v>134</v>
      </c>
      <c r="FF11" s="1429" t="s">
        <v>134</v>
      </c>
      <c r="FG11" s="1429" t="s">
        <v>134</v>
      </c>
      <c r="FH11" s="1429" t="s">
        <v>134</v>
      </c>
      <c r="FI11" s="1429" t="s">
        <v>134</v>
      </c>
      <c r="FJ11" s="1429" t="s">
        <v>134</v>
      </c>
      <c r="FK11" s="1429" t="s">
        <v>134</v>
      </c>
      <c r="FL11" s="1429" t="s">
        <v>134</v>
      </c>
      <c r="FM11" s="1429" t="s">
        <v>134</v>
      </c>
      <c r="FN11" s="1429" t="s">
        <v>134</v>
      </c>
      <c r="FO11" s="1429" t="s">
        <v>134</v>
      </c>
      <c r="FP11" s="1429" t="s">
        <v>134</v>
      </c>
      <c r="FQ11" s="1429" t="s">
        <v>134</v>
      </c>
      <c r="FR11" s="1429" t="s">
        <v>134</v>
      </c>
      <c r="FS11" s="1429" t="s">
        <v>134</v>
      </c>
      <c r="FT11" s="1429" t="s">
        <v>134</v>
      </c>
      <c r="FU11" s="1429" t="s">
        <v>134</v>
      </c>
      <c r="FV11" s="1429" t="s">
        <v>134</v>
      </c>
      <c r="FW11" s="1429" t="s">
        <v>134</v>
      </c>
      <c r="FX11" s="1429" t="s">
        <v>134</v>
      </c>
      <c r="FY11" s="1429" t="s">
        <v>134</v>
      </c>
      <c r="FZ11" s="1429" t="s">
        <v>134</v>
      </c>
      <c r="GA11" s="1429" t="s">
        <v>134</v>
      </c>
      <c r="GB11" s="1429" t="s">
        <v>134</v>
      </c>
      <c r="GC11" s="1429" t="s">
        <v>134</v>
      </c>
      <c r="GD11" s="1429" t="s">
        <v>134</v>
      </c>
      <c r="GE11" s="1429" t="s">
        <v>134</v>
      </c>
      <c r="GF11" s="1429" t="s">
        <v>134</v>
      </c>
      <c r="GG11" s="1429" t="s">
        <v>134</v>
      </c>
      <c r="GH11" s="1429" t="s">
        <v>134</v>
      </c>
      <c r="GI11" s="1429" t="s">
        <v>134</v>
      </c>
      <c r="GJ11" s="1429" t="s">
        <v>134</v>
      </c>
      <c r="GK11" s="1429" t="s">
        <v>134</v>
      </c>
      <c r="GL11" s="1429" t="s">
        <v>134</v>
      </c>
      <c r="GM11" s="1429" t="s">
        <v>134</v>
      </c>
      <c r="GN11" s="1429" t="s">
        <v>134</v>
      </c>
      <c r="GO11" s="1429" t="s">
        <v>134</v>
      </c>
      <c r="GP11" s="1429" t="s">
        <v>134</v>
      </c>
      <c r="GQ11" s="1429" t="s">
        <v>134</v>
      </c>
      <c r="GR11" s="1429" t="s">
        <v>134</v>
      </c>
      <c r="GS11" s="1429" t="s">
        <v>134</v>
      </c>
      <c r="GT11" s="1429" t="s">
        <v>134</v>
      </c>
      <c r="GU11" s="1429" t="s">
        <v>134</v>
      </c>
      <c r="GV11" s="1429" t="s">
        <v>134</v>
      </c>
      <c r="GW11" s="1429" t="s">
        <v>134</v>
      </c>
      <c r="GX11" s="1429" t="s">
        <v>134</v>
      </c>
      <c r="GY11" s="1429" t="s">
        <v>134</v>
      </c>
      <c r="GZ11" s="1429" t="s">
        <v>134</v>
      </c>
      <c r="HA11" s="1429" t="s">
        <v>134</v>
      </c>
      <c r="HB11" s="1429" t="s">
        <v>134</v>
      </c>
      <c r="HC11" s="1429" t="s">
        <v>134</v>
      </c>
      <c r="HD11" s="1429" t="s">
        <v>134</v>
      </c>
      <c r="HE11" s="1429" t="s">
        <v>134</v>
      </c>
      <c r="HF11" s="1429" t="s">
        <v>134</v>
      </c>
      <c r="HG11" s="1429" t="s">
        <v>134</v>
      </c>
      <c r="HH11" s="1429" t="s">
        <v>134</v>
      </c>
      <c r="HI11" s="1429" t="s">
        <v>134</v>
      </c>
      <c r="HJ11" s="1429" t="s">
        <v>134</v>
      </c>
      <c r="HK11" s="1429" t="s">
        <v>134</v>
      </c>
      <c r="HL11" s="1429" t="s">
        <v>134</v>
      </c>
      <c r="HM11" s="1429" t="s">
        <v>134</v>
      </c>
      <c r="HN11" s="1429" t="s">
        <v>134</v>
      </c>
      <c r="HO11" s="1429" t="s">
        <v>134</v>
      </c>
      <c r="HP11" s="1429" t="s">
        <v>134</v>
      </c>
      <c r="HQ11" s="1429" t="s">
        <v>134</v>
      </c>
      <c r="HR11" s="1429" t="s">
        <v>134</v>
      </c>
      <c r="HS11" s="1429" t="s">
        <v>134</v>
      </c>
      <c r="HT11" s="1429" t="s">
        <v>134</v>
      </c>
      <c r="HU11" s="1429" t="s">
        <v>134</v>
      </c>
      <c r="HV11" s="1429" t="s">
        <v>134</v>
      </c>
      <c r="HW11" s="1429" t="s">
        <v>134</v>
      </c>
      <c r="HX11" s="1429" t="s">
        <v>134</v>
      </c>
      <c r="HY11" s="1429" t="s">
        <v>134</v>
      </c>
      <c r="HZ11" s="1429" t="s">
        <v>134</v>
      </c>
      <c r="IA11" s="1429" t="s">
        <v>134</v>
      </c>
      <c r="IB11" s="1429" t="s">
        <v>134</v>
      </c>
      <c r="IC11" s="1429" t="s">
        <v>134</v>
      </c>
      <c r="ID11" s="1429" t="s">
        <v>134</v>
      </c>
      <c r="IE11" s="1429" t="s">
        <v>134</v>
      </c>
      <c r="IF11" s="1429" t="s">
        <v>134</v>
      </c>
      <c r="IG11" s="1429" t="s">
        <v>134</v>
      </c>
      <c r="IH11" s="1429" t="s">
        <v>134</v>
      </c>
      <c r="II11" s="1429" t="s">
        <v>134</v>
      </c>
      <c r="IJ11" s="1429" t="s">
        <v>134</v>
      </c>
      <c r="IK11" s="1429" t="s">
        <v>134</v>
      </c>
      <c r="IL11" s="1429" t="s">
        <v>134</v>
      </c>
      <c r="IM11" s="1429" t="s">
        <v>134</v>
      </c>
      <c r="IN11" s="1429" t="s">
        <v>134</v>
      </c>
      <c r="IO11" s="1429" t="s">
        <v>134</v>
      </c>
      <c r="IP11" s="1429" t="s">
        <v>134</v>
      </c>
      <c r="IQ11" s="1429" t="s">
        <v>134</v>
      </c>
      <c r="IR11" s="1429" t="s">
        <v>134</v>
      </c>
      <c r="IS11" s="1429" t="s">
        <v>134</v>
      </c>
      <c r="IT11" s="1429" t="s">
        <v>134</v>
      </c>
      <c r="IU11" s="1429" t="s">
        <v>134</v>
      </c>
      <c r="IV11" s="1429" t="s">
        <v>134</v>
      </c>
      <c r="IW11" s="1429" t="s">
        <v>134</v>
      </c>
      <c r="IX11" s="1429" t="s">
        <v>134</v>
      </c>
      <c r="IY11" s="1429" t="s">
        <v>134</v>
      </c>
      <c r="IZ11" s="1429" t="s">
        <v>134</v>
      </c>
      <c r="JA11" s="1429" t="s">
        <v>134</v>
      </c>
      <c r="JB11" s="1429" t="s">
        <v>134</v>
      </c>
      <c r="JC11" s="1429" t="s">
        <v>134</v>
      </c>
      <c r="JD11" s="1429" t="s">
        <v>134</v>
      </c>
      <c r="JE11" s="1429" t="s">
        <v>134</v>
      </c>
      <c r="JF11" s="1429" t="s">
        <v>134</v>
      </c>
      <c r="JG11" s="1429" t="s">
        <v>134</v>
      </c>
      <c r="JH11" s="1429" t="s">
        <v>134</v>
      </c>
      <c r="JI11" s="1429" t="s">
        <v>134</v>
      </c>
      <c r="JJ11" s="1429" t="s">
        <v>134</v>
      </c>
      <c r="JK11" s="1429" t="s">
        <v>134</v>
      </c>
      <c r="JL11" s="1429" t="s">
        <v>134</v>
      </c>
      <c r="JM11" s="1429" t="s">
        <v>134</v>
      </c>
      <c r="JN11" s="1429" t="s">
        <v>134</v>
      </c>
      <c r="JO11" s="1429" t="s">
        <v>134</v>
      </c>
      <c r="JP11" s="1429" t="s">
        <v>134</v>
      </c>
      <c r="JQ11" s="1429" t="s">
        <v>134</v>
      </c>
      <c r="JR11" s="1429" t="s">
        <v>134</v>
      </c>
      <c r="JS11" s="1429" t="s">
        <v>134</v>
      </c>
      <c r="JT11" s="1429" t="s">
        <v>134</v>
      </c>
      <c r="JU11" s="1429" t="s">
        <v>134</v>
      </c>
      <c r="JV11" s="1429" t="s">
        <v>134</v>
      </c>
      <c r="JW11" s="1429" t="s">
        <v>134</v>
      </c>
      <c r="JX11" s="1429" t="s">
        <v>134</v>
      </c>
      <c r="JY11" s="1429" t="s">
        <v>134</v>
      </c>
      <c r="JZ11" s="1429" t="s">
        <v>134</v>
      </c>
      <c r="KA11" s="1429" t="s">
        <v>134</v>
      </c>
      <c r="KB11" s="1429" t="s">
        <v>134</v>
      </c>
      <c r="KC11" s="1429" t="s">
        <v>134</v>
      </c>
      <c r="KD11" s="1429" t="s">
        <v>134</v>
      </c>
      <c r="KE11" s="1429" t="s">
        <v>134</v>
      </c>
      <c r="KF11" s="1429" t="s">
        <v>134</v>
      </c>
      <c r="KG11" s="1429" t="s">
        <v>134</v>
      </c>
      <c r="KH11" s="1429" t="s">
        <v>134</v>
      </c>
      <c r="KI11" s="1429" t="s">
        <v>134</v>
      </c>
      <c r="KJ11" s="1429" t="s">
        <v>134</v>
      </c>
      <c r="KK11" s="1429" t="s">
        <v>134</v>
      </c>
      <c r="KL11" s="1429" t="s">
        <v>134</v>
      </c>
      <c r="KM11" s="1429" t="s">
        <v>134</v>
      </c>
      <c r="KN11" s="1429" t="s">
        <v>134</v>
      </c>
      <c r="KO11" s="1429" t="s">
        <v>134</v>
      </c>
      <c r="KP11" s="1429" t="s">
        <v>134</v>
      </c>
      <c r="KQ11" s="1429" t="s">
        <v>134</v>
      </c>
      <c r="KR11" s="1429" t="s">
        <v>134</v>
      </c>
      <c r="KS11" s="1429" t="s">
        <v>134</v>
      </c>
      <c r="KT11" s="1429" t="s">
        <v>134</v>
      </c>
      <c r="KU11" s="1429" t="s">
        <v>134</v>
      </c>
      <c r="KV11" s="1429" t="s">
        <v>134</v>
      </c>
      <c r="KW11" s="1429" t="s">
        <v>134</v>
      </c>
      <c r="KX11" s="1429" t="s">
        <v>134</v>
      </c>
      <c r="KY11" s="1429" t="s">
        <v>134</v>
      </c>
      <c r="KZ11" s="1429" t="s">
        <v>134</v>
      </c>
      <c r="LA11" s="1429" t="s">
        <v>134</v>
      </c>
      <c r="LB11" s="1429" t="s">
        <v>134</v>
      </c>
      <c r="LC11" s="1429" t="s">
        <v>134</v>
      </c>
      <c r="LD11" s="1429" t="s">
        <v>134</v>
      </c>
      <c r="LE11" s="1429" t="s">
        <v>134</v>
      </c>
      <c r="LF11" s="1429" t="s">
        <v>134</v>
      </c>
      <c r="LG11" s="1429" t="s">
        <v>134</v>
      </c>
      <c r="LH11" s="1429" t="s">
        <v>134</v>
      </c>
      <c r="LI11" s="1429" t="s">
        <v>134</v>
      </c>
      <c r="LJ11" s="1429" t="s">
        <v>134</v>
      </c>
      <c r="LK11" s="1429" t="s">
        <v>134</v>
      </c>
      <c r="LL11" s="1429" t="s">
        <v>134</v>
      </c>
      <c r="LM11" s="1429" t="s">
        <v>134</v>
      </c>
      <c r="LN11" s="1429" t="s">
        <v>134</v>
      </c>
      <c r="LO11" s="1429" t="s">
        <v>134</v>
      </c>
      <c r="LP11" s="1429" t="s">
        <v>134</v>
      </c>
      <c r="LQ11" s="1429" t="s">
        <v>134</v>
      </c>
      <c r="LR11" s="1429" t="s">
        <v>134</v>
      </c>
      <c r="LS11" s="1429" t="s">
        <v>134</v>
      </c>
      <c r="LT11" s="1429" t="s">
        <v>134</v>
      </c>
      <c r="LU11" s="1429" t="s">
        <v>134</v>
      </c>
      <c r="LV11" s="1429" t="s">
        <v>134</v>
      </c>
      <c r="LW11" s="1429" t="s">
        <v>134</v>
      </c>
      <c r="LX11" s="1429" t="s">
        <v>134</v>
      </c>
      <c r="LY11" s="1429" t="s">
        <v>134</v>
      </c>
      <c r="LZ11" s="1429" t="s">
        <v>134</v>
      </c>
      <c r="MA11" s="1429" t="s">
        <v>134</v>
      </c>
      <c r="MB11" s="1429" t="s">
        <v>134</v>
      </c>
      <c r="MC11" s="1429" t="s">
        <v>134</v>
      </c>
      <c r="MD11" s="1429" t="s">
        <v>134</v>
      </c>
      <c r="ME11" s="1429" t="s">
        <v>134</v>
      </c>
      <c r="MF11" s="1429" t="s">
        <v>134</v>
      </c>
      <c r="MG11" s="1429" t="s">
        <v>134</v>
      </c>
      <c r="MH11" s="1429" t="s">
        <v>134</v>
      </c>
      <c r="MI11" s="1429" t="s">
        <v>134</v>
      </c>
      <c r="MJ11" s="1429" t="s">
        <v>134</v>
      </c>
      <c r="MK11" s="1429" t="s">
        <v>134</v>
      </c>
      <c r="ML11" s="1429" t="s">
        <v>134</v>
      </c>
      <c r="MM11" s="1429" t="s">
        <v>134</v>
      </c>
      <c r="MN11" s="1429" t="s">
        <v>134</v>
      </c>
      <c r="MO11" s="1429" t="s">
        <v>134</v>
      </c>
      <c r="MP11" s="1429" t="s">
        <v>134</v>
      </c>
      <c r="MQ11" s="1429" t="s">
        <v>134</v>
      </c>
      <c r="MR11" s="1429" t="s">
        <v>134</v>
      </c>
      <c r="MS11" s="1429" t="s">
        <v>134</v>
      </c>
      <c r="MT11" s="1429" t="s">
        <v>134</v>
      </c>
      <c r="MU11" s="1429" t="s">
        <v>134</v>
      </c>
      <c r="MV11" s="1429" t="s">
        <v>134</v>
      </c>
      <c r="MW11" s="1429" t="s">
        <v>134</v>
      </c>
      <c r="MX11" s="1429" t="s">
        <v>134</v>
      </c>
      <c r="MY11" s="1429" t="s">
        <v>134</v>
      </c>
      <c r="MZ11" s="1429" t="s">
        <v>134</v>
      </c>
      <c r="NA11" s="1429" t="s">
        <v>134</v>
      </c>
      <c r="NB11" s="1429" t="s">
        <v>134</v>
      </c>
      <c r="NC11" s="1429" t="s">
        <v>134</v>
      </c>
      <c r="ND11" s="1429" t="s">
        <v>134</v>
      </c>
      <c r="NE11" s="1429" t="s">
        <v>134</v>
      </c>
      <c r="NF11" s="1429" t="s">
        <v>134</v>
      </c>
      <c r="NG11" s="1429" t="s">
        <v>134</v>
      </c>
      <c r="NH11" s="1429" t="s">
        <v>134</v>
      </c>
      <c r="NI11" s="1429" t="s">
        <v>134</v>
      </c>
      <c r="NJ11" s="1429" t="s">
        <v>134</v>
      </c>
      <c r="NK11" s="1429" t="s">
        <v>134</v>
      </c>
      <c r="NL11" s="1429" t="s">
        <v>134</v>
      </c>
      <c r="NM11" s="1429" t="s">
        <v>134</v>
      </c>
      <c r="NN11" s="1429" t="s">
        <v>134</v>
      </c>
      <c r="NO11" s="1429" t="s">
        <v>134</v>
      </c>
      <c r="NP11" s="1429" t="s">
        <v>134</v>
      </c>
      <c r="NQ11" s="1429" t="s">
        <v>134</v>
      </c>
      <c r="NR11" s="1429" t="s">
        <v>134</v>
      </c>
      <c r="NS11" s="1429" t="s">
        <v>134</v>
      </c>
      <c r="NT11" s="1429" t="s">
        <v>134</v>
      </c>
      <c r="NU11" s="1429" t="s">
        <v>134</v>
      </c>
      <c r="NV11" s="1429" t="s">
        <v>134</v>
      </c>
      <c r="NW11" s="1429" t="s">
        <v>134</v>
      </c>
      <c r="NX11" s="1429" t="s">
        <v>134</v>
      </c>
      <c r="NY11" s="1429" t="s">
        <v>134</v>
      </c>
      <c r="NZ11" s="1429" t="s">
        <v>134</v>
      </c>
      <c r="OA11" s="1429" t="s">
        <v>134</v>
      </c>
      <c r="OB11" s="1429" t="s">
        <v>134</v>
      </c>
      <c r="OC11" s="1429" t="s">
        <v>134</v>
      </c>
      <c r="OD11" s="1429" t="s">
        <v>134</v>
      </c>
      <c r="OE11" s="1429" t="s">
        <v>134</v>
      </c>
      <c r="OF11" s="1429" t="s">
        <v>134</v>
      </c>
      <c r="OG11" s="1429" t="s">
        <v>134</v>
      </c>
      <c r="OH11" s="1429" t="s">
        <v>134</v>
      </c>
      <c r="OI11" s="1429" t="s">
        <v>134</v>
      </c>
      <c r="OJ11" s="1429" t="s">
        <v>134</v>
      </c>
      <c r="OK11" s="1429" t="s">
        <v>134</v>
      </c>
      <c r="OL11" s="1429" t="s">
        <v>134</v>
      </c>
      <c r="OM11" s="1429" t="s">
        <v>134</v>
      </c>
      <c r="ON11" s="1429" t="s">
        <v>134</v>
      </c>
      <c r="OO11" s="1429" t="s">
        <v>134</v>
      </c>
      <c r="OP11" s="1429" t="s">
        <v>134</v>
      </c>
      <c r="OQ11" s="1429" t="s">
        <v>134</v>
      </c>
      <c r="OR11" s="1429" t="s">
        <v>134</v>
      </c>
      <c r="OS11" s="1429" t="s">
        <v>134</v>
      </c>
      <c r="OT11" s="1429" t="s">
        <v>134</v>
      </c>
      <c r="OU11" s="1429" t="s">
        <v>134</v>
      </c>
      <c r="OV11" s="1429" t="s">
        <v>134</v>
      </c>
      <c r="OW11" s="1429" t="s">
        <v>134</v>
      </c>
      <c r="OX11" s="1429" t="s">
        <v>134</v>
      </c>
      <c r="OY11" s="1429" t="s">
        <v>134</v>
      </c>
      <c r="OZ11" s="1429" t="s">
        <v>134</v>
      </c>
      <c r="PA11" s="1429" t="s">
        <v>134</v>
      </c>
      <c r="PB11" s="1429" t="s">
        <v>134</v>
      </c>
      <c r="PC11" s="1429" t="s">
        <v>134</v>
      </c>
      <c r="PD11" s="1429" t="s">
        <v>134</v>
      </c>
      <c r="PE11" s="1429" t="s">
        <v>134</v>
      </c>
      <c r="PF11" s="1429" t="s">
        <v>134</v>
      </c>
      <c r="PG11" s="1429" t="s">
        <v>134</v>
      </c>
      <c r="PH11" s="1429" t="s">
        <v>134</v>
      </c>
      <c r="PI11" s="1429" t="s">
        <v>134</v>
      </c>
      <c r="PJ11" s="1429" t="s">
        <v>134</v>
      </c>
      <c r="PK11" s="1429" t="s">
        <v>134</v>
      </c>
      <c r="PL11" s="1429" t="s">
        <v>134</v>
      </c>
      <c r="PM11" s="1429" t="s">
        <v>134</v>
      </c>
      <c r="PN11" s="1429" t="s">
        <v>134</v>
      </c>
      <c r="PO11" s="1429" t="s">
        <v>134</v>
      </c>
      <c r="PP11" s="1429" t="s">
        <v>134</v>
      </c>
      <c r="PQ11" s="1429" t="s">
        <v>134</v>
      </c>
      <c r="PR11" s="1429" t="s">
        <v>134</v>
      </c>
      <c r="PS11" s="1429" t="s">
        <v>134</v>
      </c>
      <c r="PT11" s="1429" t="s">
        <v>134</v>
      </c>
      <c r="PU11" s="1429" t="s">
        <v>134</v>
      </c>
      <c r="PV11" s="1429" t="s">
        <v>134</v>
      </c>
      <c r="PW11" s="1429" t="s">
        <v>134</v>
      </c>
      <c r="PX11" s="1429" t="s">
        <v>134</v>
      </c>
      <c r="PY11" s="1429" t="s">
        <v>134</v>
      </c>
      <c r="PZ11" s="1429" t="s">
        <v>134</v>
      </c>
      <c r="QA11" s="1429" t="s">
        <v>134</v>
      </c>
      <c r="QB11" s="1429" t="s">
        <v>134</v>
      </c>
      <c r="QC11" s="1429" t="s">
        <v>134</v>
      </c>
      <c r="QD11" s="1429" t="s">
        <v>134</v>
      </c>
      <c r="QE11" s="1429" t="s">
        <v>134</v>
      </c>
      <c r="QF11" s="1429" t="s">
        <v>134</v>
      </c>
      <c r="QG11" s="1429" t="s">
        <v>134</v>
      </c>
      <c r="QH11" s="1429" t="s">
        <v>134</v>
      </c>
      <c r="QI11" s="1429" t="s">
        <v>134</v>
      </c>
      <c r="QJ11" s="1429" t="s">
        <v>134</v>
      </c>
      <c r="QK11" s="1429" t="s">
        <v>134</v>
      </c>
      <c r="QL11" s="1429" t="s">
        <v>134</v>
      </c>
      <c r="QM11" s="1429" t="s">
        <v>134</v>
      </c>
      <c r="QN11" s="1429" t="s">
        <v>134</v>
      </c>
      <c r="QO11" s="1429" t="s">
        <v>134</v>
      </c>
      <c r="QP11" s="1429" t="s">
        <v>134</v>
      </c>
      <c r="QQ11" s="1429" t="s">
        <v>134</v>
      </c>
      <c r="QR11" s="1429" t="s">
        <v>134</v>
      </c>
      <c r="QS11" s="1429" t="s">
        <v>134</v>
      </c>
      <c r="QT11" s="1429" t="s">
        <v>134</v>
      </c>
      <c r="QU11" s="1429" t="s">
        <v>134</v>
      </c>
      <c r="QV11" s="1429" t="s">
        <v>134</v>
      </c>
      <c r="QW11" s="1429" t="s">
        <v>134</v>
      </c>
      <c r="QX11" s="1429" t="s">
        <v>134</v>
      </c>
      <c r="QY11" s="1429" t="s">
        <v>134</v>
      </c>
      <c r="QZ11" s="1429" t="s">
        <v>134</v>
      </c>
      <c r="RA11" s="1429" t="s">
        <v>134</v>
      </c>
      <c r="RB11" s="1429" t="s">
        <v>134</v>
      </c>
      <c r="RC11" s="1429" t="s">
        <v>134</v>
      </c>
      <c r="RD11" s="1429" t="s">
        <v>134</v>
      </c>
      <c r="RE11" s="1429" t="s">
        <v>134</v>
      </c>
      <c r="RF11" s="1429" t="s">
        <v>134</v>
      </c>
      <c r="RG11" s="1429" t="s">
        <v>134</v>
      </c>
      <c r="RH11" s="1429" t="s">
        <v>134</v>
      </c>
      <c r="RI11" s="1429" t="s">
        <v>134</v>
      </c>
      <c r="RJ11" s="1429" t="s">
        <v>134</v>
      </c>
      <c r="RK11" s="1429" t="s">
        <v>134</v>
      </c>
      <c r="RL11" s="1429" t="s">
        <v>134</v>
      </c>
      <c r="RM11" s="1429" t="s">
        <v>134</v>
      </c>
      <c r="RN11" s="1429" t="s">
        <v>134</v>
      </c>
      <c r="RO11" s="1429" t="s">
        <v>134</v>
      </c>
      <c r="RP11" s="1429" t="s">
        <v>134</v>
      </c>
      <c r="RQ11" s="1429" t="s">
        <v>134</v>
      </c>
      <c r="RR11" s="1429" t="s">
        <v>134</v>
      </c>
      <c r="RS11" s="1429" t="s">
        <v>134</v>
      </c>
      <c r="RT11" s="1429" t="s">
        <v>134</v>
      </c>
      <c r="RU11" s="1429" t="s">
        <v>134</v>
      </c>
      <c r="RV11" s="1429" t="s">
        <v>134</v>
      </c>
      <c r="RW11" s="1429" t="s">
        <v>134</v>
      </c>
      <c r="RX11" s="1429" t="s">
        <v>134</v>
      </c>
      <c r="RY11" s="1429" t="s">
        <v>134</v>
      </c>
      <c r="RZ11" s="1429" t="s">
        <v>134</v>
      </c>
      <c r="SA11" s="1429" t="s">
        <v>134</v>
      </c>
      <c r="SB11" s="1429" t="s">
        <v>134</v>
      </c>
      <c r="SC11" s="1429" t="s">
        <v>134</v>
      </c>
      <c r="SD11" s="1429" t="s">
        <v>134</v>
      </c>
      <c r="SE11" s="1429" t="s">
        <v>134</v>
      </c>
      <c r="SF11" s="1429" t="s">
        <v>134</v>
      </c>
      <c r="SG11" s="1429" t="s">
        <v>134</v>
      </c>
      <c r="SH11" s="1429" t="s">
        <v>134</v>
      </c>
      <c r="SI11" s="1429" t="s">
        <v>134</v>
      </c>
      <c r="SJ11" s="1429" t="s">
        <v>134</v>
      </c>
      <c r="SK11" s="1429" t="s">
        <v>134</v>
      </c>
      <c r="SL11" s="1429" t="s">
        <v>134</v>
      </c>
      <c r="SM11" s="1429" t="s">
        <v>134</v>
      </c>
      <c r="SN11" s="1429" t="s">
        <v>134</v>
      </c>
      <c r="SO11" s="1429" t="s">
        <v>134</v>
      </c>
      <c r="SP11" s="1429" t="s">
        <v>134</v>
      </c>
      <c r="SQ11" s="1429" t="s">
        <v>134</v>
      </c>
      <c r="SR11" s="1429" t="s">
        <v>134</v>
      </c>
      <c r="SS11" s="1429" t="s">
        <v>134</v>
      </c>
      <c r="ST11" s="1429" t="s">
        <v>134</v>
      </c>
      <c r="SU11" s="1429" t="s">
        <v>134</v>
      </c>
      <c r="SV11" s="1429" t="s">
        <v>134</v>
      </c>
      <c r="SW11" s="1429" t="s">
        <v>134</v>
      </c>
      <c r="SX11" s="1429" t="s">
        <v>134</v>
      </c>
      <c r="SY11" s="1429" t="s">
        <v>134</v>
      </c>
      <c r="SZ11" s="1429" t="s">
        <v>134</v>
      </c>
      <c r="TA11" s="1429" t="s">
        <v>134</v>
      </c>
      <c r="TB11" s="1429" t="s">
        <v>134</v>
      </c>
      <c r="TC11" s="1429" t="s">
        <v>134</v>
      </c>
      <c r="TD11" s="1429" t="s">
        <v>134</v>
      </c>
      <c r="TE11" s="1429" t="s">
        <v>134</v>
      </c>
      <c r="TF11" s="1429" t="s">
        <v>134</v>
      </c>
      <c r="TG11" s="1429" t="s">
        <v>134</v>
      </c>
      <c r="TH11" s="1429" t="s">
        <v>134</v>
      </c>
      <c r="TI11" s="1429" t="s">
        <v>134</v>
      </c>
      <c r="TJ11" s="1429" t="s">
        <v>134</v>
      </c>
      <c r="TK11" s="1429" t="s">
        <v>134</v>
      </c>
      <c r="TL11" s="1429" t="s">
        <v>134</v>
      </c>
      <c r="TM11" s="1429" t="s">
        <v>134</v>
      </c>
      <c r="TN11" s="1429" t="s">
        <v>134</v>
      </c>
      <c r="TO11" s="1429" t="s">
        <v>134</v>
      </c>
      <c r="TP11" s="1429" t="s">
        <v>134</v>
      </c>
      <c r="TQ11" s="1429" t="s">
        <v>134</v>
      </c>
      <c r="TR11" s="1429" t="s">
        <v>134</v>
      </c>
      <c r="TS11" s="1429" t="s">
        <v>134</v>
      </c>
      <c r="TT11" s="1429" t="s">
        <v>134</v>
      </c>
      <c r="TU11" s="1429" t="s">
        <v>134</v>
      </c>
      <c r="TV11" s="1429" t="s">
        <v>134</v>
      </c>
      <c r="TW11" s="1429" t="s">
        <v>134</v>
      </c>
      <c r="TX11" s="1429" t="s">
        <v>134</v>
      </c>
      <c r="TY11" s="1429" t="s">
        <v>134</v>
      </c>
      <c r="TZ11" s="1429" t="s">
        <v>134</v>
      </c>
      <c r="UA11" s="1429" t="s">
        <v>134</v>
      </c>
      <c r="UB11" s="1429" t="s">
        <v>134</v>
      </c>
      <c r="UC11" s="1429" t="s">
        <v>134</v>
      </c>
      <c r="UD11" s="1429" t="s">
        <v>134</v>
      </c>
      <c r="UE11" s="1429" t="s">
        <v>134</v>
      </c>
      <c r="UF11" s="1429" t="s">
        <v>134</v>
      </c>
      <c r="UG11" s="1429" t="s">
        <v>134</v>
      </c>
      <c r="UH11" s="1429" t="s">
        <v>134</v>
      </c>
      <c r="UI11" s="1429" t="s">
        <v>134</v>
      </c>
      <c r="UJ11" s="1429" t="s">
        <v>134</v>
      </c>
      <c r="UK11" s="1429" t="s">
        <v>134</v>
      </c>
      <c r="UL11" s="1429" t="s">
        <v>134</v>
      </c>
      <c r="UM11" s="1429" t="s">
        <v>134</v>
      </c>
      <c r="UN11" s="1429" t="s">
        <v>134</v>
      </c>
      <c r="UO11" s="1429" t="s">
        <v>134</v>
      </c>
      <c r="UP11" s="1429" t="s">
        <v>134</v>
      </c>
      <c r="UQ11" s="1429" t="s">
        <v>134</v>
      </c>
      <c r="UR11" s="1429" t="s">
        <v>134</v>
      </c>
      <c r="US11" s="1429" t="s">
        <v>134</v>
      </c>
      <c r="UT11" s="1429" t="s">
        <v>134</v>
      </c>
      <c r="UU11" s="1429" t="s">
        <v>134</v>
      </c>
      <c r="UV11" s="1429" t="s">
        <v>134</v>
      </c>
      <c r="UW11" s="1429" t="s">
        <v>134</v>
      </c>
      <c r="UX11" s="1429" t="s">
        <v>134</v>
      </c>
      <c r="UY11" s="1429" t="s">
        <v>134</v>
      </c>
      <c r="UZ11" s="1429" t="s">
        <v>134</v>
      </c>
      <c r="VA11" s="1429" t="s">
        <v>134</v>
      </c>
      <c r="VB11" s="1429" t="s">
        <v>134</v>
      </c>
      <c r="VC11" s="1429" t="s">
        <v>134</v>
      </c>
      <c r="VD11" s="1429" t="s">
        <v>134</v>
      </c>
      <c r="VE11" s="1429" t="s">
        <v>134</v>
      </c>
      <c r="VF11" s="1429" t="s">
        <v>134</v>
      </c>
      <c r="VG11" s="1429" t="s">
        <v>134</v>
      </c>
      <c r="VH11" s="1429" t="s">
        <v>134</v>
      </c>
      <c r="VI11" s="1429" t="s">
        <v>134</v>
      </c>
      <c r="VJ11" s="1429" t="s">
        <v>134</v>
      </c>
      <c r="VK11" s="1429" t="s">
        <v>134</v>
      </c>
      <c r="VL11" s="1429" t="s">
        <v>134</v>
      </c>
      <c r="VM11" s="1429" t="s">
        <v>134</v>
      </c>
      <c r="VN11" s="1429" t="s">
        <v>134</v>
      </c>
      <c r="VO11" s="1429" t="s">
        <v>134</v>
      </c>
      <c r="VP11" s="1429" t="s">
        <v>134</v>
      </c>
      <c r="VQ11" s="1429" t="s">
        <v>134</v>
      </c>
      <c r="VR11" s="1429" t="s">
        <v>134</v>
      </c>
      <c r="VS11" s="1429" t="s">
        <v>134</v>
      </c>
      <c r="VT11" s="1429" t="s">
        <v>134</v>
      </c>
      <c r="VU11" s="1429" t="s">
        <v>134</v>
      </c>
      <c r="VV11" s="1429" t="s">
        <v>134</v>
      </c>
      <c r="VW11" s="1429" t="s">
        <v>134</v>
      </c>
      <c r="VX11" s="1429" t="s">
        <v>134</v>
      </c>
      <c r="VY11" s="1429" t="s">
        <v>134</v>
      </c>
      <c r="VZ11" s="1429" t="s">
        <v>134</v>
      </c>
      <c r="WA11" s="1429" t="s">
        <v>134</v>
      </c>
      <c r="WB11" s="1429" t="s">
        <v>134</v>
      </c>
      <c r="WC11" s="1429" t="s">
        <v>134</v>
      </c>
      <c r="WD11" s="1429" t="s">
        <v>134</v>
      </c>
      <c r="WE11" s="1429" t="s">
        <v>134</v>
      </c>
      <c r="WF11" s="1429" t="s">
        <v>134</v>
      </c>
      <c r="WG11" s="1429" t="s">
        <v>134</v>
      </c>
      <c r="WH11" s="1429" t="s">
        <v>134</v>
      </c>
      <c r="WI11" s="1429" t="s">
        <v>134</v>
      </c>
      <c r="WJ11" s="1429" t="s">
        <v>134</v>
      </c>
      <c r="WK11" s="1429" t="s">
        <v>134</v>
      </c>
      <c r="WL11" s="1429" t="s">
        <v>134</v>
      </c>
      <c r="WM11" s="1429" t="s">
        <v>134</v>
      </c>
      <c r="WN11" s="1429" t="s">
        <v>134</v>
      </c>
      <c r="WO11" s="1429" t="s">
        <v>134</v>
      </c>
      <c r="WP11" s="1429" t="s">
        <v>134</v>
      </c>
      <c r="WQ11" s="1429" t="s">
        <v>134</v>
      </c>
      <c r="WR11" s="1429" t="s">
        <v>134</v>
      </c>
      <c r="WS11" s="1429" t="s">
        <v>134</v>
      </c>
      <c r="WT11" s="1429" t="s">
        <v>134</v>
      </c>
      <c r="WU11" s="1429" t="s">
        <v>134</v>
      </c>
      <c r="WV11" s="1429" t="s">
        <v>134</v>
      </c>
      <c r="WW11" s="1429" t="s">
        <v>134</v>
      </c>
      <c r="WX11" s="1429" t="s">
        <v>134</v>
      </c>
      <c r="WY11" s="1429" t="s">
        <v>134</v>
      </c>
      <c r="WZ11" s="1429" t="s">
        <v>134</v>
      </c>
      <c r="XA11" s="1429" t="s">
        <v>134</v>
      </c>
      <c r="XB11" s="1429" t="s">
        <v>134</v>
      </c>
      <c r="XC11" s="1429" t="s">
        <v>134</v>
      </c>
      <c r="XD11" s="1429" t="s">
        <v>134</v>
      </c>
      <c r="XE11" s="1429" t="s">
        <v>134</v>
      </c>
      <c r="XF11" s="1429" t="s">
        <v>134</v>
      </c>
      <c r="XG11" s="1429" t="s">
        <v>134</v>
      </c>
      <c r="XH11" s="1429" t="s">
        <v>134</v>
      </c>
      <c r="XI11" s="1429" t="s">
        <v>134</v>
      </c>
      <c r="XJ11" s="1429" t="s">
        <v>134</v>
      </c>
      <c r="XK11" s="1429" t="s">
        <v>134</v>
      </c>
      <c r="XL11" s="1429" t="s">
        <v>134</v>
      </c>
      <c r="XM11" s="1429" t="s">
        <v>134</v>
      </c>
      <c r="XN11" s="1429" t="s">
        <v>134</v>
      </c>
      <c r="XO11" s="1429" t="s">
        <v>134</v>
      </c>
      <c r="XP11" s="1429" t="s">
        <v>134</v>
      </c>
      <c r="XQ11" s="1429" t="s">
        <v>134</v>
      </c>
      <c r="XR11" s="1429" t="s">
        <v>134</v>
      </c>
      <c r="XS11" s="1429" t="s">
        <v>134</v>
      </c>
      <c r="XT11" s="1429" t="s">
        <v>134</v>
      </c>
      <c r="XU11" s="1429" t="s">
        <v>134</v>
      </c>
      <c r="XV11" s="1429" t="s">
        <v>134</v>
      </c>
      <c r="XW11" s="1429" t="s">
        <v>134</v>
      </c>
      <c r="XX11" s="1429" t="s">
        <v>134</v>
      </c>
      <c r="XY11" s="1429" t="s">
        <v>134</v>
      </c>
      <c r="XZ11" s="1429" t="s">
        <v>134</v>
      </c>
      <c r="YA11" s="1429" t="s">
        <v>134</v>
      </c>
      <c r="YB11" s="1429" t="s">
        <v>134</v>
      </c>
      <c r="YC11" s="1429" t="s">
        <v>134</v>
      </c>
      <c r="YD11" s="1429" t="s">
        <v>134</v>
      </c>
      <c r="YE11" s="1429" t="s">
        <v>134</v>
      </c>
      <c r="YF11" s="1429" t="s">
        <v>134</v>
      </c>
      <c r="YG11" s="1429" t="s">
        <v>134</v>
      </c>
      <c r="YH11" s="1429" t="s">
        <v>134</v>
      </c>
      <c r="YI11" s="1429" t="s">
        <v>134</v>
      </c>
      <c r="YJ11" s="1429" t="s">
        <v>134</v>
      </c>
      <c r="YK11" s="1429" t="s">
        <v>134</v>
      </c>
      <c r="YL11" s="1429" t="s">
        <v>134</v>
      </c>
      <c r="YM11" s="1429" t="s">
        <v>134</v>
      </c>
      <c r="YN11" s="1429" t="s">
        <v>134</v>
      </c>
      <c r="YO11" s="1429" t="s">
        <v>134</v>
      </c>
      <c r="YP11" s="1429" t="s">
        <v>134</v>
      </c>
      <c r="YQ11" s="1429" t="s">
        <v>134</v>
      </c>
      <c r="YR11" s="1429" t="s">
        <v>134</v>
      </c>
      <c r="YS11" s="1429" t="s">
        <v>134</v>
      </c>
      <c r="YT11" s="1429" t="s">
        <v>134</v>
      </c>
      <c r="YU11" s="1429" t="s">
        <v>134</v>
      </c>
      <c r="YV11" s="1429" t="s">
        <v>134</v>
      </c>
      <c r="YW11" s="1429" t="s">
        <v>134</v>
      </c>
      <c r="YX11" s="1429" t="s">
        <v>134</v>
      </c>
      <c r="YY11" s="1429" t="s">
        <v>134</v>
      </c>
      <c r="YZ11" s="1429" t="s">
        <v>134</v>
      </c>
      <c r="ZA11" s="1429" t="s">
        <v>134</v>
      </c>
      <c r="ZB11" s="1429" t="s">
        <v>134</v>
      </c>
      <c r="ZC11" s="1429" t="s">
        <v>134</v>
      </c>
      <c r="ZD11" s="1429" t="s">
        <v>134</v>
      </c>
      <c r="ZE11" s="1429" t="s">
        <v>134</v>
      </c>
      <c r="ZF11" s="1429" t="s">
        <v>134</v>
      </c>
      <c r="ZG11" s="1429" t="s">
        <v>134</v>
      </c>
      <c r="ZH11" s="1429" t="s">
        <v>134</v>
      </c>
      <c r="ZI11" s="1429" t="s">
        <v>134</v>
      </c>
      <c r="ZJ11" s="1429" t="s">
        <v>134</v>
      </c>
      <c r="ZK11" s="1429" t="s">
        <v>134</v>
      </c>
      <c r="ZL11" s="1429" t="s">
        <v>134</v>
      </c>
      <c r="ZM11" s="1429" t="s">
        <v>134</v>
      </c>
      <c r="ZN11" s="1429" t="s">
        <v>134</v>
      </c>
      <c r="ZO11" s="1429" t="s">
        <v>134</v>
      </c>
      <c r="ZP11" s="1429" t="s">
        <v>134</v>
      </c>
      <c r="ZQ11" s="1429" t="s">
        <v>134</v>
      </c>
      <c r="ZR11" s="1429" t="s">
        <v>134</v>
      </c>
      <c r="ZS11" s="1429" t="s">
        <v>134</v>
      </c>
      <c r="ZT11" s="1429" t="s">
        <v>134</v>
      </c>
      <c r="ZU11" s="1429" t="s">
        <v>134</v>
      </c>
      <c r="ZV11" s="1429" t="s">
        <v>134</v>
      </c>
      <c r="ZW11" s="1429" t="s">
        <v>134</v>
      </c>
      <c r="ZX11" s="1429" t="s">
        <v>134</v>
      </c>
      <c r="ZY11" s="1429" t="s">
        <v>134</v>
      </c>
      <c r="ZZ11" s="1429" t="s">
        <v>134</v>
      </c>
      <c r="AAA11" s="1429" t="s">
        <v>134</v>
      </c>
      <c r="AAB11" s="1429" t="s">
        <v>134</v>
      </c>
      <c r="AAC11" s="1429" t="s">
        <v>134</v>
      </c>
      <c r="AAD11" s="1429" t="s">
        <v>134</v>
      </c>
      <c r="AAE11" s="1429" t="s">
        <v>134</v>
      </c>
      <c r="AAF11" s="1429" t="s">
        <v>134</v>
      </c>
      <c r="AAG11" s="1429" t="s">
        <v>134</v>
      </c>
      <c r="AAH11" s="1429" t="s">
        <v>134</v>
      </c>
      <c r="AAI11" s="1429" t="s">
        <v>134</v>
      </c>
      <c r="AAJ11" s="1429" t="s">
        <v>134</v>
      </c>
      <c r="AAK11" s="1429" t="s">
        <v>134</v>
      </c>
      <c r="AAL11" s="1429" t="s">
        <v>134</v>
      </c>
      <c r="AAM11" s="1429" t="s">
        <v>134</v>
      </c>
      <c r="AAN11" s="1429" t="s">
        <v>134</v>
      </c>
      <c r="AAO11" s="1429" t="s">
        <v>134</v>
      </c>
      <c r="AAP11" s="1429" t="s">
        <v>134</v>
      </c>
      <c r="AAQ11" s="1429" t="s">
        <v>134</v>
      </c>
      <c r="AAR11" s="1429" t="s">
        <v>134</v>
      </c>
      <c r="AAS11" s="1429" t="s">
        <v>134</v>
      </c>
      <c r="AAT11" s="1429" t="s">
        <v>134</v>
      </c>
      <c r="AAU11" s="1429" t="s">
        <v>134</v>
      </c>
      <c r="AAV11" s="1429" t="s">
        <v>134</v>
      </c>
      <c r="AAW11" s="1429" t="s">
        <v>134</v>
      </c>
      <c r="AAX11" s="1429" t="s">
        <v>134</v>
      </c>
      <c r="AAY11" s="1429" t="s">
        <v>134</v>
      </c>
      <c r="AAZ11" s="1429" t="s">
        <v>134</v>
      </c>
      <c r="ABA11" s="1429" t="s">
        <v>134</v>
      </c>
      <c r="ABB11" s="1429" t="s">
        <v>134</v>
      </c>
      <c r="ABC11" s="1429" t="s">
        <v>134</v>
      </c>
      <c r="ABD11" s="1429" t="s">
        <v>134</v>
      </c>
      <c r="ABE11" s="1429" t="s">
        <v>134</v>
      </c>
      <c r="ABF11" s="1429" t="s">
        <v>134</v>
      </c>
      <c r="ABG11" s="1429" t="s">
        <v>134</v>
      </c>
      <c r="ABH11" s="1429" t="s">
        <v>134</v>
      </c>
      <c r="ABI11" s="1429" t="s">
        <v>134</v>
      </c>
      <c r="ABJ11" s="1429" t="s">
        <v>134</v>
      </c>
      <c r="ABK11" s="1429" t="s">
        <v>134</v>
      </c>
      <c r="ABL11" s="1429" t="s">
        <v>134</v>
      </c>
      <c r="ABM11" s="1429" t="s">
        <v>134</v>
      </c>
      <c r="ABN11" s="1429" t="s">
        <v>134</v>
      </c>
      <c r="ABO11" s="1429" t="s">
        <v>134</v>
      </c>
      <c r="ABP11" s="1429" t="s">
        <v>134</v>
      </c>
      <c r="ABQ11" s="1429" t="s">
        <v>134</v>
      </c>
      <c r="ABR11" s="1429" t="s">
        <v>134</v>
      </c>
      <c r="ABS11" s="1429" t="s">
        <v>134</v>
      </c>
      <c r="ABT11" s="1429" t="s">
        <v>134</v>
      </c>
      <c r="ABU11" s="1429" t="s">
        <v>134</v>
      </c>
      <c r="ABV11" s="1429" t="s">
        <v>134</v>
      </c>
      <c r="ABW11" s="1429" t="s">
        <v>134</v>
      </c>
      <c r="ABX11" s="1429" t="s">
        <v>134</v>
      </c>
      <c r="ABY11" s="1429" t="s">
        <v>134</v>
      </c>
      <c r="ABZ11" s="1429" t="s">
        <v>134</v>
      </c>
      <c r="ACA11" s="1429" t="s">
        <v>134</v>
      </c>
      <c r="ACB11" s="1429" t="s">
        <v>134</v>
      </c>
      <c r="ACC11" s="1429" t="s">
        <v>134</v>
      </c>
      <c r="ACD11" s="1429" t="s">
        <v>134</v>
      </c>
      <c r="ACE11" s="1429" t="s">
        <v>134</v>
      </c>
      <c r="ACF11" s="1429" t="s">
        <v>134</v>
      </c>
      <c r="ACG11" s="1429" t="s">
        <v>134</v>
      </c>
      <c r="ACH11" s="1429" t="s">
        <v>134</v>
      </c>
      <c r="ACI11" s="1429" t="s">
        <v>134</v>
      </c>
      <c r="ACJ11" s="1429" t="s">
        <v>134</v>
      </c>
      <c r="ACK11" s="1429" t="s">
        <v>134</v>
      </c>
      <c r="ACL11" s="1429" t="s">
        <v>134</v>
      </c>
      <c r="ACM11" s="1429" t="s">
        <v>134</v>
      </c>
      <c r="ACN11" s="1429" t="s">
        <v>134</v>
      </c>
      <c r="ACO11" s="1429" t="s">
        <v>134</v>
      </c>
      <c r="ACP11" s="1429" t="s">
        <v>134</v>
      </c>
      <c r="ACQ11" s="1429" t="s">
        <v>134</v>
      </c>
      <c r="ACR11" s="1429" t="s">
        <v>134</v>
      </c>
      <c r="ACS11" s="1429" t="s">
        <v>134</v>
      </c>
      <c r="ACT11" s="1429" t="s">
        <v>134</v>
      </c>
      <c r="ACU11" s="1429" t="s">
        <v>134</v>
      </c>
      <c r="ACV11" s="1429" t="s">
        <v>134</v>
      </c>
      <c r="ACW11" s="1429" t="s">
        <v>134</v>
      </c>
      <c r="ACX11" s="1429" t="s">
        <v>134</v>
      </c>
      <c r="ACY11" s="1429" t="s">
        <v>134</v>
      </c>
      <c r="ACZ11" s="1429" t="s">
        <v>134</v>
      </c>
      <c r="ADA11" s="1429" t="s">
        <v>134</v>
      </c>
      <c r="ADB11" s="1429" t="s">
        <v>134</v>
      </c>
      <c r="ADC11" s="1429" t="s">
        <v>134</v>
      </c>
      <c r="ADD11" s="1429" t="s">
        <v>134</v>
      </c>
      <c r="ADE11" s="1429" t="s">
        <v>134</v>
      </c>
      <c r="ADF11" s="1429" t="s">
        <v>134</v>
      </c>
      <c r="ADG11" s="1429" t="s">
        <v>134</v>
      </c>
      <c r="ADH11" s="1429" t="s">
        <v>134</v>
      </c>
      <c r="ADI11" s="1429" t="s">
        <v>134</v>
      </c>
      <c r="ADJ11" s="1429" t="s">
        <v>134</v>
      </c>
      <c r="ADK11" s="1429" t="s">
        <v>134</v>
      </c>
      <c r="ADL11" s="1429" t="s">
        <v>134</v>
      </c>
      <c r="ADM11" s="1429" t="s">
        <v>134</v>
      </c>
      <c r="ADN11" s="1429" t="s">
        <v>134</v>
      </c>
      <c r="ADO11" s="1429" t="s">
        <v>134</v>
      </c>
      <c r="ADP11" s="1429" t="s">
        <v>134</v>
      </c>
      <c r="ADQ11" s="1429" t="s">
        <v>134</v>
      </c>
      <c r="ADR11" s="1429" t="s">
        <v>134</v>
      </c>
      <c r="ADS11" s="1429" t="s">
        <v>134</v>
      </c>
      <c r="ADT11" s="1429" t="s">
        <v>134</v>
      </c>
      <c r="ADU11" s="1429" t="s">
        <v>134</v>
      </c>
      <c r="ADV11" s="1429" t="s">
        <v>134</v>
      </c>
      <c r="ADW11" s="1429" t="s">
        <v>134</v>
      </c>
      <c r="ADX11" s="1429" t="s">
        <v>134</v>
      </c>
      <c r="ADY11" s="1429" t="s">
        <v>134</v>
      </c>
      <c r="ADZ11" s="1429" t="s">
        <v>134</v>
      </c>
      <c r="AEA11" s="1429" t="s">
        <v>134</v>
      </c>
      <c r="AEB11" s="1429" t="s">
        <v>134</v>
      </c>
      <c r="AEC11" s="1429" t="s">
        <v>134</v>
      </c>
      <c r="AED11" s="1429" t="s">
        <v>134</v>
      </c>
      <c r="AEE11" s="1429" t="s">
        <v>134</v>
      </c>
      <c r="AEF11" s="1429" t="s">
        <v>134</v>
      </c>
      <c r="AEG11" s="1429" t="s">
        <v>134</v>
      </c>
      <c r="AEH11" s="1429" t="s">
        <v>134</v>
      </c>
      <c r="AEI11" s="1429" t="s">
        <v>134</v>
      </c>
      <c r="AEJ11" s="1429" t="s">
        <v>134</v>
      </c>
      <c r="AEK11" s="1429" t="s">
        <v>134</v>
      </c>
      <c r="AEL11" s="1429" t="s">
        <v>134</v>
      </c>
      <c r="AEM11" s="1429" t="s">
        <v>134</v>
      </c>
      <c r="AEN11" s="1429" t="s">
        <v>134</v>
      </c>
      <c r="AEO11" s="1429" t="s">
        <v>134</v>
      </c>
      <c r="AEP11" s="1429" t="s">
        <v>134</v>
      </c>
      <c r="AEQ11" s="1429" t="s">
        <v>134</v>
      </c>
      <c r="AER11" s="1429" t="s">
        <v>134</v>
      </c>
      <c r="AES11" s="1429" t="s">
        <v>134</v>
      </c>
      <c r="AET11" s="1429" t="s">
        <v>134</v>
      </c>
      <c r="AEU11" s="1429" t="s">
        <v>134</v>
      </c>
      <c r="AEV11" s="1429" t="s">
        <v>134</v>
      </c>
      <c r="AEW11" s="1429" t="s">
        <v>134</v>
      </c>
      <c r="AEX11" s="1429" t="s">
        <v>134</v>
      </c>
      <c r="AEY11" s="1429" t="s">
        <v>134</v>
      </c>
      <c r="AEZ11" s="1429" t="s">
        <v>134</v>
      </c>
      <c r="AFA11" s="1429" t="s">
        <v>134</v>
      </c>
      <c r="AFB11" s="1429" t="s">
        <v>134</v>
      </c>
      <c r="AFC11" s="1429" t="s">
        <v>134</v>
      </c>
      <c r="AFD11" s="1429" t="s">
        <v>134</v>
      </c>
      <c r="AFE11" s="1429" t="s">
        <v>134</v>
      </c>
      <c r="AFF11" s="1429" t="s">
        <v>134</v>
      </c>
      <c r="AFG11" s="1429" t="s">
        <v>134</v>
      </c>
      <c r="AFH11" s="1429" t="s">
        <v>134</v>
      </c>
      <c r="AFI11" s="1429" t="s">
        <v>134</v>
      </c>
      <c r="AFJ11" s="1429" t="s">
        <v>134</v>
      </c>
      <c r="AFK11" s="1429" t="s">
        <v>134</v>
      </c>
      <c r="AFL11" s="1429" t="s">
        <v>134</v>
      </c>
      <c r="AFM11" s="1429" t="s">
        <v>134</v>
      </c>
      <c r="AFN11" s="1429" t="s">
        <v>134</v>
      </c>
      <c r="AFO11" s="1429" t="s">
        <v>134</v>
      </c>
      <c r="AFP11" s="1429" t="s">
        <v>134</v>
      </c>
      <c r="AFQ11" s="1429" t="s">
        <v>134</v>
      </c>
      <c r="AFR11" s="1429" t="s">
        <v>134</v>
      </c>
      <c r="AFS11" s="1429" t="s">
        <v>134</v>
      </c>
      <c r="AFT11" s="1429" t="s">
        <v>134</v>
      </c>
      <c r="AFU11" s="1429" t="s">
        <v>134</v>
      </c>
      <c r="AFV11" s="1429" t="s">
        <v>134</v>
      </c>
      <c r="AFW11" s="1429" t="s">
        <v>134</v>
      </c>
      <c r="AFX11" s="1429" t="s">
        <v>134</v>
      </c>
      <c r="AFY11" s="1429" t="s">
        <v>134</v>
      </c>
      <c r="AFZ11" s="1429" t="s">
        <v>134</v>
      </c>
      <c r="AGA11" s="1429" t="s">
        <v>134</v>
      </c>
      <c r="AGB11" s="1429" t="s">
        <v>134</v>
      </c>
      <c r="AGC11" s="1429" t="s">
        <v>134</v>
      </c>
      <c r="AGD11" s="1429" t="s">
        <v>134</v>
      </c>
      <c r="AGE11" s="1429" t="s">
        <v>134</v>
      </c>
      <c r="AGF11" s="1429" t="s">
        <v>134</v>
      </c>
      <c r="AGG11" s="1429" t="s">
        <v>134</v>
      </c>
      <c r="AGH11" s="1429" t="s">
        <v>134</v>
      </c>
      <c r="AGI11" s="1429" t="s">
        <v>134</v>
      </c>
      <c r="AGJ11" s="1429" t="s">
        <v>134</v>
      </c>
      <c r="AGK11" s="1429" t="s">
        <v>134</v>
      </c>
      <c r="AGL11" s="1429" t="s">
        <v>134</v>
      </c>
      <c r="AGM11" s="1429" t="s">
        <v>134</v>
      </c>
      <c r="AGN11" s="1429" t="s">
        <v>134</v>
      </c>
      <c r="AGO11" s="1429" t="s">
        <v>134</v>
      </c>
      <c r="AGP11" s="1429" t="s">
        <v>134</v>
      </c>
      <c r="AGQ11" s="1429" t="s">
        <v>134</v>
      </c>
      <c r="AGR11" s="1429" t="s">
        <v>134</v>
      </c>
      <c r="AGS11" s="1429" t="s">
        <v>134</v>
      </c>
      <c r="AGT11" s="1429" t="s">
        <v>134</v>
      </c>
      <c r="AGU11" s="1429" t="s">
        <v>134</v>
      </c>
      <c r="AGV11" s="1429" t="s">
        <v>134</v>
      </c>
      <c r="AGW11" s="1429" t="s">
        <v>134</v>
      </c>
      <c r="AGX11" s="1429" t="s">
        <v>134</v>
      </c>
      <c r="AGY11" s="1429" t="s">
        <v>134</v>
      </c>
      <c r="AGZ11" s="1429" t="s">
        <v>134</v>
      </c>
      <c r="AHA11" s="1429" t="s">
        <v>134</v>
      </c>
      <c r="AHB11" s="1429" t="s">
        <v>134</v>
      </c>
      <c r="AHC11" s="1429" t="s">
        <v>134</v>
      </c>
      <c r="AHD11" s="1429" t="s">
        <v>134</v>
      </c>
      <c r="AHE11" s="1429" t="s">
        <v>134</v>
      </c>
      <c r="AHF11" s="1429" t="s">
        <v>134</v>
      </c>
      <c r="AHG11" s="1429" t="s">
        <v>134</v>
      </c>
      <c r="AHH11" s="1429" t="s">
        <v>134</v>
      </c>
      <c r="AHI11" s="1429" t="s">
        <v>134</v>
      </c>
      <c r="AHJ11" s="1429" t="s">
        <v>134</v>
      </c>
      <c r="AHK11" s="1429" t="s">
        <v>134</v>
      </c>
      <c r="AHL11" s="1429" t="s">
        <v>134</v>
      </c>
      <c r="AHM11" s="1429" t="s">
        <v>134</v>
      </c>
      <c r="AHN11" s="1429" t="s">
        <v>134</v>
      </c>
      <c r="AHO11" s="1429" t="s">
        <v>134</v>
      </c>
      <c r="AHP11" s="1429" t="s">
        <v>134</v>
      </c>
      <c r="AHQ11" s="1429" t="s">
        <v>134</v>
      </c>
      <c r="AHR11" s="1429" t="s">
        <v>134</v>
      </c>
      <c r="AHS11" s="1429" t="s">
        <v>134</v>
      </c>
      <c r="AHT11" s="1429" t="s">
        <v>134</v>
      </c>
      <c r="AHU11" s="1429" t="s">
        <v>134</v>
      </c>
      <c r="AHV11" s="1429" t="s">
        <v>134</v>
      </c>
      <c r="AHW11" s="1429" t="s">
        <v>134</v>
      </c>
      <c r="AHX11" s="1429" t="s">
        <v>134</v>
      </c>
      <c r="AHY11" s="1429" t="s">
        <v>134</v>
      </c>
      <c r="AHZ11" s="1429" t="s">
        <v>134</v>
      </c>
      <c r="AIA11" s="1429" t="s">
        <v>134</v>
      </c>
      <c r="AIB11" s="1429" t="s">
        <v>134</v>
      </c>
      <c r="AIC11" s="1429" t="s">
        <v>134</v>
      </c>
      <c r="AID11" s="1429" t="s">
        <v>134</v>
      </c>
      <c r="AIE11" s="1429" t="s">
        <v>134</v>
      </c>
      <c r="AIF11" s="1429" t="s">
        <v>134</v>
      </c>
      <c r="AIG11" s="1429" t="s">
        <v>134</v>
      </c>
      <c r="AIH11" s="1429" t="s">
        <v>134</v>
      </c>
      <c r="AII11" s="1429" t="s">
        <v>134</v>
      </c>
      <c r="AIJ11" s="1429" t="s">
        <v>134</v>
      </c>
      <c r="AIK11" s="1429" t="s">
        <v>134</v>
      </c>
      <c r="AIL11" s="1429" t="s">
        <v>134</v>
      </c>
      <c r="AIM11" s="1429" t="s">
        <v>134</v>
      </c>
      <c r="AIN11" s="1429" t="s">
        <v>134</v>
      </c>
      <c r="AIO11" s="1429" t="s">
        <v>134</v>
      </c>
      <c r="AIP11" s="1429" t="s">
        <v>134</v>
      </c>
      <c r="AIQ11" s="1429" t="s">
        <v>134</v>
      </c>
      <c r="AIR11" s="1429" t="s">
        <v>134</v>
      </c>
      <c r="AIS11" s="1429" t="s">
        <v>134</v>
      </c>
      <c r="AIT11" s="1429" t="s">
        <v>134</v>
      </c>
      <c r="AIU11" s="1429" t="s">
        <v>134</v>
      </c>
      <c r="AIV11" s="1429" t="s">
        <v>134</v>
      </c>
      <c r="AIW11" s="1429" t="s">
        <v>134</v>
      </c>
      <c r="AIX11" s="1429" t="s">
        <v>134</v>
      </c>
      <c r="AIY11" s="1429" t="s">
        <v>134</v>
      </c>
      <c r="AIZ11" s="1429" t="s">
        <v>134</v>
      </c>
      <c r="AJA11" s="1429" t="s">
        <v>134</v>
      </c>
      <c r="AJB11" s="1429" t="s">
        <v>134</v>
      </c>
      <c r="AJC11" s="1429" t="s">
        <v>134</v>
      </c>
      <c r="AJD11" s="1429" t="s">
        <v>134</v>
      </c>
      <c r="AJE11" s="1429" t="s">
        <v>134</v>
      </c>
      <c r="AJF11" s="1429" t="s">
        <v>134</v>
      </c>
      <c r="AJG11" s="1429" t="s">
        <v>134</v>
      </c>
      <c r="AJH11" s="1429" t="s">
        <v>134</v>
      </c>
      <c r="AJI11" s="1429" t="s">
        <v>134</v>
      </c>
      <c r="AJJ11" s="1429" t="s">
        <v>134</v>
      </c>
      <c r="AJK11" s="1429" t="s">
        <v>134</v>
      </c>
      <c r="AJL11" s="1429" t="s">
        <v>134</v>
      </c>
      <c r="AJM11" s="1429" t="s">
        <v>134</v>
      </c>
      <c r="AJN11" s="1429" t="s">
        <v>134</v>
      </c>
      <c r="AJO11" s="1429" t="s">
        <v>134</v>
      </c>
      <c r="AJP11" s="1429" t="s">
        <v>134</v>
      </c>
      <c r="AJQ11" s="1429" t="s">
        <v>134</v>
      </c>
      <c r="AJR11" s="1429" t="s">
        <v>134</v>
      </c>
      <c r="AJS11" s="1429" t="s">
        <v>134</v>
      </c>
      <c r="AJT11" s="1429" t="s">
        <v>134</v>
      </c>
      <c r="AJU11" s="1429" t="s">
        <v>134</v>
      </c>
      <c r="AJV11" s="1429" t="s">
        <v>134</v>
      </c>
      <c r="AJW11" s="1429" t="s">
        <v>134</v>
      </c>
      <c r="AJX11" s="1429" t="s">
        <v>134</v>
      </c>
      <c r="AJY11" s="1429" t="s">
        <v>134</v>
      </c>
      <c r="AJZ11" s="1429" t="s">
        <v>134</v>
      </c>
      <c r="AKA11" s="1429" t="s">
        <v>134</v>
      </c>
      <c r="AKB11" s="1429" t="s">
        <v>134</v>
      </c>
      <c r="AKC11" s="1429" t="s">
        <v>134</v>
      </c>
      <c r="AKD11" s="1429" t="s">
        <v>134</v>
      </c>
      <c r="AKE11" s="1429" t="s">
        <v>134</v>
      </c>
      <c r="AKF11" s="1429" t="s">
        <v>134</v>
      </c>
      <c r="AKG11" s="1429" t="s">
        <v>134</v>
      </c>
      <c r="AKH11" s="1429" t="s">
        <v>134</v>
      </c>
      <c r="AKI11" s="1429" t="s">
        <v>134</v>
      </c>
      <c r="AKJ11" s="1429" t="s">
        <v>134</v>
      </c>
      <c r="AKK11" s="1429" t="s">
        <v>134</v>
      </c>
      <c r="AKL11" s="1429" t="s">
        <v>134</v>
      </c>
      <c r="AKM11" s="1429" t="s">
        <v>134</v>
      </c>
      <c r="AKN11" s="1429" t="s">
        <v>134</v>
      </c>
      <c r="AKO11" s="1429" t="s">
        <v>134</v>
      </c>
      <c r="AKP11" s="1429" t="s">
        <v>134</v>
      </c>
      <c r="AKQ11" s="1429" t="s">
        <v>134</v>
      </c>
      <c r="AKR11" s="1429" t="s">
        <v>134</v>
      </c>
      <c r="AKS11" s="1429" t="s">
        <v>134</v>
      </c>
      <c r="AKT11" s="1429" t="s">
        <v>134</v>
      </c>
      <c r="AKU11" s="1429" t="s">
        <v>134</v>
      </c>
      <c r="AKV11" s="1429" t="s">
        <v>134</v>
      </c>
      <c r="AKW11" s="1429" t="s">
        <v>134</v>
      </c>
      <c r="AKX11" s="1429" t="s">
        <v>134</v>
      </c>
      <c r="AKY11" s="1429" t="s">
        <v>134</v>
      </c>
      <c r="AKZ11" s="1429" t="s">
        <v>134</v>
      </c>
      <c r="ALA11" s="1429" t="s">
        <v>134</v>
      </c>
      <c r="ALB11" s="1429" t="s">
        <v>134</v>
      </c>
      <c r="ALC11" s="1429" t="s">
        <v>134</v>
      </c>
      <c r="ALD11" s="1429" t="s">
        <v>134</v>
      </c>
      <c r="ALE11" s="1429" t="s">
        <v>134</v>
      </c>
      <c r="ALF11" s="1429" t="s">
        <v>134</v>
      </c>
      <c r="ALG11" s="1429" t="s">
        <v>134</v>
      </c>
      <c r="ALH11" s="1429" t="s">
        <v>134</v>
      </c>
      <c r="ALI11" s="1429" t="s">
        <v>134</v>
      </c>
      <c r="ALJ11" s="1429" t="s">
        <v>134</v>
      </c>
      <c r="ALK11" s="1429" t="s">
        <v>134</v>
      </c>
      <c r="ALL11" s="1429" t="s">
        <v>134</v>
      </c>
      <c r="ALM11" s="1429" t="s">
        <v>134</v>
      </c>
      <c r="ALN11" s="1429" t="s">
        <v>134</v>
      </c>
      <c r="ALO11" s="1429" t="s">
        <v>134</v>
      </c>
      <c r="ALP11" s="1429" t="s">
        <v>134</v>
      </c>
      <c r="ALQ11" s="1429" t="s">
        <v>134</v>
      </c>
      <c r="ALR11" s="1429" t="s">
        <v>134</v>
      </c>
      <c r="ALS11" s="1429" t="s">
        <v>134</v>
      </c>
      <c r="ALT11" s="1429" t="s">
        <v>134</v>
      </c>
      <c r="ALU11" s="1429" t="s">
        <v>134</v>
      </c>
      <c r="ALV11" s="1429" t="s">
        <v>134</v>
      </c>
      <c r="ALW11" s="1429" t="s">
        <v>134</v>
      </c>
      <c r="ALX11" s="1429" t="s">
        <v>134</v>
      </c>
      <c r="ALY11" s="1429" t="s">
        <v>134</v>
      </c>
      <c r="ALZ11" s="1429" t="s">
        <v>134</v>
      </c>
      <c r="AMA11" s="1429" t="s">
        <v>134</v>
      </c>
      <c r="AMB11" s="1429" t="s">
        <v>134</v>
      </c>
      <c r="AMC11" s="1429" t="s">
        <v>134</v>
      </c>
      <c r="AMD11" s="1429" t="s">
        <v>134</v>
      </c>
      <c r="AME11" s="1429" t="s">
        <v>134</v>
      </c>
      <c r="AMF11" s="1429" t="s">
        <v>134</v>
      </c>
      <c r="AMG11" s="1429" t="s">
        <v>134</v>
      </c>
      <c r="AMH11" s="1429" t="s">
        <v>134</v>
      </c>
      <c r="AMI11" s="1429" t="s">
        <v>134</v>
      </c>
      <c r="AMJ11" s="1429" t="s">
        <v>134</v>
      </c>
      <c r="AMK11" s="1429" t="s">
        <v>134</v>
      </c>
      <c r="AML11" s="1429" t="s">
        <v>134</v>
      </c>
      <c r="AMM11" s="1429" t="s">
        <v>134</v>
      </c>
      <c r="AMN11" s="1429" t="s">
        <v>134</v>
      </c>
      <c r="AMO11" s="1429" t="s">
        <v>134</v>
      </c>
      <c r="AMP11" s="1429" t="s">
        <v>134</v>
      </c>
      <c r="AMQ11" s="1429" t="s">
        <v>134</v>
      </c>
      <c r="AMR11" s="1429" t="s">
        <v>134</v>
      </c>
      <c r="AMS11" s="1429" t="s">
        <v>134</v>
      </c>
      <c r="AMT11" s="1429" t="s">
        <v>134</v>
      </c>
      <c r="AMU11" s="1429" t="s">
        <v>134</v>
      </c>
      <c r="AMV11" s="1429" t="s">
        <v>134</v>
      </c>
      <c r="AMW11" s="1429" t="s">
        <v>134</v>
      </c>
      <c r="AMX11" s="1429" t="s">
        <v>134</v>
      </c>
      <c r="AMY11" s="1429" t="s">
        <v>134</v>
      </c>
      <c r="AMZ11" s="1429" t="s">
        <v>134</v>
      </c>
      <c r="ANA11" s="1429" t="s">
        <v>134</v>
      </c>
      <c r="ANB11" s="1429" t="s">
        <v>134</v>
      </c>
      <c r="ANC11" s="1429" t="s">
        <v>134</v>
      </c>
      <c r="AND11" s="1429" t="s">
        <v>134</v>
      </c>
      <c r="ANE11" s="1429" t="s">
        <v>134</v>
      </c>
      <c r="ANF11" s="1429" t="s">
        <v>134</v>
      </c>
      <c r="ANG11" s="1429" t="s">
        <v>134</v>
      </c>
      <c r="ANH11" s="1429" t="s">
        <v>134</v>
      </c>
      <c r="ANI11" s="1429" t="s">
        <v>134</v>
      </c>
      <c r="ANJ11" s="1429" t="s">
        <v>134</v>
      </c>
      <c r="ANK11" s="1429" t="s">
        <v>134</v>
      </c>
      <c r="ANL11" s="1429" t="s">
        <v>134</v>
      </c>
      <c r="ANM11" s="1429" t="s">
        <v>134</v>
      </c>
      <c r="ANN11" s="1429" t="s">
        <v>134</v>
      </c>
      <c r="ANO11" s="1429" t="s">
        <v>134</v>
      </c>
      <c r="ANP11" s="1429" t="s">
        <v>134</v>
      </c>
      <c r="ANQ11" s="1429" t="s">
        <v>134</v>
      </c>
      <c r="ANR11" s="1429" t="s">
        <v>134</v>
      </c>
      <c r="ANS11" s="1429" t="s">
        <v>134</v>
      </c>
      <c r="ANT11" s="1429" t="s">
        <v>134</v>
      </c>
      <c r="ANU11" s="1429" t="s">
        <v>134</v>
      </c>
      <c r="ANV11" s="1429" t="s">
        <v>134</v>
      </c>
      <c r="ANW11" s="1429" t="s">
        <v>134</v>
      </c>
      <c r="ANX11" s="1429" t="s">
        <v>134</v>
      </c>
      <c r="ANY11" s="1429" t="s">
        <v>134</v>
      </c>
      <c r="ANZ11" s="1429" t="s">
        <v>134</v>
      </c>
      <c r="AOA11" s="1429" t="s">
        <v>134</v>
      </c>
      <c r="AOB11" s="1429" t="s">
        <v>134</v>
      </c>
      <c r="AOC11" s="1429" t="s">
        <v>134</v>
      </c>
      <c r="AOD11" s="1429" t="s">
        <v>134</v>
      </c>
      <c r="AOE11" s="1429" t="s">
        <v>134</v>
      </c>
      <c r="AOF11" s="1429" t="s">
        <v>134</v>
      </c>
      <c r="AOG11" s="1429" t="s">
        <v>134</v>
      </c>
      <c r="AOH11" s="1429" t="s">
        <v>134</v>
      </c>
      <c r="AOI11" s="1429" t="s">
        <v>134</v>
      </c>
      <c r="AOJ11" s="1429" t="s">
        <v>134</v>
      </c>
      <c r="AOK11" s="1429" t="s">
        <v>134</v>
      </c>
      <c r="AOL11" s="1429" t="s">
        <v>134</v>
      </c>
      <c r="AOM11" s="1429" t="s">
        <v>134</v>
      </c>
      <c r="AON11" s="1429" t="s">
        <v>134</v>
      </c>
      <c r="AOO11" s="1429" t="s">
        <v>134</v>
      </c>
      <c r="AOP11" s="1429" t="s">
        <v>134</v>
      </c>
      <c r="AOQ11" s="1429" t="s">
        <v>134</v>
      </c>
      <c r="AOR11" s="1429" t="s">
        <v>134</v>
      </c>
      <c r="AOS11" s="1429" t="s">
        <v>134</v>
      </c>
      <c r="AOT11" s="1429" t="s">
        <v>134</v>
      </c>
      <c r="AOU11" s="1429" t="s">
        <v>134</v>
      </c>
      <c r="AOV11" s="1429" t="s">
        <v>134</v>
      </c>
      <c r="AOW11" s="1429" t="s">
        <v>134</v>
      </c>
      <c r="AOX11" s="1429" t="s">
        <v>134</v>
      </c>
      <c r="AOY11" s="1429" t="s">
        <v>134</v>
      </c>
      <c r="AOZ11" s="1429" t="s">
        <v>134</v>
      </c>
      <c r="APA11" s="1429" t="s">
        <v>134</v>
      </c>
      <c r="APB11" s="1429" t="s">
        <v>134</v>
      </c>
      <c r="APC11" s="1429" t="s">
        <v>134</v>
      </c>
      <c r="APD11" s="1429" t="s">
        <v>134</v>
      </c>
      <c r="APE11" s="1429" t="s">
        <v>134</v>
      </c>
      <c r="APF11" s="1429" t="s">
        <v>134</v>
      </c>
      <c r="APG11" s="1429" t="s">
        <v>134</v>
      </c>
      <c r="APH11" s="1429" t="s">
        <v>134</v>
      </c>
      <c r="API11" s="1429" t="s">
        <v>134</v>
      </c>
      <c r="APJ11" s="1429" t="s">
        <v>134</v>
      </c>
      <c r="APK11" s="1429" t="s">
        <v>134</v>
      </c>
      <c r="APL11" s="1429" t="s">
        <v>134</v>
      </c>
      <c r="APM11" s="1429" t="s">
        <v>134</v>
      </c>
      <c r="APN11" s="1429" t="s">
        <v>134</v>
      </c>
      <c r="APO11" s="1429" t="s">
        <v>134</v>
      </c>
      <c r="APP11" s="1429" t="s">
        <v>134</v>
      </c>
      <c r="APQ11" s="1429" t="s">
        <v>134</v>
      </c>
      <c r="APR11" s="1429" t="s">
        <v>134</v>
      </c>
      <c r="APS11" s="1429" t="s">
        <v>134</v>
      </c>
      <c r="APT11" s="1429" t="s">
        <v>134</v>
      </c>
      <c r="APU11" s="1429" t="s">
        <v>134</v>
      </c>
      <c r="APV11" s="1429" t="s">
        <v>134</v>
      </c>
      <c r="APW11" s="1429" t="s">
        <v>134</v>
      </c>
      <c r="APX11" s="1429" t="s">
        <v>134</v>
      </c>
      <c r="APY11" s="1429" t="s">
        <v>134</v>
      </c>
      <c r="APZ11" s="1429" t="s">
        <v>134</v>
      </c>
      <c r="AQA11" s="1429" t="s">
        <v>134</v>
      </c>
      <c r="AQB11" s="1429" t="s">
        <v>134</v>
      </c>
      <c r="AQC11" s="1429" t="s">
        <v>134</v>
      </c>
      <c r="AQD11" s="1429" t="s">
        <v>134</v>
      </c>
      <c r="AQE11" s="1429" t="s">
        <v>134</v>
      </c>
      <c r="AQF11" s="1429" t="s">
        <v>134</v>
      </c>
      <c r="AQG11" s="1429" t="s">
        <v>134</v>
      </c>
      <c r="AQH11" s="1429" t="s">
        <v>134</v>
      </c>
      <c r="AQI11" s="1429" t="s">
        <v>134</v>
      </c>
      <c r="AQJ11" s="1429" t="s">
        <v>134</v>
      </c>
      <c r="AQK11" s="1429" t="s">
        <v>134</v>
      </c>
      <c r="AQL11" s="1429" t="s">
        <v>134</v>
      </c>
      <c r="AQM11" s="1429" t="s">
        <v>134</v>
      </c>
      <c r="AQN11" s="1429" t="s">
        <v>134</v>
      </c>
      <c r="AQO11" s="1429" t="s">
        <v>134</v>
      </c>
      <c r="AQP11" s="1429" t="s">
        <v>134</v>
      </c>
      <c r="AQQ11" s="1429" t="s">
        <v>134</v>
      </c>
      <c r="AQR11" s="1429" t="s">
        <v>134</v>
      </c>
      <c r="AQS11" s="1429" t="s">
        <v>134</v>
      </c>
      <c r="AQT11" s="1429" t="s">
        <v>134</v>
      </c>
      <c r="AQU11" s="1429" t="s">
        <v>134</v>
      </c>
      <c r="AQV11" s="1429" t="s">
        <v>134</v>
      </c>
      <c r="AQW11" s="1429" t="s">
        <v>134</v>
      </c>
      <c r="AQX11" s="1429" t="s">
        <v>134</v>
      </c>
      <c r="AQY11" s="1429" t="s">
        <v>134</v>
      </c>
      <c r="AQZ11" s="1429" t="s">
        <v>134</v>
      </c>
      <c r="ARA11" s="1429" t="s">
        <v>134</v>
      </c>
      <c r="ARB11" s="1429" t="s">
        <v>134</v>
      </c>
      <c r="ARC11" s="1429" t="s">
        <v>134</v>
      </c>
      <c r="ARD11" s="1429" t="s">
        <v>134</v>
      </c>
      <c r="ARE11" s="1429" t="s">
        <v>134</v>
      </c>
      <c r="ARF11" s="1429" t="s">
        <v>134</v>
      </c>
      <c r="ARG11" s="1429" t="s">
        <v>134</v>
      </c>
      <c r="ARH11" s="1429" t="s">
        <v>134</v>
      </c>
      <c r="ARI11" s="1429" t="s">
        <v>134</v>
      </c>
      <c r="ARJ11" s="1429" t="s">
        <v>134</v>
      </c>
      <c r="ARK11" s="1429" t="s">
        <v>134</v>
      </c>
      <c r="ARL11" s="1429" t="s">
        <v>134</v>
      </c>
      <c r="ARM11" s="1429" t="s">
        <v>134</v>
      </c>
      <c r="ARN11" s="1429" t="s">
        <v>134</v>
      </c>
      <c r="ARO11" s="1429" t="s">
        <v>134</v>
      </c>
      <c r="ARP11" s="1429" t="s">
        <v>134</v>
      </c>
      <c r="ARQ11" s="1429" t="s">
        <v>134</v>
      </c>
      <c r="ARR11" s="1429" t="s">
        <v>134</v>
      </c>
      <c r="ARS11" s="1429" t="s">
        <v>134</v>
      </c>
      <c r="ART11" s="1429" t="s">
        <v>134</v>
      </c>
      <c r="ARU11" s="1429" t="s">
        <v>134</v>
      </c>
      <c r="ARV11" s="1429" t="s">
        <v>134</v>
      </c>
      <c r="ARW11" s="1429" t="s">
        <v>134</v>
      </c>
      <c r="ARX11" s="1429" t="s">
        <v>134</v>
      </c>
      <c r="ARY11" s="1429" t="s">
        <v>134</v>
      </c>
      <c r="ARZ11" s="1429" t="s">
        <v>134</v>
      </c>
      <c r="ASA11" s="1429" t="s">
        <v>134</v>
      </c>
      <c r="ASB11" s="1429" t="s">
        <v>134</v>
      </c>
      <c r="ASC11" s="1429" t="s">
        <v>134</v>
      </c>
      <c r="ASD11" s="1429" t="s">
        <v>134</v>
      </c>
      <c r="ASE11" s="1429" t="s">
        <v>134</v>
      </c>
      <c r="ASF11" s="1429" t="s">
        <v>134</v>
      </c>
      <c r="ASG11" s="1429" t="s">
        <v>134</v>
      </c>
      <c r="ASH11" s="1429" t="s">
        <v>134</v>
      </c>
      <c r="ASI11" s="1429" t="s">
        <v>134</v>
      </c>
      <c r="ASJ11" s="1429" t="s">
        <v>134</v>
      </c>
      <c r="ASK11" s="1429" t="s">
        <v>134</v>
      </c>
      <c r="ASL11" s="1429" t="s">
        <v>134</v>
      </c>
      <c r="ASM11" s="1429" t="s">
        <v>134</v>
      </c>
      <c r="ASN11" s="1429" t="s">
        <v>134</v>
      </c>
      <c r="ASO11" s="1429" t="s">
        <v>134</v>
      </c>
      <c r="ASP11" s="1429" t="s">
        <v>134</v>
      </c>
      <c r="ASQ11" s="1429" t="s">
        <v>134</v>
      </c>
      <c r="ASR11" s="1429" t="s">
        <v>134</v>
      </c>
      <c r="ASS11" s="1429" t="s">
        <v>134</v>
      </c>
      <c r="AST11" s="1429" t="s">
        <v>134</v>
      </c>
      <c r="ASU11" s="1429" t="s">
        <v>134</v>
      </c>
      <c r="ASV11" s="1429" t="s">
        <v>134</v>
      </c>
      <c r="ASW11" s="1429" t="s">
        <v>134</v>
      </c>
      <c r="ASX11" s="1429" t="s">
        <v>134</v>
      </c>
      <c r="ASY11" s="1429" t="s">
        <v>134</v>
      </c>
      <c r="ASZ11" s="1429" t="s">
        <v>134</v>
      </c>
      <c r="ATA11" s="1429" t="s">
        <v>134</v>
      </c>
      <c r="ATB11" s="1429" t="s">
        <v>134</v>
      </c>
      <c r="ATC11" s="1429" t="s">
        <v>134</v>
      </c>
      <c r="ATD11" s="1429" t="s">
        <v>134</v>
      </c>
      <c r="ATE11" s="1429" t="s">
        <v>134</v>
      </c>
      <c r="ATF11" s="1429" t="s">
        <v>134</v>
      </c>
      <c r="ATG11" s="1429" t="s">
        <v>134</v>
      </c>
      <c r="ATH11" s="1429" t="s">
        <v>134</v>
      </c>
      <c r="ATI11" s="1429" t="s">
        <v>134</v>
      </c>
      <c r="ATJ11" s="1429" t="s">
        <v>134</v>
      </c>
      <c r="ATK11" s="1429" t="s">
        <v>134</v>
      </c>
      <c r="ATL11" s="1429" t="s">
        <v>134</v>
      </c>
      <c r="ATM11" s="1429" t="s">
        <v>134</v>
      </c>
      <c r="ATN11" s="1429" t="s">
        <v>134</v>
      </c>
      <c r="ATO11" s="1429" t="s">
        <v>134</v>
      </c>
      <c r="ATP11" s="1429" t="s">
        <v>134</v>
      </c>
      <c r="ATQ11" s="1429" t="s">
        <v>134</v>
      </c>
      <c r="ATR11" s="1429" t="s">
        <v>134</v>
      </c>
      <c r="ATS11" s="1429" t="s">
        <v>134</v>
      </c>
      <c r="ATT11" s="1429" t="s">
        <v>134</v>
      </c>
      <c r="ATU11" s="1429" t="s">
        <v>134</v>
      </c>
      <c r="ATV11" s="1429" t="s">
        <v>134</v>
      </c>
      <c r="ATW11" s="1429" t="s">
        <v>134</v>
      </c>
      <c r="ATX11" s="1429" t="s">
        <v>134</v>
      </c>
      <c r="ATY11" s="1429" t="s">
        <v>134</v>
      </c>
      <c r="ATZ11" s="1429" t="s">
        <v>134</v>
      </c>
      <c r="AUA11" s="1429" t="s">
        <v>134</v>
      </c>
      <c r="AUB11" s="1429" t="s">
        <v>134</v>
      </c>
      <c r="AUC11" s="1429" t="s">
        <v>134</v>
      </c>
      <c r="AUD11" s="1429" t="s">
        <v>134</v>
      </c>
      <c r="AUE11" s="1429" t="s">
        <v>134</v>
      </c>
      <c r="AUF11" s="1429" t="s">
        <v>134</v>
      </c>
      <c r="AUG11" s="1429" t="s">
        <v>134</v>
      </c>
      <c r="AUH11" s="1429" t="s">
        <v>134</v>
      </c>
      <c r="AUI11" s="1429" t="s">
        <v>134</v>
      </c>
      <c r="AUJ11" s="1429" t="s">
        <v>134</v>
      </c>
      <c r="AUK11" s="1429" t="s">
        <v>134</v>
      </c>
      <c r="AUL11" s="1429" t="s">
        <v>134</v>
      </c>
      <c r="AUM11" s="1429" t="s">
        <v>134</v>
      </c>
      <c r="AUN11" s="1429" t="s">
        <v>134</v>
      </c>
      <c r="AUO11" s="1429" t="s">
        <v>134</v>
      </c>
      <c r="AUP11" s="1429" t="s">
        <v>134</v>
      </c>
      <c r="AUQ11" s="1429" t="s">
        <v>134</v>
      </c>
      <c r="AUR11" s="1429" t="s">
        <v>134</v>
      </c>
      <c r="AUS11" s="1429" t="s">
        <v>134</v>
      </c>
      <c r="AUT11" s="1429" t="s">
        <v>134</v>
      </c>
      <c r="AUU11" s="1429" t="s">
        <v>134</v>
      </c>
      <c r="AUV11" s="1429" t="s">
        <v>134</v>
      </c>
      <c r="AUW11" s="1429" t="s">
        <v>134</v>
      </c>
      <c r="AUX11" s="1429" t="s">
        <v>134</v>
      </c>
      <c r="AUY11" s="1429" t="s">
        <v>134</v>
      </c>
      <c r="AUZ11" s="1429" t="s">
        <v>134</v>
      </c>
      <c r="AVA11" s="1429" t="s">
        <v>134</v>
      </c>
      <c r="AVB11" s="1429" t="s">
        <v>134</v>
      </c>
      <c r="AVC11" s="1429" t="s">
        <v>134</v>
      </c>
      <c r="AVD11" s="1429" t="s">
        <v>134</v>
      </c>
      <c r="AVE11" s="1429" t="s">
        <v>134</v>
      </c>
      <c r="AVF11" s="1429" t="s">
        <v>134</v>
      </c>
      <c r="AVG11" s="1429" t="s">
        <v>134</v>
      </c>
      <c r="AVH11" s="1429" t="s">
        <v>134</v>
      </c>
      <c r="AVI11" s="1429" t="s">
        <v>134</v>
      </c>
      <c r="AVJ11" s="1429" t="s">
        <v>134</v>
      </c>
      <c r="AVK11" s="1429" t="s">
        <v>134</v>
      </c>
      <c r="AVL11" s="1429" t="s">
        <v>134</v>
      </c>
      <c r="AVM11" s="1429" t="s">
        <v>134</v>
      </c>
      <c r="AVN11" s="1429" t="s">
        <v>134</v>
      </c>
      <c r="AVO11" s="1429" t="s">
        <v>134</v>
      </c>
      <c r="AVP11" s="1429" t="s">
        <v>134</v>
      </c>
      <c r="AVQ11" s="1429" t="s">
        <v>134</v>
      </c>
      <c r="AVR11" s="1429" t="s">
        <v>134</v>
      </c>
      <c r="AVS11" s="1429" t="s">
        <v>134</v>
      </c>
      <c r="AVT11" s="1429" t="s">
        <v>134</v>
      </c>
      <c r="AVU11" s="1429" t="s">
        <v>134</v>
      </c>
      <c r="AVV11" s="1429" t="s">
        <v>134</v>
      </c>
      <c r="AVW11" s="1429" t="s">
        <v>134</v>
      </c>
      <c r="AVX11" s="1429" t="s">
        <v>134</v>
      </c>
      <c r="AVY11" s="1429" t="s">
        <v>134</v>
      </c>
      <c r="AVZ11" s="1429" t="s">
        <v>134</v>
      </c>
      <c r="AWA11" s="1429" t="s">
        <v>134</v>
      </c>
      <c r="AWB11" s="1429" t="s">
        <v>134</v>
      </c>
      <c r="AWC11" s="1429" t="s">
        <v>134</v>
      </c>
      <c r="AWD11" s="1429" t="s">
        <v>134</v>
      </c>
      <c r="AWE11" s="1429" t="s">
        <v>134</v>
      </c>
      <c r="AWF11" s="1429" t="s">
        <v>134</v>
      </c>
      <c r="AWG11" s="1429" t="s">
        <v>134</v>
      </c>
      <c r="AWH11" s="1429" t="s">
        <v>134</v>
      </c>
      <c r="AWI11" s="1429" t="s">
        <v>134</v>
      </c>
      <c r="AWJ11" s="1429" t="s">
        <v>134</v>
      </c>
      <c r="AWK11" s="1429" t="s">
        <v>134</v>
      </c>
      <c r="AWL11" s="1429" t="s">
        <v>134</v>
      </c>
      <c r="AWM11" s="1429" t="s">
        <v>134</v>
      </c>
      <c r="AWN11" s="1429" t="s">
        <v>134</v>
      </c>
      <c r="AWO11" s="1429" t="s">
        <v>134</v>
      </c>
      <c r="AWP11" s="1429" t="s">
        <v>134</v>
      </c>
      <c r="AWQ11" s="1429" t="s">
        <v>134</v>
      </c>
      <c r="AWR11" s="1429" t="s">
        <v>134</v>
      </c>
      <c r="AWS11" s="1429" t="s">
        <v>134</v>
      </c>
      <c r="AWT11" s="1429" t="s">
        <v>134</v>
      </c>
      <c r="AWU11" s="1429" t="s">
        <v>134</v>
      </c>
      <c r="AWV11" s="1429" t="s">
        <v>134</v>
      </c>
      <c r="AWW11" s="1429" t="s">
        <v>134</v>
      </c>
      <c r="AWX11" s="1429" t="s">
        <v>134</v>
      </c>
      <c r="AWY11" s="1429" t="s">
        <v>134</v>
      </c>
      <c r="AWZ11" s="1429" t="s">
        <v>134</v>
      </c>
      <c r="AXA11" s="1429" t="s">
        <v>134</v>
      </c>
      <c r="AXB11" s="1429" t="s">
        <v>134</v>
      </c>
      <c r="AXC11" s="1429" t="s">
        <v>134</v>
      </c>
      <c r="AXD11" s="1429" t="s">
        <v>134</v>
      </c>
      <c r="AXE11" s="1429" t="s">
        <v>134</v>
      </c>
      <c r="AXF11" s="1429" t="s">
        <v>134</v>
      </c>
      <c r="AXG11" s="1429" t="s">
        <v>134</v>
      </c>
      <c r="AXH11" s="1429" t="s">
        <v>134</v>
      </c>
      <c r="AXI11" s="1429" t="s">
        <v>134</v>
      </c>
      <c r="AXJ11" s="1429" t="s">
        <v>134</v>
      </c>
      <c r="AXK11" s="1429" t="s">
        <v>134</v>
      </c>
      <c r="AXL11" s="1429" t="s">
        <v>134</v>
      </c>
      <c r="AXM11" s="1429" t="s">
        <v>134</v>
      </c>
      <c r="AXN11" s="1429" t="s">
        <v>134</v>
      </c>
      <c r="AXO11" s="1429" t="s">
        <v>134</v>
      </c>
      <c r="AXP11" s="1429" t="s">
        <v>134</v>
      </c>
      <c r="AXQ11" s="1429" t="s">
        <v>134</v>
      </c>
      <c r="AXR11" s="1429" t="s">
        <v>134</v>
      </c>
      <c r="AXS11" s="1429" t="s">
        <v>134</v>
      </c>
      <c r="AXT11" s="1429" t="s">
        <v>134</v>
      </c>
      <c r="AXU11" s="1429" t="s">
        <v>134</v>
      </c>
      <c r="AXV11" s="1429" t="s">
        <v>134</v>
      </c>
      <c r="AXW11" s="1429" t="s">
        <v>134</v>
      </c>
      <c r="AXX11" s="1429" t="s">
        <v>134</v>
      </c>
      <c r="AXY11" s="1429" t="s">
        <v>134</v>
      </c>
      <c r="AXZ11" s="1429" t="s">
        <v>134</v>
      </c>
      <c r="AYA11" s="1429" t="s">
        <v>134</v>
      </c>
      <c r="AYB11" s="1429" t="s">
        <v>134</v>
      </c>
      <c r="AYC11" s="1429" t="s">
        <v>134</v>
      </c>
      <c r="AYD11" s="1429" t="s">
        <v>134</v>
      </c>
      <c r="AYE11" s="1429" t="s">
        <v>134</v>
      </c>
      <c r="AYF11" s="1429" t="s">
        <v>134</v>
      </c>
      <c r="AYG11" s="1429" t="s">
        <v>134</v>
      </c>
      <c r="AYH11" s="1429" t="s">
        <v>134</v>
      </c>
      <c r="AYI11" s="1429" t="s">
        <v>134</v>
      </c>
      <c r="AYJ11" s="1429" t="s">
        <v>134</v>
      </c>
      <c r="AYK11" s="1429" t="s">
        <v>134</v>
      </c>
      <c r="AYL11" s="1429" t="s">
        <v>134</v>
      </c>
      <c r="AYM11" s="1429" t="s">
        <v>134</v>
      </c>
      <c r="AYN11" s="1429" t="s">
        <v>134</v>
      </c>
      <c r="AYO11" s="1429" t="s">
        <v>134</v>
      </c>
      <c r="AYP11" s="1429" t="s">
        <v>134</v>
      </c>
      <c r="AYQ11" s="1429" t="s">
        <v>134</v>
      </c>
      <c r="AYR11" s="1429" t="s">
        <v>134</v>
      </c>
      <c r="AYS11" s="1429" t="s">
        <v>134</v>
      </c>
      <c r="AYT11" s="1429" t="s">
        <v>134</v>
      </c>
      <c r="AYU11" s="1429" t="s">
        <v>134</v>
      </c>
      <c r="AYV11" s="1429" t="s">
        <v>134</v>
      </c>
      <c r="AYW11" s="1429" t="s">
        <v>134</v>
      </c>
      <c r="AYX11" s="1429" t="s">
        <v>134</v>
      </c>
      <c r="AYY11" s="1429" t="s">
        <v>134</v>
      </c>
      <c r="AYZ11" s="1429" t="s">
        <v>134</v>
      </c>
      <c r="AZA11" s="1429" t="s">
        <v>134</v>
      </c>
      <c r="AZB11" s="1429" t="s">
        <v>134</v>
      </c>
      <c r="AZC11" s="1429" t="s">
        <v>134</v>
      </c>
      <c r="AZD11" s="1429" t="s">
        <v>134</v>
      </c>
      <c r="AZE11" s="1429" t="s">
        <v>134</v>
      </c>
      <c r="AZF11" s="1429" t="s">
        <v>134</v>
      </c>
      <c r="AZG11" s="1429" t="s">
        <v>134</v>
      </c>
      <c r="AZH11" s="1429" t="s">
        <v>134</v>
      </c>
      <c r="AZI11" s="1429" t="s">
        <v>134</v>
      </c>
      <c r="AZJ11" s="1429" t="s">
        <v>134</v>
      </c>
      <c r="AZK11" s="1429" t="s">
        <v>134</v>
      </c>
      <c r="AZL11" s="1429" t="s">
        <v>134</v>
      </c>
      <c r="AZM11" s="1429" t="s">
        <v>134</v>
      </c>
      <c r="AZN11" s="1429" t="s">
        <v>134</v>
      </c>
      <c r="AZO11" s="1429" t="s">
        <v>134</v>
      </c>
      <c r="AZP11" s="1429" t="s">
        <v>134</v>
      </c>
      <c r="AZQ11" s="1429" t="s">
        <v>134</v>
      </c>
      <c r="AZR11" s="1429" t="s">
        <v>134</v>
      </c>
      <c r="AZS11" s="1429" t="s">
        <v>134</v>
      </c>
      <c r="AZT11" s="1429" t="s">
        <v>134</v>
      </c>
      <c r="AZU11" s="1429" t="s">
        <v>134</v>
      </c>
      <c r="AZV11" s="1429" t="s">
        <v>134</v>
      </c>
      <c r="AZW11" s="1429" t="s">
        <v>134</v>
      </c>
      <c r="AZX11" s="1429" t="s">
        <v>134</v>
      </c>
      <c r="AZY11" s="1429" t="s">
        <v>134</v>
      </c>
      <c r="AZZ11" s="1429" t="s">
        <v>134</v>
      </c>
      <c r="BAA11" s="1429" t="s">
        <v>134</v>
      </c>
      <c r="BAB11" s="1429" t="s">
        <v>134</v>
      </c>
      <c r="BAC11" s="1429" t="s">
        <v>134</v>
      </c>
      <c r="BAD11" s="1429" t="s">
        <v>134</v>
      </c>
      <c r="BAE11" s="1429" t="s">
        <v>134</v>
      </c>
      <c r="BAF11" s="1429" t="s">
        <v>134</v>
      </c>
      <c r="BAG11" s="1429" t="s">
        <v>134</v>
      </c>
      <c r="BAH11" s="1429" t="s">
        <v>134</v>
      </c>
      <c r="BAI11" s="1429" t="s">
        <v>134</v>
      </c>
      <c r="BAJ11" s="1429" t="s">
        <v>134</v>
      </c>
      <c r="BAK11" s="1429" t="s">
        <v>134</v>
      </c>
      <c r="BAL11" s="1429" t="s">
        <v>134</v>
      </c>
      <c r="BAM11" s="1429" t="s">
        <v>134</v>
      </c>
      <c r="BAN11" s="1429" t="s">
        <v>134</v>
      </c>
      <c r="BAO11" s="1429" t="s">
        <v>134</v>
      </c>
      <c r="BAP11" s="1429" t="s">
        <v>134</v>
      </c>
      <c r="BAQ11" s="1429" t="s">
        <v>134</v>
      </c>
      <c r="BAR11" s="1429" t="s">
        <v>134</v>
      </c>
      <c r="BAS11" s="1429" t="s">
        <v>134</v>
      </c>
      <c r="BAT11" s="1429" t="s">
        <v>134</v>
      </c>
      <c r="BAU11" s="1429" t="s">
        <v>134</v>
      </c>
      <c r="BAV11" s="1429" t="s">
        <v>134</v>
      </c>
      <c r="BAW11" s="1429" t="s">
        <v>134</v>
      </c>
      <c r="BAX11" s="1429" t="s">
        <v>134</v>
      </c>
      <c r="BAY11" s="1429" t="s">
        <v>134</v>
      </c>
      <c r="BAZ11" s="1429" t="s">
        <v>134</v>
      </c>
      <c r="BBA11" s="1429" t="s">
        <v>134</v>
      </c>
      <c r="BBB11" s="1429" t="s">
        <v>134</v>
      </c>
      <c r="BBC11" s="1429" t="s">
        <v>134</v>
      </c>
      <c r="BBD11" s="1429" t="s">
        <v>134</v>
      </c>
      <c r="BBE11" s="1429" t="s">
        <v>134</v>
      </c>
      <c r="BBF11" s="1429" t="s">
        <v>134</v>
      </c>
      <c r="BBG11" s="1429" t="s">
        <v>134</v>
      </c>
      <c r="BBH11" s="1429" t="s">
        <v>134</v>
      </c>
      <c r="BBI11" s="1429" t="s">
        <v>134</v>
      </c>
      <c r="BBJ11" s="1429" t="s">
        <v>134</v>
      </c>
      <c r="BBK11" s="1429" t="s">
        <v>134</v>
      </c>
      <c r="BBL11" s="1429" t="s">
        <v>134</v>
      </c>
      <c r="BBM11" s="1429" t="s">
        <v>134</v>
      </c>
      <c r="BBN11" s="1429" t="s">
        <v>134</v>
      </c>
      <c r="BBO11" s="1429" t="s">
        <v>134</v>
      </c>
      <c r="BBP11" s="1429" t="s">
        <v>134</v>
      </c>
      <c r="BBQ11" s="1429" t="s">
        <v>134</v>
      </c>
      <c r="BBR11" s="1429" t="s">
        <v>134</v>
      </c>
      <c r="BBS11" s="1429" t="s">
        <v>134</v>
      </c>
      <c r="BBT11" s="1429" t="s">
        <v>134</v>
      </c>
      <c r="BBU11" s="1429" t="s">
        <v>134</v>
      </c>
      <c r="BBV11" s="1429" t="s">
        <v>134</v>
      </c>
      <c r="BBW11" s="1429" t="s">
        <v>134</v>
      </c>
      <c r="BBX11" s="1429" t="s">
        <v>134</v>
      </c>
      <c r="BBY11" s="1429" t="s">
        <v>134</v>
      </c>
      <c r="BBZ11" s="1429" t="s">
        <v>134</v>
      </c>
      <c r="BCA11" s="1429" t="s">
        <v>134</v>
      </c>
      <c r="BCB11" s="1429" t="s">
        <v>134</v>
      </c>
      <c r="BCC11" s="1429" t="s">
        <v>134</v>
      </c>
      <c r="BCD11" s="1429" t="s">
        <v>134</v>
      </c>
      <c r="BCE11" s="1429" t="s">
        <v>134</v>
      </c>
      <c r="BCF11" s="1429" t="s">
        <v>134</v>
      </c>
      <c r="BCG11" s="1429" t="s">
        <v>134</v>
      </c>
      <c r="BCH11" s="1429" t="s">
        <v>134</v>
      </c>
      <c r="BCI11" s="1429" t="s">
        <v>134</v>
      </c>
      <c r="BCJ11" s="1429" t="s">
        <v>134</v>
      </c>
      <c r="BCK11" s="1429" t="s">
        <v>134</v>
      </c>
      <c r="BCL11" s="1429" t="s">
        <v>134</v>
      </c>
      <c r="BCM11" s="1429" t="s">
        <v>134</v>
      </c>
      <c r="BCN11" s="1429" t="s">
        <v>134</v>
      </c>
      <c r="BCO11" s="1429" t="s">
        <v>134</v>
      </c>
      <c r="BCP11" s="1429" t="s">
        <v>134</v>
      </c>
      <c r="BCQ11" s="1429" t="s">
        <v>134</v>
      </c>
      <c r="BCR11" s="1429" t="s">
        <v>134</v>
      </c>
      <c r="BCS11" s="1429" t="s">
        <v>134</v>
      </c>
      <c r="BCT11" s="1429" t="s">
        <v>134</v>
      </c>
      <c r="BCU11" s="1429" t="s">
        <v>134</v>
      </c>
      <c r="BCV11" s="1429" t="s">
        <v>134</v>
      </c>
      <c r="BCW11" s="1429" t="s">
        <v>134</v>
      </c>
      <c r="BCX11" s="1429" t="s">
        <v>134</v>
      </c>
      <c r="BCY11" s="1429" t="s">
        <v>134</v>
      </c>
      <c r="BCZ11" s="1429" t="s">
        <v>134</v>
      </c>
      <c r="BDA11" s="1429" t="s">
        <v>134</v>
      </c>
      <c r="BDB11" s="1429" t="s">
        <v>134</v>
      </c>
      <c r="BDC11" s="1429" t="s">
        <v>134</v>
      </c>
      <c r="BDD11" s="1429" t="s">
        <v>134</v>
      </c>
      <c r="BDE11" s="1429" t="s">
        <v>134</v>
      </c>
      <c r="BDF11" s="1429" t="s">
        <v>134</v>
      </c>
      <c r="BDG11" s="1429" t="s">
        <v>134</v>
      </c>
      <c r="BDH11" s="1429" t="s">
        <v>134</v>
      </c>
      <c r="BDI11" s="1429" t="s">
        <v>134</v>
      </c>
      <c r="BDJ11" s="1429" t="s">
        <v>134</v>
      </c>
      <c r="BDK11" s="1429" t="s">
        <v>134</v>
      </c>
      <c r="BDL11" s="1429" t="s">
        <v>134</v>
      </c>
      <c r="BDM11" s="1429" t="s">
        <v>134</v>
      </c>
      <c r="BDN11" s="1429" t="s">
        <v>134</v>
      </c>
      <c r="BDO11" s="1429" t="s">
        <v>134</v>
      </c>
      <c r="BDP11" s="1429" t="s">
        <v>134</v>
      </c>
      <c r="BDQ11" s="1429" t="s">
        <v>134</v>
      </c>
      <c r="BDR11" s="1429" t="s">
        <v>134</v>
      </c>
      <c r="BDS11" s="1429" t="s">
        <v>134</v>
      </c>
      <c r="BDT11" s="1429" t="s">
        <v>134</v>
      </c>
      <c r="BDU11" s="1429" t="s">
        <v>134</v>
      </c>
      <c r="BDV11" s="1429" t="s">
        <v>134</v>
      </c>
      <c r="BDW11" s="1429" t="s">
        <v>134</v>
      </c>
      <c r="BDX11" s="1429" t="s">
        <v>134</v>
      </c>
      <c r="BDY11" s="1429" t="s">
        <v>134</v>
      </c>
      <c r="BDZ11" s="1429" t="s">
        <v>134</v>
      </c>
      <c r="BEA11" s="1429" t="s">
        <v>134</v>
      </c>
      <c r="BEB11" s="1429" t="s">
        <v>134</v>
      </c>
      <c r="BEC11" s="1429" t="s">
        <v>134</v>
      </c>
      <c r="BED11" s="1429" t="s">
        <v>134</v>
      </c>
      <c r="BEE11" s="1429" t="s">
        <v>134</v>
      </c>
      <c r="BEF11" s="1429" t="s">
        <v>134</v>
      </c>
      <c r="BEG11" s="1429" t="s">
        <v>134</v>
      </c>
      <c r="BEH11" s="1429" t="s">
        <v>134</v>
      </c>
      <c r="BEI11" s="1429" t="s">
        <v>134</v>
      </c>
      <c r="BEJ11" s="1429" t="s">
        <v>134</v>
      </c>
      <c r="BEK11" s="1429" t="s">
        <v>134</v>
      </c>
      <c r="BEL11" s="1429" t="s">
        <v>134</v>
      </c>
      <c r="BEM11" s="1429" t="s">
        <v>134</v>
      </c>
      <c r="BEN11" s="1429" t="s">
        <v>134</v>
      </c>
      <c r="BEO11" s="1429" t="s">
        <v>134</v>
      </c>
      <c r="BEP11" s="1429" t="s">
        <v>134</v>
      </c>
      <c r="BEQ11" s="1429" t="s">
        <v>134</v>
      </c>
      <c r="BER11" s="1429" t="s">
        <v>134</v>
      </c>
      <c r="BES11" s="1429" t="s">
        <v>134</v>
      </c>
      <c r="BET11" s="1429" t="s">
        <v>134</v>
      </c>
      <c r="BEU11" s="1429" t="s">
        <v>134</v>
      </c>
      <c r="BEV11" s="1429" t="s">
        <v>134</v>
      </c>
      <c r="BEW11" s="1429" t="s">
        <v>134</v>
      </c>
      <c r="BEX11" s="1429" t="s">
        <v>134</v>
      </c>
      <c r="BEY11" s="1429" t="s">
        <v>134</v>
      </c>
      <c r="BEZ11" s="1429" t="s">
        <v>134</v>
      </c>
      <c r="BFA11" s="1429" t="s">
        <v>134</v>
      </c>
      <c r="BFB11" s="1429" t="s">
        <v>134</v>
      </c>
      <c r="BFC11" s="1429" t="s">
        <v>134</v>
      </c>
      <c r="BFD11" s="1429" t="s">
        <v>134</v>
      </c>
      <c r="BFE11" s="1429" t="s">
        <v>134</v>
      </c>
      <c r="BFF11" s="1429" t="s">
        <v>134</v>
      </c>
      <c r="BFG11" s="1429" t="s">
        <v>134</v>
      </c>
      <c r="BFH11" s="1429" t="s">
        <v>134</v>
      </c>
      <c r="BFI11" s="1429" t="s">
        <v>134</v>
      </c>
      <c r="BFJ11" s="1429" t="s">
        <v>134</v>
      </c>
      <c r="BFK11" s="1429" t="s">
        <v>134</v>
      </c>
      <c r="BFL11" s="1429" t="s">
        <v>134</v>
      </c>
      <c r="BFM11" s="1429" t="s">
        <v>134</v>
      </c>
      <c r="BFN11" s="1429" t="s">
        <v>134</v>
      </c>
      <c r="BFO11" s="1429" t="s">
        <v>134</v>
      </c>
      <c r="BFP11" s="1429" t="s">
        <v>134</v>
      </c>
      <c r="BFQ11" s="1429" t="s">
        <v>134</v>
      </c>
      <c r="BFR11" s="1429" t="s">
        <v>134</v>
      </c>
      <c r="BFS11" s="1429" t="s">
        <v>134</v>
      </c>
      <c r="BFT11" s="1429" t="s">
        <v>134</v>
      </c>
      <c r="BFU11" s="1429" t="s">
        <v>134</v>
      </c>
      <c r="BFV11" s="1429" t="s">
        <v>134</v>
      </c>
      <c r="BFW11" s="1429" t="s">
        <v>134</v>
      </c>
      <c r="BFX11" s="1429" t="s">
        <v>134</v>
      </c>
      <c r="BFY11" s="1429" t="s">
        <v>134</v>
      </c>
      <c r="BFZ11" s="1429" t="s">
        <v>134</v>
      </c>
      <c r="BGA11" s="1429" t="s">
        <v>134</v>
      </c>
      <c r="BGB11" s="1429" t="s">
        <v>134</v>
      </c>
      <c r="BGC11" s="1429" t="s">
        <v>134</v>
      </c>
      <c r="BGD11" s="1429" t="s">
        <v>134</v>
      </c>
      <c r="BGE11" s="1429" t="s">
        <v>134</v>
      </c>
      <c r="BGF11" s="1429" t="s">
        <v>134</v>
      </c>
      <c r="BGG11" s="1429" t="s">
        <v>134</v>
      </c>
      <c r="BGH11" s="1429" t="s">
        <v>134</v>
      </c>
      <c r="BGI11" s="1429" t="s">
        <v>134</v>
      </c>
      <c r="BGJ11" s="1429" t="s">
        <v>134</v>
      </c>
      <c r="BGK11" s="1429" t="s">
        <v>134</v>
      </c>
      <c r="BGL11" s="1429" t="s">
        <v>134</v>
      </c>
      <c r="BGM11" s="1429" t="s">
        <v>134</v>
      </c>
      <c r="BGN11" s="1429" t="s">
        <v>134</v>
      </c>
      <c r="BGO11" s="1429" t="s">
        <v>134</v>
      </c>
      <c r="BGP11" s="1429" t="s">
        <v>134</v>
      </c>
      <c r="BGQ11" s="1429" t="s">
        <v>134</v>
      </c>
      <c r="BGR11" s="1429" t="s">
        <v>134</v>
      </c>
      <c r="BGS11" s="1429" t="s">
        <v>134</v>
      </c>
      <c r="BGT11" s="1429" t="s">
        <v>134</v>
      </c>
      <c r="BGU11" s="1429" t="s">
        <v>134</v>
      </c>
      <c r="BGV11" s="1429" t="s">
        <v>134</v>
      </c>
      <c r="BGW11" s="1429" t="s">
        <v>134</v>
      </c>
      <c r="BGX11" s="1429" t="s">
        <v>134</v>
      </c>
      <c r="BGY11" s="1429" t="s">
        <v>134</v>
      </c>
      <c r="BGZ11" s="1429" t="s">
        <v>134</v>
      </c>
      <c r="BHA11" s="1429" t="s">
        <v>134</v>
      </c>
      <c r="BHB11" s="1429" t="s">
        <v>134</v>
      </c>
      <c r="BHC11" s="1429" t="s">
        <v>134</v>
      </c>
      <c r="BHD11" s="1429" t="s">
        <v>134</v>
      </c>
      <c r="BHE11" s="1429" t="s">
        <v>134</v>
      </c>
      <c r="BHF11" s="1429" t="s">
        <v>134</v>
      </c>
      <c r="BHG11" s="1429" t="s">
        <v>134</v>
      </c>
      <c r="BHH11" s="1429" t="s">
        <v>134</v>
      </c>
      <c r="BHI11" s="1429" t="s">
        <v>134</v>
      </c>
      <c r="BHJ11" s="1429" t="s">
        <v>134</v>
      </c>
      <c r="BHK11" s="1429" t="s">
        <v>134</v>
      </c>
      <c r="BHL11" s="1429" t="s">
        <v>134</v>
      </c>
      <c r="BHM11" s="1429" t="s">
        <v>134</v>
      </c>
      <c r="BHN11" s="1429" t="s">
        <v>134</v>
      </c>
      <c r="BHO11" s="1429" t="s">
        <v>134</v>
      </c>
      <c r="BHP11" s="1429" t="s">
        <v>134</v>
      </c>
      <c r="BHQ11" s="1429" t="s">
        <v>134</v>
      </c>
      <c r="BHR11" s="1429" t="s">
        <v>134</v>
      </c>
      <c r="BHS11" s="1429" t="s">
        <v>134</v>
      </c>
      <c r="BHT11" s="1429" t="s">
        <v>134</v>
      </c>
      <c r="BHU11" s="1429" t="s">
        <v>134</v>
      </c>
      <c r="BHV11" s="1429" t="s">
        <v>134</v>
      </c>
      <c r="BHW11" s="1429" t="s">
        <v>134</v>
      </c>
      <c r="BHX11" s="1429" t="s">
        <v>134</v>
      </c>
      <c r="BHY11" s="1429" t="s">
        <v>134</v>
      </c>
      <c r="BHZ11" s="1429" t="s">
        <v>134</v>
      </c>
      <c r="BIA11" s="1429" t="s">
        <v>134</v>
      </c>
      <c r="BIB11" s="1429" t="s">
        <v>134</v>
      </c>
      <c r="BIC11" s="1429" t="s">
        <v>134</v>
      </c>
      <c r="BID11" s="1429" t="s">
        <v>134</v>
      </c>
      <c r="BIE11" s="1429" t="s">
        <v>134</v>
      </c>
      <c r="BIF11" s="1429" t="s">
        <v>134</v>
      </c>
      <c r="BIG11" s="1429" t="s">
        <v>134</v>
      </c>
      <c r="BIH11" s="1429" t="s">
        <v>134</v>
      </c>
      <c r="BII11" s="1429" t="s">
        <v>134</v>
      </c>
      <c r="BIJ11" s="1429" t="s">
        <v>134</v>
      </c>
      <c r="BIK11" s="1429" t="s">
        <v>134</v>
      </c>
      <c r="BIL11" s="1429" t="s">
        <v>134</v>
      </c>
      <c r="BIM11" s="1429" t="s">
        <v>134</v>
      </c>
      <c r="BIN11" s="1429" t="s">
        <v>134</v>
      </c>
      <c r="BIO11" s="1429" t="s">
        <v>134</v>
      </c>
      <c r="BIP11" s="1429" t="s">
        <v>134</v>
      </c>
      <c r="BIQ11" s="1429" t="s">
        <v>134</v>
      </c>
      <c r="BIR11" s="1429" t="s">
        <v>134</v>
      </c>
      <c r="BIS11" s="1429" t="s">
        <v>134</v>
      </c>
      <c r="BIT11" s="1429" t="s">
        <v>134</v>
      </c>
      <c r="BIU11" s="1429" t="s">
        <v>134</v>
      </c>
      <c r="BIV11" s="1429" t="s">
        <v>134</v>
      </c>
      <c r="BIW11" s="1429" t="s">
        <v>134</v>
      </c>
      <c r="BIX11" s="1429" t="s">
        <v>134</v>
      </c>
      <c r="BIY11" s="1429" t="s">
        <v>134</v>
      </c>
      <c r="BIZ11" s="1429" t="s">
        <v>134</v>
      </c>
      <c r="BJA11" s="1429" t="s">
        <v>134</v>
      </c>
      <c r="BJB11" s="1429" t="s">
        <v>134</v>
      </c>
      <c r="BJC11" s="1429" t="s">
        <v>134</v>
      </c>
      <c r="BJD11" s="1429" t="s">
        <v>134</v>
      </c>
      <c r="BJE11" s="1429" t="s">
        <v>134</v>
      </c>
      <c r="BJF11" s="1429" t="s">
        <v>134</v>
      </c>
      <c r="BJG11" s="1429" t="s">
        <v>134</v>
      </c>
      <c r="BJH11" s="1429" t="s">
        <v>134</v>
      </c>
      <c r="BJI11" s="1429" t="s">
        <v>134</v>
      </c>
      <c r="BJJ11" s="1429" t="s">
        <v>134</v>
      </c>
      <c r="BJK11" s="1429" t="s">
        <v>134</v>
      </c>
      <c r="BJL11" s="1429" t="s">
        <v>134</v>
      </c>
      <c r="BJM11" s="1429" t="s">
        <v>134</v>
      </c>
      <c r="BJN11" s="1429" t="s">
        <v>134</v>
      </c>
      <c r="BJO11" s="1429" t="s">
        <v>134</v>
      </c>
      <c r="BJP11" s="1429" t="s">
        <v>134</v>
      </c>
      <c r="BJQ11" s="1429" t="s">
        <v>134</v>
      </c>
      <c r="BJR11" s="1429" t="s">
        <v>134</v>
      </c>
      <c r="BJS11" s="1429" t="s">
        <v>134</v>
      </c>
      <c r="BJT11" s="1429" t="s">
        <v>134</v>
      </c>
      <c r="BJU11" s="1429" t="s">
        <v>134</v>
      </c>
      <c r="BJV11" s="1429" t="s">
        <v>134</v>
      </c>
      <c r="BJW11" s="1429" t="s">
        <v>134</v>
      </c>
      <c r="BJX11" s="1429" t="s">
        <v>134</v>
      </c>
      <c r="BJY11" s="1429" t="s">
        <v>134</v>
      </c>
      <c r="BJZ11" s="1429" t="s">
        <v>134</v>
      </c>
      <c r="BKA11" s="1429" t="s">
        <v>134</v>
      </c>
      <c r="BKB11" s="1429" t="s">
        <v>134</v>
      </c>
      <c r="BKC11" s="1429" t="s">
        <v>134</v>
      </c>
      <c r="BKD11" s="1429" t="s">
        <v>134</v>
      </c>
      <c r="BKE11" s="1429" t="s">
        <v>134</v>
      </c>
      <c r="BKF11" s="1429" t="s">
        <v>134</v>
      </c>
      <c r="BKG11" s="1429" t="s">
        <v>134</v>
      </c>
      <c r="BKH11" s="1429" t="s">
        <v>134</v>
      </c>
      <c r="BKI11" s="1429" t="s">
        <v>134</v>
      </c>
      <c r="BKJ11" s="1429" t="s">
        <v>134</v>
      </c>
      <c r="BKK11" s="1429" t="s">
        <v>134</v>
      </c>
      <c r="BKL11" s="1429" t="s">
        <v>134</v>
      </c>
      <c r="BKM11" s="1429" t="s">
        <v>134</v>
      </c>
      <c r="BKN11" s="1429" t="s">
        <v>134</v>
      </c>
      <c r="BKO11" s="1429" t="s">
        <v>134</v>
      </c>
      <c r="BKP11" s="1429" t="s">
        <v>134</v>
      </c>
      <c r="BKQ11" s="1429" t="s">
        <v>134</v>
      </c>
      <c r="BKR11" s="1429" t="s">
        <v>134</v>
      </c>
      <c r="BKS11" s="1429" t="s">
        <v>134</v>
      </c>
      <c r="BKT11" s="1429" t="s">
        <v>134</v>
      </c>
      <c r="BKU11" s="1429" t="s">
        <v>134</v>
      </c>
      <c r="BKV11" s="1429" t="s">
        <v>134</v>
      </c>
      <c r="BKW11" s="1429" t="s">
        <v>134</v>
      </c>
      <c r="BKX11" s="1429" t="s">
        <v>134</v>
      </c>
      <c r="BKY11" s="1429" t="s">
        <v>134</v>
      </c>
      <c r="BKZ11" s="1429" t="s">
        <v>134</v>
      </c>
      <c r="BLA11" s="1429" t="s">
        <v>134</v>
      </c>
      <c r="BLB11" s="1429" t="s">
        <v>134</v>
      </c>
      <c r="BLC11" s="1429" t="s">
        <v>134</v>
      </c>
      <c r="BLD11" s="1429" t="s">
        <v>134</v>
      </c>
      <c r="BLE11" s="1429" t="s">
        <v>134</v>
      </c>
      <c r="BLF11" s="1429" t="s">
        <v>134</v>
      </c>
      <c r="BLG11" s="1429" t="s">
        <v>134</v>
      </c>
      <c r="BLH11" s="1429" t="s">
        <v>134</v>
      </c>
      <c r="BLI11" s="1429" t="s">
        <v>134</v>
      </c>
      <c r="BLJ11" s="1429" t="s">
        <v>134</v>
      </c>
      <c r="BLK11" s="1429" t="s">
        <v>134</v>
      </c>
      <c r="BLL11" s="1429" t="s">
        <v>134</v>
      </c>
      <c r="BLM11" s="1429" t="s">
        <v>134</v>
      </c>
      <c r="BLN11" s="1429" t="s">
        <v>134</v>
      </c>
      <c r="BLO11" s="1429" t="s">
        <v>134</v>
      </c>
      <c r="BLP11" s="1429" t="s">
        <v>134</v>
      </c>
      <c r="BLQ11" s="1429" t="s">
        <v>134</v>
      </c>
      <c r="BLR11" s="1429" t="s">
        <v>134</v>
      </c>
      <c r="BLS11" s="1429" t="s">
        <v>134</v>
      </c>
      <c r="BLT11" s="1429" t="s">
        <v>134</v>
      </c>
      <c r="BLU11" s="1429" t="s">
        <v>134</v>
      </c>
      <c r="BLV11" s="1429" t="s">
        <v>134</v>
      </c>
      <c r="BLW11" s="1429" t="s">
        <v>134</v>
      </c>
      <c r="BLX11" s="1429" t="s">
        <v>134</v>
      </c>
      <c r="BLY11" s="1429" t="s">
        <v>134</v>
      </c>
      <c r="BLZ11" s="1429" t="s">
        <v>134</v>
      </c>
      <c r="BMA11" s="1429" t="s">
        <v>134</v>
      </c>
      <c r="BMB11" s="1429" t="s">
        <v>134</v>
      </c>
      <c r="BMC11" s="1429" t="s">
        <v>134</v>
      </c>
      <c r="BMD11" s="1429" t="s">
        <v>134</v>
      </c>
      <c r="BME11" s="1429" t="s">
        <v>134</v>
      </c>
      <c r="BMF11" s="1429" t="s">
        <v>134</v>
      </c>
      <c r="BMG11" s="1429" t="s">
        <v>134</v>
      </c>
      <c r="BMH11" s="1429" t="s">
        <v>134</v>
      </c>
      <c r="BMI11" s="1429" t="s">
        <v>134</v>
      </c>
      <c r="BMJ11" s="1429" t="s">
        <v>134</v>
      </c>
      <c r="BMK11" s="1429" t="s">
        <v>134</v>
      </c>
      <c r="BML11" s="1429" t="s">
        <v>134</v>
      </c>
      <c r="BMM11" s="1429" t="s">
        <v>134</v>
      </c>
      <c r="BMN11" s="1429" t="s">
        <v>134</v>
      </c>
      <c r="BMO11" s="1429" t="s">
        <v>134</v>
      </c>
      <c r="BMP11" s="1429" t="s">
        <v>134</v>
      </c>
      <c r="BMQ11" s="1429" t="s">
        <v>134</v>
      </c>
      <c r="BMR11" s="1429" t="s">
        <v>134</v>
      </c>
      <c r="BMS11" s="1429" t="s">
        <v>134</v>
      </c>
      <c r="BMT11" s="1429" t="s">
        <v>134</v>
      </c>
      <c r="BMU11" s="1429" t="s">
        <v>134</v>
      </c>
      <c r="BMV11" s="1429" t="s">
        <v>134</v>
      </c>
      <c r="BMW11" s="1429" t="s">
        <v>134</v>
      </c>
      <c r="BMX11" s="1429" t="s">
        <v>134</v>
      </c>
      <c r="BMY11" s="1429" t="s">
        <v>134</v>
      </c>
      <c r="BMZ11" s="1429" t="s">
        <v>134</v>
      </c>
      <c r="BNA11" s="1429" t="s">
        <v>134</v>
      </c>
      <c r="BNB11" s="1429" t="s">
        <v>134</v>
      </c>
      <c r="BNC11" s="1429" t="s">
        <v>134</v>
      </c>
      <c r="BND11" s="1429" t="s">
        <v>134</v>
      </c>
      <c r="BNE11" s="1429" t="s">
        <v>134</v>
      </c>
      <c r="BNF11" s="1429" t="s">
        <v>134</v>
      </c>
      <c r="BNG11" s="1429" t="s">
        <v>134</v>
      </c>
      <c r="BNH11" s="1429" t="s">
        <v>134</v>
      </c>
      <c r="BNI11" s="1429" t="s">
        <v>134</v>
      </c>
      <c r="BNJ11" s="1429" t="s">
        <v>134</v>
      </c>
      <c r="BNK11" s="1429" t="s">
        <v>134</v>
      </c>
      <c r="BNL11" s="1429" t="s">
        <v>134</v>
      </c>
      <c r="BNM11" s="1429" t="s">
        <v>134</v>
      </c>
      <c r="BNN11" s="1429" t="s">
        <v>134</v>
      </c>
      <c r="BNO11" s="1429" t="s">
        <v>134</v>
      </c>
      <c r="BNP11" s="1429" t="s">
        <v>134</v>
      </c>
      <c r="BNQ11" s="1429" t="s">
        <v>134</v>
      </c>
      <c r="BNR11" s="1429" t="s">
        <v>134</v>
      </c>
      <c r="BNS11" s="1429" t="s">
        <v>134</v>
      </c>
      <c r="BNT11" s="1429" t="s">
        <v>134</v>
      </c>
      <c r="BNU11" s="1429" t="s">
        <v>134</v>
      </c>
      <c r="BNV11" s="1429" t="s">
        <v>134</v>
      </c>
      <c r="BNW11" s="1429" t="s">
        <v>134</v>
      </c>
      <c r="BNX11" s="1429" t="s">
        <v>134</v>
      </c>
      <c r="BNY11" s="1429" t="s">
        <v>134</v>
      </c>
      <c r="BNZ11" s="1429" t="s">
        <v>134</v>
      </c>
      <c r="BOA11" s="1429" t="s">
        <v>134</v>
      </c>
      <c r="BOB11" s="1429" t="s">
        <v>134</v>
      </c>
      <c r="BOC11" s="1429" t="s">
        <v>134</v>
      </c>
      <c r="BOD11" s="1429" t="s">
        <v>134</v>
      </c>
      <c r="BOE11" s="1429" t="s">
        <v>134</v>
      </c>
      <c r="BOF11" s="1429" t="s">
        <v>134</v>
      </c>
      <c r="BOG11" s="1429" t="s">
        <v>134</v>
      </c>
      <c r="BOH11" s="1429" t="s">
        <v>134</v>
      </c>
      <c r="BOI11" s="1429" t="s">
        <v>134</v>
      </c>
      <c r="BOJ11" s="1429" t="s">
        <v>134</v>
      </c>
      <c r="BOK11" s="1429" t="s">
        <v>134</v>
      </c>
      <c r="BOL11" s="1429" t="s">
        <v>134</v>
      </c>
      <c r="BOM11" s="1429" t="s">
        <v>134</v>
      </c>
      <c r="BON11" s="1429" t="s">
        <v>134</v>
      </c>
      <c r="BOO11" s="1429" t="s">
        <v>134</v>
      </c>
      <c r="BOP11" s="1429" t="s">
        <v>134</v>
      </c>
      <c r="BOQ11" s="1429" t="s">
        <v>134</v>
      </c>
      <c r="BOR11" s="1429" t="s">
        <v>134</v>
      </c>
      <c r="BOS11" s="1429" t="s">
        <v>134</v>
      </c>
      <c r="BOT11" s="1429" t="s">
        <v>134</v>
      </c>
      <c r="BOU11" s="1429" t="s">
        <v>134</v>
      </c>
      <c r="BOV11" s="1429" t="s">
        <v>134</v>
      </c>
      <c r="BOW11" s="1429" t="s">
        <v>134</v>
      </c>
      <c r="BOX11" s="1429" t="s">
        <v>134</v>
      </c>
      <c r="BOY11" s="1429" t="s">
        <v>134</v>
      </c>
      <c r="BOZ11" s="1429" t="s">
        <v>134</v>
      </c>
      <c r="BPA11" s="1429" t="s">
        <v>134</v>
      </c>
      <c r="BPB11" s="1429" t="s">
        <v>134</v>
      </c>
      <c r="BPC11" s="1429" t="s">
        <v>134</v>
      </c>
      <c r="BPD11" s="1429" t="s">
        <v>134</v>
      </c>
      <c r="BPE11" s="1429" t="s">
        <v>134</v>
      </c>
      <c r="BPF11" s="1429" t="s">
        <v>134</v>
      </c>
      <c r="BPG11" s="1429" t="s">
        <v>134</v>
      </c>
      <c r="BPH11" s="1429" t="s">
        <v>134</v>
      </c>
      <c r="BPI11" s="1429" t="s">
        <v>134</v>
      </c>
      <c r="BPJ11" s="1429" t="s">
        <v>134</v>
      </c>
      <c r="BPK11" s="1429" t="s">
        <v>134</v>
      </c>
      <c r="BPL11" s="1429" t="s">
        <v>134</v>
      </c>
      <c r="BPM11" s="1429" t="s">
        <v>134</v>
      </c>
      <c r="BPN11" s="1429" t="s">
        <v>134</v>
      </c>
      <c r="BPO11" s="1429" t="s">
        <v>134</v>
      </c>
      <c r="BPP11" s="1429" t="s">
        <v>134</v>
      </c>
      <c r="BPQ11" s="1429" t="s">
        <v>134</v>
      </c>
      <c r="BPR11" s="1429" t="s">
        <v>134</v>
      </c>
      <c r="BPS11" s="1429" t="s">
        <v>134</v>
      </c>
      <c r="BPT11" s="1429" t="s">
        <v>134</v>
      </c>
      <c r="BPU11" s="1429" t="s">
        <v>134</v>
      </c>
      <c r="BPV11" s="1429" t="s">
        <v>134</v>
      </c>
      <c r="BPW11" s="1429" t="s">
        <v>134</v>
      </c>
      <c r="BPX11" s="1429" t="s">
        <v>134</v>
      </c>
      <c r="BPY11" s="1429" t="s">
        <v>134</v>
      </c>
      <c r="BPZ11" s="1429" t="s">
        <v>134</v>
      </c>
      <c r="BQA11" s="1429" t="s">
        <v>134</v>
      </c>
      <c r="BQB11" s="1429" t="s">
        <v>134</v>
      </c>
      <c r="BQC11" s="1429" t="s">
        <v>134</v>
      </c>
      <c r="BQD11" s="1429" t="s">
        <v>134</v>
      </c>
      <c r="BQE11" s="1429" t="s">
        <v>134</v>
      </c>
      <c r="BQF11" s="1429" t="s">
        <v>134</v>
      </c>
      <c r="BQG11" s="1429" t="s">
        <v>134</v>
      </c>
      <c r="BQH11" s="1429" t="s">
        <v>134</v>
      </c>
      <c r="BQI11" s="1429" t="s">
        <v>134</v>
      </c>
      <c r="BQJ11" s="1429" t="s">
        <v>134</v>
      </c>
      <c r="BQK11" s="1429" t="s">
        <v>134</v>
      </c>
      <c r="BQL11" s="1429" t="s">
        <v>134</v>
      </c>
      <c r="BQM11" s="1429" t="s">
        <v>134</v>
      </c>
      <c r="BQN11" s="1429" t="s">
        <v>134</v>
      </c>
      <c r="BQO11" s="1429" t="s">
        <v>134</v>
      </c>
      <c r="BQP11" s="1429" t="s">
        <v>134</v>
      </c>
      <c r="BQQ11" s="1429" t="s">
        <v>134</v>
      </c>
      <c r="BQR11" s="1429" t="s">
        <v>134</v>
      </c>
      <c r="BQS11" s="1429" t="s">
        <v>134</v>
      </c>
      <c r="BQT11" s="1429" t="s">
        <v>134</v>
      </c>
      <c r="BQU11" s="1429" t="s">
        <v>134</v>
      </c>
      <c r="BQV11" s="1429" t="s">
        <v>134</v>
      </c>
      <c r="BQW11" s="1429" t="s">
        <v>134</v>
      </c>
      <c r="BQX11" s="1429" t="s">
        <v>134</v>
      </c>
      <c r="BQY11" s="1429" t="s">
        <v>134</v>
      </c>
      <c r="BQZ11" s="1429" t="s">
        <v>134</v>
      </c>
      <c r="BRA11" s="1429" t="s">
        <v>134</v>
      </c>
      <c r="BRB11" s="1429" t="s">
        <v>134</v>
      </c>
      <c r="BRC11" s="1429" t="s">
        <v>134</v>
      </c>
      <c r="BRD11" s="1429" t="s">
        <v>134</v>
      </c>
      <c r="BRE11" s="1429" t="s">
        <v>134</v>
      </c>
      <c r="BRF11" s="1429" t="s">
        <v>134</v>
      </c>
      <c r="BRG11" s="1429" t="s">
        <v>134</v>
      </c>
      <c r="BRH11" s="1429" t="s">
        <v>134</v>
      </c>
      <c r="BRI11" s="1429" t="s">
        <v>134</v>
      </c>
      <c r="BRJ11" s="1429" t="s">
        <v>134</v>
      </c>
      <c r="BRK11" s="1429" t="s">
        <v>134</v>
      </c>
      <c r="BRL11" s="1429" t="s">
        <v>134</v>
      </c>
      <c r="BRM11" s="1429" t="s">
        <v>134</v>
      </c>
      <c r="BRN11" s="1429" t="s">
        <v>134</v>
      </c>
      <c r="BRO11" s="1429" t="s">
        <v>134</v>
      </c>
      <c r="BRP11" s="1429" t="s">
        <v>134</v>
      </c>
      <c r="BRQ11" s="1429" t="s">
        <v>134</v>
      </c>
      <c r="BRR11" s="1429" t="s">
        <v>134</v>
      </c>
      <c r="BRS11" s="1429" t="s">
        <v>134</v>
      </c>
      <c r="BRT11" s="1429" t="s">
        <v>134</v>
      </c>
      <c r="BRU11" s="1429" t="s">
        <v>134</v>
      </c>
      <c r="BRV11" s="1429" t="s">
        <v>134</v>
      </c>
      <c r="BRW11" s="1429" t="s">
        <v>134</v>
      </c>
      <c r="BRX11" s="1429" t="s">
        <v>134</v>
      </c>
      <c r="BRY11" s="1429" t="s">
        <v>134</v>
      </c>
      <c r="BRZ11" s="1429" t="s">
        <v>134</v>
      </c>
      <c r="BSA11" s="1429" t="s">
        <v>134</v>
      </c>
      <c r="BSB11" s="1429" t="s">
        <v>134</v>
      </c>
      <c r="BSC11" s="1429" t="s">
        <v>134</v>
      </c>
      <c r="BSD11" s="1429" t="s">
        <v>134</v>
      </c>
      <c r="BSE11" s="1429" t="s">
        <v>134</v>
      </c>
      <c r="BSF11" s="1429" t="s">
        <v>134</v>
      </c>
      <c r="BSG11" s="1429" t="s">
        <v>134</v>
      </c>
      <c r="BSH11" s="1429" t="s">
        <v>134</v>
      </c>
      <c r="BSI11" s="1429" t="s">
        <v>134</v>
      </c>
      <c r="BSJ11" s="1429" t="s">
        <v>134</v>
      </c>
      <c r="BSK11" s="1429" t="s">
        <v>134</v>
      </c>
      <c r="BSL11" s="1429" t="s">
        <v>134</v>
      </c>
      <c r="BSM11" s="1429" t="s">
        <v>134</v>
      </c>
      <c r="BSN11" s="1429" t="s">
        <v>134</v>
      </c>
      <c r="BSO11" s="1429" t="s">
        <v>134</v>
      </c>
      <c r="BSP11" s="1429" t="s">
        <v>134</v>
      </c>
      <c r="BSQ11" s="1429" t="s">
        <v>134</v>
      </c>
      <c r="BSR11" s="1429" t="s">
        <v>134</v>
      </c>
      <c r="BSS11" s="1429" t="s">
        <v>134</v>
      </c>
      <c r="BST11" s="1429" t="s">
        <v>134</v>
      </c>
      <c r="BSU11" s="1429" t="s">
        <v>134</v>
      </c>
      <c r="BSV11" s="1429" t="s">
        <v>134</v>
      </c>
      <c r="BSW11" s="1429" t="s">
        <v>134</v>
      </c>
      <c r="BSX11" s="1429" t="s">
        <v>134</v>
      </c>
      <c r="BSY11" s="1429" t="s">
        <v>134</v>
      </c>
      <c r="BSZ11" s="1429" t="s">
        <v>134</v>
      </c>
      <c r="BTA11" s="1429" t="s">
        <v>134</v>
      </c>
      <c r="BTB11" s="1429" t="s">
        <v>134</v>
      </c>
      <c r="BTC11" s="1429" t="s">
        <v>134</v>
      </c>
      <c r="BTD11" s="1429" t="s">
        <v>134</v>
      </c>
      <c r="BTE11" s="1429" t="s">
        <v>134</v>
      </c>
      <c r="BTF11" s="1429" t="s">
        <v>134</v>
      </c>
      <c r="BTG11" s="1429" t="s">
        <v>134</v>
      </c>
      <c r="BTH11" s="1429" t="s">
        <v>134</v>
      </c>
      <c r="BTI11" s="1429" t="s">
        <v>134</v>
      </c>
      <c r="BTJ11" s="1429" t="s">
        <v>134</v>
      </c>
      <c r="BTK11" s="1429" t="s">
        <v>134</v>
      </c>
      <c r="BTL11" s="1429" t="s">
        <v>134</v>
      </c>
      <c r="BTM11" s="1429" t="s">
        <v>134</v>
      </c>
      <c r="BTN11" s="1429" t="s">
        <v>134</v>
      </c>
      <c r="BTO11" s="1429" t="s">
        <v>134</v>
      </c>
      <c r="BTP11" s="1429" t="s">
        <v>134</v>
      </c>
      <c r="BTQ11" s="1429" t="s">
        <v>134</v>
      </c>
      <c r="BTR11" s="1429" t="s">
        <v>134</v>
      </c>
      <c r="BTS11" s="1429" t="s">
        <v>134</v>
      </c>
      <c r="BTT11" s="1429" t="s">
        <v>134</v>
      </c>
      <c r="BTU11" s="1429" t="s">
        <v>134</v>
      </c>
      <c r="BTV11" s="1429" t="s">
        <v>134</v>
      </c>
      <c r="BTW11" s="1429" t="s">
        <v>134</v>
      </c>
      <c r="BTX11" s="1429" t="s">
        <v>134</v>
      </c>
      <c r="BTY11" s="1429" t="s">
        <v>134</v>
      </c>
      <c r="BTZ11" s="1429" t="s">
        <v>134</v>
      </c>
      <c r="BUA11" s="1429" t="s">
        <v>134</v>
      </c>
      <c r="BUB11" s="1429" t="s">
        <v>134</v>
      </c>
      <c r="BUC11" s="1429" t="s">
        <v>134</v>
      </c>
      <c r="BUD11" s="1429" t="s">
        <v>134</v>
      </c>
      <c r="BUE11" s="1429" t="s">
        <v>134</v>
      </c>
      <c r="BUF11" s="1429" t="s">
        <v>134</v>
      </c>
      <c r="BUG11" s="1429" t="s">
        <v>134</v>
      </c>
      <c r="BUH11" s="1429" t="s">
        <v>134</v>
      </c>
      <c r="BUI11" s="1429" t="s">
        <v>134</v>
      </c>
      <c r="BUJ11" s="1429" t="s">
        <v>134</v>
      </c>
      <c r="BUK11" s="1429" t="s">
        <v>134</v>
      </c>
      <c r="BUL11" s="1429" t="s">
        <v>134</v>
      </c>
      <c r="BUM11" s="1429" t="s">
        <v>134</v>
      </c>
      <c r="BUN11" s="1429" t="s">
        <v>134</v>
      </c>
      <c r="BUO11" s="1429" t="s">
        <v>134</v>
      </c>
      <c r="BUP11" s="1429" t="s">
        <v>134</v>
      </c>
      <c r="BUQ11" s="1429" t="s">
        <v>134</v>
      </c>
      <c r="BUR11" s="1429" t="s">
        <v>134</v>
      </c>
      <c r="BUS11" s="1429" t="s">
        <v>134</v>
      </c>
      <c r="BUT11" s="1429" t="s">
        <v>134</v>
      </c>
      <c r="BUU11" s="1429" t="s">
        <v>134</v>
      </c>
      <c r="BUV11" s="1429" t="s">
        <v>134</v>
      </c>
      <c r="BUW11" s="1429" t="s">
        <v>134</v>
      </c>
      <c r="BUX11" s="1429" t="s">
        <v>134</v>
      </c>
      <c r="BUY11" s="1429" t="s">
        <v>134</v>
      </c>
      <c r="BUZ11" s="1429" t="s">
        <v>134</v>
      </c>
      <c r="BVA11" s="1429" t="s">
        <v>134</v>
      </c>
      <c r="BVB11" s="1429" t="s">
        <v>134</v>
      </c>
      <c r="BVC11" s="1429" t="s">
        <v>134</v>
      </c>
      <c r="BVD11" s="1429" t="s">
        <v>134</v>
      </c>
      <c r="BVE11" s="1429" t="s">
        <v>134</v>
      </c>
      <c r="BVF11" s="1429" t="s">
        <v>134</v>
      </c>
      <c r="BVG11" s="1429" t="s">
        <v>134</v>
      </c>
      <c r="BVH11" s="1429" t="s">
        <v>134</v>
      </c>
      <c r="BVI11" s="1429" t="s">
        <v>134</v>
      </c>
      <c r="BVJ11" s="1429" t="s">
        <v>134</v>
      </c>
      <c r="BVK11" s="1429" t="s">
        <v>134</v>
      </c>
      <c r="BVL11" s="1429" t="s">
        <v>134</v>
      </c>
      <c r="BVM11" s="1429" t="s">
        <v>134</v>
      </c>
      <c r="BVN11" s="1429" t="s">
        <v>134</v>
      </c>
      <c r="BVO11" s="1429" t="s">
        <v>134</v>
      </c>
      <c r="BVP11" s="1429" t="s">
        <v>134</v>
      </c>
      <c r="BVQ11" s="1429" t="s">
        <v>134</v>
      </c>
      <c r="BVR11" s="1429" t="s">
        <v>134</v>
      </c>
      <c r="BVS11" s="1429" t="s">
        <v>134</v>
      </c>
      <c r="BVT11" s="1429" t="s">
        <v>134</v>
      </c>
      <c r="BVU11" s="1429" t="s">
        <v>134</v>
      </c>
      <c r="BVV11" s="1429" t="s">
        <v>134</v>
      </c>
      <c r="BVW11" s="1429" t="s">
        <v>134</v>
      </c>
      <c r="BVX11" s="1429" t="s">
        <v>134</v>
      </c>
      <c r="BVY11" s="1429" t="s">
        <v>134</v>
      </c>
      <c r="BVZ11" s="1429" t="s">
        <v>134</v>
      </c>
      <c r="BWA11" s="1429" t="s">
        <v>134</v>
      </c>
      <c r="BWB11" s="1429" t="s">
        <v>134</v>
      </c>
      <c r="BWC11" s="1429" t="s">
        <v>134</v>
      </c>
      <c r="BWD11" s="1429" t="s">
        <v>134</v>
      </c>
      <c r="BWE11" s="1429" t="s">
        <v>134</v>
      </c>
      <c r="BWF11" s="1429" t="s">
        <v>134</v>
      </c>
      <c r="BWG11" s="1429" t="s">
        <v>134</v>
      </c>
      <c r="BWH11" s="1429" t="s">
        <v>134</v>
      </c>
      <c r="BWI11" s="1429" t="s">
        <v>134</v>
      </c>
      <c r="BWJ11" s="1429" t="s">
        <v>134</v>
      </c>
      <c r="BWK11" s="1429" t="s">
        <v>134</v>
      </c>
      <c r="BWL11" s="1429" t="s">
        <v>134</v>
      </c>
      <c r="BWM11" s="1429" t="s">
        <v>134</v>
      </c>
      <c r="BWN11" s="1429" t="s">
        <v>134</v>
      </c>
      <c r="BWO11" s="1429" t="s">
        <v>134</v>
      </c>
      <c r="BWP11" s="1429" t="s">
        <v>134</v>
      </c>
      <c r="BWQ11" s="1429" t="s">
        <v>134</v>
      </c>
      <c r="BWR11" s="1429" t="s">
        <v>134</v>
      </c>
      <c r="BWS11" s="1429" t="s">
        <v>134</v>
      </c>
      <c r="BWT11" s="1429" t="s">
        <v>134</v>
      </c>
      <c r="BWU11" s="1429" t="s">
        <v>134</v>
      </c>
      <c r="BWV11" s="1429" t="s">
        <v>134</v>
      </c>
      <c r="BWW11" s="1429" t="s">
        <v>134</v>
      </c>
      <c r="BWX11" s="1429" t="s">
        <v>134</v>
      </c>
      <c r="BWY11" s="1429" t="s">
        <v>134</v>
      </c>
      <c r="BWZ11" s="1429" t="s">
        <v>134</v>
      </c>
      <c r="BXA11" s="1429" t="s">
        <v>134</v>
      </c>
      <c r="BXB11" s="1429" t="s">
        <v>134</v>
      </c>
      <c r="BXC11" s="1429" t="s">
        <v>134</v>
      </c>
      <c r="BXD11" s="1429" t="s">
        <v>134</v>
      </c>
      <c r="BXE11" s="1429" t="s">
        <v>134</v>
      </c>
      <c r="BXF11" s="1429" t="s">
        <v>134</v>
      </c>
      <c r="BXG11" s="1429" t="s">
        <v>134</v>
      </c>
      <c r="BXH11" s="1429" t="s">
        <v>134</v>
      </c>
      <c r="BXI11" s="1429" t="s">
        <v>134</v>
      </c>
      <c r="BXJ11" s="1429" t="s">
        <v>134</v>
      </c>
      <c r="BXK11" s="1429" t="s">
        <v>134</v>
      </c>
      <c r="BXL11" s="1429" t="s">
        <v>134</v>
      </c>
      <c r="BXM11" s="1429" t="s">
        <v>134</v>
      </c>
      <c r="BXN11" s="1429" t="s">
        <v>134</v>
      </c>
      <c r="BXO11" s="1429" t="s">
        <v>134</v>
      </c>
      <c r="BXP11" s="1429" t="s">
        <v>134</v>
      </c>
      <c r="BXQ11" s="1429" t="s">
        <v>134</v>
      </c>
      <c r="BXR11" s="1429" t="s">
        <v>134</v>
      </c>
      <c r="BXS11" s="1429" t="s">
        <v>134</v>
      </c>
      <c r="BXT11" s="1429" t="s">
        <v>134</v>
      </c>
      <c r="BXU11" s="1429" t="s">
        <v>134</v>
      </c>
      <c r="BXV11" s="1429" t="s">
        <v>134</v>
      </c>
      <c r="BXW11" s="1429" t="s">
        <v>134</v>
      </c>
      <c r="BXX11" s="1429" t="s">
        <v>134</v>
      </c>
      <c r="BXY11" s="1429" t="s">
        <v>134</v>
      </c>
      <c r="BXZ11" s="1429" t="s">
        <v>134</v>
      </c>
      <c r="BYA11" s="1429" t="s">
        <v>134</v>
      </c>
      <c r="BYB11" s="1429" t="s">
        <v>134</v>
      </c>
      <c r="BYC11" s="1429" t="s">
        <v>134</v>
      </c>
      <c r="BYD11" s="1429" t="s">
        <v>134</v>
      </c>
      <c r="BYE11" s="1429" t="s">
        <v>134</v>
      </c>
      <c r="BYF11" s="1429" t="s">
        <v>134</v>
      </c>
      <c r="BYG11" s="1429" t="s">
        <v>134</v>
      </c>
      <c r="BYH11" s="1429" t="s">
        <v>134</v>
      </c>
      <c r="BYI11" s="1429" t="s">
        <v>134</v>
      </c>
      <c r="BYJ11" s="1429" t="s">
        <v>134</v>
      </c>
      <c r="BYK11" s="1429" t="s">
        <v>134</v>
      </c>
      <c r="BYL11" s="1429" t="s">
        <v>134</v>
      </c>
      <c r="BYM11" s="1429" t="s">
        <v>134</v>
      </c>
      <c r="BYN11" s="1429" t="s">
        <v>134</v>
      </c>
      <c r="BYO11" s="1429" t="s">
        <v>134</v>
      </c>
      <c r="BYP11" s="1429" t="s">
        <v>134</v>
      </c>
      <c r="BYQ11" s="1429" t="s">
        <v>134</v>
      </c>
      <c r="BYR11" s="1429" t="s">
        <v>134</v>
      </c>
      <c r="BYS11" s="1429" t="s">
        <v>134</v>
      </c>
      <c r="BYT11" s="1429" t="s">
        <v>134</v>
      </c>
      <c r="BYU11" s="1429" t="s">
        <v>134</v>
      </c>
      <c r="BYV11" s="1429" t="s">
        <v>134</v>
      </c>
      <c r="BYW11" s="1429" t="s">
        <v>134</v>
      </c>
      <c r="BYX11" s="1429" t="s">
        <v>134</v>
      </c>
      <c r="BYY11" s="1429" t="s">
        <v>134</v>
      </c>
      <c r="BYZ11" s="1429" t="s">
        <v>134</v>
      </c>
      <c r="BZA11" s="1429" t="s">
        <v>134</v>
      </c>
      <c r="BZB11" s="1429" t="s">
        <v>134</v>
      </c>
      <c r="BZC11" s="1429" t="s">
        <v>134</v>
      </c>
      <c r="BZD11" s="1429" t="s">
        <v>134</v>
      </c>
      <c r="BZE11" s="1429" t="s">
        <v>134</v>
      </c>
      <c r="BZF11" s="1429" t="s">
        <v>134</v>
      </c>
      <c r="BZG11" s="1429" t="s">
        <v>134</v>
      </c>
      <c r="BZH11" s="1429" t="s">
        <v>134</v>
      </c>
      <c r="BZI11" s="1429" t="s">
        <v>134</v>
      </c>
      <c r="BZJ11" s="1429" t="s">
        <v>134</v>
      </c>
      <c r="BZK11" s="1429" t="s">
        <v>134</v>
      </c>
      <c r="BZL11" s="1429" t="s">
        <v>134</v>
      </c>
      <c r="BZM11" s="1429" t="s">
        <v>134</v>
      </c>
      <c r="BZN11" s="1429" t="s">
        <v>134</v>
      </c>
      <c r="BZO11" s="1429" t="s">
        <v>134</v>
      </c>
      <c r="BZP11" s="1429" t="s">
        <v>134</v>
      </c>
      <c r="BZQ11" s="1429" t="s">
        <v>134</v>
      </c>
      <c r="BZR11" s="1429" t="s">
        <v>134</v>
      </c>
      <c r="BZS11" s="1429" t="s">
        <v>134</v>
      </c>
      <c r="BZT11" s="1429" t="s">
        <v>134</v>
      </c>
      <c r="BZU11" s="1429" t="s">
        <v>134</v>
      </c>
      <c r="BZV11" s="1429" t="s">
        <v>134</v>
      </c>
      <c r="BZW11" s="1429" t="s">
        <v>134</v>
      </c>
      <c r="BZX11" s="1429" t="s">
        <v>134</v>
      </c>
      <c r="BZY11" s="1429" t="s">
        <v>134</v>
      </c>
      <c r="BZZ11" s="1429" t="s">
        <v>134</v>
      </c>
      <c r="CAA11" s="1429" t="s">
        <v>134</v>
      </c>
      <c r="CAB11" s="1429" t="s">
        <v>134</v>
      </c>
      <c r="CAC11" s="1429" t="s">
        <v>134</v>
      </c>
      <c r="CAD11" s="1429" t="s">
        <v>134</v>
      </c>
      <c r="CAE11" s="1429" t="s">
        <v>134</v>
      </c>
      <c r="CAF11" s="1429" t="s">
        <v>134</v>
      </c>
      <c r="CAG11" s="1429" t="s">
        <v>134</v>
      </c>
      <c r="CAH11" s="1429" t="s">
        <v>134</v>
      </c>
      <c r="CAI11" s="1429" t="s">
        <v>134</v>
      </c>
      <c r="CAJ11" s="1429" t="s">
        <v>134</v>
      </c>
      <c r="CAK11" s="1429" t="s">
        <v>134</v>
      </c>
      <c r="CAL11" s="1429" t="s">
        <v>134</v>
      </c>
      <c r="CAM11" s="1429" t="s">
        <v>134</v>
      </c>
      <c r="CAN11" s="1429" t="s">
        <v>134</v>
      </c>
      <c r="CAO11" s="1429" t="s">
        <v>134</v>
      </c>
      <c r="CAP11" s="1429" t="s">
        <v>134</v>
      </c>
      <c r="CAQ11" s="1429" t="s">
        <v>134</v>
      </c>
      <c r="CAR11" s="1429" t="s">
        <v>134</v>
      </c>
      <c r="CAS11" s="1429" t="s">
        <v>134</v>
      </c>
      <c r="CAT11" s="1429" t="s">
        <v>134</v>
      </c>
      <c r="CAU11" s="1429" t="s">
        <v>134</v>
      </c>
      <c r="CAV11" s="1429" t="s">
        <v>134</v>
      </c>
      <c r="CAW11" s="1429" t="s">
        <v>134</v>
      </c>
      <c r="CAX11" s="1429" t="s">
        <v>134</v>
      </c>
      <c r="CAY11" s="1429" t="s">
        <v>134</v>
      </c>
      <c r="CAZ11" s="1429" t="s">
        <v>134</v>
      </c>
      <c r="CBA11" s="1429" t="s">
        <v>134</v>
      </c>
      <c r="CBB11" s="1429" t="s">
        <v>134</v>
      </c>
      <c r="CBC11" s="1429" t="s">
        <v>134</v>
      </c>
      <c r="CBD11" s="1429" t="s">
        <v>134</v>
      </c>
      <c r="CBE11" s="1429" t="s">
        <v>134</v>
      </c>
      <c r="CBF11" s="1429" t="s">
        <v>134</v>
      </c>
      <c r="CBG11" s="1429" t="s">
        <v>134</v>
      </c>
      <c r="CBH11" s="1429" t="s">
        <v>134</v>
      </c>
      <c r="CBI11" s="1429" t="s">
        <v>134</v>
      </c>
      <c r="CBJ11" s="1429" t="s">
        <v>134</v>
      </c>
      <c r="CBK11" s="1429" t="s">
        <v>134</v>
      </c>
      <c r="CBL11" s="1429" t="s">
        <v>134</v>
      </c>
      <c r="CBM11" s="1429" t="s">
        <v>134</v>
      </c>
      <c r="CBN11" s="1429" t="s">
        <v>134</v>
      </c>
      <c r="CBO11" s="1429" t="s">
        <v>134</v>
      </c>
      <c r="CBP11" s="1429" t="s">
        <v>134</v>
      </c>
      <c r="CBQ11" s="1429" t="s">
        <v>134</v>
      </c>
      <c r="CBR11" s="1429" t="s">
        <v>134</v>
      </c>
      <c r="CBS11" s="1429" t="s">
        <v>134</v>
      </c>
      <c r="CBT11" s="1429" t="s">
        <v>134</v>
      </c>
      <c r="CBU11" s="1429" t="s">
        <v>134</v>
      </c>
      <c r="CBV11" s="1429" t="s">
        <v>134</v>
      </c>
      <c r="CBW11" s="1429" t="s">
        <v>134</v>
      </c>
      <c r="CBX11" s="1429" t="s">
        <v>134</v>
      </c>
      <c r="CBY11" s="1429" t="s">
        <v>134</v>
      </c>
      <c r="CBZ11" s="1429" t="s">
        <v>134</v>
      </c>
      <c r="CCA11" s="1429" t="s">
        <v>134</v>
      </c>
      <c r="CCB11" s="1429" t="s">
        <v>134</v>
      </c>
      <c r="CCC11" s="1429" t="s">
        <v>134</v>
      </c>
      <c r="CCD11" s="1429" t="s">
        <v>134</v>
      </c>
      <c r="CCE11" s="1429" t="s">
        <v>134</v>
      </c>
      <c r="CCF11" s="1429" t="s">
        <v>134</v>
      </c>
      <c r="CCG11" s="1429" t="s">
        <v>134</v>
      </c>
      <c r="CCH11" s="1429" t="s">
        <v>134</v>
      </c>
      <c r="CCI11" s="1429" t="s">
        <v>134</v>
      </c>
      <c r="CCJ11" s="1429" t="s">
        <v>134</v>
      </c>
      <c r="CCK11" s="1429" t="s">
        <v>134</v>
      </c>
      <c r="CCL11" s="1429" t="s">
        <v>134</v>
      </c>
      <c r="CCM11" s="1429" t="s">
        <v>134</v>
      </c>
      <c r="CCN11" s="1429" t="s">
        <v>134</v>
      </c>
      <c r="CCO11" s="1429" t="s">
        <v>134</v>
      </c>
      <c r="CCP11" s="1429" t="s">
        <v>134</v>
      </c>
      <c r="CCQ11" s="1429" t="s">
        <v>134</v>
      </c>
      <c r="CCR11" s="1429" t="s">
        <v>134</v>
      </c>
      <c r="CCS11" s="1429" t="s">
        <v>134</v>
      </c>
      <c r="CCT11" s="1429" t="s">
        <v>134</v>
      </c>
      <c r="CCU11" s="1429" t="s">
        <v>134</v>
      </c>
      <c r="CCV11" s="1429" t="s">
        <v>134</v>
      </c>
      <c r="CCW11" s="1429" t="s">
        <v>134</v>
      </c>
      <c r="CCX11" s="1429" t="s">
        <v>134</v>
      </c>
      <c r="CCY11" s="1429" t="s">
        <v>134</v>
      </c>
      <c r="CCZ11" s="1429" t="s">
        <v>134</v>
      </c>
      <c r="CDA11" s="1429" t="s">
        <v>134</v>
      </c>
      <c r="CDB11" s="1429" t="s">
        <v>134</v>
      </c>
      <c r="CDC11" s="1429" t="s">
        <v>134</v>
      </c>
      <c r="CDD11" s="1429" t="s">
        <v>134</v>
      </c>
      <c r="CDE11" s="1429" t="s">
        <v>134</v>
      </c>
      <c r="CDF11" s="1429" t="s">
        <v>134</v>
      </c>
      <c r="CDG11" s="1429" t="s">
        <v>134</v>
      </c>
      <c r="CDH11" s="1429" t="s">
        <v>134</v>
      </c>
      <c r="CDI11" s="1429" t="s">
        <v>134</v>
      </c>
      <c r="CDJ11" s="1429" t="s">
        <v>134</v>
      </c>
      <c r="CDK11" s="1429" t="s">
        <v>134</v>
      </c>
      <c r="CDL11" s="1429" t="s">
        <v>134</v>
      </c>
      <c r="CDM11" s="1429" t="s">
        <v>134</v>
      </c>
      <c r="CDN11" s="1429" t="s">
        <v>134</v>
      </c>
      <c r="CDO11" s="1429" t="s">
        <v>134</v>
      </c>
      <c r="CDP11" s="1429" t="s">
        <v>134</v>
      </c>
      <c r="CDQ11" s="1429" t="s">
        <v>134</v>
      </c>
      <c r="CDR11" s="1429" t="s">
        <v>134</v>
      </c>
      <c r="CDS11" s="1429" t="s">
        <v>134</v>
      </c>
      <c r="CDT11" s="1429" t="s">
        <v>134</v>
      </c>
      <c r="CDU11" s="1429" t="s">
        <v>134</v>
      </c>
      <c r="CDV11" s="1429" t="s">
        <v>134</v>
      </c>
      <c r="CDW11" s="1429" t="s">
        <v>134</v>
      </c>
      <c r="CDX11" s="1429" t="s">
        <v>134</v>
      </c>
      <c r="CDY11" s="1429" t="s">
        <v>134</v>
      </c>
      <c r="CDZ11" s="1429" t="s">
        <v>134</v>
      </c>
      <c r="CEA11" s="1429" t="s">
        <v>134</v>
      </c>
      <c r="CEB11" s="1429" t="s">
        <v>134</v>
      </c>
      <c r="CEC11" s="1429" t="s">
        <v>134</v>
      </c>
      <c r="CED11" s="1429" t="s">
        <v>134</v>
      </c>
      <c r="CEE11" s="1429" t="s">
        <v>134</v>
      </c>
      <c r="CEF11" s="1429" t="s">
        <v>134</v>
      </c>
      <c r="CEG11" s="1429" t="s">
        <v>134</v>
      </c>
      <c r="CEH11" s="1429" t="s">
        <v>134</v>
      </c>
      <c r="CEI11" s="1429" t="s">
        <v>134</v>
      </c>
      <c r="CEJ11" s="1429" t="s">
        <v>134</v>
      </c>
      <c r="CEK11" s="1429" t="s">
        <v>134</v>
      </c>
      <c r="CEL11" s="1429" t="s">
        <v>134</v>
      </c>
      <c r="CEM11" s="1429" t="s">
        <v>134</v>
      </c>
      <c r="CEN11" s="1429" t="s">
        <v>134</v>
      </c>
      <c r="CEO11" s="1429" t="s">
        <v>134</v>
      </c>
      <c r="CEP11" s="1429" t="s">
        <v>134</v>
      </c>
      <c r="CEQ11" s="1429" t="s">
        <v>134</v>
      </c>
      <c r="CER11" s="1429" t="s">
        <v>134</v>
      </c>
      <c r="CES11" s="1429" t="s">
        <v>134</v>
      </c>
      <c r="CET11" s="1429" t="s">
        <v>134</v>
      </c>
      <c r="CEU11" s="1429" t="s">
        <v>134</v>
      </c>
      <c r="CEV11" s="1429" t="s">
        <v>134</v>
      </c>
      <c r="CEW11" s="1429" t="s">
        <v>134</v>
      </c>
      <c r="CEX11" s="1429" t="s">
        <v>134</v>
      </c>
      <c r="CEY11" s="1429" t="s">
        <v>134</v>
      </c>
      <c r="CEZ11" s="1429" t="s">
        <v>134</v>
      </c>
      <c r="CFA11" s="1429" t="s">
        <v>134</v>
      </c>
      <c r="CFB11" s="1429" t="s">
        <v>134</v>
      </c>
      <c r="CFC11" s="1429" t="s">
        <v>134</v>
      </c>
      <c r="CFD11" s="1429" t="s">
        <v>134</v>
      </c>
      <c r="CFE11" s="1429" t="s">
        <v>134</v>
      </c>
      <c r="CFF11" s="1429" t="s">
        <v>134</v>
      </c>
      <c r="CFG11" s="1429" t="s">
        <v>134</v>
      </c>
      <c r="CFH11" s="1429" t="s">
        <v>134</v>
      </c>
      <c r="CFI11" s="1429" t="s">
        <v>134</v>
      </c>
      <c r="CFJ11" s="1429" t="s">
        <v>134</v>
      </c>
      <c r="CFK11" s="1429" t="s">
        <v>134</v>
      </c>
      <c r="CFL11" s="1429" t="s">
        <v>134</v>
      </c>
      <c r="CFM11" s="1429" t="s">
        <v>134</v>
      </c>
      <c r="CFN11" s="1429" t="s">
        <v>134</v>
      </c>
      <c r="CFO11" s="1429" t="s">
        <v>134</v>
      </c>
      <c r="CFP11" s="1429" t="s">
        <v>134</v>
      </c>
      <c r="CFQ11" s="1429" t="s">
        <v>134</v>
      </c>
      <c r="CFR11" s="1429" t="s">
        <v>134</v>
      </c>
      <c r="CFS11" s="1429" t="s">
        <v>134</v>
      </c>
      <c r="CFT11" s="1429" t="s">
        <v>134</v>
      </c>
      <c r="CFU11" s="1429" t="s">
        <v>134</v>
      </c>
      <c r="CFV11" s="1429" t="s">
        <v>134</v>
      </c>
      <c r="CFW11" s="1429" t="s">
        <v>134</v>
      </c>
      <c r="CFX11" s="1429" t="s">
        <v>134</v>
      </c>
      <c r="CFY11" s="1429" t="s">
        <v>134</v>
      </c>
      <c r="CFZ11" s="1429" t="s">
        <v>134</v>
      </c>
      <c r="CGA11" s="1429" t="s">
        <v>134</v>
      </c>
      <c r="CGB11" s="1429" t="s">
        <v>134</v>
      </c>
      <c r="CGC11" s="1429" t="s">
        <v>134</v>
      </c>
      <c r="CGD11" s="1429" t="s">
        <v>134</v>
      </c>
      <c r="CGE11" s="1429" t="s">
        <v>134</v>
      </c>
      <c r="CGF11" s="1429" t="s">
        <v>134</v>
      </c>
      <c r="CGG11" s="1429" t="s">
        <v>134</v>
      </c>
      <c r="CGH11" s="1429" t="s">
        <v>134</v>
      </c>
      <c r="CGI11" s="1429" t="s">
        <v>134</v>
      </c>
      <c r="CGJ11" s="1429" t="s">
        <v>134</v>
      </c>
      <c r="CGK11" s="1429" t="s">
        <v>134</v>
      </c>
      <c r="CGL11" s="1429" t="s">
        <v>134</v>
      </c>
      <c r="CGM11" s="1429" t="s">
        <v>134</v>
      </c>
      <c r="CGN11" s="1429" t="s">
        <v>134</v>
      </c>
      <c r="CGO11" s="1429" t="s">
        <v>134</v>
      </c>
      <c r="CGP11" s="1429" t="s">
        <v>134</v>
      </c>
      <c r="CGQ11" s="1429" t="s">
        <v>134</v>
      </c>
      <c r="CGR11" s="1429" t="s">
        <v>134</v>
      </c>
      <c r="CGS11" s="1429" t="s">
        <v>134</v>
      </c>
      <c r="CGT11" s="1429" t="s">
        <v>134</v>
      </c>
      <c r="CGU11" s="1429" t="s">
        <v>134</v>
      </c>
      <c r="CGV11" s="1429" t="s">
        <v>134</v>
      </c>
      <c r="CGW11" s="1429" t="s">
        <v>134</v>
      </c>
      <c r="CGX11" s="1429" t="s">
        <v>134</v>
      </c>
      <c r="CGY11" s="1429" t="s">
        <v>134</v>
      </c>
      <c r="CGZ11" s="1429" t="s">
        <v>134</v>
      </c>
      <c r="CHA11" s="1429" t="s">
        <v>134</v>
      </c>
      <c r="CHB11" s="1429" t="s">
        <v>134</v>
      </c>
      <c r="CHC11" s="1429" t="s">
        <v>134</v>
      </c>
      <c r="CHD11" s="1429" t="s">
        <v>134</v>
      </c>
      <c r="CHE11" s="1429" t="s">
        <v>134</v>
      </c>
      <c r="CHF11" s="1429" t="s">
        <v>134</v>
      </c>
      <c r="CHG11" s="1429" t="s">
        <v>134</v>
      </c>
      <c r="CHH11" s="1429" t="s">
        <v>134</v>
      </c>
      <c r="CHI11" s="1429" t="s">
        <v>134</v>
      </c>
      <c r="CHJ11" s="1429" t="s">
        <v>134</v>
      </c>
      <c r="CHK11" s="1429" t="s">
        <v>134</v>
      </c>
      <c r="CHL11" s="1429" t="s">
        <v>134</v>
      </c>
      <c r="CHM11" s="1429" t="s">
        <v>134</v>
      </c>
      <c r="CHN11" s="1429" t="s">
        <v>134</v>
      </c>
      <c r="CHO11" s="1429" t="s">
        <v>134</v>
      </c>
      <c r="CHP11" s="1429" t="s">
        <v>134</v>
      </c>
      <c r="CHQ11" s="1429" t="s">
        <v>134</v>
      </c>
      <c r="CHR11" s="1429" t="s">
        <v>134</v>
      </c>
      <c r="CHS11" s="1429" t="s">
        <v>134</v>
      </c>
      <c r="CHT11" s="1429" t="s">
        <v>134</v>
      </c>
      <c r="CHU11" s="1429" t="s">
        <v>134</v>
      </c>
      <c r="CHV11" s="1429" t="s">
        <v>134</v>
      </c>
      <c r="CHW11" s="1429" t="s">
        <v>134</v>
      </c>
      <c r="CHX11" s="1429" t="s">
        <v>134</v>
      </c>
      <c r="CHY11" s="1429" t="s">
        <v>134</v>
      </c>
      <c r="CHZ11" s="1429" t="s">
        <v>134</v>
      </c>
      <c r="CIA11" s="1429" t="s">
        <v>134</v>
      </c>
      <c r="CIB11" s="1429" t="s">
        <v>134</v>
      </c>
      <c r="CIC11" s="1429" t="s">
        <v>134</v>
      </c>
      <c r="CID11" s="1429" t="s">
        <v>134</v>
      </c>
      <c r="CIE11" s="1429" t="s">
        <v>134</v>
      </c>
      <c r="CIF11" s="1429" t="s">
        <v>134</v>
      </c>
      <c r="CIG11" s="1429" t="s">
        <v>134</v>
      </c>
      <c r="CIH11" s="1429" t="s">
        <v>134</v>
      </c>
      <c r="CII11" s="1429" t="s">
        <v>134</v>
      </c>
      <c r="CIJ11" s="1429" t="s">
        <v>134</v>
      </c>
      <c r="CIK11" s="1429" t="s">
        <v>134</v>
      </c>
      <c r="CIL11" s="1429" t="s">
        <v>134</v>
      </c>
      <c r="CIM11" s="1429" t="s">
        <v>134</v>
      </c>
      <c r="CIN11" s="1429" t="s">
        <v>134</v>
      </c>
      <c r="CIO11" s="1429" t="s">
        <v>134</v>
      </c>
      <c r="CIP11" s="1429" t="s">
        <v>134</v>
      </c>
      <c r="CIQ11" s="1429" t="s">
        <v>134</v>
      </c>
      <c r="CIR11" s="1429" t="s">
        <v>134</v>
      </c>
      <c r="CIS11" s="1429" t="s">
        <v>134</v>
      </c>
      <c r="CIT11" s="1429" t="s">
        <v>134</v>
      </c>
      <c r="CIU11" s="1429" t="s">
        <v>134</v>
      </c>
      <c r="CIV11" s="1429" t="s">
        <v>134</v>
      </c>
      <c r="CIW11" s="1429" t="s">
        <v>134</v>
      </c>
      <c r="CIX11" s="1429" t="s">
        <v>134</v>
      </c>
      <c r="CIY11" s="1429" t="s">
        <v>134</v>
      </c>
      <c r="CIZ11" s="1429" t="s">
        <v>134</v>
      </c>
      <c r="CJA11" s="1429" t="s">
        <v>134</v>
      </c>
      <c r="CJB11" s="1429" t="s">
        <v>134</v>
      </c>
      <c r="CJC11" s="1429" t="s">
        <v>134</v>
      </c>
      <c r="CJD11" s="1429" t="s">
        <v>134</v>
      </c>
      <c r="CJE11" s="1429" t="s">
        <v>134</v>
      </c>
      <c r="CJF11" s="1429" t="s">
        <v>134</v>
      </c>
      <c r="CJG11" s="1429" t="s">
        <v>134</v>
      </c>
      <c r="CJH11" s="1429" t="s">
        <v>134</v>
      </c>
      <c r="CJI11" s="1429" t="s">
        <v>134</v>
      </c>
      <c r="CJJ11" s="1429" t="s">
        <v>134</v>
      </c>
      <c r="CJK11" s="1429" t="s">
        <v>134</v>
      </c>
      <c r="CJL11" s="1429" t="s">
        <v>134</v>
      </c>
      <c r="CJM11" s="1429" t="s">
        <v>134</v>
      </c>
      <c r="CJN11" s="1429" t="s">
        <v>134</v>
      </c>
      <c r="CJO11" s="1429" t="s">
        <v>134</v>
      </c>
      <c r="CJP11" s="1429" t="s">
        <v>134</v>
      </c>
      <c r="CJQ11" s="1429" t="s">
        <v>134</v>
      </c>
      <c r="CJR11" s="1429" t="s">
        <v>134</v>
      </c>
      <c r="CJS11" s="1429" t="s">
        <v>134</v>
      </c>
      <c r="CJT11" s="1429" t="s">
        <v>134</v>
      </c>
      <c r="CJU11" s="1429" t="s">
        <v>134</v>
      </c>
      <c r="CJV11" s="1429" t="s">
        <v>134</v>
      </c>
      <c r="CJW11" s="1429" t="s">
        <v>134</v>
      </c>
      <c r="CJX11" s="1429" t="s">
        <v>134</v>
      </c>
      <c r="CJY11" s="1429" t="s">
        <v>134</v>
      </c>
      <c r="CJZ11" s="1429" t="s">
        <v>134</v>
      </c>
      <c r="CKA11" s="1429" t="s">
        <v>134</v>
      </c>
      <c r="CKB11" s="1429" t="s">
        <v>134</v>
      </c>
      <c r="CKC11" s="1429" t="s">
        <v>134</v>
      </c>
      <c r="CKD11" s="1429" t="s">
        <v>134</v>
      </c>
      <c r="CKE11" s="1429" t="s">
        <v>134</v>
      </c>
      <c r="CKF11" s="1429" t="s">
        <v>134</v>
      </c>
      <c r="CKG11" s="1429" t="s">
        <v>134</v>
      </c>
      <c r="CKH11" s="1429" t="s">
        <v>134</v>
      </c>
      <c r="CKI11" s="1429" t="s">
        <v>134</v>
      </c>
      <c r="CKJ11" s="1429" t="s">
        <v>134</v>
      </c>
      <c r="CKK11" s="1429" t="s">
        <v>134</v>
      </c>
      <c r="CKL11" s="1429" t="s">
        <v>134</v>
      </c>
      <c r="CKM11" s="1429" t="s">
        <v>134</v>
      </c>
      <c r="CKN11" s="1429" t="s">
        <v>134</v>
      </c>
      <c r="CKO11" s="1429" t="s">
        <v>134</v>
      </c>
      <c r="CKP11" s="1429" t="s">
        <v>134</v>
      </c>
      <c r="CKQ11" s="1429" t="s">
        <v>134</v>
      </c>
      <c r="CKR11" s="1429" t="s">
        <v>134</v>
      </c>
      <c r="CKS11" s="1429" t="s">
        <v>134</v>
      </c>
      <c r="CKT11" s="1429" t="s">
        <v>134</v>
      </c>
      <c r="CKU11" s="1429" t="s">
        <v>134</v>
      </c>
      <c r="CKV11" s="1429" t="s">
        <v>134</v>
      </c>
      <c r="CKW11" s="1429" t="s">
        <v>134</v>
      </c>
      <c r="CKX11" s="1429" t="s">
        <v>134</v>
      </c>
      <c r="CKY11" s="1429" t="s">
        <v>134</v>
      </c>
      <c r="CKZ11" s="1429" t="s">
        <v>134</v>
      </c>
      <c r="CLA11" s="1429" t="s">
        <v>134</v>
      </c>
      <c r="CLB11" s="1429" t="s">
        <v>134</v>
      </c>
      <c r="CLC11" s="1429" t="s">
        <v>134</v>
      </c>
      <c r="CLD11" s="1429" t="s">
        <v>134</v>
      </c>
      <c r="CLE11" s="1429" t="s">
        <v>134</v>
      </c>
      <c r="CLF11" s="1429" t="s">
        <v>134</v>
      </c>
      <c r="CLG11" s="1429" t="s">
        <v>134</v>
      </c>
      <c r="CLH11" s="1429" t="s">
        <v>134</v>
      </c>
      <c r="CLI11" s="1429" t="s">
        <v>134</v>
      </c>
      <c r="CLJ11" s="1429" t="s">
        <v>134</v>
      </c>
      <c r="CLK11" s="1429" t="s">
        <v>134</v>
      </c>
      <c r="CLL11" s="1429" t="s">
        <v>134</v>
      </c>
      <c r="CLM11" s="1429" t="s">
        <v>134</v>
      </c>
      <c r="CLN11" s="1429" t="s">
        <v>134</v>
      </c>
      <c r="CLO11" s="1429" t="s">
        <v>134</v>
      </c>
      <c r="CLP11" s="1429" t="s">
        <v>134</v>
      </c>
      <c r="CLQ11" s="1429" t="s">
        <v>134</v>
      </c>
      <c r="CLR11" s="1429" t="s">
        <v>134</v>
      </c>
      <c r="CLS11" s="1429" t="s">
        <v>134</v>
      </c>
      <c r="CLT11" s="1429" t="s">
        <v>134</v>
      </c>
      <c r="CLU11" s="1429" t="s">
        <v>134</v>
      </c>
      <c r="CLV11" s="1429" t="s">
        <v>134</v>
      </c>
      <c r="CLW11" s="1429" t="s">
        <v>134</v>
      </c>
      <c r="CLX11" s="1429" t="s">
        <v>134</v>
      </c>
      <c r="CLY11" s="1429" t="s">
        <v>134</v>
      </c>
      <c r="CLZ11" s="1429" t="s">
        <v>134</v>
      </c>
      <c r="CMA11" s="1429" t="s">
        <v>134</v>
      </c>
      <c r="CMB11" s="1429" t="s">
        <v>134</v>
      </c>
      <c r="CMC11" s="1429" t="s">
        <v>134</v>
      </c>
      <c r="CMD11" s="1429" t="s">
        <v>134</v>
      </c>
      <c r="CME11" s="1429" t="s">
        <v>134</v>
      </c>
      <c r="CMF11" s="1429" t="s">
        <v>134</v>
      </c>
      <c r="CMG11" s="1429" t="s">
        <v>134</v>
      </c>
      <c r="CMH11" s="1429" t="s">
        <v>134</v>
      </c>
      <c r="CMI11" s="1429" t="s">
        <v>134</v>
      </c>
      <c r="CMJ11" s="1429" t="s">
        <v>134</v>
      </c>
      <c r="CMK11" s="1429" t="s">
        <v>134</v>
      </c>
      <c r="CML11" s="1429" t="s">
        <v>134</v>
      </c>
      <c r="CMM11" s="1429" t="s">
        <v>134</v>
      </c>
      <c r="CMN11" s="1429" t="s">
        <v>134</v>
      </c>
      <c r="CMO11" s="1429" t="s">
        <v>134</v>
      </c>
      <c r="CMP11" s="1429" t="s">
        <v>134</v>
      </c>
      <c r="CMQ11" s="1429" t="s">
        <v>134</v>
      </c>
      <c r="CMR11" s="1429" t="s">
        <v>134</v>
      </c>
      <c r="CMS11" s="1429" t="s">
        <v>134</v>
      </c>
      <c r="CMT11" s="1429" t="s">
        <v>134</v>
      </c>
      <c r="CMU11" s="1429" t="s">
        <v>134</v>
      </c>
      <c r="CMV11" s="1429" t="s">
        <v>134</v>
      </c>
      <c r="CMW11" s="1429" t="s">
        <v>134</v>
      </c>
      <c r="CMX11" s="1429" t="s">
        <v>134</v>
      </c>
      <c r="CMY11" s="1429" t="s">
        <v>134</v>
      </c>
      <c r="CMZ11" s="1429" t="s">
        <v>134</v>
      </c>
      <c r="CNA11" s="1429" t="s">
        <v>134</v>
      </c>
      <c r="CNB11" s="1429" t="s">
        <v>134</v>
      </c>
      <c r="CNC11" s="1429" t="s">
        <v>134</v>
      </c>
      <c r="CND11" s="1429" t="s">
        <v>134</v>
      </c>
      <c r="CNE11" s="1429" t="s">
        <v>134</v>
      </c>
      <c r="CNF11" s="1429" t="s">
        <v>134</v>
      </c>
      <c r="CNG11" s="1429" t="s">
        <v>134</v>
      </c>
      <c r="CNH11" s="1429" t="s">
        <v>134</v>
      </c>
      <c r="CNI11" s="1429" t="s">
        <v>134</v>
      </c>
      <c r="CNJ11" s="1429" t="s">
        <v>134</v>
      </c>
      <c r="CNK11" s="1429" t="s">
        <v>134</v>
      </c>
      <c r="CNL11" s="1429" t="s">
        <v>134</v>
      </c>
      <c r="CNM11" s="1429" t="s">
        <v>134</v>
      </c>
      <c r="CNN11" s="1429" t="s">
        <v>134</v>
      </c>
      <c r="CNO11" s="1429" t="s">
        <v>134</v>
      </c>
      <c r="CNP11" s="1429" t="s">
        <v>134</v>
      </c>
      <c r="CNQ11" s="1429" t="s">
        <v>134</v>
      </c>
      <c r="CNR11" s="1429" t="s">
        <v>134</v>
      </c>
      <c r="CNS11" s="1429" t="s">
        <v>134</v>
      </c>
      <c r="CNT11" s="1429" t="s">
        <v>134</v>
      </c>
      <c r="CNU11" s="1429" t="s">
        <v>134</v>
      </c>
      <c r="CNV11" s="1429" t="s">
        <v>134</v>
      </c>
      <c r="CNW11" s="1429" t="s">
        <v>134</v>
      </c>
      <c r="CNX11" s="1429" t="s">
        <v>134</v>
      </c>
      <c r="CNY11" s="1429" t="s">
        <v>134</v>
      </c>
      <c r="CNZ11" s="1429" t="s">
        <v>134</v>
      </c>
      <c r="COA11" s="1429" t="s">
        <v>134</v>
      </c>
      <c r="COB11" s="1429" t="s">
        <v>134</v>
      </c>
      <c r="COC11" s="1429" t="s">
        <v>134</v>
      </c>
      <c r="COD11" s="1429" t="s">
        <v>134</v>
      </c>
      <c r="COE11" s="1429" t="s">
        <v>134</v>
      </c>
      <c r="COF11" s="1429" t="s">
        <v>134</v>
      </c>
      <c r="COG11" s="1429" t="s">
        <v>134</v>
      </c>
      <c r="COH11" s="1429" t="s">
        <v>134</v>
      </c>
      <c r="COI11" s="1429" t="s">
        <v>134</v>
      </c>
      <c r="COJ11" s="1429" t="s">
        <v>134</v>
      </c>
      <c r="COK11" s="1429" t="s">
        <v>134</v>
      </c>
      <c r="COL11" s="1429" t="s">
        <v>134</v>
      </c>
      <c r="COM11" s="1429" t="s">
        <v>134</v>
      </c>
      <c r="CON11" s="1429" t="s">
        <v>134</v>
      </c>
      <c r="COO11" s="1429" t="s">
        <v>134</v>
      </c>
      <c r="COP11" s="1429" t="s">
        <v>134</v>
      </c>
      <c r="COQ11" s="1429" t="s">
        <v>134</v>
      </c>
      <c r="COR11" s="1429" t="s">
        <v>134</v>
      </c>
      <c r="COS11" s="1429" t="s">
        <v>134</v>
      </c>
      <c r="COT11" s="1429" t="s">
        <v>134</v>
      </c>
      <c r="COU11" s="1429" t="s">
        <v>134</v>
      </c>
      <c r="COV11" s="1429" t="s">
        <v>134</v>
      </c>
      <c r="COW11" s="1429" t="s">
        <v>134</v>
      </c>
      <c r="COX11" s="1429" t="s">
        <v>134</v>
      </c>
      <c r="COY11" s="1429" t="s">
        <v>134</v>
      </c>
      <c r="COZ11" s="1429" t="s">
        <v>134</v>
      </c>
      <c r="CPA11" s="1429" t="s">
        <v>134</v>
      </c>
      <c r="CPB11" s="1429" t="s">
        <v>134</v>
      </c>
      <c r="CPC11" s="1429" t="s">
        <v>134</v>
      </c>
      <c r="CPD11" s="1429" t="s">
        <v>134</v>
      </c>
      <c r="CPE11" s="1429" t="s">
        <v>134</v>
      </c>
      <c r="CPF11" s="1429" t="s">
        <v>134</v>
      </c>
      <c r="CPG11" s="1429" t="s">
        <v>134</v>
      </c>
      <c r="CPH11" s="1429" t="s">
        <v>134</v>
      </c>
      <c r="CPI11" s="1429" t="s">
        <v>134</v>
      </c>
      <c r="CPJ11" s="1429" t="s">
        <v>134</v>
      </c>
      <c r="CPK11" s="1429" t="s">
        <v>134</v>
      </c>
      <c r="CPL11" s="1429" t="s">
        <v>134</v>
      </c>
      <c r="CPM11" s="1429" t="s">
        <v>134</v>
      </c>
      <c r="CPN11" s="1429" t="s">
        <v>134</v>
      </c>
      <c r="CPO11" s="1429" t="s">
        <v>134</v>
      </c>
      <c r="CPP11" s="1429" t="s">
        <v>134</v>
      </c>
      <c r="CPQ11" s="1429" t="s">
        <v>134</v>
      </c>
      <c r="CPR11" s="1429" t="s">
        <v>134</v>
      </c>
      <c r="CPS11" s="1429" t="s">
        <v>134</v>
      </c>
      <c r="CPT11" s="1429" t="s">
        <v>134</v>
      </c>
      <c r="CPU11" s="1429" t="s">
        <v>134</v>
      </c>
      <c r="CPV11" s="1429" t="s">
        <v>134</v>
      </c>
      <c r="CPW11" s="1429" t="s">
        <v>134</v>
      </c>
      <c r="CPX11" s="1429" t="s">
        <v>134</v>
      </c>
      <c r="CPY11" s="1429" t="s">
        <v>134</v>
      </c>
      <c r="CPZ11" s="1429" t="s">
        <v>134</v>
      </c>
      <c r="CQA11" s="1429" t="s">
        <v>134</v>
      </c>
      <c r="CQB11" s="1429" t="s">
        <v>134</v>
      </c>
      <c r="CQC11" s="1429" t="s">
        <v>134</v>
      </c>
      <c r="CQD11" s="1429" t="s">
        <v>134</v>
      </c>
      <c r="CQE11" s="1429" t="s">
        <v>134</v>
      </c>
      <c r="CQF11" s="1429" t="s">
        <v>134</v>
      </c>
      <c r="CQG11" s="1429" t="s">
        <v>134</v>
      </c>
      <c r="CQH11" s="1429" t="s">
        <v>134</v>
      </c>
      <c r="CQI11" s="1429" t="s">
        <v>134</v>
      </c>
      <c r="CQJ11" s="1429" t="s">
        <v>134</v>
      </c>
      <c r="CQK11" s="1429" t="s">
        <v>134</v>
      </c>
      <c r="CQL11" s="1429" t="s">
        <v>134</v>
      </c>
      <c r="CQM11" s="1429" t="s">
        <v>134</v>
      </c>
      <c r="CQN11" s="1429" t="s">
        <v>134</v>
      </c>
      <c r="CQO11" s="1429" t="s">
        <v>134</v>
      </c>
      <c r="CQP11" s="1429" t="s">
        <v>134</v>
      </c>
      <c r="CQQ11" s="1429" t="s">
        <v>134</v>
      </c>
      <c r="CQR11" s="1429" t="s">
        <v>134</v>
      </c>
      <c r="CQS11" s="1429" t="s">
        <v>134</v>
      </c>
      <c r="CQT11" s="1429" t="s">
        <v>134</v>
      </c>
      <c r="CQU11" s="1429" t="s">
        <v>134</v>
      </c>
      <c r="CQV11" s="1429" t="s">
        <v>134</v>
      </c>
      <c r="CQW11" s="1429" t="s">
        <v>134</v>
      </c>
      <c r="CQX11" s="1429" t="s">
        <v>134</v>
      </c>
      <c r="CQY11" s="1429" t="s">
        <v>134</v>
      </c>
      <c r="CQZ11" s="1429" t="s">
        <v>134</v>
      </c>
      <c r="CRA11" s="1429" t="s">
        <v>134</v>
      </c>
      <c r="CRB11" s="1429" t="s">
        <v>134</v>
      </c>
      <c r="CRC11" s="1429" t="s">
        <v>134</v>
      </c>
      <c r="CRD11" s="1429" t="s">
        <v>134</v>
      </c>
      <c r="CRE11" s="1429" t="s">
        <v>134</v>
      </c>
      <c r="CRF11" s="1429" t="s">
        <v>134</v>
      </c>
      <c r="CRG11" s="1429" t="s">
        <v>134</v>
      </c>
      <c r="CRH11" s="1429" t="s">
        <v>134</v>
      </c>
      <c r="CRI11" s="1429" t="s">
        <v>134</v>
      </c>
      <c r="CRJ11" s="1429" t="s">
        <v>134</v>
      </c>
      <c r="CRK11" s="1429" t="s">
        <v>134</v>
      </c>
      <c r="CRL11" s="1429" t="s">
        <v>134</v>
      </c>
      <c r="CRM11" s="1429" t="s">
        <v>134</v>
      </c>
      <c r="CRN11" s="1429" t="s">
        <v>134</v>
      </c>
      <c r="CRO11" s="1429" t="s">
        <v>134</v>
      </c>
      <c r="CRP11" s="1429" t="s">
        <v>134</v>
      </c>
      <c r="CRQ11" s="1429" t="s">
        <v>134</v>
      </c>
      <c r="CRR11" s="1429" t="s">
        <v>134</v>
      </c>
      <c r="CRS11" s="1429" t="s">
        <v>134</v>
      </c>
      <c r="CRT11" s="1429" t="s">
        <v>134</v>
      </c>
      <c r="CRU11" s="1429" t="s">
        <v>134</v>
      </c>
      <c r="CRV11" s="1429" t="s">
        <v>134</v>
      </c>
      <c r="CRW11" s="1429" t="s">
        <v>134</v>
      </c>
      <c r="CRX11" s="1429" t="s">
        <v>134</v>
      </c>
      <c r="CRY11" s="1429" t="s">
        <v>134</v>
      </c>
      <c r="CRZ11" s="1429" t="s">
        <v>134</v>
      </c>
      <c r="CSA11" s="1429" t="s">
        <v>134</v>
      </c>
      <c r="CSB11" s="1429" t="s">
        <v>134</v>
      </c>
      <c r="CSC11" s="1429" t="s">
        <v>134</v>
      </c>
      <c r="CSD11" s="1429" t="s">
        <v>134</v>
      </c>
      <c r="CSE11" s="1429" t="s">
        <v>134</v>
      </c>
      <c r="CSF11" s="1429" t="s">
        <v>134</v>
      </c>
      <c r="CSG11" s="1429" t="s">
        <v>134</v>
      </c>
      <c r="CSH11" s="1429" t="s">
        <v>134</v>
      </c>
      <c r="CSI11" s="1429" t="s">
        <v>134</v>
      </c>
      <c r="CSJ11" s="1429" t="s">
        <v>134</v>
      </c>
      <c r="CSK11" s="1429" t="s">
        <v>134</v>
      </c>
      <c r="CSL11" s="1429" t="s">
        <v>134</v>
      </c>
      <c r="CSM11" s="1429" t="s">
        <v>134</v>
      </c>
      <c r="CSN11" s="1429" t="s">
        <v>134</v>
      </c>
      <c r="CSO11" s="1429" t="s">
        <v>134</v>
      </c>
      <c r="CSP11" s="1429" t="s">
        <v>134</v>
      </c>
      <c r="CSQ11" s="1429" t="s">
        <v>134</v>
      </c>
      <c r="CSR11" s="1429" t="s">
        <v>134</v>
      </c>
      <c r="CSS11" s="1429" t="s">
        <v>134</v>
      </c>
      <c r="CST11" s="1429" t="s">
        <v>134</v>
      </c>
      <c r="CSU11" s="1429" t="s">
        <v>134</v>
      </c>
      <c r="CSV11" s="1429" t="s">
        <v>134</v>
      </c>
      <c r="CSW11" s="1429" t="s">
        <v>134</v>
      </c>
      <c r="CSX11" s="1429" t="s">
        <v>134</v>
      </c>
      <c r="CSY11" s="1429" t="s">
        <v>134</v>
      </c>
      <c r="CSZ11" s="1429" t="s">
        <v>134</v>
      </c>
      <c r="CTA11" s="1429" t="s">
        <v>134</v>
      </c>
      <c r="CTB11" s="1429" t="s">
        <v>134</v>
      </c>
      <c r="CTC11" s="1429" t="s">
        <v>134</v>
      </c>
      <c r="CTD11" s="1429" t="s">
        <v>134</v>
      </c>
      <c r="CTE11" s="1429" t="s">
        <v>134</v>
      </c>
      <c r="CTF11" s="1429" t="s">
        <v>134</v>
      </c>
      <c r="CTG11" s="1429" t="s">
        <v>134</v>
      </c>
      <c r="CTH11" s="1429" t="s">
        <v>134</v>
      </c>
      <c r="CTI11" s="1429" t="s">
        <v>134</v>
      </c>
      <c r="CTJ11" s="1429" t="s">
        <v>134</v>
      </c>
      <c r="CTK11" s="1429" t="s">
        <v>134</v>
      </c>
      <c r="CTL11" s="1429" t="s">
        <v>134</v>
      </c>
      <c r="CTM11" s="1429" t="s">
        <v>134</v>
      </c>
      <c r="CTN11" s="1429" t="s">
        <v>134</v>
      </c>
      <c r="CTO11" s="1429" t="s">
        <v>134</v>
      </c>
      <c r="CTP11" s="1429" t="s">
        <v>134</v>
      </c>
      <c r="CTQ11" s="1429" t="s">
        <v>134</v>
      </c>
      <c r="CTR11" s="1429" t="s">
        <v>134</v>
      </c>
      <c r="CTS11" s="1429" t="s">
        <v>134</v>
      </c>
      <c r="CTT11" s="1429" t="s">
        <v>134</v>
      </c>
      <c r="CTU11" s="1429" t="s">
        <v>134</v>
      </c>
      <c r="CTV11" s="1429" t="s">
        <v>134</v>
      </c>
      <c r="CTW11" s="1429" t="s">
        <v>134</v>
      </c>
      <c r="CTX11" s="1429" t="s">
        <v>134</v>
      </c>
      <c r="CTY11" s="1429" t="s">
        <v>134</v>
      </c>
      <c r="CTZ11" s="1429" t="s">
        <v>134</v>
      </c>
      <c r="CUA11" s="1429" t="s">
        <v>134</v>
      </c>
      <c r="CUB11" s="1429" t="s">
        <v>134</v>
      </c>
      <c r="CUC11" s="1429" t="s">
        <v>134</v>
      </c>
      <c r="CUD11" s="1429" t="s">
        <v>134</v>
      </c>
      <c r="CUE11" s="1429" t="s">
        <v>134</v>
      </c>
      <c r="CUF11" s="1429" t="s">
        <v>134</v>
      </c>
      <c r="CUG11" s="1429" t="s">
        <v>134</v>
      </c>
      <c r="CUH11" s="1429" t="s">
        <v>134</v>
      </c>
      <c r="CUI11" s="1429" t="s">
        <v>134</v>
      </c>
      <c r="CUJ11" s="1429" t="s">
        <v>134</v>
      </c>
      <c r="CUK11" s="1429" t="s">
        <v>134</v>
      </c>
      <c r="CUL11" s="1429" t="s">
        <v>134</v>
      </c>
      <c r="CUM11" s="1429" t="s">
        <v>134</v>
      </c>
      <c r="CUN11" s="1429" t="s">
        <v>134</v>
      </c>
      <c r="CUO11" s="1429" t="s">
        <v>134</v>
      </c>
      <c r="CUP11" s="1429" t="s">
        <v>134</v>
      </c>
      <c r="CUQ11" s="1429" t="s">
        <v>134</v>
      </c>
      <c r="CUR11" s="1429" t="s">
        <v>134</v>
      </c>
      <c r="CUS11" s="1429" t="s">
        <v>134</v>
      </c>
      <c r="CUT11" s="1429" t="s">
        <v>134</v>
      </c>
      <c r="CUU11" s="1429" t="s">
        <v>134</v>
      </c>
      <c r="CUV11" s="1429" t="s">
        <v>134</v>
      </c>
      <c r="CUW11" s="1429" t="s">
        <v>134</v>
      </c>
      <c r="CUX11" s="1429" t="s">
        <v>134</v>
      </c>
      <c r="CUY11" s="1429" t="s">
        <v>134</v>
      </c>
      <c r="CUZ11" s="1429" t="s">
        <v>134</v>
      </c>
      <c r="CVA11" s="1429" t="s">
        <v>134</v>
      </c>
      <c r="CVB11" s="1429" t="s">
        <v>134</v>
      </c>
      <c r="CVC11" s="1429" t="s">
        <v>134</v>
      </c>
      <c r="CVD11" s="1429" t="s">
        <v>134</v>
      </c>
      <c r="CVE11" s="1429" t="s">
        <v>134</v>
      </c>
      <c r="CVF11" s="1429" t="s">
        <v>134</v>
      </c>
      <c r="CVG11" s="1429" t="s">
        <v>134</v>
      </c>
      <c r="CVH11" s="1429" t="s">
        <v>134</v>
      </c>
      <c r="CVI11" s="1429" t="s">
        <v>134</v>
      </c>
      <c r="CVJ11" s="1429" t="s">
        <v>134</v>
      </c>
      <c r="CVK11" s="1429" t="s">
        <v>134</v>
      </c>
      <c r="CVL11" s="1429" t="s">
        <v>134</v>
      </c>
      <c r="CVM11" s="1429" t="s">
        <v>134</v>
      </c>
      <c r="CVN11" s="1429" t="s">
        <v>134</v>
      </c>
      <c r="CVO11" s="1429" t="s">
        <v>134</v>
      </c>
      <c r="CVP11" s="1429" t="s">
        <v>134</v>
      </c>
      <c r="CVQ11" s="1429" t="s">
        <v>134</v>
      </c>
      <c r="CVR11" s="1429" t="s">
        <v>134</v>
      </c>
      <c r="CVS11" s="1429" t="s">
        <v>134</v>
      </c>
      <c r="CVT11" s="1429" t="s">
        <v>134</v>
      </c>
      <c r="CVU11" s="1429" t="s">
        <v>134</v>
      </c>
      <c r="CVV11" s="1429" t="s">
        <v>134</v>
      </c>
      <c r="CVW11" s="1429" t="s">
        <v>134</v>
      </c>
      <c r="CVX11" s="1429" t="s">
        <v>134</v>
      </c>
      <c r="CVY11" s="1429" t="s">
        <v>134</v>
      </c>
      <c r="CVZ11" s="1429" t="s">
        <v>134</v>
      </c>
      <c r="CWA11" s="1429" t="s">
        <v>134</v>
      </c>
      <c r="CWB11" s="1429" t="s">
        <v>134</v>
      </c>
      <c r="CWC11" s="1429" t="s">
        <v>134</v>
      </c>
      <c r="CWD11" s="1429" t="s">
        <v>134</v>
      </c>
      <c r="CWE11" s="1429" t="s">
        <v>134</v>
      </c>
      <c r="CWF11" s="1429" t="s">
        <v>134</v>
      </c>
      <c r="CWG11" s="1429" t="s">
        <v>134</v>
      </c>
      <c r="CWH11" s="1429" t="s">
        <v>134</v>
      </c>
      <c r="CWI11" s="1429" t="s">
        <v>134</v>
      </c>
      <c r="CWJ11" s="1429" t="s">
        <v>134</v>
      </c>
      <c r="CWK11" s="1429" t="s">
        <v>134</v>
      </c>
      <c r="CWL11" s="1429" t="s">
        <v>134</v>
      </c>
      <c r="CWM11" s="1429" t="s">
        <v>134</v>
      </c>
      <c r="CWN11" s="1429" t="s">
        <v>134</v>
      </c>
      <c r="CWO11" s="1429" t="s">
        <v>134</v>
      </c>
      <c r="CWP11" s="1429" t="s">
        <v>134</v>
      </c>
      <c r="CWQ11" s="1429" t="s">
        <v>134</v>
      </c>
      <c r="CWR11" s="1429" t="s">
        <v>134</v>
      </c>
      <c r="CWS11" s="1429" t="s">
        <v>134</v>
      </c>
      <c r="CWT11" s="1429" t="s">
        <v>134</v>
      </c>
      <c r="CWU11" s="1429" t="s">
        <v>134</v>
      </c>
      <c r="CWV11" s="1429" t="s">
        <v>134</v>
      </c>
      <c r="CWW11" s="1429" t="s">
        <v>134</v>
      </c>
      <c r="CWX11" s="1429" t="s">
        <v>134</v>
      </c>
      <c r="CWY11" s="1429" t="s">
        <v>134</v>
      </c>
      <c r="CWZ11" s="1429" t="s">
        <v>134</v>
      </c>
      <c r="CXA11" s="1429" t="s">
        <v>134</v>
      </c>
      <c r="CXB11" s="1429" t="s">
        <v>134</v>
      </c>
      <c r="CXC11" s="1429" t="s">
        <v>134</v>
      </c>
      <c r="CXD11" s="1429" t="s">
        <v>134</v>
      </c>
      <c r="CXE11" s="1429" t="s">
        <v>134</v>
      </c>
      <c r="CXF11" s="1429" t="s">
        <v>134</v>
      </c>
      <c r="CXG11" s="1429" t="s">
        <v>134</v>
      </c>
      <c r="CXH11" s="1429" t="s">
        <v>134</v>
      </c>
      <c r="CXI11" s="1429" t="s">
        <v>134</v>
      </c>
      <c r="CXJ11" s="1429" t="s">
        <v>134</v>
      </c>
      <c r="CXK11" s="1429" t="s">
        <v>134</v>
      </c>
      <c r="CXL11" s="1429" t="s">
        <v>134</v>
      </c>
      <c r="CXM11" s="1429" t="s">
        <v>134</v>
      </c>
      <c r="CXN11" s="1429" t="s">
        <v>134</v>
      </c>
      <c r="CXO11" s="1429" t="s">
        <v>134</v>
      </c>
      <c r="CXP11" s="1429" t="s">
        <v>134</v>
      </c>
      <c r="CXQ11" s="1429" t="s">
        <v>134</v>
      </c>
      <c r="CXR11" s="1429" t="s">
        <v>134</v>
      </c>
      <c r="CXS11" s="1429" t="s">
        <v>134</v>
      </c>
      <c r="CXT11" s="1429" t="s">
        <v>134</v>
      </c>
      <c r="CXU11" s="1429" t="s">
        <v>134</v>
      </c>
      <c r="CXV11" s="1429" t="s">
        <v>134</v>
      </c>
      <c r="CXW11" s="1429" t="s">
        <v>134</v>
      </c>
      <c r="CXX11" s="1429" t="s">
        <v>134</v>
      </c>
      <c r="CXY11" s="1429" t="s">
        <v>134</v>
      </c>
      <c r="CXZ11" s="1429" t="s">
        <v>134</v>
      </c>
      <c r="CYA11" s="1429" t="s">
        <v>134</v>
      </c>
      <c r="CYB11" s="1429" t="s">
        <v>134</v>
      </c>
      <c r="CYC11" s="1429" t="s">
        <v>134</v>
      </c>
      <c r="CYD11" s="1429" t="s">
        <v>134</v>
      </c>
      <c r="CYE11" s="1429" t="s">
        <v>134</v>
      </c>
      <c r="CYF11" s="1429" t="s">
        <v>134</v>
      </c>
      <c r="CYG11" s="1429" t="s">
        <v>134</v>
      </c>
      <c r="CYH11" s="1429" t="s">
        <v>134</v>
      </c>
      <c r="CYI11" s="1429" t="s">
        <v>134</v>
      </c>
      <c r="CYJ11" s="1429" t="s">
        <v>134</v>
      </c>
      <c r="CYK11" s="1429" t="s">
        <v>134</v>
      </c>
      <c r="CYL11" s="1429" t="s">
        <v>134</v>
      </c>
      <c r="CYM11" s="1429" t="s">
        <v>134</v>
      </c>
      <c r="CYN11" s="1429" t="s">
        <v>134</v>
      </c>
      <c r="CYO11" s="1429" t="s">
        <v>134</v>
      </c>
      <c r="CYP11" s="1429" t="s">
        <v>134</v>
      </c>
      <c r="CYQ11" s="1429" t="s">
        <v>134</v>
      </c>
      <c r="CYR11" s="1429" t="s">
        <v>134</v>
      </c>
      <c r="CYS11" s="1429" t="s">
        <v>134</v>
      </c>
      <c r="CYT11" s="1429" t="s">
        <v>134</v>
      </c>
      <c r="CYU11" s="1429" t="s">
        <v>134</v>
      </c>
      <c r="CYV11" s="1429" t="s">
        <v>134</v>
      </c>
      <c r="CYW11" s="1429" t="s">
        <v>134</v>
      </c>
      <c r="CYX11" s="1429" t="s">
        <v>134</v>
      </c>
      <c r="CYY11" s="1429" t="s">
        <v>134</v>
      </c>
      <c r="CYZ11" s="1429" t="s">
        <v>134</v>
      </c>
      <c r="CZA11" s="1429" t="s">
        <v>134</v>
      </c>
      <c r="CZB11" s="1429" t="s">
        <v>134</v>
      </c>
      <c r="CZC11" s="1429" t="s">
        <v>134</v>
      </c>
      <c r="CZD11" s="1429" t="s">
        <v>134</v>
      </c>
      <c r="CZE11" s="1429" t="s">
        <v>134</v>
      </c>
      <c r="CZF11" s="1429" t="s">
        <v>134</v>
      </c>
      <c r="CZG11" s="1429" t="s">
        <v>134</v>
      </c>
      <c r="CZH11" s="1429" t="s">
        <v>134</v>
      </c>
      <c r="CZI11" s="1429" t="s">
        <v>134</v>
      </c>
      <c r="CZJ11" s="1429" t="s">
        <v>134</v>
      </c>
      <c r="CZK11" s="1429" t="s">
        <v>134</v>
      </c>
      <c r="CZL11" s="1429" t="s">
        <v>134</v>
      </c>
      <c r="CZM11" s="1429" t="s">
        <v>134</v>
      </c>
      <c r="CZN11" s="1429" t="s">
        <v>134</v>
      </c>
      <c r="CZO11" s="1429" t="s">
        <v>134</v>
      </c>
      <c r="CZP11" s="1429" t="s">
        <v>134</v>
      </c>
      <c r="CZQ11" s="1429" t="s">
        <v>134</v>
      </c>
      <c r="CZR11" s="1429" t="s">
        <v>134</v>
      </c>
      <c r="CZS11" s="1429" t="s">
        <v>134</v>
      </c>
      <c r="CZT11" s="1429" t="s">
        <v>134</v>
      </c>
      <c r="CZU11" s="1429" t="s">
        <v>134</v>
      </c>
      <c r="CZV11" s="1429" t="s">
        <v>134</v>
      </c>
      <c r="CZW11" s="1429" t="s">
        <v>134</v>
      </c>
      <c r="CZX11" s="1429" t="s">
        <v>134</v>
      </c>
      <c r="CZY11" s="1429" t="s">
        <v>134</v>
      </c>
      <c r="CZZ11" s="1429" t="s">
        <v>134</v>
      </c>
      <c r="DAA11" s="1429" t="s">
        <v>134</v>
      </c>
      <c r="DAB11" s="1429" t="s">
        <v>134</v>
      </c>
      <c r="DAC11" s="1429" t="s">
        <v>134</v>
      </c>
      <c r="DAD11" s="1429" t="s">
        <v>134</v>
      </c>
      <c r="DAE11" s="1429" t="s">
        <v>134</v>
      </c>
      <c r="DAF11" s="1429" t="s">
        <v>134</v>
      </c>
      <c r="DAG11" s="1429" t="s">
        <v>134</v>
      </c>
      <c r="DAH11" s="1429" t="s">
        <v>134</v>
      </c>
      <c r="DAI11" s="1429" t="s">
        <v>134</v>
      </c>
      <c r="DAJ11" s="1429" t="s">
        <v>134</v>
      </c>
      <c r="DAK11" s="1429" t="s">
        <v>134</v>
      </c>
      <c r="DAL11" s="1429" t="s">
        <v>134</v>
      </c>
      <c r="DAM11" s="1429" t="s">
        <v>134</v>
      </c>
      <c r="DAN11" s="1429" t="s">
        <v>134</v>
      </c>
      <c r="DAO11" s="1429" t="s">
        <v>134</v>
      </c>
      <c r="DAP11" s="1429" t="s">
        <v>134</v>
      </c>
      <c r="DAQ11" s="1429" t="s">
        <v>134</v>
      </c>
      <c r="DAR11" s="1429" t="s">
        <v>134</v>
      </c>
      <c r="DAS11" s="1429" t="s">
        <v>134</v>
      </c>
      <c r="DAT11" s="1429" t="s">
        <v>134</v>
      </c>
      <c r="DAU11" s="1429" t="s">
        <v>134</v>
      </c>
      <c r="DAV11" s="1429" t="s">
        <v>134</v>
      </c>
      <c r="DAW11" s="1429" t="s">
        <v>134</v>
      </c>
      <c r="DAX11" s="1429" t="s">
        <v>134</v>
      </c>
      <c r="DAY11" s="1429" t="s">
        <v>134</v>
      </c>
      <c r="DAZ11" s="1429" t="s">
        <v>134</v>
      </c>
      <c r="DBA11" s="1429" t="s">
        <v>134</v>
      </c>
      <c r="DBB11" s="1429" t="s">
        <v>134</v>
      </c>
      <c r="DBC11" s="1429" t="s">
        <v>134</v>
      </c>
      <c r="DBD11" s="1429" t="s">
        <v>134</v>
      </c>
      <c r="DBE11" s="1429" t="s">
        <v>134</v>
      </c>
      <c r="DBF11" s="1429" t="s">
        <v>134</v>
      </c>
      <c r="DBG11" s="1429" t="s">
        <v>134</v>
      </c>
      <c r="DBH11" s="1429" t="s">
        <v>134</v>
      </c>
      <c r="DBI11" s="1429" t="s">
        <v>134</v>
      </c>
      <c r="DBJ11" s="1429" t="s">
        <v>134</v>
      </c>
      <c r="DBK11" s="1429" t="s">
        <v>134</v>
      </c>
      <c r="DBL11" s="1429" t="s">
        <v>134</v>
      </c>
      <c r="DBM11" s="1429" t="s">
        <v>134</v>
      </c>
      <c r="DBN11" s="1429" t="s">
        <v>134</v>
      </c>
      <c r="DBO11" s="1429" t="s">
        <v>134</v>
      </c>
      <c r="DBP11" s="1429" t="s">
        <v>134</v>
      </c>
      <c r="DBQ11" s="1429" t="s">
        <v>134</v>
      </c>
      <c r="DBR11" s="1429" t="s">
        <v>134</v>
      </c>
      <c r="DBS11" s="1429" t="s">
        <v>134</v>
      </c>
      <c r="DBT11" s="1429" t="s">
        <v>134</v>
      </c>
      <c r="DBU11" s="1429" t="s">
        <v>134</v>
      </c>
      <c r="DBV11" s="1429" t="s">
        <v>134</v>
      </c>
      <c r="DBW11" s="1429" t="s">
        <v>134</v>
      </c>
      <c r="DBX11" s="1429" t="s">
        <v>134</v>
      </c>
      <c r="DBY11" s="1429" t="s">
        <v>134</v>
      </c>
      <c r="DBZ11" s="1429" t="s">
        <v>134</v>
      </c>
      <c r="DCA11" s="1429" t="s">
        <v>134</v>
      </c>
      <c r="DCB11" s="1429" t="s">
        <v>134</v>
      </c>
      <c r="DCC11" s="1429" t="s">
        <v>134</v>
      </c>
      <c r="DCD11" s="1429" t="s">
        <v>134</v>
      </c>
      <c r="DCE11" s="1429" t="s">
        <v>134</v>
      </c>
      <c r="DCF11" s="1429" t="s">
        <v>134</v>
      </c>
      <c r="DCG11" s="1429" t="s">
        <v>134</v>
      </c>
      <c r="DCH11" s="1429" t="s">
        <v>134</v>
      </c>
      <c r="DCI11" s="1429" t="s">
        <v>134</v>
      </c>
      <c r="DCJ11" s="1429" t="s">
        <v>134</v>
      </c>
      <c r="DCK11" s="1429" t="s">
        <v>134</v>
      </c>
      <c r="DCL11" s="1429" t="s">
        <v>134</v>
      </c>
      <c r="DCM11" s="1429" t="s">
        <v>134</v>
      </c>
      <c r="DCN11" s="1429" t="s">
        <v>134</v>
      </c>
      <c r="DCO11" s="1429" t="s">
        <v>134</v>
      </c>
      <c r="DCP11" s="1429" t="s">
        <v>134</v>
      </c>
      <c r="DCQ11" s="1429" t="s">
        <v>134</v>
      </c>
      <c r="DCR11" s="1429" t="s">
        <v>134</v>
      </c>
      <c r="DCS11" s="1429" t="s">
        <v>134</v>
      </c>
      <c r="DCT11" s="1429" t="s">
        <v>134</v>
      </c>
      <c r="DCU11" s="1429" t="s">
        <v>134</v>
      </c>
      <c r="DCV11" s="1429" t="s">
        <v>134</v>
      </c>
      <c r="DCW11" s="1429" t="s">
        <v>134</v>
      </c>
      <c r="DCX11" s="1429" t="s">
        <v>134</v>
      </c>
      <c r="DCY11" s="1429" t="s">
        <v>134</v>
      </c>
      <c r="DCZ11" s="1429" t="s">
        <v>134</v>
      </c>
      <c r="DDA11" s="1429" t="s">
        <v>134</v>
      </c>
      <c r="DDB11" s="1429" t="s">
        <v>134</v>
      </c>
      <c r="DDC11" s="1429" t="s">
        <v>134</v>
      </c>
      <c r="DDD11" s="1429" t="s">
        <v>134</v>
      </c>
      <c r="DDE11" s="1429" t="s">
        <v>134</v>
      </c>
      <c r="DDF11" s="1429" t="s">
        <v>134</v>
      </c>
      <c r="DDG11" s="1429" t="s">
        <v>134</v>
      </c>
      <c r="DDH11" s="1429" t="s">
        <v>134</v>
      </c>
      <c r="DDI11" s="1429" t="s">
        <v>134</v>
      </c>
      <c r="DDJ11" s="1429" t="s">
        <v>134</v>
      </c>
      <c r="DDK11" s="1429" t="s">
        <v>134</v>
      </c>
      <c r="DDL11" s="1429" t="s">
        <v>134</v>
      </c>
      <c r="DDM11" s="1429" t="s">
        <v>134</v>
      </c>
      <c r="DDN11" s="1429" t="s">
        <v>134</v>
      </c>
      <c r="DDO11" s="1429" t="s">
        <v>134</v>
      </c>
      <c r="DDP11" s="1429" t="s">
        <v>134</v>
      </c>
      <c r="DDQ11" s="1429" t="s">
        <v>134</v>
      </c>
      <c r="DDR11" s="1429" t="s">
        <v>134</v>
      </c>
      <c r="DDS11" s="1429" t="s">
        <v>134</v>
      </c>
      <c r="DDT11" s="1429" t="s">
        <v>134</v>
      </c>
      <c r="DDU11" s="1429" t="s">
        <v>134</v>
      </c>
      <c r="DDV11" s="1429" t="s">
        <v>134</v>
      </c>
      <c r="DDW11" s="1429" t="s">
        <v>134</v>
      </c>
      <c r="DDX11" s="1429" t="s">
        <v>134</v>
      </c>
      <c r="DDY11" s="1429" t="s">
        <v>134</v>
      </c>
      <c r="DDZ11" s="1429" t="s">
        <v>134</v>
      </c>
      <c r="DEA11" s="1429" t="s">
        <v>134</v>
      </c>
      <c r="DEB11" s="1429" t="s">
        <v>134</v>
      </c>
      <c r="DEC11" s="1429" t="s">
        <v>134</v>
      </c>
      <c r="DED11" s="1429" t="s">
        <v>134</v>
      </c>
      <c r="DEE11" s="1429" t="s">
        <v>134</v>
      </c>
      <c r="DEF11" s="1429" t="s">
        <v>134</v>
      </c>
      <c r="DEG11" s="1429" t="s">
        <v>134</v>
      </c>
      <c r="DEH11" s="1429" t="s">
        <v>134</v>
      </c>
      <c r="DEI11" s="1429" t="s">
        <v>134</v>
      </c>
      <c r="DEJ11" s="1429" t="s">
        <v>134</v>
      </c>
      <c r="DEK11" s="1429" t="s">
        <v>134</v>
      </c>
      <c r="DEL11" s="1429" t="s">
        <v>134</v>
      </c>
      <c r="DEM11" s="1429" t="s">
        <v>134</v>
      </c>
      <c r="DEN11" s="1429" t="s">
        <v>134</v>
      </c>
      <c r="DEO11" s="1429" t="s">
        <v>134</v>
      </c>
      <c r="DEP11" s="1429" t="s">
        <v>134</v>
      </c>
      <c r="DEQ11" s="1429" t="s">
        <v>134</v>
      </c>
      <c r="DER11" s="1429" t="s">
        <v>134</v>
      </c>
      <c r="DES11" s="1429" t="s">
        <v>134</v>
      </c>
      <c r="DET11" s="1429" t="s">
        <v>134</v>
      </c>
      <c r="DEU11" s="1429" t="s">
        <v>134</v>
      </c>
      <c r="DEV11" s="1429" t="s">
        <v>134</v>
      </c>
      <c r="DEW11" s="1429" t="s">
        <v>134</v>
      </c>
      <c r="DEX11" s="1429" t="s">
        <v>134</v>
      </c>
      <c r="DEY11" s="1429" t="s">
        <v>134</v>
      </c>
      <c r="DEZ11" s="1429" t="s">
        <v>134</v>
      </c>
      <c r="DFA11" s="1429" t="s">
        <v>134</v>
      </c>
      <c r="DFB11" s="1429" t="s">
        <v>134</v>
      </c>
      <c r="DFC11" s="1429" t="s">
        <v>134</v>
      </c>
      <c r="DFD11" s="1429" t="s">
        <v>134</v>
      </c>
      <c r="DFE11" s="1429" t="s">
        <v>134</v>
      </c>
      <c r="DFF11" s="1429" t="s">
        <v>134</v>
      </c>
      <c r="DFG11" s="1429" t="s">
        <v>134</v>
      </c>
      <c r="DFH11" s="1429" t="s">
        <v>134</v>
      </c>
      <c r="DFI11" s="1429" t="s">
        <v>134</v>
      </c>
      <c r="DFJ11" s="1429" t="s">
        <v>134</v>
      </c>
      <c r="DFK11" s="1429" t="s">
        <v>134</v>
      </c>
      <c r="DFL11" s="1429" t="s">
        <v>134</v>
      </c>
      <c r="DFM11" s="1429" t="s">
        <v>134</v>
      </c>
      <c r="DFN11" s="1429" t="s">
        <v>134</v>
      </c>
      <c r="DFO11" s="1429" t="s">
        <v>134</v>
      </c>
      <c r="DFP11" s="1429" t="s">
        <v>134</v>
      </c>
      <c r="DFQ11" s="1429" t="s">
        <v>134</v>
      </c>
      <c r="DFR11" s="1429" t="s">
        <v>134</v>
      </c>
      <c r="DFS11" s="1429" t="s">
        <v>134</v>
      </c>
      <c r="DFT11" s="1429" t="s">
        <v>134</v>
      </c>
      <c r="DFU11" s="1429" t="s">
        <v>134</v>
      </c>
      <c r="DFV11" s="1429" t="s">
        <v>134</v>
      </c>
      <c r="DFW11" s="1429" t="s">
        <v>134</v>
      </c>
      <c r="DFX11" s="1429" t="s">
        <v>134</v>
      </c>
      <c r="DFY11" s="1429" t="s">
        <v>134</v>
      </c>
      <c r="DFZ11" s="1429" t="s">
        <v>134</v>
      </c>
      <c r="DGA11" s="1429" t="s">
        <v>134</v>
      </c>
      <c r="DGB11" s="1429" t="s">
        <v>134</v>
      </c>
      <c r="DGC11" s="1429" t="s">
        <v>134</v>
      </c>
      <c r="DGD11" s="1429" t="s">
        <v>134</v>
      </c>
      <c r="DGE11" s="1429" t="s">
        <v>134</v>
      </c>
      <c r="DGF11" s="1429" t="s">
        <v>134</v>
      </c>
      <c r="DGG11" s="1429" t="s">
        <v>134</v>
      </c>
      <c r="DGH11" s="1429" t="s">
        <v>134</v>
      </c>
      <c r="DGI11" s="1429" t="s">
        <v>134</v>
      </c>
      <c r="DGJ11" s="1429" t="s">
        <v>134</v>
      </c>
      <c r="DGK11" s="1429" t="s">
        <v>134</v>
      </c>
      <c r="DGL11" s="1429" t="s">
        <v>134</v>
      </c>
      <c r="DGM11" s="1429" t="s">
        <v>134</v>
      </c>
      <c r="DGN11" s="1429" t="s">
        <v>134</v>
      </c>
      <c r="DGO11" s="1429" t="s">
        <v>134</v>
      </c>
      <c r="DGP11" s="1429" t="s">
        <v>134</v>
      </c>
      <c r="DGQ11" s="1429" t="s">
        <v>134</v>
      </c>
      <c r="DGR11" s="1429" t="s">
        <v>134</v>
      </c>
      <c r="DGS11" s="1429" t="s">
        <v>134</v>
      </c>
      <c r="DGT11" s="1429" t="s">
        <v>134</v>
      </c>
      <c r="DGU11" s="1429" t="s">
        <v>134</v>
      </c>
      <c r="DGV11" s="1429" t="s">
        <v>134</v>
      </c>
      <c r="DGW11" s="1429" t="s">
        <v>134</v>
      </c>
      <c r="DGX11" s="1429" t="s">
        <v>134</v>
      </c>
      <c r="DGY11" s="1429" t="s">
        <v>134</v>
      </c>
      <c r="DGZ11" s="1429" t="s">
        <v>134</v>
      </c>
      <c r="DHA11" s="1429" t="s">
        <v>134</v>
      </c>
      <c r="DHB11" s="1429" t="s">
        <v>134</v>
      </c>
      <c r="DHC11" s="1429" t="s">
        <v>134</v>
      </c>
      <c r="DHD11" s="1429" t="s">
        <v>134</v>
      </c>
      <c r="DHE11" s="1429" t="s">
        <v>134</v>
      </c>
      <c r="DHF11" s="1429" t="s">
        <v>134</v>
      </c>
      <c r="DHG11" s="1429" t="s">
        <v>134</v>
      </c>
      <c r="DHH11" s="1429" t="s">
        <v>134</v>
      </c>
      <c r="DHI11" s="1429" t="s">
        <v>134</v>
      </c>
      <c r="DHJ11" s="1429" t="s">
        <v>134</v>
      </c>
      <c r="DHK11" s="1429" t="s">
        <v>134</v>
      </c>
      <c r="DHL11" s="1429" t="s">
        <v>134</v>
      </c>
      <c r="DHM11" s="1429" t="s">
        <v>134</v>
      </c>
      <c r="DHN11" s="1429" t="s">
        <v>134</v>
      </c>
      <c r="DHO11" s="1429" t="s">
        <v>134</v>
      </c>
      <c r="DHP11" s="1429" t="s">
        <v>134</v>
      </c>
      <c r="DHQ11" s="1429" t="s">
        <v>134</v>
      </c>
      <c r="DHR11" s="1429" t="s">
        <v>134</v>
      </c>
      <c r="DHS11" s="1429" t="s">
        <v>134</v>
      </c>
      <c r="DHT11" s="1429" t="s">
        <v>134</v>
      </c>
      <c r="DHU11" s="1429" t="s">
        <v>134</v>
      </c>
      <c r="DHV11" s="1429" t="s">
        <v>134</v>
      </c>
      <c r="DHW11" s="1429" t="s">
        <v>134</v>
      </c>
      <c r="DHX11" s="1429" t="s">
        <v>134</v>
      </c>
      <c r="DHY11" s="1429" t="s">
        <v>134</v>
      </c>
      <c r="DHZ11" s="1429" t="s">
        <v>134</v>
      </c>
      <c r="DIA11" s="1429" t="s">
        <v>134</v>
      </c>
      <c r="DIB11" s="1429" t="s">
        <v>134</v>
      </c>
      <c r="DIC11" s="1429" t="s">
        <v>134</v>
      </c>
      <c r="DID11" s="1429" t="s">
        <v>134</v>
      </c>
      <c r="DIE11" s="1429" t="s">
        <v>134</v>
      </c>
      <c r="DIF11" s="1429" t="s">
        <v>134</v>
      </c>
      <c r="DIG11" s="1429" t="s">
        <v>134</v>
      </c>
      <c r="DIH11" s="1429" t="s">
        <v>134</v>
      </c>
      <c r="DII11" s="1429" t="s">
        <v>134</v>
      </c>
      <c r="DIJ11" s="1429" t="s">
        <v>134</v>
      </c>
      <c r="DIK11" s="1429" t="s">
        <v>134</v>
      </c>
      <c r="DIL11" s="1429" t="s">
        <v>134</v>
      </c>
      <c r="DIM11" s="1429" t="s">
        <v>134</v>
      </c>
      <c r="DIN11" s="1429" t="s">
        <v>134</v>
      </c>
      <c r="DIO11" s="1429" t="s">
        <v>134</v>
      </c>
      <c r="DIP11" s="1429" t="s">
        <v>134</v>
      </c>
      <c r="DIQ11" s="1429" t="s">
        <v>134</v>
      </c>
      <c r="DIR11" s="1429" t="s">
        <v>134</v>
      </c>
      <c r="DIS11" s="1429" t="s">
        <v>134</v>
      </c>
      <c r="DIT11" s="1429" t="s">
        <v>134</v>
      </c>
      <c r="DIU11" s="1429" t="s">
        <v>134</v>
      </c>
      <c r="DIV11" s="1429" t="s">
        <v>134</v>
      </c>
      <c r="DIW11" s="1429" t="s">
        <v>134</v>
      </c>
      <c r="DIX11" s="1429" t="s">
        <v>134</v>
      </c>
      <c r="DIY11" s="1429" t="s">
        <v>134</v>
      </c>
      <c r="DIZ11" s="1429" t="s">
        <v>134</v>
      </c>
      <c r="DJA11" s="1429" t="s">
        <v>134</v>
      </c>
      <c r="DJB11" s="1429" t="s">
        <v>134</v>
      </c>
      <c r="DJC11" s="1429" t="s">
        <v>134</v>
      </c>
      <c r="DJD11" s="1429" t="s">
        <v>134</v>
      </c>
      <c r="DJE11" s="1429" t="s">
        <v>134</v>
      </c>
      <c r="DJF11" s="1429" t="s">
        <v>134</v>
      </c>
      <c r="DJG11" s="1429" t="s">
        <v>134</v>
      </c>
      <c r="DJH11" s="1429" t="s">
        <v>134</v>
      </c>
      <c r="DJI11" s="1429" t="s">
        <v>134</v>
      </c>
      <c r="DJJ11" s="1429" t="s">
        <v>134</v>
      </c>
      <c r="DJK11" s="1429" t="s">
        <v>134</v>
      </c>
      <c r="DJL11" s="1429" t="s">
        <v>134</v>
      </c>
      <c r="DJM11" s="1429" t="s">
        <v>134</v>
      </c>
      <c r="DJN11" s="1429" t="s">
        <v>134</v>
      </c>
      <c r="DJO11" s="1429" t="s">
        <v>134</v>
      </c>
      <c r="DJP11" s="1429" t="s">
        <v>134</v>
      </c>
      <c r="DJQ11" s="1429" t="s">
        <v>134</v>
      </c>
      <c r="DJR11" s="1429" t="s">
        <v>134</v>
      </c>
      <c r="DJS11" s="1429" t="s">
        <v>134</v>
      </c>
      <c r="DJT11" s="1429" t="s">
        <v>134</v>
      </c>
      <c r="DJU11" s="1429" t="s">
        <v>134</v>
      </c>
      <c r="DJV11" s="1429" t="s">
        <v>134</v>
      </c>
      <c r="DJW11" s="1429" t="s">
        <v>134</v>
      </c>
      <c r="DJX11" s="1429" t="s">
        <v>134</v>
      </c>
      <c r="DJY11" s="1429" t="s">
        <v>134</v>
      </c>
      <c r="DJZ11" s="1429" t="s">
        <v>134</v>
      </c>
      <c r="DKA11" s="1429" t="s">
        <v>134</v>
      </c>
      <c r="DKB11" s="1429" t="s">
        <v>134</v>
      </c>
      <c r="DKC11" s="1429" t="s">
        <v>134</v>
      </c>
      <c r="DKD11" s="1429" t="s">
        <v>134</v>
      </c>
      <c r="DKE11" s="1429" t="s">
        <v>134</v>
      </c>
      <c r="DKF11" s="1429" t="s">
        <v>134</v>
      </c>
      <c r="DKG11" s="1429" t="s">
        <v>134</v>
      </c>
      <c r="DKH11" s="1429" t="s">
        <v>134</v>
      </c>
      <c r="DKI11" s="1429" t="s">
        <v>134</v>
      </c>
      <c r="DKJ11" s="1429" t="s">
        <v>134</v>
      </c>
      <c r="DKK11" s="1429" t="s">
        <v>134</v>
      </c>
      <c r="DKL11" s="1429" t="s">
        <v>134</v>
      </c>
      <c r="DKM11" s="1429" t="s">
        <v>134</v>
      </c>
      <c r="DKN11" s="1429" t="s">
        <v>134</v>
      </c>
      <c r="DKO11" s="1429" t="s">
        <v>134</v>
      </c>
      <c r="DKP11" s="1429" t="s">
        <v>134</v>
      </c>
      <c r="DKQ11" s="1429" t="s">
        <v>134</v>
      </c>
      <c r="DKR11" s="1429" t="s">
        <v>134</v>
      </c>
      <c r="DKS11" s="1429" t="s">
        <v>134</v>
      </c>
      <c r="DKT11" s="1429" t="s">
        <v>134</v>
      </c>
      <c r="DKU11" s="1429" t="s">
        <v>134</v>
      </c>
      <c r="DKV11" s="1429" t="s">
        <v>134</v>
      </c>
      <c r="DKW11" s="1429" t="s">
        <v>134</v>
      </c>
      <c r="DKX11" s="1429" t="s">
        <v>134</v>
      </c>
      <c r="DKY11" s="1429" t="s">
        <v>134</v>
      </c>
      <c r="DKZ11" s="1429" t="s">
        <v>134</v>
      </c>
      <c r="DLA11" s="1429" t="s">
        <v>134</v>
      </c>
      <c r="DLB11" s="1429" t="s">
        <v>134</v>
      </c>
      <c r="DLC11" s="1429" t="s">
        <v>134</v>
      </c>
      <c r="DLD11" s="1429" t="s">
        <v>134</v>
      </c>
      <c r="DLE11" s="1429" t="s">
        <v>134</v>
      </c>
      <c r="DLF11" s="1429" t="s">
        <v>134</v>
      </c>
      <c r="DLG11" s="1429" t="s">
        <v>134</v>
      </c>
      <c r="DLH11" s="1429" t="s">
        <v>134</v>
      </c>
      <c r="DLI11" s="1429" t="s">
        <v>134</v>
      </c>
      <c r="DLJ11" s="1429" t="s">
        <v>134</v>
      </c>
      <c r="DLK11" s="1429" t="s">
        <v>134</v>
      </c>
      <c r="DLL11" s="1429" t="s">
        <v>134</v>
      </c>
      <c r="DLM11" s="1429" t="s">
        <v>134</v>
      </c>
      <c r="DLN11" s="1429" t="s">
        <v>134</v>
      </c>
      <c r="DLO11" s="1429" t="s">
        <v>134</v>
      </c>
      <c r="DLP11" s="1429" t="s">
        <v>134</v>
      </c>
      <c r="DLQ11" s="1429" t="s">
        <v>134</v>
      </c>
      <c r="DLR11" s="1429" t="s">
        <v>134</v>
      </c>
      <c r="DLS11" s="1429" t="s">
        <v>134</v>
      </c>
      <c r="DLT11" s="1429" t="s">
        <v>134</v>
      </c>
      <c r="DLU11" s="1429" t="s">
        <v>134</v>
      </c>
      <c r="DLV11" s="1429" t="s">
        <v>134</v>
      </c>
      <c r="DLW11" s="1429" t="s">
        <v>134</v>
      </c>
      <c r="DLX11" s="1429" t="s">
        <v>134</v>
      </c>
      <c r="DLY11" s="1429" t="s">
        <v>134</v>
      </c>
      <c r="DLZ11" s="1429" t="s">
        <v>134</v>
      </c>
      <c r="DMA11" s="1429" t="s">
        <v>134</v>
      </c>
      <c r="DMB11" s="1429" t="s">
        <v>134</v>
      </c>
      <c r="DMC11" s="1429" t="s">
        <v>134</v>
      </c>
      <c r="DMD11" s="1429" t="s">
        <v>134</v>
      </c>
      <c r="DME11" s="1429" t="s">
        <v>134</v>
      </c>
      <c r="DMF11" s="1429" t="s">
        <v>134</v>
      </c>
      <c r="DMG11" s="1429" t="s">
        <v>134</v>
      </c>
      <c r="DMH11" s="1429" t="s">
        <v>134</v>
      </c>
      <c r="DMI11" s="1429" t="s">
        <v>134</v>
      </c>
      <c r="DMJ11" s="1429" t="s">
        <v>134</v>
      </c>
      <c r="DMK11" s="1429" t="s">
        <v>134</v>
      </c>
      <c r="DML11" s="1429" t="s">
        <v>134</v>
      </c>
      <c r="DMM11" s="1429" t="s">
        <v>134</v>
      </c>
      <c r="DMN11" s="1429" t="s">
        <v>134</v>
      </c>
      <c r="DMO11" s="1429" t="s">
        <v>134</v>
      </c>
      <c r="DMP11" s="1429" t="s">
        <v>134</v>
      </c>
      <c r="DMQ11" s="1429" t="s">
        <v>134</v>
      </c>
      <c r="DMR11" s="1429" t="s">
        <v>134</v>
      </c>
      <c r="DMS11" s="1429" t="s">
        <v>134</v>
      </c>
      <c r="DMT11" s="1429" t="s">
        <v>134</v>
      </c>
      <c r="DMU11" s="1429" t="s">
        <v>134</v>
      </c>
      <c r="DMV11" s="1429" t="s">
        <v>134</v>
      </c>
      <c r="DMW11" s="1429" t="s">
        <v>134</v>
      </c>
      <c r="DMX11" s="1429" t="s">
        <v>134</v>
      </c>
      <c r="DMY11" s="1429" t="s">
        <v>134</v>
      </c>
      <c r="DMZ11" s="1429" t="s">
        <v>134</v>
      </c>
      <c r="DNA11" s="1429" t="s">
        <v>134</v>
      </c>
      <c r="DNB11" s="1429" t="s">
        <v>134</v>
      </c>
      <c r="DNC11" s="1429" t="s">
        <v>134</v>
      </c>
      <c r="DND11" s="1429" t="s">
        <v>134</v>
      </c>
      <c r="DNE11" s="1429" t="s">
        <v>134</v>
      </c>
      <c r="DNF11" s="1429" t="s">
        <v>134</v>
      </c>
      <c r="DNG11" s="1429" t="s">
        <v>134</v>
      </c>
      <c r="DNH11" s="1429" t="s">
        <v>134</v>
      </c>
      <c r="DNI11" s="1429" t="s">
        <v>134</v>
      </c>
      <c r="DNJ11" s="1429" t="s">
        <v>134</v>
      </c>
      <c r="DNK11" s="1429" t="s">
        <v>134</v>
      </c>
      <c r="DNL11" s="1429" t="s">
        <v>134</v>
      </c>
      <c r="DNM11" s="1429" t="s">
        <v>134</v>
      </c>
      <c r="DNN11" s="1429" t="s">
        <v>134</v>
      </c>
      <c r="DNO11" s="1429" t="s">
        <v>134</v>
      </c>
      <c r="DNP11" s="1429" t="s">
        <v>134</v>
      </c>
      <c r="DNQ11" s="1429" t="s">
        <v>134</v>
      </c>
      <c r="DNR11" s="1429" t="s">
        <v>134</v>
      </c>
      <c r="DNS11" s="1429" t="s">
        <v>134</v>
      </c>
      <c r="DNT11" s="1429" t="s">
        <v>134</v>
      </c>
      <c r="DNU11" s="1429" t="s">
        <v>134</v>
      </c>
      <c r="DNV11" s="1429" t="s">
        <v>134</v>
      </c>
      <c r="DNW11" s="1429" t="s">
        <v>134</v>
      </c>
      <c r="DNX11" s="1429" t="s">
        <v>134</v>
      </c>
      <c r="DNY11" s="1429" t="s">
        <v>134</v>
      </c>
      <c r="DNZ11" s="1429" t="s">
        <v>134</v>
      </c>
      <c r="DOA11" s="1429" t="s">
        <v>134</v>
      </c>
      <c r="DOB11" s="1429" t="s">
        <v>134</v>
      </c>
      <c r="DOC11" s="1429" t="s">
        <v>134</v>
      </c>
      <c r="DOD11" s="1429" t="s">
        <v>134</v>
      </c>
      <c r="DOE11" s="1429" t="s">
        <v>134</v>
      </c>
      <c r="DOF11" s="1429" t="s">
        <v>134</v>
      </c>
      <c r="DOG11" s="1429" t="s">
        <v>134</v>
      </c>
      <c r="DOH11" s="1429" t="s">
        <v>134</v>
      </c>
      <c r="DOI11" s="1429" t="s">
        <v>134</v>
      </c>
      <c r="DOJ11" s="1429" t="s">
        <v>134</v>
      </c>
      <c r="DOK11" s="1429" t="s">
        <v>134</v>
      </c>
      <c r="DOL11" s="1429" t="s">
        <v>134</v>
      </c>
      <c r="DOM11" s="1429" t="s">
        <v>134</v>
      </c>
      <c r="DON11" s="1429" t="s">
        <v>134</v>
      </c>
      <c r="DOO11" s="1429" t="s">
        <v>134</v>
      </c>
      <c r="DOP11" s="1429" t="s">
        <v>134</v>
      </c>
      <c r="DOQ11" s="1429" t="s">
        <v>134</v>
      </c>
      <c r="DOR11" s="1429" t="s">
        <v>134</v>
      </c>
      <c r="DOS11" s="1429" t="s">
        <v>134</v>
      </c>
      <c r="DOT11" s="1429" t="s">
        <v>134</v>
      </c>
      <c r="DOU11" s="1429" t="s">
        <v>134</v>
      </c>
      <c r="DOV11" s="1429" t="s">
        <v>134</v>
      </c>
      <c r="DOW11" s="1429" t="s">
        <v>134</v>
      </c>
      <c r="DOX11" s="1429" t="s">
        <v>134</v>
      </c>
      <c r="DOY11" s="1429" t="s">
        <v>134</v>
      </c>
      <c r="DOZ11" s="1429" t="s">
        <v>134</v>
      </c>
      <c r="DPA11" s="1429" t="s">
        <v>134</v>
      </c>
      <c r="DPB11" s="1429" t="s">
        <v>134</v>
      </c>
      <c r="DPC11" s="1429" t="s">
        <v>134</v>
      </c>
      <c r="DPD11" s="1429" t="s">
        <v>134</v>
      </c>
      <c r="DPE11" s="1429" t="s">
        <v>134</v>
      </c>
      <c r="DPF11" s="1429" t="s">
        <v>134</v>
      </c>
      <c r="DPG11" s="1429" t="s">
        <v>134</v>
      </c>
      <c r="DPH11" s="1429" t="s">
        <v>134</v>
      </c>
      <c r="DPI11" s="1429" t="s">
        <v>134</v>
      </c>
      <c r="DPJ11" s="1429" t="s">
        <v>134</v>
      </c>
      <c r="DPK11" s="1429" t="s">
        <v>134</v>
      </c>
      <c r="DPL11" s="1429" t="s">
        <v>134</v>
      </c>
      <c r="DPM11" s="1429" t="s">
        <v>134</v>
      </c>
      <c r="DPN11" s="1429" t="s">
        <v>134</v>
      </c>
      <c r="DPO11" s="1429" t="s">
        <v>134</v>
      </c>
      <c r="DPP11" s="1429" t="s">
        <v>134</v>
      </c>
      <c r="DPQ11" s="1429" t="s">
        <v>134</v>
      </c>
      <c r="DPR11" s="1429" t="s">
        <v>134</v>
      </c>
      <c r="DPS11" s="1429" t="s">
        <v>134</v>
      </c>
      <c r="DPT11" s="1429" t="s">
        <v>134</v>
      </c>
      <c r="DPU11" s="1429" t="s">
        <v>134</v>
      </c>
      <c r="DPV11" s="1429" t="s">
        <v>134</v>
      </c>
      <c r="DPW11" s="1429" t="s">
        <v>134</v>
      </c>
      <c r="DPX11" s="1429" t="s">
        <v>134</v>
      </c>
      <c r="DPY11" s="1429" t="s">
        <v>134</v>
      </c>
      <c r="DPZ11" s="1429" t="s">
        <v>134</v>
      </c>
      <c r="DQA11" s="1429" t="s">
        <v>134</v>
      </c>
      <c r="DQB11" s="1429" t="s">
        <v>134</v>
      </c>
      <c r="DQC11" s="1429" t="s">
        <v>134</v>
      </c>
      <c r="DQD11" s="1429" t="s">
        <v>134</v>
      </c>
      <c r="DQE11" s="1429" t="s">
        <v>134</v>
      </c>
      <c r="DQF11" s="1429" t="s">
        <v>134</v>
      </c>
      <c r="DQG11" s="1429" t="s">
        <v>134</v>
      </c>
      <c r="DQH11" s="1429" t="s">
        <v>134</v>
      </c>
      <c r="DQI11" s="1429" t="s">
        <v>134</v>
      </c>
      <c r="DQJ11" s="1429" t="s">
        <v>134</v>
      </c>
      <c r="DQK11" s="1429" t="s">
        <v>134</v>
      </c>
      <c r="DQL11" s="1429" t="s">
        <v>134</v>
      </c>
      <c r="DQM11" s="1429" t="s">
        <v>134</v>
      </c>
      <c r="DQN11" s="1429" t="s">
        <v>134</v>
      </c>
      <c r="DQO11" s="1429" t="s">
        <v>134</v>
      </c>
      <c r="DQP11" s="1429" t="s">
        <v>134</v>
      </c>
      <c r="DQQ11" s="1429" t="s">
        <v>134</v>
      </c>
      <c r="DQR11" s="1429" t="s">
        <v>134</v>
      </c>
      <c r="DQS11" s="1429" t="s">
        <v>134</v>
      </c>
      <c r="DQT11" s="1429" t="s">
        <v>134</v>
      </c>
      <c r="DQU11" s="1429" t="s">
        <v>134</v>
      </c>
      <c r="DQV11" s="1429" t="s">
        <v>134</v>
      </c>
      <c r="DQW11" s="1429" t="s">
        <v>134</v>
      </c>
      <c r="DQX11" s="1429" t="s">
        <v>134</v>
      </c>
      <c r="DQY11" s="1429" t="s">
        <v>134</v>
      </c>
      <c r="DQZ11" s="1429" t="s">
        <v>134</v>
      </c>
      <c r="DRA11" s="1429" t="s">
        <v>134</v>
      </c>
      <c r="DRB11" s="1429" t="s">
        <v>134</v>
      </c>
      <c r="DRC11" s="1429" t="s">
        <v>134</v>
      </c>
      <c r="DRD11" s="1429" t="s">
        <v>134</v>
      </c>
      <c r="DRE11" s="1429" t="s">
        <v>134</v>
      </c>
      <c r="DRF11" s="1429" t="s">
        <v>134</v>
      </c>
      <c r="DRG11" s="1429" t="s">
        <v>134</v>
      </c>
      <c r="DRH11" s="1429" t="s">
        <v>134</v>
      </c>
      <c r="DRI11" s="1429" t="s">
        <v>134</v>
      </c>
      <c r="DRJ11" s="1429" t="s">
        <v>134</v>
      </c>
      <c r="DRK11" s="1429" t="s">
        <v>134</v>
      </c>
      <c r="DRL11" s="1429" t="s">
        <v>134</v>
      </c>
      <c r="DRM11" s="1429" t="s">
        <v>134</v>
      </c>
      <c r="DRN11" s="1429" t="s">
        <v>134</v>
      </c>
      <c r="DRO11" s="1429" t="s">
        <v>134</v>
      </c>
      <c r="DRP11" s="1429" t="s">
        <v>134</v>
      </c>
      <c r="DRQ11" s="1429" t="s">
        <v>134</v>
      </c>
      <c r="DRR11" s="1429" t="s">
        <v>134</v>
      </c>
      <c r="DRS11" s="1429" t="s">
        <v>134</v>
      </c>
      <c r="DRT11" s="1429" t="s">
        <v>134</v>
      </c>
      <c r="DRU11" s="1429" t="s">
        <v>134</v>
      </c>
      <c r="DRV11" s="1429" t="s">
        <v>134</v>
      </c>
      <c r="DRW11" s="1429" t="s">
        <v>134</v>
      </c>
      <c r="DRX11" s="1429" t="s">
        <v>134</v>
      </c>
      <c r="DRY11" s="1429" t="s">
        <v>134</v>
      </c>
      <c r="DRZ11" s="1429" t="s">
        <v>134</v>
      </c>
      <c r="DSA11" s="1429" t="s">
        <v>134</v>
      </c>
      <c r="DSB11" s="1429" t="s">
        <v>134</v>
      </c>
      <c r="DSC11" s="1429" t="s">
        <v>134</v>
      </c>
      <c r="DSD11" s="1429" t="s">
        <v>134</v>
      </c>
      <c r="DSE11" s="1429" t="s">
        <v>134</v>
      </c>
      <c r="DSF11" s="1429" t="s">
        <v>134</v>
      </c>
      <c r="DSG11" s="1429" t="s">
        <v>134</v>
      </c>
      <c r="DSH11" s="1429" t="s">
        <v>134</v>
      </c>
      <c r="DSI11" s="1429" t="s">
        <v>134</v>
      </c>
      <c r="DSJ11" s="1429" t="s">
        <v>134</v>
      </c>
      <c r="DSK11" s="1429" t="s">
        <v>134</v>
      </c>
      <c r="DSL11" s="1429" t="s">
        <v>134</v>
      </c>
      <c r="DSM11" s="1429" t="s">
        <v>134</v>
      </c>
      <c r="DSN11" s="1429" t="s">
        <v>134</v>
      </c>
      <c r="DSO11" s="1429" t="s">
        <v>134</v>
      </c>
      <c r="DSP11" s="1429" t="s">
        <v>134</v>
      </c>
      <c r="DSQ11" s="1429" t="s">
        <v>134</v>
      </c>
      <c r="DSR11" s="1429" t="s">
        <v>134</v>
      </c>
      <c r="DSS11" s="1429" t="s">
        <v>134</v>
      </c>
      <c r="DST11" s="1429" t="s">
        <v>134</v>
      </c>
      <c r="DSU11" s="1429" t="s">
        <v>134</v>
      </c>
      <c r="DSV11" s="1429" t="s">
        <v>134</v>
      </c>
      <c r="DSW11" s="1429" t="s">
        <v>134</v>
      </c>
      <c r="DSX11" s="1429" t="s">
        <v>134</v>
      </c>
      <c r="DSY11" s="1429" t="s">
        <v>134</v>
      </c>
      <c r="DSZ11" s="1429" t="s">
        <v>134</v>
      </c>
      <c r="DTA11" s="1429" t="s">
        <v>134</v>
      </c>
      <c r="DTB11" s="1429" t="s">
        <v>134</v>
      </c>
      <c r="DTC11" s="1429" t="s">
        <v>134</v>
      </c>
      <c r="DTD11" s="1429" t="s">
        <v>134</v>
      </c>
      <c r="DTE11" s="1429" t="s">
        <v>134</v>
      </c>
      <c r="DTF11" s="1429" t="s">
        <v>134</v>
      </c>
      <c r="DTG11" s="1429" t="s">
        <v>134</v>
      </c>
      <c r="DTH11" s="1429" t="s">
        <v>134</v>
      </c>
      <c r="DTI11" s="1429" t="s">
        <v>134</v>
      </c>
      <c r="DTJ11" s="1429" t="s">
        <v>134</v>
      </c>
      <c r="DTK11" s="1429" t="s">
        <v>134</v>
      </c>
      <c r="DTL11" s="1429" t="s">
        <v>134</v>
      </c>
      <c r="DTM11" s="1429" t="s">
        <v>134</v>
      </c>
      <c r="DTN11" s="1429" t="s">
        <v>134</v>
      </c>
      <c r="DTO11" s="1429" t="s">
        <v>134</v>
      </c>
      <c r="DTP11" s="1429" t="s">
        <v>134</v>
      </c>
      <c r="DTQ11" s="1429" t="s">
        <v>134</v>
      </c>
      <c r="DTR11" s="1429" t="s">
        <v>134</v>
      </c>
      <c r="DTS11" s="1429" t="s">
        <v>134</v>
      </c>
      <c r="DTT11" s="1429" t="s">
        <v>134</v>
      </c>
      <c r="DTU11" s="1429" t="s">
        <v>134</v>
      </c>
      <c r="DTV11" s="1429" t="s">
        <v>134</v>
      </c>
      <c r="DTW11" s="1429" t="s">
        <v>134</v>
      </c>
      <c r="DTX11" s="1429" t="s">
        <v>134</v>
      </c>
      <c r="DTY11" s="1429" t="s">
        <v>134</v>
      </c>
      <c r="DTZ11" s="1429" t="s">
        <v>134</v>
      </c>
      <c r="DUA11" s="1429" t="s">
        <v>134</v>
      </c>
      <c r="DUB11" s="1429" t="s">
        <v>134</v>
      </c>
      <c r="DUC11" s="1429" t="s">
        <v>134</v>
      </c>
      <c r="DUD11" s="1429" t="s">
        <v>134</v>
      </c>
      <c r="DUE11" s="1429" t="s">
        <v>134</v>
      </c>
      <c r="DUF11" s="1429" t="s">
        <v>134</v>
      </c>
      <c r="DUG11" s="1429" t="s">
        <v>134</v>
      </c>
      <c r="DUH11" s="1429" t="s">
        <v>134</v>
      </c>
      <c r="DUI11" s="1429" t="s">
        <v>134</v>
      </c>
      <c r="DUJ11" s="1429" t="s">
        <v>134</v>
      </c>
      <c r="DUK11" s="1429" t="s">
        <v>134</v>
      </c>
      <c r="DUL11" s="1429" t="s">
        <v>134</v>
      </c>
      <c r="DUM11" s="1429" t="s">
        <v>134</v>
      </c>
      <c r="DUN11" s="1429" t="s">
        <v>134</v>
      </c>
      <c r="DUO11" s="1429" t="s">
        <v>134</v>
      </c>
      <c r="DUP11" s="1429" t="s">
        <v>134</v>
      </c>
      <c r="DUQ11" s="1429" t="s">
        <v>134</v>
      </c>
      <c r="DUR11" s="1429" t="s">
        <v>134</v>
      </c>
      <c r="DUS11" s="1429" t="s">
        <v>134</v>
      </c>
      <c r="DUT11" s="1429" t="s">
        <v>134</v>
      </c>
      <c r="DUU11" s="1429" t="s">
        <v>134</v>
      </c>
      <c r="DUV11" s="1429" t="s">
        <v>134</v>
      </c>
      <c r="DUW11" s="1429" t="s">
        <v>134</v>
      </c>
      <c r="DUX11" s="1429" t="s">
        <v>134</v>
      </c>
      <c r="DUY11" s="1429" t="s">
        <v>134</v>
      </c>
      <c r="DUZ11" s="1429" t="s">
        <v>134</v>
      </c>
      <c r="DVA11" s="1429" t="s">
        <v>134</v>
      </c>
      <c r="DVB11" s="1429" t="s">
        <v>134</v>
      </c>
      <c r="DVC11" s="1429" t="s">
        <v>134</v>
      </c>
      <c r="DVD11" s="1429" t="s">
        <v>134</v>
      </c>
      <c r="DVE11" s="1429" t="s">
        <v>134</v>
      </c>
      <c r="DVF11" s="1429" t="s">
        <v>134</v>
      </c>
      <c r="DVG11" s="1429" t="s">
        <v>134</v>
      </c>
      <c r="DVH11" s="1429" t="s">
        <v>134</v>
      </c>
      <c r="DVI11" s="1429" t="s">
        <v>134</v>
      </c>
      <c r="DVJ11" s="1429" t="s">
        <v>134</v>
      </c>
      <c r="DVK11" s="1429" t="s">
        <v>134</v>
      </c>
      <c r="DVL11" s="1429" t="s">
        <v>134</v>
      </c>
      <c r="DVM11" s="1429" t="s">
        <v>134</v>
      </c>
      <c r="DVN11" s="1429" t="s">
        <v>134</v>
      </c>
      <c r="DVO11" s="1429" t="s">
        <v>134</v>
      </c>
      <c r="DVP11" s="1429" t="s">
        <v>134</v>
      </c>
      <c r="DVQ11" s="1429" t="s">
        <v>134</v>
      </c>
      <c r="DVR11" s="1429" t="s">
        <v>134</v>
      </c>
      <c r="DVS11" s="1429" t="s">
        <v>134</v>
      </c>
      <c r="DVT11" s="1429" t="s">
        <v>134</v>
      </c>
      <c r="DVU11" s="1429" t="s">
        <v>134</v>
      </c>
      <c r="DVV11" s="1429" t="s">
        <v>134</v>
      </c>
      <c r="DVW11" s="1429" t="s">
        <v>134</v>
      </c>
      <c r="DVX11" s="1429" t="s">
        <v>134</v>
      </c>
      <c r="DVY11" s="1429" t="s">
        <v>134</v>
      </c>
      <c r="DVZ11" s="1429" t="s">
        <v>134</v>
      </c>
      <c r="DWA11" s="1429" t="s">
        <v>134</v>
      </c>
      <c r="DWB11" s="1429" t="s">
        <v>134</v>
      </c>
      <c r="DWC11" s="1429" t="s">
        <v>134</v>
      </c>
      <c r="DWD11" s="1429" t="s">
        <v>134</v>
      </c>
      <c r="DWE11" s="1429" t="s">
        <v>134</v>
      </c>
      <c r="DWF11" s="1429" t="s">
        <v>134</v>
      </c>
      <c r="DWG11" s="1429" t="s">
        <v>134</v>
      </c>
      <c r="DWH11" s="1429" t="s">
        <v>134</v>
      </c>
      <c r="DWI11" s="1429" t="s">
        <v>134</v>
      </c>
      <c r="DWJ11" s="1429" t="s">
        <v>134</v>
      </c>
      <c r="DWK11" s="1429" t="s">
        <v>134</v>
      </c>
      <c r="DWL11" s="1429" t="s">
        <v>134</v>
      </c>
      <c r="DWM11" s="1429" t="s">
        <v>134</v>
      </c>
      <c r="DWN11" s="1429" t="s">
        <v>134</v>
      </c>
      <c r="DWO11" s="1429" t="s">
        <v>134</v>
      </c>
      <c r="DWP11" s="1429" t="s">
        <v>134</v>
      </c>
      <c r="DWQ11" s="1429" t="s">
        <v>134</v>
      </c>
      <c r="DWR11" s="1429" t="s">
        <v>134</v>
      </c>
      <c r="DWS11" s="1429" t="s">
        <v>134</v>
      </c>
      <c r="DWT11" s="1429" t="s">
        <v>134</v>
      </c>
      <c r="DWU11" s="1429" t="s">
        <v>134</v>
      </c>
      <c r="DWV11" s="1429" t="s">
        <v>134</v>
      </c>
      <c r="DWW11" s="1429" t="s">
        <v>134</v>
      </c>
      <c r="DWX11" s="1429" t="s">
        <v>134</v>
      </c>
      <c r="DWY11" s="1429" t="s">
        <v>134</v>
      </c>
      <c r="DWZ11" s="1429" t="s">
        <v>134</v>
      </c>
      <c r="DXA11" s="1429" t="s">
        <v>134</v>
      </c>
      <c r="DXB11" s="1429" t="s">
        <v>134</v>
      </c>
      <c r="DXC11" s="1429" t="s">
        <v>134</v>
      </c>
      <c r="DXD11" s="1429" t="s">
        <v>134</v>
      </c>
      <c r="DXE11" s="1429" t="s">
        <v>134</v>
      </c>
      <c r="DXF11" s="1429" t="s">
        <v>134</v>
      </c>
      <c r="DXG11" s="1429" t="s">
        <v>134</v>
      </c>
      <c r="DXH11" s="1429" t="s">
        <v>134</v>
      </c>
      <c r="DXI11" s="1429" t="s">
        <v>134</v>
      </c>
      <c r="DXJ11" s="1429" t="s">
        <v>134</v>
      </c>
      <c r="DXK11" s="1429" t="s">
        <v>134</v>
      </c>
      <c r="DXL11" s="1429" t="s">
        <v>134</v>
      </c>
      <c r="DXM11" s="1429" t="s">
        <v>134</v>
      </c>
      <c r="DXN11" s="1429" t="s">
        <v>134</v>
      </c>
      <c r="DXO11" s="1429" t="s">
        <v>134</v>
      </c>
      <c r="DXP11" s="1429" t="s">
        <v>134</v>
      </c>
      <c r="DXQ11" s="1429" t="s">
        <v>134</v>
      </c>
      <c r="DXR11" s="1429" t="s">
        <v>134</v>
      </c>
      <c r="DXS11" s="1429" t="s">
        <v>134</v>
      </c>
      <c r="DXT11" s="1429" t="s">
        <v>134</v>
      </c>
      <c r="DXU11" s="1429" t="s">
        <v>134</v>
      </c>
      <c r="DXV11" s="1429" t="s">
        <v>134</v>
      </c>
      <c r="DXW11" s="1429" t="s">
        <v>134</v>
      </c>
      <c r="DXX11" s="1429" t="s">
        <v>134</v>
      </c>
      <c r="DXY11" s="1429" t="s">
        <v>134</v>
      </c>
      <c r="DXZ11" s="1429" t="s">
        <v>134</v>
      </c>
      <c r="DYA11" s="1429" t="s">
        <v>134</v>
      </c>
      <c r="DYB11" s="1429" t="s">
        <v>134</v>
      </c>
      <c r="DYC11" s="1429" t="s">
        <v>134</v>
      </c>
      <c r="DYD11" s="1429" t="s">
        <v>134</v>
      </c>
      <c r="DYE11" s="1429" t="s">
        <v>134</v>
      </c>
      <c r="DYF11" s="1429" t="s">
        <v>134</v>
      </c>
      <c r="DYG11" s="1429" t="s">
        <v>134</v>
      </c>
      <c r="DYH11" s="1429" t="s">
        <v>134</v>
      </c>
      <c r="DYI11" s="1429" t="s">
        <v>134</v>
      </c>
      <c r="DYJ11" s="1429" t="s">
        <v>134</v>
      </c>
      <c r="DYK11" s="1429" t="s">
        <v>134</v>
      </c>
      <c r="DYL11" s="1429" t="s">
        <v>134</v>
      </c>
      <c r="DYM11" s="1429" t="s">
        <v>134</v>
      </c>
      <c r="DYN11" s="1429" t="s">
        <v>134</v>
      </c>
      <c r="DYO11" s="1429" t="s">
        <v>134</v>
      </c>
      <c r="DYP11" s="1429" t="s">
        <v>134</v>
      </c>
      <c r="DYQ11" s="1429" t="s">
        <v>134</v>
      </c>
      <c r="DYR11" s="1429" t="s">
        <v>134</v>
      </c>
      <c r="DYS11" s="1429" t="s">
        <v>134</v>
      </c>
      <c r="DYT11" s="1429" t="s">
        <v>134</v>
      </c>
      <c r="DYU11" s="1429" t="s">
        <v>134</v>
      </c>
      <c r="DYV11" s="1429" t="s">
        <v>134</v>
      </c>
      <c r="DYW11" s="1429" t="s">
        <v>134</v>
      </c>
      <c r="DYX11" s="1429" t="s">
        <v>134</v>
      </c>
      <c r="DYY11" s="1429" t="s">
        <v>134</v>
      </c>
      <c r="DYZ11" s="1429" t="s">
        <v>134</v>
      </c>
      <c r="DZA11" s="1429" t="s">
        <v>134</v>
      </c>
      <c r="DZB11" s="1429" t="s">
        <v>134</v>
      </c>
      <c r="DZC11" s="1429" t="s">
        <v>134</v>
      </c>
      <c r="DZD11" s="1429" t="s">
        <v>134</v>
      </c>
      <c r="DZE11" s="1429" t="s">
        <v>134</v>
      </c>
      <c r="DZF11" s="1429" t="s">
        <v>134</v>
      </c>
      <c r="DZG11" s="1429" t="s">
        <v>134</v>
      </c>
      <c r="DZH11" s="1429" t="s">
        <v>134</v>
      </c>
      <c r="DZI11" s="1429" t="s">
        <v>134</v>
      </c>
      <c r="DZJ11" s="1429" t="s">
        <v>134</v>
      </c>
      <c r="DZK11" s="1429" t="s">
        <v>134</v>
      </c>
      <c r="DZL11" s="1429" t="s">
        <v>134</v>
      </c>
      <c r="DZM11" s="1429" t="s">
        <v>134</v>
      </c>
      <c r="DZN11" s="1429" t="s">
        <v>134</v>
      </c>
      <c r="DZO11" s="1429" t="s">
        <v>134</v>
      </c>
      <c r="DZP11" s="1429" t="s">
        <v>134</v>
      </c>
      <c r="DZQ11" s="1429" t="s">
        <v>134</v>
      </c>
      <c r="DZR11" s="1429" t="s">
        <v>134</v>
      </c>
      <c r="DZS11" s="1429" t="s">
        <v>134</v>
      </c>
      <c r="DZT11" s="1429" t="s">
        <v>134</v>
      </c>
      <c r="DZU11" s="1429" t="s">
        <v>134</v>
      </c>
      <c r="DZV11" s="1429" t="s">
        <v>134</v>
      </c>
      <c r="DZW11" s="1429" t="s">
        <v>134</v>
      </c>
      <c r="DZX11" s="1429" t="s">
        <v>134</v>
      </c>
      <c r="DZY11" s="1429" t="s">
        <v>134</v>
      </c>
      <c r="DZZ11" s="1429" t="s">
        <v>134</v>
      </c>
      <c r="EAA11" s="1429" t="s">
        <v>134</v>
      </c>
      <c r="EAB11" s="1429" t="s">
        <v>134</v>
      </c>
      <c r="EAC11" s="1429" t="s">
        <v>134</v>
      </c>
      <c r="EAD11" s="1429" t="s">
        <v>134</v>
      </c>
      <c r="EAE11" s="1429" t="s">
        <v>134</v>
      </c>
      <c r="EAF11" s="1429" t="s">
        <v>134</v>
      </c>
      <c r="EAG11" s="1429" t="s">
        <v>134</v>
      </c>
      <c r="EAH11" s="1429" t="s">
        <v>134</v>
      </c>
      <c r="EAI11" s="1429" t="s">
        <v>134</v>
      </c>
      <c r="EAJ11" s="1429" t="s">
        <v>134</v>
      </c>
      <c r="EAK11" s="1429" t="s">
        <v>134</v>
      </c>
      <c r="EAL11" s="1429" t="s">
        <v>134</v>
      </c>
      <c r="EAM11" s="1429" t="s">
        <v>134</v>
      </c>
      <c r="EAN11" s="1429" t="s">
        <v>134</v>
      </c>
      <c r="EAO11" s="1429" t="s">
        <v>134</v>
      </c>
      <c r="EAP11" s="1429" t="s">
        <v>134</v>
      </c>
      <c r="EAQ11" s="1429" t="s">
        <v>134</v>
      </c>
      <c r="EAR11" s="1429" t="s">
        <v>134</v>
      </c>
      <c r="EAS11" s="1429" t="s">
        <v>134</v>
      </c>
      <c r="EAT11" s="1429" t="s">
        <v>134</v>
      </c>
      <c r="EAU11" s="1429" t="s">
        <v>134</v>
      </c>
      <c r="EAV11" s="1429" t="s">
        <v>134</v>
      </c>
      <c r="EAW11" s="1429" t="s">
        <v>134</v>
      </c>
      <c r="EAX11" s="1429" t="s">
        <v>134</v>
      </c>
      <c r="EAY11" s="1429" t="s">
        <v>134</v>
      </c>
      <c r="EAZ11" s="1429" t="s">
        <v>134</v>
      </c>
      <c r="EBA11" s="1429" t="s">
        <v>134</v>
      </c>
      <c r="EBB11" s="1429" t="s">
        <v>134</v>
      </c>
      <c r="EBC11" s="1429" t="s">
        <v>134</v>
      </c>
      <c r="EBD11" s="1429" t="s">
        <v>134</v>
      </c>
      <c r="EBE11" s="1429" t="s">
        <v>134</v>
      </c>
      <c r="EBF11" s="1429" t="s">
        <v>134</v>
      </c>
      <c r="EBG11" s="1429" t="s">
        <v>134</v>
      </c>
      <c r="EBH11" s="1429" t="s">
        <v>134</v>
      </c>
      <c r="EBI11" s="1429" t="s">
        <v>134</v>
      </c>
      <c r="EBJ11" s="1429" t="s">
        <v>134</v>
      </c>
      <c r="EBK11" s="1429" t="s">
        <v>134</v>
      </c>
      <c r="EBL11" s="1429" t="s">
        <v>134</v>
      </c>
      <c r="EBM11" s="1429" t="s">
        <v>134</v>
      </c>
      <c r="EBN11" s="1429" t="s">
        <v>134</v>
      </c>
      <c r="EBO11" s="1429" t="s">
        <v>134</v>
      </c>
      <c r="EBP11" s="1429" t="s">
        <v>134</v>
      </c>
      <c r="EBQ11" s="1429" t="s">
        <v>134</v>
      </c>
      <c r="EBR11" s="1429" t="s">
        <v>134</v>
      </c>
      <c r="EBS11" s="1429" t="s">
        <v>134</v>
      </c>
      <c r="EBT11" s="1429" t="s">
        <v>134</v>
      </c>
      <c r="EBU11" s="1429" t="s">
        <v>134</v>
      </c>
      <c r="EBV11" s="1429" t="s">
        <v>134</v>
      </c>
      <c r="EBW11" s="1429" t="s">
        <v>134</v>
      </c>
      <c r="EBX11" s="1429" t="s">
        <v>134</v>
      </c>
      <c r="EBY11" s="1429" t="s">
        <v>134</v>
      </c>
      <c r="EBZ11" s="1429" t="s">
        <v>134</v>
      </c>
      <c r="ECA11" s="1429" t="s">
        <v>134</v>
      </c>
      <c r="ECB11" s="1429" t="s">
        <v>134</v>
      </c>
      <c r="ECC11" s="1429" t="s">
        <v>134</v>
      </c>
      <c r="ECD11" s="1429" t="s">
        <v>134</v>
      </c>
      <c r="ECE11" s="1429" t="s">
        <v>134</v>
      </c>
      <c r="ECF11" s="1429" t="s">
        <v>134</v>
      </c>
      <c r="ECG11" s="1429" t="s">
        <v>134</v>
      </c>
      <c r="ECH11" s="1429" t="s">
        <v>134</v>
      </c>
      <c r="ECI11" s="1429" t="s">
        <v>134</v>
      </c>
      <c r="ECJ11" s="1429" t="s">
        <v>134</v>
      </c>
      <c r="ECK11" s="1429" t="s">
        <v>134</v>
      </c>
      <c r="ECL11" s="1429" t="s">
        <v>134</v>
      </c>
      <c r="ECM11" s="1429" t="s">
        <v>134</v>
      </c>
      <c r="ECN11" s="1429" t="s">
        <v>134</v>
      </c>
      <c r="ECO11" s="1429" t="s">
        <v>134</v>
      </c>
      <c r="ECP11" s="1429" t="s">
        <v>134</v>
      </c>
      <c r="ECQ11" s="1429" t="s">
        <v>134</v>
      </c>
      <c r="ECR11" s="1429" t="s">
        <v>134</v>
      </c>
      <c r="ECS11" s="1429" t="s">
        <v>134</v>
      </c>
      <c r="ECT11" s="1429" t="s">
        <v>134</v>
      </c>
      <c r="ECU11" s="1429" t="s">
        <v>134</v>
      </c>
      <c r="ECV11" s="1429" t="s">
        <v>134</v>
      </c>
      <c r="ECW11" s="1429" t="s">
        <v>134</v>
      </c>
      <c r="ECX11" s="1429" t="s">
        <v>134</v>
      </c>
      <c r="ECY11" s="1429" t="s">
        <v>134</v>
      </c>
      <c r="ECZ11" s="1429" t="s">
        <v>134</v>
      </c>
      <c r="EDA11" s="1429" t="s">
        <v>134</v>
      </c>
      <c r="EDB11" s="1429" t="s">
        <v>134</v>
      </c>
      <c r="EDC11" s="1429" t="s">
        <v>134</v>
      </c>
      <c r="EDD11" s="1429" t="s">
        <v>134</v>
      </c>
      <c r="EDE11" s="1429" t="s">
        <v>134</v>
      </c>
      <c r="EDF11" s="1429" t="s">
        <v>134</v>
      </c>
      <c r="EDG11" s="1429" t="s">
        <v>134</v>
      </c>
      <c r="EDH11" s="1429" t="s">
        <v>134</v>
      </c>
      <c r="EDI11" s="1429" t="s">
        <v>134</v>
      </c>
      <c r="EDJ11" s="1429" t="s">
        <v>134</v>
      </c>
      <c r="EDK11" s="1429" t="s">
        <v>134</v>
      </c>
      <c r="EDL11" s="1429" t="s">
        <v>134</v>
      </c>
      <c r="EDM11" s="1429" t="s">
        <v>134</v>
      </c>
      <c r="EDN11" s="1429" t="s">
        <v>134</v>
      </c>
      <c r="EDO11" s="1429" t="s">
        <v>134</v>
      </c>
      <c r="EDP11" s="1429" t="s">
        <v>134</v>
      </c>
      <c r="EDQ11" s="1429" t="s">
        <v>134</v>
      </c>
      <c r="EDR11" s="1429" t="s">
        <v>134</v>
      </c>
      <c r="EDS11" s="1429" t="s">
        <v>134</v>
      </c>
      <c r="EDT11" s="1429" t="s">
        <v>134</v>
      </c>
      <c r="EDU11" s="1429" t="s">
        <v>134</v>
      </c>
      <c r="EDV11" s="1429" t="s">
        <v>134</v>
      </c>
      <c r="EDW11" s="1429" t="s">
        <v>134</v>
      </c>
      <c r="EDX11" s="1429" t="s">
        <v>134</v>
      </c>
      <c r="EDY11" s="1429" t="s">
        <v>134</v>
      </c>
      <c r="EDZ11" s="1429" t="s">
        <v>134</v>
      </c>
      <c r="EEA11" s="1429" t="s">
        <v>134</v>
      </c>
      <c r="EEB11" s="1429" t="s">
        <v>134</v>
      </c>
      <c r="EEC11" s="1429" t="s">
        <v>134</v>
      </c>
      <c r="EED11" s="1429" t="s">
        <v>134</v>
      </c>
      <c r="EEE11" s="1429" t="s">
        <v>134</v>
      </c>
      <c r="EEF11" s="1429" t="s">
        <v>134</v>
      </c>
      <c r="EEG11" s="1429" t="s">
        <v>134</v>
      </c>
      <c r="EEH11" s="1429" t="s">
        <v>134</v>
      </c>
      <c r="EEI11" s="1429" t="s">
        <v>134</v>
      </c>
      <c r="EEJ11" s="1429" t="s">
        <v>134</v>
      </c>
      <c r="EEK11" s="1429" t="s">
        <v>134</v>
      </c>
      <c r="EEL11" s="1429" t="s">
        <v>134</v>
      </c>
      <c r="EEM11" s="1429" t="s">
        <v>134</v>
      </c>
      <c r="EEN11" s="1429" t="s">
        <v>134</v>
      </c>
      <c r="EEO11" s="1429" t="s">
        <v>134</v>
      </c>
      <c r="EEP11" s="1429" t="s">
        <v>134</v>
      </c>
      <c r="EEQ11" s="1429" t="s">
        <v>134</v>
      </c>
      <c r="EER11" s="1429" t="s">
        <v>134</v>
      </c>
      <c r="EES11" s="1429" t="s">
        <v>134</v>
      </c>
      <c r="EET11" s="1429" t="s">
        <v>134</v>
      </c>
      <c r="EEU11" s="1429" t="s">
        <v>134</v>
      </c>
      <c r="EEV11" s="1429" t="s">
        <v>134</v>
      </c>
      <c r="EEW11" s="1429" t="s">
        <v>134</v>
      </c>
      <c r="EEX11" s="1429" t="s">
        <v>134</v>
      </c>
      <c r="EEY11" s="1429" t="s">
        <v>134</v>
      </c>
      <c r="EEZ11" s="1429" t="s">
        <v>134</v>
      </c>
      <c r="EFA11" s="1429" t="s">
        <v>134</v>
      </c>
      <c r="EFB11" s="1429" t="s">
        <v>134</v>
      </c>
      <c r="EFC11" s="1429" t="s">
        <v>134</v>
      </c>
      <c r="EFD11" s="1429" t="s">
        <v>134</v>
      </c>
      <c r="EFE11" s="1429" t="s">
        <v>134</v>
      </c>
      <c r="EFF11" s="1429" t="s">
        <v>134</v>
      </c>
      <c r="EFG11" s="1429" t="s">
        <v>134</v>
      </c>
      <c r="EFH11" s="1429" t="s">
        <v>134</v>
      </c>
      <c r="EFI11" s="1429" t="s">
        <v>134</v>
      </c>
      <c r="EFJ11" s="1429" t="s">
        <v>134</v>
      </c>
      <c r="EFK11" s="1429" t="s">
        <v>134</v>
      </c>
      <c r="EFL11" s="1429" t="s">
        <v>134</v>
      </c>
      <c r="EFM11" s="1429" t="s">
        <v>134</v>
      </c>
      <c r="EFN11" s="1429" t="s">
        <v>134</v>
      </c>
      <c r="EFO11" s="1429" t="s">
        <v>134</v>
      </c>
      <c r="EFP11" s="1429" t="s">
        <v>134</v>
      </c>
      <c r="EFQ11" s="1429" t="s">
        <v>134</v>
      </c>
      <c r="EFR11" s="1429" t="s">
        <v>134</v>
      </c>
      <c r="EFS11" s="1429" t="s">
        <v>134</v>
      </c>
      <c r="EFT11" s="1429" t="s">
        <v>134</v>
      </c>
      <c r="EFU11" s="1429" t="s">
        <v>134</v>
      </c>
      <c r="EFV11" s="1429" t="s">
        <v>134</v>
      </c>
      <c r="EFW11" s="1429" t="s">
        <v>134</v>
      </c>
      <c r="EFX11" s="1429" t="s">
        <v>134</v>
      </c>
      <c r="EFY11" s="1429" t="s">
        <v>134</v>
      </c>
      <c r="EFZ11" s="1429" t="s">
        <v>134</v>
      </c>
      <c r="EGA11" s="1429" t="s">
        <v>134</v>
      </c>
      <c r="EGB11" s="1429" t="s">
        <v>134</v>
      </c>
      <c r="EGC11" s="1429" t="s">
        <v>134</v>
      </c>
      <c r="EGD11" s="1429" t="s">
        <v>134</v>
      </c>
      <c r="EGE11" s="1429" t="s">
        <v>134</v>
      </c>
      <c r="EGF11" s="1429" t="s">
        <v>134</v>
      </c>
      <c r="EGG11" s="1429" t="s">
        <v>134</v>
      </c>
      <c r="EGH11" s="1429" t="s">
        <v>134</v>
      </c>
      <c r="EGI11" s="1429" t="s">
        <v>134</v>
      </c>
      <c r="EGJ11" s="1429" t="s">
        <v>134</v>
      </c>
      <c r="EGK11" s="1429" t="s">
        <v>134</v>
      </c>
      <c r="EGL11" s="1429" t="s">
        <v>134</v>
      </c>
      <c r="EGM11" s="1429" t="s">
        <v>134</v>
      </c>
      <c r="EGN11" s="1429" t="s">
        <v>134</v>
      </c>
      <c r="EGO11" s="1429" t="s">
        <v>134</v>
      </c>
      <c r="EGP11" s="1429" t="s">
        <v>134</v>
      </c>
      <c r="EGQ11" s="1429" t="s">
        <v>134</v>
      </c>
      <c r="EGR11" s="1429" t="s">
        <v>134</v>
      </c>
      <c r="EGS11" s="1429" t="s">
        <v>134</v>
      </c>
      <c r="EGT11" s="1429" t="s">
        <v>134</v>
      </c>
      <c r="EGU11" s="1429" t="s">
        <v>134</v>
      </c>
      <c r="EGV11" s="1429" t="s">
        <v>134</v>
      </c>
      <c r="EGW11" s="1429" t="s">
        <v>134</v>
      </c>
      <c r="EGX11" s="1429" t="s">
        <v>134</v>
      </c>
      <c r="EGY11" s="1429" t="s">
        <v>134</v>
      </c>
      <c r="EGZ11" s="1429" t="s">
        <v>134</v>
      </c>
      <c r="EHA11" s="1429" t="s">
        <v>134</v>
      </c>
      <c r="EHB11" s="1429" t="s">
        <v>134</v>
      </c>
      <c r="EHC11" s="1429" t="s">
        <v>134</v>
      </c>
      <c r="EHD11" s="1429" t="s">
        <v>134</v>
      </c>
      <c r="EHE11" s="1429" t="s">
        <v>134</v>
      </c>
      <c r="EHF11" s="1429" t="s">
        <v>134</v>
      </c>
      <c r="EHG11" s="1429" t="s">
        <v>134</v>
      </c>
      <c r="EHH11" s="1429" t="s">
        <v>134</v>
      </c>
      <c r="EHI11" s="1429" t="s">
        <v>134</v>
      </c>
      <c r="EHJ11" s="1429" t="s">
        <v>134</v>
      </c>
      <c r="EHK11" s="1429" t="s">
        <v>134</v>
      </c>
      <c r="EHL11" s="1429" t="s">
        <v>134</v>
      </c>
      <c r="EHM11" s="1429" t="s">
        <v>134</v>
      </c>
      <c r="EHN11" s="1429" t="s">
        <v>134</v>
      </c>
      <c r="EHO11" s="1429" t="s">
        <v>134</v>
      </c>
      <c r="EHP11" s="1429" t="s">
        <v>134</v>
      </c>
      <c r="EHQ11" s="1429" t="s">
        <v>134</v>
      </c>
      <c r="EHR11" s="1429" t="s">
        <v>134</v>
      </c>
      <c r="EHS11" s="1429" t="s">
        <v>134</v>
      </c>
      <c r="EHT11" s="1429" t="s">
        <v>134</v>
      </c>
      <c r="EHU11" s="1429" t="s">
        <v>134</v>
      </c>
      <c r="EHV11" s="1429" t="s">
        <v>134</v>
      </c>
      <c r="EHW11" s="1429" t="s">
        <v>134</v>
      </c>
      <c r="EHX11" s="1429" t="s">
        <v>134</v>
      </c>
      <c r="EHY11" s="1429" t="s">
        <v>134</v>
      </c>
      <c r="EHZ11" s="1429" t="s">
        <v>134</v>
      </c>
      <c r="EIA11" s="1429" t="s">
        <v>134</v>
      </c>
      <c r="EIB11" s="1429" t="s">
        <v>134</v>
      </c>
      <c r="EIC11" s="1429" t="s">
        <v>134</v>
      </c>
      <c r="EID11" s="1429" t="s">
        <v>134</v>
      </c>
      <c r="EIE11" s="1429" t="s">
        <v>134</v>
      </c>
      <c r="EIF11" s="1429" t="s">
        <v>134</v>
      </c>
      <c r="EIG11" s="1429" t="s">
        <v>134</v>
      </c>
      <c r="EIH11" s="1429" t="s">
        <v>134</v>
      </c>
      <c r="EII11" s="1429" t="s">
        <v>134</v>
      </c>
      <c r="EIJ11" s="1429" t="s">
        <v>134</v>
      </c>
      <c r="EIK11" s="1429" t="s">
        <v>134</v>
      </c>
      <c r="EIL11" s="1429" t="s">
        <v>134</v>
      </c>
      <c r="EIM11" s="1429" t="s">
        <v>134</v>
      </c>
      <c r="EIN11" s="1429" t="s">
        <v>134</v>
      </c>
      <c r="EIO11" s="1429" t="s">
        <v>134</v>
      </c>
      <c r="EIP11" s="1429" t="s">
        <v>134</v>
      </c>
      <c r="EIQ11" s="1429" t="s">
        <v>134</v>
      </c>
      <c r="EIR11" s="1429" t="s">
        <v>134</v>
      </c>
      <c r="EIS11" s="1429" t="s">
        <v>134</v>
      </c>
      <c r="EIT11" s="1429" t="s">
        <v>134</v>
      </c>
      <c r="EIU11" s="1429" t="s">
        <v>134</v>
      </c>
      <c r="EIV11" s="1429" t="s">
        <v>134</v>
      </c>
      <c r="EIW11" s="1429" t="s">
        <v>134</v>
      </c>
      <c r="EIX11" s="1429" t="s">
        <v>134</v>
      </c>
      <c r="EIY11" s="1429" t="s">
        <v>134</v>
      </c>
      <c r="EIZ11" s="1429" t="s">
        <v>134</v>
      </c>
      <c r="EJA11" s="1429" t="s">
        <v>134</v>
      </c>
      <c r="EJB11" s="1429" t="s">
        <v>134</v>
      </c>
      <c r="EJC11" s="1429" t="s">
        <v>134</v>
      </c>
      <c r="EJD11" s="1429" t="s">
        <v>134</v>
      </c>
      <c r="EJE11" s="1429" t="s">
        <v>134</v>
      </c>
      <c r="EJF11" s="1429" t="s">
        <v>134</v>
      </c>
      <c r="EJG11" s="1429" t="s">
        <v>134</v>
      </c>
      <c r="EJH11" s="1429" t="s">
        <v>134</v>
      </c>
      <c r="EJI11" s="1429" t="s">
        <v>134</v>
      </c>
      <c r="EJJ11" s="1429" t="s">
        <v>134</v>
      </c>
      <c r="EJK11" s="1429" t="s">
        <v>134</v>
      </c>
      <c r="EJL11" s="1429" t="s">
        <v>134</v>
      </c>
      <c r="EJM11" s="1429" t="s">
        <v>134</v>
      </c>
      <c r="EJN11" s="1429" t="s">
        <v>134</v>
      </c>
      <c r="EJO11" s="1429" t="s">
        <v>134</v>
      </c>
      <c r="EJP11" s="1429" t="s">
        <v>134</v>
      </c>
      <c r="EJQ11" s="1429" t="s">
        <v>134</v>
      </c>
      <c r="EJR11" s="1429" t="s">
        <v>134</v>
      </c>
      <c r="EJS11" s="1429" t="s">
        <v>134</v>
      </c>
      <c r="EJT11" s="1429" t="s">
        <v>134</v>
      </c>
      <c r="EJU11" s="1429" t="s">
        <v>134</v>
      </c>
      <c r="EJV11" s="1429" t="s">
        <v>134</v>
      </c>
      <c r="EJW11" s="1429" t="s">
        <v>134</v>
      </c>
      <c r="EJX11" s="1429" t="s">
        <v>134</v>
      </c>
      <c r="EJY11" s="1429" t="s">
        <v>134</v>
      </c>
      <c r="EJZ11" s="1429" t="s">
        <v>134</v>
      </c>
      <c r="EKA11" s="1429" t="s">
        <v>134</v>
      </c>
      <c r="EKB11" s="1429" t="s">
        <v>134</v>
      </c>
      <c r="EKC11" s="1429" t="s">
        <v>134</v>
      </c>
      <c r="EKD11" s="1429" t="s">
        <v>134</v>
      </c>
      <c r="EKE11" s="1429" t="s">
        <v>134</v>
      </c>
      <c r="EKF11" s="1429" t="s">
        <v>134</v>
      </c>
      <c r="EKG11" s="1429" t="s">
        <v>134</v>
      </c>
      <c r="EKH11" s="1429" t="s">
        <v>134</v>
      </c>
      <c r="EKI11" s="1429" t="s">
        <v>134</v>
      </c>
      <c r="EKJ11" s="1429" t="s">
        <v>134</v>
      </c>
      <c r="EKK11" s="1429" t="s">
        <v>134</v>
      </c>
      <c r="EKL11" s="1429" t="s">
        <v>134</v>
      </c>
      <c r="EKM11" s="1429" t="s">
        <v>134</v>
      </c>
      <c r="EKN11" s="1429" t="s">
        <v>134</v>
      </c>
      <c r="EKO11" s="1429" t="s">
        <v>134</v>
      </c>
      <c r="EKP11" s="1429" t="s">
        <v>134</v>
      </c>
      <c r="EKQ11" s="1429" t="s">
        <v>134</v>
      </c>
      <c r="EKR11" s="1429" t="s">
        <v>134</v>
      </c>
      <c r="EKS11" s="1429" t="s">
        <v>134</v>
      </c>
      <c r="EKT11" s="1429" t="s">
        <v>134</v>
      </c>
      <c r="EKU11" s="1429" t="s">
        <v>134</v>
      </c>
      <c r="EKV11" s="1429" t="s">
        <v>134</v>
      </c>
      <c r="EKW11" s="1429" t="s">
        <v>134</v>
      </c>
      <c r="EKX11" s="1429" t="s">
        <v>134</v>
      </c>
      <c r="EKY11" s="1429" t="s">
        <v>134</v>
      </c>
      <c r="EKZ11" s="1429" t="s">
        <v>134</v>
      </c>
      <c r="ELA11" s="1429" t="s">
        <v>134</v>
      </c>
      <c r="ELB11" s="1429" t="s">
        <v>134</v>
      </c>
      <c r="ELC11" s="1429" t="s">
        <v>134</v>
      </c>
      <c r="ELD11" s="1429" t="s">
        <v>134</v>
      </c>
      <c r="ELE11" s="1429" t="s">
        <v>134</v>
      </c>
      <c r="ELF11" s="1429" t="s">
        <v>134</v>
      </c>
      <c r="ELG11" s="1429" t="s">
        <v>134</v>
      </c>
      <c r="ELH11" s="1429" t="s">
        <v>134</v>
      </c>
      <c r="ELI11" s="1429" t="s">
        <v>134</v>
      </c>
      <c r="ELJ11" s="1429" t="s">
        <v>134</v>
      </c>
      <c r="ELK11" s="1429" t="s">
        <v>134</v>
      </c>
      <c r="ELL11" s="1429" t="s">
        <v>134</v>
      </c>
      <c r="ELM11" s="1429" t="s">
        <v>134</v>
      </c>
      <c r="ELN11" s="1429" t="s">
        <v>134</v>
      </c>
      <c r="ELO11" s="1429" t="s">
        <v>134</v>
      </c>
      <c r="ELP11" s="1429" t="s">
        <v>134</v>
      </c>
      <c r="ELQ11" s="1429" t="s">
        <v>134</v>
      </c>
      <c r="ELR11" s="1429" t="s">
        <v>134</v>
      </c>
      <c r="ELS11" s="1429" t="s">
        <v>134</v>
      </c>
      <c r="ELT11" s="1429" t="s">
        <v>134</v>
      </c>
      <c r="ELU11" s="1429" t="s">
        <v>134</v>
      </c>
      <c r="ELV11" s="1429" t="s">
        <v>134</v>
      </c>
      <c r="ELW11" s="1429" t="s">
        <v>134</v>
      </c>
      <c r="ELX11" s="1429" t="s">
        <v>134</v>
      </c>
      <c r="ELY11" s="1429" t="s">
        <v>134</v>
      </c>
      <c r="ELZ11" s="1429" t="s">
        <v>134</v>
      </c>
      <c r="EMA11" s="1429" t="s">
        <v>134</v>
      </c>
      <c r="EMB11" s="1429" t="s">
        <v>134</v>
      </c>
      <c r="EMC11" s="1429" t="s">
        <v>134</v>
      </c>
      <c r="EMD11" s="1429" t="s">
        <v>134</v>
      </c>
      <c r="EME11" s="1429" t="s">
        <v>134</v>
      </c>
      <c r="EMF11" s="1429" t="s">
        <v>134</v>
      </c>
      <c r="EMG11" s="1429" t="s">
        <v>134</v>
      </c>
      <c r="EMH11" s="1429" t="s">
        <v>134</v>
      </c>
      <c r="EMI11" s="1429" t="s">
        <v>134</v>
      </c>
      <c r="EMJ11" s="1429" t="s">
        <v>134</v>
      </c>
      <c r="EMK11" s="1429" t="s">
        <v>134</v>
      </c>
      <c r="EML11" s="1429" t="s">
        <v>134</v>
      </c>
      <c r="EMM11" s="1429" t="s">
        <v>134</v>
      </c>
      <c r="EMN11" s="1429" t="s">
        <v>134</v>
      </c>
      <c r="EMO11" s="1429" t="s">
        <v>134</v>
      </c>
      <c r="EMP11" s="1429" t="s">
        <v>134</v>
      </c>
      <c r="EMQ11" s="1429" t="s">
        <v>134</v>
      </c>
      <c r="EMR11" s="1429" t="s">
        <v>134</v>
      </c>
      <c r="EMS11" s="1429" t="s">
        <v>134</v>
      </c>
      <c r="EMT11" s="1429" t="s">
        <v>134</v>
      </c>
      <c r="EMU11" s="1429" t="s">
        <v>134</v>
      </c>
      <c r="EMV11" s="1429" t="s">
        <v>134</v>
      </c>
      <c r="EMW11" s="1429" t="s">
        <v>134</v>
      </c>
      <c r="EMX11" s="1429" t="s">
        <v>134</v>
      </c>
      <c r="EMY11" s="1429" t="s">
        <v>134</v>
      </c>
      <c r="EMZ11" s="1429" t="s">
        <v>134</v>
      </c>
      <c r="ENA11" s="1429" t="s">
        <v>134</v>
      </c>
      <c r="ENB11" s="1429" t="s">
        <v>134</v>
      </c>
      <c r="ENC11" s="1429" t="s">
        <v>134</v>
      </c>
      <c r="END11" s="1429" t="s">
        <v>134</v>
      </c>
      <c r="ENE11" s="1429" t="s">
        <v>134</v>
      </c>
      <c r="ENF11" s="1429" t="s">
        <v>134</v>
      </c>
      <c r="ENG11" s="1429" t="s">
        <v>134</v>
      </c>
      <c r="ENH11" s="1429" t="s">
        <v>134</v>
      </c>
      <c r="ENI11" s="1429" t="s">
        <v>134</v>
      </c>
      <c r="ENJ11" s="1429" t="s">
        <v>134</v>
      </c>
      <c r="ENK11" s="1429" t="s">
        <v>134</v>
      </c>
      <c r="ENL11" s="1429" t="s">
        <v>134</v>
      </c>
      <c r="ENM11" s="1429" t="s">
        <v>134</v>
      </c>
      <c r="ENN11" s="1429" t="s">
        <v>134</v>
      </c>
      <c r="ENO11" s="1429" t="s">
        <v>134</v>
      </c>
      <c r="ENP11" s="1429" t="s">
        <v>134</v>
      </c>
      <c r="ENQ11" s="1429" t="s">
        <v>134</v>
      </c>
      <c r="ENR11" s="1429" t="s">
        <v>134</v>
      </c>
      <c r="ENS11" s="1429" t="s">
        <v>134</v>
      </c>
      <c r="ENT11" s="1429" t="s">
        <v>134</v>
      </c>
      <c r="ENU11" s="1429" t="s">
        <v>134</v>
      </c>
      <c r="ENV11" s="1429" t="s">
        <v>134</v>
      </c>
      <c r="ENW11" s="1429" t="s">
        <v>134</v>
      </c>
      <c r="ENX11" s="1429" t="s">
        <v>134</v>
      </c>
      <c r="ENY11" s="1429" t="s">
        <v>134</v>
      </c>
      <c r="ENZ11" s="1429" t="s">
        <v>134</v>
      </c>
      <c r="EOA11" s="1429" t="s">
        <v>134</v>
      </c>
      <c r="EOB11" s="1429" t="s">
        <v>134</v>
      </c>
      <c r="EOC11" s="1429" t="s">
        <v>134</v>
      </c>
      <c r="EOD11" s="1429" t="s">
        <v>134</v>
      </c>
      <c r="EOE11" s="1429" t="s">
        <v>134</v>
      </c>
      <c r="EOF11" s="1429" t="s">
        <v>134</v>
      </c>
      <c r="EOG11" s="1429" t="s">
        <v>134</v>
      </c>
      <c r="EOH11" s="1429" t="s">
        <v>134</v>
      </c>
      <c r="EOI11" s="1429" t="s">
        <v>134</v>
      </c>
      <c r="EOJ11" s="1429" t="s">
        <v>134</v>
      </c>
      <c r="EOK11" s="1429" t="s">
        <v>134</v>
      </c>
      <c r="EOL11" s="1429" t="s">
        <v>134</v>
      </c>
      <c r="EOM11" s="1429" t="s">
        <v>134</v>
      </c>
      <c r="EON11" s="1429" t="s">
        <v>134</v>
      </c>
      <c r="EOO11" s="1429" t="s">
        <v>134</v>
      </c>
      <c r="EOP11" s="1429" t="s">
        <v>134</v>
      </c>
      <c r="EOQ11" s="1429" t="s">
        <v>134</v>
      </c>
      <c r="EOR11" s="1429" t="s">
        <v>134</v>
      </c>
      <c r="EOS11" s="1429" t="s">
        <v>134</v>
      </c>
      <c r="EOT11" s="1429" t="s">
        <v>134</v>
      </c>
      <c r="EOU11" s="1429" t="s">
        <v>134</v>
      </c>
      <c r="EOV11" s="1429" t="s">
        <v>134</v>
      </c>
      <c r="EOW11" s="1429" t="s">
        <v>134</v>
      </c>
      <c r="EOX11" s="1429" t="s">
        <v>134</v>
      </c>
      <c r="EOY11" s="1429" t="s">
        <v>134</v>
      </c>
      <c r="EOZ11" s="1429" t="s">
        <v>134</v>
      </c>
      <c r="EPA11" s="1429" t="s">
        <v>134</v>
      </c>
      <c r="EPB11" s="1429" t="s">
        <v>134</v>
      </c>
      <c r="EPC11" s="1429" t="s">
        <v>134</v>
      </c>
      <c r="EPD11" s="1429" t="s">
        <v>134</v>
      </c>
      <c r="EPE11" s="1429" t="s">
        <v>134</v>
      </c>
      <c r="EPF11" s="1429" t="s">
        <v>134</v>
      </c>
      <c r="EPG11" s="1429" t="s">
        <v>134</v>
      </c>
      <c r="EPH11" s="1429" t="s">
        <v>134</v>
      </c>
      <c r="EPI11" s="1429" t="s">
        <v>134</v>
      </c>
      <c r="EPJ11" s="1429" t="s">
        <v>134</v>
      </c>
      <c r="EPK11" s="1429" t="s">
        <v>134</v>
      </c>
      <c r="EPL11" s="1429" t="s">
        <v>134</v>
      </c>
      <c r="EPM11" s="1429" t="s">
        <v>134</v>
      </c>
      <c r="EPN11" s="1429" t="s">
        <v>134</v>
      </c>
      <c r="EPO11" s="1429" t="s">
        <v>134</v>
      </c>
      <c r="EPP11" s="1429" t="s">
        <v>134</v>
      </c>
      <c r="EPQ11" s="1429" t="s">
        <v>134</v>
      </c>
      <c r="EPR11" s="1429" t="s">
        <v>134</v>
      </c>
      <c r="EPS11" s="1429" t="s">
        <v>134</v>
      </c>
      <c r="EPT11" s="1429" t="s">
        <v>134</v>
      </c>
      <c r="EPU11" s="1429" t="s">
        <v>134</v>
      </c>
      <c r="EPV11" s="1429" t="s">
        <v>134</v>
      </c>
      <c r="EPW11" s="1429" t="s">
        <v>134</v>
      </c>
      <c r="EPX11" s="1429" t="s">
        <v>134</v>
      </c>
      <c r="EPY11" s="1429" t="s">
        <v>134</v>
      </c>
      <c r="EPZ11" s="1429" t="s">
        <v>134</v>
      </c>
      <c r="EQA11" s="1429" t="s">
        <v>134</v>
      </c>
      <c r="EQB11" s="1429" t="s">
        <v>134</v>
      </c>
      <c r="EQC11" s="1429" t="s">
        <v>134</v>
      </c>
      <c r="EQD11" s="1429" t="s">
        <v>134</v>
      </c>
      <c r="EQE11" s="1429" t="s">
        <v>134</v>
      </c>
      <c r="EQF11" s="1429" t="s">
        <v>134</v>
      </c>
      <c r="EQG11" s="1429" t="s">
        <v>134</v>
      </c>
      <c r="EQH11" s="1429" t="s">
        <v>134</v>
      </c>
      <c r="EQI11" s="1429" t="s">
        <v>134</v>
      </c>
      <c r="EQJ11" s="1429" t="s">
        <v>134</v>
      </c>
      <c r="EQK11" s="1429" t="s">
        <v>134</v>
      </c>
      <c r="EQL11" s="1429" t="s">
        <v>134</v>
      </c>
      <c r="EQM11" s="1429" t="s">
        <v>134</v>
      </c>
      <c r="EQN11" s="1429" t="s">
        <v>134</v>
      </c>
      <c r="EQO11" s="1429" t="s">
        <v>134</v>
      </c>
      <c r="EQP11" s="1429" t="s">
        <v>134</v>
      </c>
      <c r="EQQ11" s="1429" t="s">
        <v>134</v>
      </c>
      <c r="EQR11" s="1429" t="s">
        <v>134</v>
      </c>
      <c r="EQS11" s="1429" t="s">
        <v>134</v>
      </c>
      <c r="EQT11" s="1429" t="s">
        <v>134</v>
      </c>
      <c r="EQU11" s="1429" t="s">
        <v>134</v>
      </c>
      <c r="EQV11" s="1429" t="s">
        <v>134</v>
      </c>
      <c r="EQW11" s="1429" t="s">
        <v>134</v>
      </c>
      <c r="EQX11" s="1429" t="s">
        <v>134</v>
      </c>
      <c r="EQY11" s="1429" t="s">
        <v>134</v>
      </c>
      <c r="EQZ11" s="1429" t="s">
        <v>134</v>
      </c>
      <c r="ERA11" s="1429" t="s">
        <v>134</v>
      </c>
      <c r="ERB11" s="1429" t="s">
        <v>134</v>
      </c>
      <c r="ERC11" s="1429" t="s">
        <v>134</v>
      </c>
      <c r="ERD11" s="1429" t="s">
        <v>134</v>
      </c>
      <c r="ERE11" s="1429" t="s">
        <v>134</v>
      </c>
      <c r="ERF11" s="1429" t="s">
        <v>134</v>
      </c>
      <c r="ERG11" s="1429" t="s">
        <v>134</v>
      </c>
      <c r="ERH11" s="1429" t="s">
        <v>134</v>
      </c>
      <c r="ERI11" s="1429" t="s">
        <v>134</v>
      </c>
      <c r="ERJ11" s="1429" t="s">
        <v>134</v>
      </c>
      <c r="ERK11" s="1429" t="s">
        <v>134</v>
      </c>
      <c r="ERL11" s="1429" t="s">
        <v>134</v>
      </c>
      <c r="ERM11" s="1429" t="s">
        <v>134</v>
      </c>
      <c r="ERN11" s="1429" t="s">
        <v>134</v>
      </c>
      <c r="ERO11" s="1429" t="s">
        <v>134</v>
      </c>
      <c r="ERP11" s="1429" t="s">
        <v>134</v>
      </c>
      <c r="ERQ11" s="1429" t="s">
        <v>134</v>
      </c>
      <c r="ERR11" s="1429" t="s">
        <v>134</v>
      </c>
      <c r="ERS11" s="1429" t="s">
        <v>134</v>
      </c>
      <c r="ERT11" s="1429" t="s">
        <v>134</v>
      </c>
      <c r="ERU11" s="1429" t="s">
        <v>134</v>
      </c>
      <c r="ERV11" s="1429" t="s">
        <v>134</v>
      </c>
      <c r="ERW11" s="1429" t="s">
        <v>134</v>
      </c>
      <c r="ERX11" s="1429" t="s">
        <v>134</v>
      </c>
      <c r="ERY11" s="1429" t="s">
        <v>134</v>
      </c>
      <c r="ERZ11" s="1429" t="s">
        <v>134</v>
      </c>
      <c r="ESA11" s="1429" t="s">
        <v>134</v>
      </c>
      <c r="ESB11" s="1429" t="s">
        <v>134</v>
      </c>
      <c r="ESC11" s="1429" t="s">
        <v>134</v>
      </c>
      <c r="ESD11" s="1429" t="s">
        <v>134</v>
      </c>
      <c r="ESE11" s="1429" t="s">
        <v>134</v>
      </c>
      <c r="ESF11" s="1429" t="s">
        <v>134</v>
      </c>
      <c r="ESG11" s="1429" t="s">
        <v>134</v>
      </c>
      <c r="ESH11" s="1429" t="s">
        <v>134</v>
      </c>
      <c r="ESI11" s="1429" t="s">
        <v>134</v>
      </c>
      <c r="ESJ11" s="1429" t="s">
        <v>134</v>
      </c>
      <c r="ESK11" s="1429" t="s">
        <v>134</v>
      </c>
      <c r="ESL11" s="1429" t="s">
        <v>134</v>
      </c>
      <c r="ESM11" s="1429" t="s">
        <v>134</v>
      </c>
      <c r="ESN11" s="1429" t="s">
        <v>134</v>
      </c>
      <c r="ESO11" s="1429" t="s">
        <v>134</v>
      </c>
      <c r="ESP11" s="1429" t="s">
        <v>134</v>
      </c>
      <c r="ESQ11" s="1429" t="s">
        <v>134</v>
      </c>
      <c r="ESR11" s="1429" t="s">
        <v>134</v>
      </c>
      <c r="ESS11" s="1429" t="s">
        <v>134</v>
      </c>
      <c r="EST11" s="1429" t="s">
        <v>134</v>
      </c>
      <c r="ESU11" s="1429" t="s">
        <v>134</v>
      </c>
      <c r="ESV11" s="1429" t="s">
        <v>134</v>
      </c>
      <c r="ESW11" s="1429" t="s">
        <v>134</v>
      </c>
      <c r="ESX11" s="1429" t="s">
        <v>134</v>
      </c>
      <c r="ESY11" s="1429" t="s">
        <v>134</v>
      </c>
      <c r="ESZ11" s="1429" t="s">
        <v>134</v>
      </c>
      <c r="ETA11" s="1429" t="s">
        <v>134</v>
      </c>
      <c r="ETB11" s="1429" t="s">
        <v>134</v>
      </c>
      <c r="ETC11" s="1429" t="s">
        <v>134</v>
      </c>
      <c r="ETD11" s="1429" t="s">
        <v>134</v>
      </c>
      <c r="ETE11" s="1429" t="s">
        <v>134</v>
      </c>
      <c r="ETF11" s="1429" t="s">
        <v>134</v>
      </c>
      <c r="ETG11" s="1429" t="s">
        <v>134</v>
      </c>
      <c r="ETH11" s="1429" t="s">
        <v>134</v>
      </c>
      <c r="ETI11" s="1429" t="s">
        <v>134</v>
      </c>
      <c r="ETJ11" s="1429" t="s">
        <v>134</v>
      </c>
      <c r="ETK11" s="1429" t="s">
        <v>134</v>
      </c>
      <c r="ETL11" s="1429" t="s">
        <v>134</v>
      </c>
      <c r="ETM11" s="1429" t="s">
        <v>134</v>
      </c>
      <c r="ETN11" s="1429" t="s">
        <v>134</v>
      </c>
      <c r="ETO11" s="1429" t="s">
        <v>134</v>
      </c>
      <c r="ETP11" s="1429" t="s">
        <v>134</v>
      </c>
      <c r="ETQ11" s="1429" t="s">
        <v>134</v>
      </c>
      <c r="ETR11" s="1429" t="s">
        <v>134</v>
      </c>
      <c r="ETS11" s="1429" t="s">
        <v>134</v>
      </c>
      <c r="ETT11" s="1429" t="s">
        <v>134</v>
      </c>
      <c r="ETU11" s="1429" t="s">
        <v>134</v>
      </c>
      <c r="ETV11" s="1429" t="s">
        <v>134</v>
      </c>
      <c r="ETW11" s="1429" t="s">
        <v>134</v>
      </c>
      <c r="ETX11" s="1429" t="s">
        <v>134</v>
      </c>
      <c r="ETY11" s="1429" t="s">
        <v>134</v>
      </c>
      <c r="ETZ11" s="1429" t="s">
        <v>134</v>
      </c>
      <c r="EUA11" s="1429" t="s">
        <v>134</v>
      </c>
      <c r="EUB11" s="1429" t="s">
        <v>134</v>
      </c>
      <c r="EUC11" s="1429" t="s">
        <v>134</v>
      </c>
      <c r="EUD11" s="1429" t="s">
        <v>134</v>
      </c>
      <c r="EUE11" s="1429" t="s">
        <v>134</v>
      </c>
      <c r="EUF11" s="1429" t="s">
        <v>134</v>
      </c>
      <c r="EUG11" s="1429" t="s">
        <v>134</v>
      </c>
      <c r="EUH11" s="1429" t="s">
        <v>134</v>
      </c>
      <c r="EUI11" s="1429" t="s">
        <v>134</v>
      </c>
      <c r="EUJ11" s="1429" t="s">
        <v>134</v>
      </c>
      <c r="EUK11" s="1429" t="s">
        <v>134</v>
      </c>
      <c r="EUL11" s="1429" t="s">
        <v>134</v>
      </c>
      <c r="EUM11" s="1429" t="s">
        <v>134</v>
      </c>
      <c r="EUN11" s="1429" t="s">
        <v>134</v>
      </c>
      <c r="EUO11" s="1429" t="s">
        <v>134</v>
      </c>
      <c r="EUP11" s="1429" t="s">
        <v>134</v>
      </c>
      <c r="EUQ11" s="1429" t="s">
        <v>134</v>
      </c>
      <c r="EUR11" s="1429" t="s">
        <v>134</v>
      </c>
      <c r="EUS11" s="1429" t="s">
        <v>134</v>
      </c>
      <c r="EUT11" s="1429" t="s">
        <v>134</v>
      </c>
      <c r="EUU11" s="1429" t="s">
        <v>134</v>
      </c>
      <c r="EUV11" s="1429" t="s">
        <v>134</v>
      </c>
      <c r="EUW11" s="1429" t="s">
        <v>134</v>
      </c>
      <c r="EUX11" s="1429" t="s">
        <v>134</v>
      </c>
      <c r="EUY11" s="1429" t="s">
        <v>134</v>
      </c>
      <c r="EUZ11" s="1429" t="s">
        <v>134</v>
      </c>
      <c r="EVA11" s="1429" t="s">
        <v>134</v>
      </c>
      <c r="EVB11" s="1429" t="s">
        <v>134</v>
      </c>
      <c r="EVC11" s="1429" t="s">
        <v>134</v>
      </c>
      <c r="EVD11" s="1429" t="s">
        <v>134</v>
      </c>
      <c r="EVE11" s="1429" t="s">
        <v>134</v>
      </c>
      <c r="EVF11" s="1429" t="s">
        <v>134</v>
      </c>
      <c r="EVG11" s="1429" t="s">
        <v>134</v>
      </c>
      <c r="EVH11" s="1429" t="s">
        <v>134</v>
      </c>
      <c r="EVI11" s="1429" t="s">
        <v>134</v>
      </c>
      <c r="EVJ11" s="1429" t="s">
        <v>134</v>
      </c>
      <c r="EVK11" s="1429" t="s">
        <v>134</v>
      </c>
      <c r="EVL11" s="1429" t="s">
        <v>134</v>
      </c>
      <c r="EVM11" s="1429" t="s">
        <v>134</v>
      </c>
      <c r="EVN11" s="1429" t="s">
        <v>134</v>
      </c>
      <c r="EVO11" s="1429" t="s">
        <v>134</v>
      </c>
      <c r="EVP11" s="1429" t="s">
        <v>134</v>
      </c>
      <c r="EVQ11" s="1429" t="s">
        <v>134</v>
      </c>
      <c r="EVR11" s="1429" t="s">
        <v>134</v>
      </c>
      <c r="EVS11" s="1429" t="s">
        <v>134</v>
      </c>
      <c r="EVT11" s="1429" t="s">
        <v>134</v>
      </c>
      <c r="EVU11" s="1429" t="s">
        <v>134</v>
      </c>
      <c r="EVV11" s="1429" t="s">
        <v>134</v>
      </c>
      <c r="EVW11" s="1429" t="s">
        <v>134</v>
      </c>
      <c r="EVX11" s="1429" t="s">
        <v>134</v>
      </c>
      <c r="EVY11" s="1429" t="s">
        <v>134</v>
      </c>
      <c r="EVZ11" s="1429" t="s">
        <v>134</v>
      </c>
      <c r="EWA11" s="1429" t="s">
        <v>134</v>
      </c>
      <c r="EWB11" s="1429" t="s">
        <v>134</v>
      </c>
      <c r="EWC11" s="1429" t="s">
        <v>134</v>
      </c>
      <c r="EWD11" s="1429" t="s">
        <v>134</v>
      </c>
      <c r="EWE11" s="1429" t="s">
        <v>134</v>
      </c>
      <c r="EWF11" s="1429" t="s">
        <v>134</v>
      </c>
      <c r="EWG11" s="1429" t="s">
        <v>134</v>
      </c>
      <c r="EWH11" s="1429" t="s">
        <v>134</v>
      </c>
      <c r="EWI11" s="1429" t="s">
        <v>134</v>
      </c>
      <c r="EWJ11" s="1429" t="s">
        <v>134</v>
      </c>
      <c r="EWK11" s="1429" t="s">
        <v>134</v>
      </c>
      <c r="EWL11" s="1429" t="s">
        <v>134</v>
      </c>
      <c r="EWM11" s="1429" t="s">
        <v>134</v>
      </c>
      <c r="EWN11" s="1429" t="s">
        <v>134</v>
      </c>
      <c r="EWO11" s="1429" t="s">
        <v>134</v>
      </c>
      <c r="EWP11" s="1429" t="s">
        <v>134</v>
      </c>
      <c r="EWQ11" s="1429" t="s">
        <v>134</v>
      </c>
      <c r="EWR11" s="1429" t="s">
        <v>134</v>
      </c>
      <c r="EWS11" s="1429" t="s">
        <v>134</v>
      </c>
      <c r="EWT11" s="1429" t="s">
        <v>134</v>
      </c>
      <c r="EWU11" s="1429" t="s">
        <v>134</v>
      </c>
      <c r="EWV11" s="1429" t="s">
        <v>134</v>
      </c>
      <c r="EWW11" s="1429" t="s">
        <v>134</v>
      </c>
      <c r="EWX11" s="1429" t="s">
        <v>134</v>
      </c>
      <c r="EWY11" s="1429" t="s">
        <v>134</v>
      </c>
      <c r="EWZ11" s="1429" t="s">
        <v>134</v>
      </c>
      <c r="EXA11" s="1429" t="s">
        <v>134</v>
      </c>
      <c r="EXB11" s="1429" t="s">
        <v>134</v>
      </c>
      <c r="EXC11" s="1429" t="s">
        <v>134</v>
      </c>
      <c r="EXD11" s="1429" t="s">
        <v>134</v>
      </c>
      <c r="EXE11" s="1429" t="s">
        <v>134</v>
      </c>
      <c r="EXF11" s="1429" t="s">
        <v>134</v>
      </c>
      <c r="EXG11" s="1429" t="s">
        <v>134</v>
      </c>
      <c r="EXH11" s="1429" t="s">
        <v>134</v>
      </c>
      <c r="EXI11" s="1429" t="s">
        <v>134</v>
      </c>
      <c r="EXJ11" s="1429" t="s">
        <v>134</v>
      </c>
      <c r="EXK11" s="1429" t="s">
        <v>134</v>
      </c>
      <c r="EXL11" s="1429" t="s">
        <v>134</v>
      </c>
      <c r="EXM11" s="1429" t="s">
        <v>134</v>
      </c>
      <c r="EXN11" s="1429" t="s">
        <v>134</v>
      </c>
      <c r="EXO11" s="1429" t="s">
        <v>134</v>
      </c>
      <c r="EXP11" s="1429" t="s">
        <v>134</v>
      </c>
      <c r="EXQ11" s="1429" t="s">
        <v>134</v>
      </c>
      <c r="EXR11" s="1429" t="s">
        <v>134</v>
      </c>
      <c r="EXS11" s="1429" t="s">
        <v>134</v>
      </c>
      <c r="EXT11" s="1429" t="s">
        <v>134</v>
      </c>
      <c r="EXU11" s="1429" t="s">
        <v>134</v>
      </c>
      <c r="EXV11" s="1429" t="s">
        <v>134</v>
      </c>
      <c r="EXW11" s="1429" t="s">
        <v>134</v>
      </c>
      <c r="EXX11" s="1429" t="s">
        <v>134</v>
      </c>
      <c r="EXY11" s="1429" t="s">
        <v>134</v>
      </c>
      <c r="EXZ11" s="1429" t="s">
        <v>134</v>
      </c>
      <c r="EYA11" s="1429" t="s">
        <v>134</v>
      </c>
      <c r="EYB11" s="1429" t="s">
        <v>134</v>
      </c>
      <c r="EYC11" s="1429" t="s">
        <v>134</v>
      </c>
      <c r="EYD11" s="1429" t="s">
        <v>134</v>
      </c>
      <c r="EYE11" s="1429" t="s">
        <v>134</v>
      </c>
      <c r="EYF11" s="1429" t="s">
        <v>134</v>
      </c>
      <c r="EYG11" s="1429" t="s">
        <v>134</v>
      </c>
      <c r="EYH11" s="1429" t="s">
        <v>134</v>
      </c>
      <c r="EYI11" s="1429" t="s">
        <v>134</v>
      </c>
      <c r="EYJ11" s="1429" t="s">
        <v>134</v>
      </c>
      <c r="EYK11" s="1429" t="s">
        <v>134</v>
      </c>
      <c r="EYL11" s="1429" t="s">
        <v>134</v>
      </c>
      <c r="EYM11" s="1429" t="s">
        <v>134</v>
      </c>
      <c r="EYN11" s="1429" t="s">
        <v>134</v>
      </c>
      <c r="EYO11" s="1429" t="s">
        <v>134</v>
      </c>
      <c r="EYP11" s="1429" t="s">
        <v>134</v>
      </c>
      <c r="EYQ11" s="1429" t="s">
        <v>134</v>
      </c>
      <c r="EYR11" s="1429" t="s">
        <v>134</v>
      </c>
      <c r="EYS11" s="1429" t="s">
        <v>134</v>
      </c>
      <c r="EYT11" s="1429" t="s">
        <v>134</v>
      </c>
      <c r="EYU11" s="1429" t="s">
        <v>134</v>
      </c>
      <c r="EYV11" s="1429" t="s">
        <v>134</v>
      </c>
      <c r="EYW11" s="1429" t="s">
        <v>134</v>
      </c>
      <c r="EYX11" s="1429" t="s">
        <v>134</v>
      </c>
      <c r="EYY11" s="1429" t="s">
        <v>134</v>
      </c>
      <c r="EYZ11" s="1429" t="s">
        <v>134</v>
      </c>
      <c r="EZA11" s="1429" t="s">
        <v>134</v>
      </c>
      <c r="EZB11" s="1429" t="s">
        <v>134</v>
      </c>
      <c r="EZC11" s="1429" t="s">
        <v>134</v>
      </c>
      <c r="EZD11" s="1429" t="s">
        <v>134</v>
      </c>
      <c r="EZE11" s="1429" t="s">
        <v>134</v>
      </c>
      <c r="EZF11" s="1429" t="s">
        <v>134</v>
      </c>
      <c r="EZG11" s="1429" t="s">
        <v>134</v>
      </c>
      <c r="EZH11" s="1429" t="s">
        <v>134</v>
      </c>
      <c r="EZI11" s="1429" t="s">
        <v>134</v>
      </c>
      <c r="EZJ11" s="1429" t="s">
        <v>134</v>
      </c>
      <c r="EZK11" s="1429" t="s">
        <v>134</v>
      </c>
      <c r="EZL11" s="1429" t="s">
        <v>134</v>
      </c>
      <c r="EZM11" s="1429" t="s">
        <v>134</v>
      </c>
      <c r="EZN11" s="1429" t="s">
        <v>134</v>
      </c>
      <c r="EZO11" s="1429" t="s">
        <v>134</v>
      </c>
      <c r="EZP11" s="1429" t="s">
        <v>134</v>
      </c>
      <c r="EZQ11" s="1429" t="s">
        <v>134</v>
      </c>
      <c r="EZR11" s="1429" t="s">
        <v>134</v>
      </c>
      <c r="EZS11" s="1429" t="s">
        <v>134</v>
      </c>
      <c r="EZT11" s="1429" t="s">
        <v>134</v>
      </c>
      <c r="EZU11" s="1429" t="s">
        <v>134</v>
      </c>
      <c r="EZV11" s="1429" t="s">
        <v>134</v>
      </c>
      <c r="EZW11" s="1429" t="s">
        <v>134</v>
      </c>
      <c r="EZX11" s="1429" t="s">
        <v>134</v>
      </c>
      <c r="EZY11" s="1429" t="s">
        <v>134</v>
      </c>
      <c r="EZZ11" s="1429" t="s">
        <v>134</v>
      </c>
      <c r="FAA11" s="1429" t="s">
        <v>134</v>
      </c>
      <c r="FAB11" s="1429" t="s">
        <v>134</v>
      </c>
      <c r="FAC11" s="1429" t="s">
        <v>134</v>
      </c>
      <c r="FAD11" s="1429" t="s">
        <v>134</v>
      </c>
      <c r="FAE11" s="1429" t="s">
        <v>134</v>
      </c>
      <c r="FAF11" s="1429" t="s">
        <v>134</v>
      </c>
      <c r="FAG11" s="1429" t="s">
        <v>134</v>
      </c>
      <c r="FAH11" s="1429" t="s">
        <v>134</v>
      </c>
      <c r="FAI11" s="1429" t="s">
        <v>134</v>
      </c>
      <c r="FAJ11" s="1429" t="s">
        <v>134</v>
      </c>
      <c r="FAK11" s="1429" t="s">
        <v>134</v>
      </c>
      <c r="FAL11" s="1429" t="s">
        <v>134</v>
      </c>
      <c r="FAM11" s="1429" t="s">
        <v>134</v>
      </c>
      <c r="FAN11" s="1429" t="s">
        <v>134</v>
      </c>
      <c r="FAO11" s="1429" t="s">
        <v>134</v>
      </c>
      <c r="FAP11" s="1429" t="s">
        <v>134</v>
      </c>
      <c r="FAQ11" s="1429" t="s">
        <v>134</v>
      </c>
      <c r="FAR11" s="1429" t="s">
        <v>134</v>
      </c>
      <c r="FAS11" s="1429" t="s">
        <v>134</v>
      </c>
      <c r="FAT11" s="1429" t="s">
        <v>134</v>
      </c>
      <c r="FAU11" s="1429" t="s">
        <v>134</v>
      </c>
      <c r="FAV11" s="1429" t="s">
        <v>134</v>
      </c>
      <c r="FAW11" s="1429" t="s">
        <v>134</v>
      </c>
      <c r="FAX11" s="1429" t="s">
        <v>134</v>
      </c>
      <c r="FAY11" s="1429" t="s">
        <v>134</v>
      </c>
      <c r="FAZ11" s="1429" t="s">
        <v>134</v>
      </c>
      <c r="FBA11" s="1429" t="s">
        <v>134</v>
      </c>
      <c r="FBB11" s="1429" t="s">
        <v>134</v>
      </c>
      <c r="FBC11" s="1429" t="s">
        <v>134</v>
      </c>
      <c r="FBD11" s="1429" t="s">
        <v>134</v>
      </c>
      <c r="FBE11" s="1429" t="s">
        <v>134</v>
      </c>
      <c r="FBF11" s="1429" t="s">
        <v>134</v>
      </c>
      <c r="FBG11" s="1429" t="s">
        <v>134</v>
      </c>
      <c r="FBH11" s="1429" t="s">
        <v>134</v>
      </c>
      <c r="FBI11" s="1429" t="s">
        <v>134</v>
      </c>
      <c r="FBJ11" s="1429" t="s">
        <v>134</v>
      </c>
      <c r="FBK11" s="1429" t="s">
        <v>134</v>
      </c>
      <c r="FBL11" s="1429" t="s">
        <v>134</v>
      </c>
      <c r="FBM11" s="1429" t="s">
        <v>134</v>
      </c>
      <c r="FBN11" s="1429" t="s">
        <v>134</v>
      </c>
      <c r="FBO11" s="1429" t="s">
        <v>134</v>
      </c>
      <c r="FBP11" s="1429" t="s">
        <v>134</v>
      </c>
      <c r="FBQ11" s="1429" t="s">
        <v>134</v>
      </c>
      <c r="FBR11" s="1429" t="s">
        <v>134</v>
      </c>
      <c r="FBS11" s="1429" t="s">
        <v>134</v>
      </c>
      <c r="FBT11" s="1429" t="s">
        <v>134</v>
      </c>
      <c r="FBU11" s="1429" t="s">
        <v>134</v>
      </c>
      <c r="FBV11" s="1429" t="s">
        <v>134</v>
      </c>
      <c r="FBW11" s="1429" t="s">
        <v>134</v>
      </c>
      <c r="FBX11" s="1429" t="s">
        <v>134</v>
      </c>
      <c r="FBY11" s="1429" t="s">
        <v>134</v>
      </c>
      <c r="FBZ11" s="1429" t="s">
        <v>134</v>
      </c>
      <c r="FCA11" s="1429" t="s">
        <v>134</v>
      </c>
      <c r="FCB11" s="1429" t="s">
        <v>134</v>
      </c>
      <c r="FCC11" s="1429" t="s">
        <v>134</v>
      </c>
      <c r="FCD11" s="1429" t="s">
        <v>134</v>
      </c>
      <c r="FCE11" s="1429" t="s">
        <v>134</v>
      </c>
      <c r="FCF11" s="1429" t="s">
        <v>134</v>
      </c>
      <c r="FCG11" s="1429" t="s">
        <v>134</v>
      </c>
      <c r="FCH11" s="1429" t="s">
        <v>134</v>
      </c>
      <c r="FCI11" s="1429" t="s">
        <v>134</v>
      </c>
      <c r="FCJ11" s="1429" t="s">
        <v>134</v>
      </c>
      <c r="FCK11" s="1429" t="s">
        <v>134</v>
      </c>
      <c r="FCL11" s="1429" t="s">
        <v>134</v>
      </c>
      <c r="FCM11" s="1429" t="s">
        <v>134</v>
      </c>
      <c r="FCN11" s="1429" t="s">
        <v>134</v>
      </c>
      <c r="FCO11" s="1429" t="s">
        <v>134</v>
      </c>
      <c r="FCP11" s="1429" t="s">
        <v>134</v>
      </c>
      <c r="FCQ11" s="1429" t="s">
        <v>134</v>
      </c>
      <c r="FCR11" s="1429" t="s">
        <v>134</v>
      </c>
      <c r="FCS11" s="1429" t="s">
        <v>134</v>
      </c>
      <c r="FCT11" s="1429" t="s">
        <v>134</v>
      </c>
      <c r="FCU11" s="1429" t="s">
        <v>134</v>
      </c>
      <c r="FCV11" s="1429" t="s">
        <v>134</v>
      </c>
      <c r="FCW11" s="1429" t="s">
        <v>134</v>
      </c>
      <c r="FCX11" s="1429" t="s">
        <v>134</v>
      </c>
      <c r="FCY11" s="1429" t="s">
        <v>134</v>
      </c>
      <c r="FCZ11" s="1429" t="s">
        <v>134</v>
      </c>
      <c r="FDA11" s="1429" t="s">
        <v>134</v>
      </c>
      <c r="FDB11" s="1429" t="s">
        <v>134</v>
      </c>
      <c r="FDC11" s="1429" t="s">
        <v>134</v>
      </c>
      <c r="FDD11" s="1429" t="s">
        <v>134</v>
      </c>
      <c r="FDE11" s="1429" t="s">
        <v>134</v>
      </c>
      <c r="FDF11" s="1429" t="s">
        <v>134</v>
      </c>
      <c r="FDG11" s="1429" t="s">
        <v>134</v>
      </c>
      <c r="FDH11" s="1429" t="s">
        <v>134</v>
      </c>
      <c r="FDI11" s="1429" t="s">
        <v>134</v>
      </c>
      <c r="FDJ11" s="1429" t="s">
        <v>134</v>
      </c>
      <c r="FDK11" s="1429" t="s">
        <v>134</v>
      </c>
      <c r="FDL11" s="1429" t="s">
        <v>134</v>
      </c>
      <c r="FDM11" s="1429" t="s">
        <v>134</v>
      </c>
      <c r="FDN11" s="1429" t="s">
        <v>134</v>
      </c>
      <c r="FDO11" s="1429" t="s">
        <v>134</v>
      </c>
      <c r="FDP11" s="1429" t="s">
        <v>134</v>
      </c>
      <c r="FDQ11" s="1429" t="s">
        <v>134</v>
      </c>
      <c r="FDR11" s="1429" t="s">
        <v>134</v>
      </c>
      <c r="FDS11" s="1429" t="s">
        <v>134</v>
      </c>
      <c r="FDT11" s="1429" t="s">
        <v>134</v>
      </c>
      <c r="FDU11" s="1429" t="s">
        <v>134</v>
      </c>
      <c r="FDV11" s="1429" t="s">
        <v>134</v>
      </c>
      <c r="FDW11" s="1429" t="s">
        <v>134</v>
      </c>
      <c r="FDX11" s="1429" t="s">
        <v>134</v>
      </c>
      <c r="FDY11" s="1429" t="s">
        <v>134</v>
      </c>
      <c r="FDZ11" s="1429" t="s">
        <v>134</v>
      </c>
      <c r="FEA11" s="1429" t="s">
        <v>134</v>
      </c>
      <c r="FEB11" s="1429" t="s">
        <v>134</v>
      </c>
      <c r="FEC11" s="1429" t="s">
        <v>134</v>
      </c>
      <c r="FED11" s="1429" t="s">
        <v>134</v>
      </c>
      <c r="FEE11" s="1429" t="s">
        <v>134</v>
      </c>
      <c r="FEF11" s="1429" t="s">
        <v>134</v>
      </c>
      <c r="FEG11" s="1429" t="s">
        <v>134</v>
      </c>
      <c r="FEH11" s="1429" t="s">
        <v>134</v>
      </c>
      <c r="FEI11" s="1429" t="s">
        <v>134</v>
      </c>
      <c r="FEJ11" s="1429" t="s">
        <v>134</v>
      </c>
      <c r="FEK11" s="1429" t="s">
        <v>134</v>
      </c>
      <c r="FEL11" s="1429" t="s">
        <v>134</v>
      </c>
      <c r="FEM11" s="1429" t="s">
        <v>134</v>
      </c>
      <c r="FEN11" s="1429" t="s">
        <v>134</v>
      </c>
      <c r="FEO11" s="1429" t="s">
        <v>134</v>
      </c>
      <c r="FEP11" s="1429" t="s">
        <v>134</v>
      </c>
      <c r="FEQ11" s="1429" t="s">
        <v>134</v>
      </c>
      <c r="FER11" s="1429" t="s">
        <v>134</v>
      </c>
      <c r="FES11" s="1429" t="s">
        <v>134</v>
      </c>
      <c r="FET11" s="1429" t="s">
        <v>134</v>
      </c>
      <c r="FEU11" s="1429" t="s">
        <v>134</v>
      </c>
      <c r="FEV11" s="1429" t="s">
        <v>134</v>
      </c>
      <c r="FEW11" s="1429" t="s">
        <v>134</v>
      </c>
      <c r="FEX11" s="1429" t="s">
        <v>134</v>
      </c>
      <c r="FEY11" s="1429" t="s">
        <v>134</v>
      </c>
      <c r="FEZ11" s="1429" t="s">
        <v>134</v>
      </c>
      <c r="FFA11" s="1429" t="s">
        <v>134</v>
      </c>
      <c r="FFB11" s="1429" t="s">
        <v>134</v>
      </c>
      <c r="FFC11" s="1429" t="s">
        <v>134</v>
      </c>
      <c r="FFD11" s="1429" t="s">
        <v>134</v>
      </c>
      <c r="FFE11" s="1429" t="s">
        <v>134</v>
      </c>
      <c r="FFF11" s="1429" t="s">
        <v>134</v>
      </c>
      <c r="FFG11" s="1429" t="s">
        <v>134</v>
      </c>
      <c r="FFH11" s="1429" t="s">
        <v>134</v>
      </c>
      <c r="FFI11" s="1429" t="s">
        <v>134</v>
      </c>
      <c r="FFJ11" s="1429" t="s">
        <v>134</v>
      </c>
      <c r="FFK11" s="1429" t="s">
        <v>134</v>
      </c>
      <c r="FFL11" s="1429" t="s">
        <v>134</v>
      </c>
      <c r="FFM11" s="1429" t="s">
        <v>134</v>
      </c>
      <c r="FFN11" s="1429" t="s">
        <v>134</v>
      </c>
      <c r="FFO11" s="1429" t="s">
        <v>134</v>
      </c>
      <c r="FFP11" s="1429" t="s">
        <v>134</v>
      </c>
      <c r="FFQ11" s="1429" t="s">
        <v>134</v>
      </c>
      <c r="FFR11" s="1429" t="s">
        <v>134</v>
      </c>
      <c r="FFS11" s="1429" t="s">
        <v>134</v>
      </c>
      <c r="FFT11" s="1429" t="s">
        <v>134</v>
      </c>
      <c r="FFU11" s="1429" t="s">
        <v>134</v>
      </c>
      <c r="FFV11" s="1429" t="s">
        <v>134</v>
      </c>
      <c r="FFW11" s="1429" t="s">
        <v>134</v>
      </c>
      <c r="FFX11" s="1429" t="s">
        <v>134</v>
      </c>
      <c r="FFY11" s="1429" t="s">
        <v>134</v>
      </c>
      <c r="FFZ11" s="1429" t="s">
        <v>134</v>
      </c>
      <c r="FGA11" s="1429" t="s">
        <v>134</v>
      </c>
      <c r="FGB11" s="1429" t="s">
        <v>134</v>
      </c>
      <c r="FGC11" s="1429" t="s">
        <v>134</v>
      </c>
      <c r="FGD11" s="1429" t="s">
        <v>134</v>
      </c>
      <c r="FGE11" s="1429" t="s">
        <v>134</v>
      </c>
      <c r="FGF11" s="1429" t="s">
        <v>134</v>
      </c>
      <c r="FGG11" s="1429" t="s">
        <v>134</v>
      </c>
      <c r="FGH11" s="1429" t="s">
        <v>134</v>
      </c>
      <c r="FGI11" s="1429" t="s">
        <v>134</v>
      </c>
      <c r="FGJ11" s="1429" t="s">
        <v>134</v>
      </c>
      <c r="FGK11" s="1429" t="s">
        <v>134</v>
      </c>
      <c r="FGL11" s="1429" t="s">
        <v>134</v>
      </c>
      <c r="FGM11" s="1429" t="s">
        <v>134</v>
      </c>
      <c r="FGN11" s="1429" t="s">
        <v>134</v>
      </c>
      <c r="FGO11" s="1429" t="s">
        <v>134</v>
      </c>
      <c r="FGP11" s="1429" t="s">
        <v>134</v>
      </c>
      <c r="FGQ11" s="1429" t="s">
        <v>134</v>
      </c>
      <c r="FGR11" s="1429" t="s">
        <v>134</v>
      </c>
      <c r="FGS11" s="1429" t="s">
        <v>134</v>
      </c>
      <c r="FGT11" s="1429" t="s">
        <v>134</v>
      </c>
      <c r="FGU11" s="1429" t="s">
        <v>134</v>
      </c>
      <c r="FGV11" s="1429" t="s">
        <v>134</v>
      </c>
      <c r="FGW11" s="1429" t="s">
        <v>134</v>
      </c>
      <c r="FGX11" s="1429" t="s">
        <v>134</v>
      </c>
      <c r="FGY11" s="1429" t="s">
        <v>134</v>
      </c>
      <c r="FGZ11" s="1429" t="s">
        <v>134</v>
      </c>
      <c r="FHA11" s="1429" t="s">
        <v>134</v>
      </c>
      <c r="FHB11" s="1429" t="s">
        <v>134</v>
      </c>
      <c r="FHC11" s="1429" t="s">
        <v>134</v>
      </c>
      <c r="FHD11" s="1429" t="s">
        <v>134</v>
      </c>
      <c r="FHE11" s="1429" t="s">
        <v>134</v>
      </c>
      <c r="FHF11" s="1429" t="s">
        <v>134</v>
      </c>
      <c r="FHG11" s="1429" t="s">
        <v>134</v>
      </c>
      <c r="FHH11" s="1429" t="s">
        <v>134</v>
      </c>
      <c r="FHI11" s="1429" t="s">
        <v>134</v>
      </c>
      <c r="FHJ11" s="1429" t="s">
        <v>134</v>
      </c>
      <c r="FHK11" s="1429" t="s">
        <v>134</v>
      </c>
      <c r="FHL11" s="1429" t="s">
        <v>134</v>
      </c>
      <c r="FHM11" s="1429" t="s">
        <v>134</v>
      </c>
      <c r="FHN11" s="1429" t="s">
        <v>134</v>
      </c>
      <c r="FHO11" s="1429" t="s">
        <v>134</v>
      </c>
      <c r="FHP11" s="1429" t="s">
        <v>134</v>
      </c>
      <c r="FHQ11" s="1429" t="s">
        <v>134</v>
      </c>
      <c r="FHR11" s="1429" t="s">
        <v>134</v>
      </c>
      <c r="FHS11" s="1429" t="s">
        <v>134</v>
      </c>
      <c r="FHT11" s="1429" t="s">
        <v>134</v>
      </c>
      <c r="FHU11" s="1429" t="s">
        <v>134</v>
      </c>
      <c r="FHV11" s="1429" t="s">
        <v>134</v>
      </c>
      <c r="FHW11" s="1429" t="s">
        <v>134</v>
      </c>
      <c r="FHX11" s="1429" t="s">
        <v>134</v>
      </c>
      <c r="FHY11" s="1429" t="s">
        <v>134</v>
      </c>
      <c r="FHZ11" s="1429" t="s">
        <v>134</v>
      </c>
      <c r="FIA11" s="1429" t="s">
        <v>134</v>
      </c>
      <c r="FIB11" s="1429" t="s">
        <v>134</v>
      </c>
      <c r="FIC11" s="1429" t="s">
        <v>134</v>
      </c>
      <c r="FID11" s="1429" t="s">
        <v>134</v>
      </c>
      <c r="FIE11" s="1429" t="s">
        <v>134</v>
      </c>
      <c r="FIF11" s="1429" t="s">
        <v>134</v>
      </c>
      <c r="FIG11" s="1429" t="s">
        <v>134</v>
      </c>
      <c r="FIH11" s="1429" t="s">
        <v>134</v>
      </c>
      <c r="FII11" s="1429" t="s">
        <v>134</v>
      </c>
      <c r="FIJ11" s="1429" t="s">
        <v>134</v>
      </c>
      <c r="FIK11" s="1429" t="s">
        <v>134</v>
      </c>
      <c r="FIL11" s="1429" t="s">
        <v>134</v>
      </c>
      <c r="FIM11" s="1429" t="s">
        <v>134</v>
      </c>
      <c r="FIN11" s="1429" t="s">
        <v>134</v>
      </c>
      <c r="FIO11" s="1429" t="s">
        <v>134</v>
      </c>
      <c r="FIP11" s="1429" t="s">
        <v>134</v>
      </c>
      <c r="FIQ11" s="1429" t="s">
        <v>134</v>
      </c>
      <c r="FIR11" s="1429" t="s">
        <v>134</v>
      </c>
      <c r="FIS11" s="1429" t="s">
        <v>134</v>
      </c>
      <c r="FIT11" s="1429" t="s">
        <v>134</v>
      </c>
      <c r="FIU11" s="1429" t="s">
        <v>134</v>
      </c>
      <c r="FIV11" s="1429" t="s">
        <v>134</v>
      </c>
      <c r="FIW11" s="1429" t="s">
        <v>134</v>
      </c>
      <c r="FIX11" s="1429" t="s">
        <v>134</v>
      </c>
      <c r="FIY11" s="1429" t="s">
        <v>134</v>
      </c>
      <c r="FIZ11" s="1429" t="s">
        <v>134</v>
      </c>
      <c r="FJA11" s="1429" t="s">
        <v>134</v>
      </c>
      <c r="FJB11" s="1429" t="s">
        <v>134</v>
      </c>
      <c r="FJC11" s="1429" t="s">
        <v>134</v>
      </c>
      <c r="FJD11" s="1429" t="s">
        <v>134</v>
      </c>
      <c r="FJE11" s="1429" t="s">
        <v>134</v>
      </c>
      <c r="FJF11" s="1429" t="s">
        <v>134</v>
      </c>
      <c r="FJG11" s="1429" t="s">
        <v>134</v>
      </c>
      <c r="FJH11" s="1429" t="s">
        <v>134</v>
      </c>
      <c r="FJI11" s="1429" t="s">
        <v>134</v>
      </c>
      <c r="FJJ11" s="1429" t="s">
        <v>134</v>
      </c>
      <c r="FJK11" s="1429" t="s">
        <v>134</v>
      </c>
      <c r="FJL11" s="1429" t="s">
        <v>134</v>
      </c>
      <c r="FJM11" s="1429" t="s">
        <v>134</v>
      </c>
      <c r="FJN11" s="1429" t="s">
        <v>134</v>
      </c>
      <c r="FJO11" s="1429" t="s">
        <v>134</v>
      </c>
      <c r="FJP11" s="1429" t="s">
        <v>134</v>
      </c>
      <c r="FJQ11" s="1429" t="s">
        <v>134</v>
      </c>
      <c r="FJR11" s="1429" t="s">
        <v>134</v>
      </c>
      <c r="FJS11" s="1429" t="s">
        <v>134</v>
      </c>
      <c r="FJT11" s="1429" t="s">
        <v>134</v>
      </c>
      <c r="FJU11" s="1429" t="s">
        <v>134</v>
      </c>
      <c r="FJV11" s="1429" t="s">
        <v>134</v>
      </c>
      <c r="FJW11" s="1429" t="s">
        <v>134</v>
      </c>
      <c r="FJX11" s="1429" t="s">
        <v>134</v>
      </c>
      <c r="FJY11" s="1429" t="s">
        <v>134</v>
      </c>
      <c r="FJZ11" s="1429" t="s">
        <v>134</v>
      </c>
      <c r="FKA11" s="1429" t="s">
        <v>134</v>
      </c>
      <c r="FKB11" s="1429" t="s">
        <v>134</v>
      </c>
      <c r="FKC11" s="1429" t="s">
        <v>134</v>
      </c>
      <c r="FKD11" s="1429" t="s">
        <v>134</v>
      </c>
      <c r="FKE11" s="1429" t="s">
        <v>134</v>
      </c>
      <c r="FKF11" s="1429" t="s">
        <v>134</v>
      </c>
      <c r="FKG11" s="1429" t="s">
        <v>134</v>
      </c>
      <c r="FKH11" s="1429" t="s">
        <v>134</v>
      </c>
      <c r="FKI11" s="1429" t="s">
        <v>134</v>
      </c>
      <c r="FKJ11" s="1429" t="s">
        <v>134</v>
      </c>
      <c r="FKK11" s="1429" t="s">
        <v>134</v>
      </c>
      <c r="FKL11" s="1429" t="s">
        <v>134</v>
      </c>
      <c r="FKM11" s="1429" t="s">
        <v>134</v>
      </c>
      <c r="FKN11" s="1429" t="s">
        <v>134</v>
      </c>
      <c r="FKO11" s="1429" t="s">
        <v>134</v>
      </c>
      <c r="FKP11" s="1429" t="s">
        <v>134</v>
      </c>
      <c r="FKQ11" s="1429" t="s">
        <v>134</v>
      </c>
      <c r="FKR11" s="1429" t="s">
        <v>134</v>
      </c>
      <c r="FKS11" s="1429" t="s">
        <v>134</v>
      </c>
      <c r="FKT11" s="1429" t="s">
        <v>134</v>
      </c>
      <c r="FKU11" s="1429" t="s">
        <v>134</v>
      </c>
      <c r="FKV11" s="1429" t="s">
        <v>134</v>
      </c>
      <c r="FKW11" s="1429" t="s">
        <v>134</v>
      </c>
      <c r="FKX11" s="1429" t="s">
        <v>134</v>
      </c>
      <c r="FKY11" s="1429" t="s">
        <v>134</v>
      </c>
      <c r="FKZ11" s="1429" t="s">
        <v>134</v>
      </c>
      <c r="FLA11" s="1429" t="s">
        <v>134</v>
      </c>
      <c r="FLB11" s="1429" t="s">
        <v>134</v>
      </c>
      <c r="FLC11" s="1429" t="s">
        <v>134</v>
      </c>
      <c r="FLD11" s="1429" t="s">
        <v>134</v>
      </c>
      <c r="FLE11" s="1429" t="s">
        <v>134</v>
      </c>
      <c r="FLF11" s="1429" t="s">
        <v>134</v>
      </c>
      <c r="FLG11" s="1429" t="s">
        <v>134</v>
      </c>
      <c r="FLH11" s="1429" t="s">
        <v>134</v>
      </c>
      <c r="FLI11" s="1429" t="s">
        <v>134</v>
      </c>
      <c r="FLJ11" s="1429" t="s">
        <v>134</v>
      </c>
      <c r="FLK11" s="1429" t="s">
        <v>134</v>
      </c>
      <c r="FLL11" s="1429" t="s">
        <v>134</v>
      </c>
      <c r="FLM11" s="1429" t="s">
        <v>134</v>
      </c>
      <c r="FLN11" s="1429" t="s">
        <v>134</v>
      </c>
      <c r="FLO11" s="1429" t="s">
        <v>134</v>
      </c>
      <c r="FLP11" s="1429" t="s">
        <v>134</v>
      </c>
      <c r="FLQ11" s="1429" t="s">
        <v>134</v>
      </c>
      <c r="FLR11" s="1429" t="s">
        <v>134</v>
      </c>
      <c r="FLS11" s="1429" t="s">
        <v>134</v>
      </c>
      <c r="FLT11" s="1429" t="s">
        <v>134</v>
      </c>
      <c r="FLU11" s="1429" t="s">
        <v>134</v>
      </c>
      <c r="FLV11" s="1429" t="s">
        <v>134</v>
      </c>
      <c r="FLW11" s="1429" t="s">
        <v>134</v>
      </c>
      <c r="FLX11" s="1429" t="s">
        <v>134</v>
      </c>
      <c r="FLY11" s="1429" t="s">
        <v>134</v>
      </c>
      <c r="FLZ11" s="1429" t="s">
        <v>134</v>
      </c>
      <c r="FMA11" s="1429" t="s">
        <v>134</v>
      </c>
      <c r="FMB11" s="1429" t="s">
        <v>134</v>
      </c>
      <c r="FMC11" s="1429" t="s">
        <v>134</v>
      </c>
      <c r="FMD11" s="1429" t="s">
        <v>134</v>
      </c>
      <c r="FME11" s="1429" t="s">
        <v>134</v>
      </c>
      <c r="FMF11" s="1429" t="s">
        <v>134</v>
      </c>
      <c r="FMG11" s="1429" t="s">
        <v>134</v>
      </c>
      <c r="FMH11" s="1429" t="s">
        <v>134</v>
      </c>
      <c r="FMI11" s="1429" t="s">
        <v>134</v>
      </c>
      <c r="FMJ11" s="1429" t="s">
        <v>134</v>
      </c>
      <c r="FMK11" s="1429" t="s">
        <v>134</v>
      </c>
      <c r="FML11" s="1429" t="s">
        <v>134</v>
      </c>
      <c r="FMM11" s="1429" t="s">
        <v>134</v>
      </c>
      <c r="FMN11" s="1429" t="s">
        <v>134</v>
      </c>
      <c r="FMO11" s="1429" t="s">
        <v>134</v>
      </c>
      <c r="FMP11" s="1429" t="s">
        <v>134</v>
      </c>
      <c r="FMQ11" s="1429" t="s">
        <v>134</v>
      </c>
      <c r="FMR11" s="1429" t="s">
        <v>134</v>
      </c>
      <c r="FMS11" s="1429" t="s">
        <v>134</v>
      </c>
      <c r="FMT11" s="1429" t="s">
        <v>134</v>
      </c>
      <c r="FMU11" s="1429" t="s">
        <v>134</v>
      </c>
      <c r="FMV11" s="1429" t="s">
        <v>134</v>
      </c>
      <c r="FMW11" s="1429" t="s">
        <v>134</v>
      </c>
      <c r="FMX11" s="1429" t="s">
        <v>134</v>
      </c>
      <c r="FMY11" s="1429" t="s">
        <v>134</v>
      </c>
      <c r="FMZ11" s="1429" t="s">
        <v>134</v>
      </c>
      <c r="FNA11" s="1429" t="s">
        <v>134</v>
      </c>
      <c r="FNB11" s="1429" t="s">
        <v>134</v>
      </c>
      <c r="FNC11" s="1429" t="s">
        <v>134</v>
      </c>
      <c r="FND11" s="1429" t="s">
        <v>134</v>
      </c>
      <c r="FNE11" s="1429" t="s">
        <v>134</v>
      </c>
      <c r="FNF11" s="1429" t="s">
        <v>134</v>
      </c>
      <c r="FNG11" s="1429" t="s">
        <v>134</v>
      </c>
      <c r="FNH11" s="1429" t="s">
        <v>134</v>
      </c>
      <c r="FNI11" s="1429" t="s">
        <v>134</v>
      </c>
      <c r="FNJ11" s="1429" t="s">
        <v>134</v>
      </c>
      <c r="FNK11" s="1429" t="s">
        <v>134</v>
      </c>
      <c r="FNL11" s="1429" t="s">
        <v>134</v>
      </c>
      <c r="FNM11" s="1429" t="s">
        <v>134</v>
      </c>
      <c r="FNN11" s="1429" t="s">
        <v>134</v>
      </c>
      <c r="FNO11" s="1429" t="s">
        <v>134</v>
      </c>
      <c r="FNP11" s="1429" t="s">
        <v>134</v>
      </c>
      <c r="FNQ11" s="1429" t="s">
        <v>134</v>
      </c>
      <c r="FNR11" s="1429" t="s">
        <v>134</v>
      </c>
      <c r="FNS11" s="1429" t="s">
        <v>134</v>
      </c>
      <c r="FNT11" s="1429" t="s">
        <v>134</v>
      </c>
      <c r="FNU11" s="1429" t="s">
        <v>134</v>
      </c>
      <c r="FNV11" s="1429" t="s">
        <v>134</v>
      </c>
      <c r="FNW11" s="1429" t="s">
        <v>134</v>
      </c>
      <c r="FNX11" s="1429" t="s">
        <v>134</v>
      </c>
      <c r="FNY11" s="1429" t="s">
        <v>134</v>
      </c>
      <c r="FNZ11" s="1429" t="s">
        <v>134</v>
      </c>
      <c r="FOA11" s="1429" t="s">
        <v>134</v>
      </c>
      <c r="FOB11" s="1429" t="s">
        <v>134</v>
      </c>
      <c r="FOC11" s="1429" t="s">
        <v>134</v>
      </c>
      <c r="FOD11" s="1429" t="s">
        <v>134</v>
      </c>
      <c r="FOE11" s="1429" t="s">
        <v>134</v>
      </c>
      <c r="FOF11" s="1429" t="s">
        <v>134</v>
      </c>
      <c r="FOG11" s="1429" t="s">
        <v>134</v>
      </c>
      <c r="FOH11" s="1429" t="s">
        <v>134</v>
      </c>
      <c r="FOI11" s="1429" t="s">
        <v>134</v>
      </c>
      <c r="FOJ11" s="1429" t="s">
        <v>134</v>
      </c>
      <c r="FOK11" s="1429" t="s">
        <v>134</v>
      </c>
      <c r="FOL11" s="1429" t="s">
        <v>134</v>
      </c>
      <c r="FOM11" s="1429" t="s">
        <v>134</v>
      </c>
      <c r="FON11" s="1429" t="s">
        <v>134</v>
      </c>
      <c r="FOO11" s="1429" t="s">
        <v>134</v>
      </c>
      <c r="FOP11" s="1429" t="s">
        <v>134</v>
      </c>
      <c r="FOQ11" s="1429" t="s">
        <v>134</v>
      </c>
      <c r="FOR11" s="1429" t="s">
        <v>134</v>
      </c>
      <c r="FOS11" s="1429" t="s">
        <v>134</v>
      </c>
      <c r="FOT11" s="1429" t="s">
        <v>134</v>
      </c>
      <c r="FOU11" s="1429" t="s">
        <v>134</v>
      </c>
      <c r="FOV11" s="1429" t="s">
        <v>134</v>
      </c>
      <c r="FOW11" s="1429" t="s">
        <v>134</v>
      </c>
      <c r="FOX11" s="1429" t="s">
        <v>134</v>
      </c>
      <c r="FOY11" s="1429" t="s">
        <v>134</v>
      </c>
      <c r="FOZ11" s="1429" t="s">
        <v>134</v>
      </c>
      <c r="FPA11" s="1429" t="s">
        <v>134</v>
      </c>
      <c r="FPB11" s="1429" t="s">
        <v>134</v>
      </c>
      <c r="FPC11" s="1429" t="s">
        <v>134</v>
      </c>
      <c r="FPD11" s="1429" t="s">
        <v>134</v>
      </c>
      <c r="FPE11" s="1429" t="s">
        <v>134</v>
      </c>
      <c r="FPF11" s="1429" t="s">
        <v>134</v>
      </c>
      <c r="FPG11" s="1429" t="s">
        <v>134</v>
      </c>
      <c r="FPH11" s="1429" t="s">
        <v>134</v>
      </c>
      <c r="FPI11" s="1429" t="s">
        <v>134</v>
      </c>
      <c r="FPJ11" s="1429" t="s">
        <v>134</v>
      </c>
      <c r="FPK11" s="1429" t="s">
        <v>134</v>
      </c>
      <c r="FPL11" s="1429" t="s">
        <v>134</v>
      </c>
      <c r="FPM11" s="1429" t="s">
        <v>134</v>
      </c>
      <c r="FPN11" s="1429" t="s">
        <v>134</v>
      </c>
      <c r="FPO11" s="1429" t="s">
        <v>134</v>
      </c>
      <c r="FPP11" s="1429" t="s">
        <v>134</v>
      </c>
      <c r="FPQ11" s="1429" t="s">
        <v>134</v>
      </c>
      <c r="FPR11" s="1429" t="s">
        <v>134</v>
      </c>
      <c r="FPS11" s="1429" t="s">
        <v>134</v>
      </c>
      <c r="FPT11" s="1429" t="s">
        <v>134</v>
      </c>
      <c r="FPU11" s="1429" t="s">
        <v>134</v>
      </c>
      <c r="FPV11" s="1429" t="s">
        <v>134</v>
      </c>
      <c r="FPW11" s="1429" t="s">
        <v>134</v>
      </c>
      <c r="FPX11" s="1429" t="s">
        <v>134</v>
      </c>
      <c r="FPY11" s="1429" t="s">
        <v>134</v>
      </c>
      <c r="FPZ11" s="1429" t="s">
        <v>134</v>
      </c>
      <c r="FQA11" s="1429" t="s">
        <v>134</v>
      </c>
      <c r="FQB11" s="1429" t="s">
        <v>134</v>
      </c>
      <c r="FQC11" s="1429" t="s">
        <v>134</v>
      </c>
      <c r="FQD11" s="1429" t="s">
        <v>134</v>
      </c>
      <c r="FQE11" s="1429" t="s">
        <v>134</v>
      </c>
      <c r="FQF11" s="1429" t="s">
        <v>134</v>
      </c>
      <c r="FQG11" s="1429" t="s">
        <v>134</v>
      </c>
      <c r="FQH11" s="1429" t="s">
        <v>134</v>
      </c>
      <c r="FQI11" s="1429" t="s">
        <v>134</v>
      </c>
      <c r="FQJ11" s="1429" t="s">
        <v>134</v>
      </c>
      <c r="FQK11" s="1429" t="s">
        <v>134</v>
      </c>
      <c r="FQL11" s="1429" t="s">
        <v>134</v>
      </c>
      <c r="FQM11" s="1429" t="s">
        <v>134</v>
      </c>
      <c r="FQN11" s="1429" t="s">
        <v>134</v>
      </c>
      <c r="FQO11" s="1429" t="s">
        <v>134</v>
      </c>
      <c r="FQP11" s="1429" t="s">
        <v>134</v>
      </c>
      <c r="FQQ11" s="1429" t="s">
        <v>134</v>
      </c>
      <c r="FQR11" s="1429" t="s">
        <v>134</v>
      </c>
      <c r="FQS11" s="1429" t="s">
        <v>134</v>
      </c>
      <c r="FQT11" s="1429" t="s">
        <v>134</v>
      </c>
      <c r="FQU11" s="1429" t="s">
        <v>134</v>
      </c>
      <c r="FQV11" s="1429" t="s">
        <v>134</v>
      </c>
      <c r="FQW11" s="1429" t="s">
        <v>134</v>
      </c>
      <c r="FQX11" s="1429" t="s">
        <v>134</v>
      </c>
      <c r="FQY11" s="1429" t="s">
        <v>134</v>
      </c>
      <c r="FQZ11" s="1429" t="s">
        <v>134</v>
      </c>
      <c r="FRA11" s="1429" t="s">
        <v>134</v>
      </c>
      <c r="FRB11" s="1429" t="s">
        <v>134</v>
      </c>
      <c r="FRC11" s="1429" t="s">
        <v>134</v>
      </c>
      <c r="FRD11" s="1429" t="s">
        <v>134</v>
      </c>
      <c r="FRE11" s="1429" t="s">
        <v>134</v>
      </c>
      <c r="FRF11" s="1429" t="s">
        <v>134</v>
      </c>
      <c r="FRG11" s="1429" t="s">
        <v>134</v>
      </c>
      <c r="FRH11" s="1429" t="s">
        <v>134</v>
      </c>
      <c r="FRI11" s="1429" t="s">
        <v>134</v>
      </c>
      <c r="FRJ11" s="1429" t="s">
        <v>134</v>
      </c>
      <c r="FRK11" s="1429" t="s">
        <v>134</v>
      </c>
      <c r="FRL11" s="1429" t="s">
        <v>134</v>
      </c>
      <c r="FRM11" s="1429" t="s">
        <v>134</v>
      </c>
      <c r="FRN11" s="1429" t="s">
        <v>134</v>
      </c>
      <c r="FRO11" s="1429" t="s">
        <v>134</v>
      </c>
      <c r="FRP11" s="1429" t="s">
        <v>134</v>
      </c>
      <c r="FRQ11" s="1429" t="s">
        <v>134</v>
      </c>
      <c r="FRR11" s="1429" t="s">
        <v>134</v>
      </c>
      <c r="FRS11" s="1429" t="s">
        <v>134</v>
      </c>
      <c r="FRT11" s="1429" t="s">
        <v>134</v>
      </c>
      <c r="FRU11" s="1429" t="s">
        <v>134</v>
      </c>
      <c r="FRV11" s="1429" t="s">
        <v>134</v>
      </c>
      <c r="FRW11" s="1429" t="s">
        <v>134</v>
      </c>
      <c r="FRX11" s="1429" t="s">
        <v>134</v>
      </c>
      <c r="FRY11" s="1429" t="s">
        <v>134</v>
      </c>
      <c r="FRZ11" s="1429" t="s">
        <v>134</v>
      </c>
      <c r="FSA11" s="1429" t="s">
        <v>134</v>
      </c>
      <c r="FSB11" s="1429" t="s">
        <v>134</v>
      </c>
      <c r="FSC11" s="1429" t="s">
        <v>134</v>
      </c>
      <c r="FSD11" s="1429" t="s">
        <v>134</v>
      </c>
      <c r="FSE11" s="1429" t="s">
        <v>134</v>
      </c>
      <c r="FSF11" s="1429" t="s">
        <v>134</v>
      </c>
      <c r="FSG11" s="1429" t="s">
        <v>134</v>
      </c>
      <c r="FSH11" s="1429" t="s">
        <v>134</v>
      </c>
      <c r="FSI11" s="1429" t="s">
        <v>134</v>
      </c>
      <c r="FSJ11" s="1429" t="s">
        <v>134</v>
      </c>
      <c r="FSK11" s="1429" t="s">
        <v>134</v>
      </c>
      <c r="FSL11" s="1429" t="s">
        <v>134</v>
      </c>
      <c r="FSM11" s="1429" t="s">
        <v>134</v>
      </c>
      <c r="FSN11" s="1429" t="s">
        <v>134</v>
      </c>
      <c r="FSO11" s="1429" t="s">
        <v>134</v>
      </c>
      <c r="FSP11" s="1429" t="s">
        <v>134</v>
      </c>
      <c r="FSQ11" s="1429" t="s">
        <v>134</v>
      </c>
      <c r="FSR11" s="1429" t="s">
        <v>134</v>
      </c>
      <c r="FSS11" s="1429" t="s">
        <v>134</v>
      </c>
      <c r="FST11" s="1429" t="s">
        <v>134</v>
      </c>
      <c r="FSU11" s="1429" t="s">
        <v>134</v>
      </c>
      <c r="FSV11" s="1429" t="s">
        <v>134</v>
      </c>
      <c r="FSW11" s="1429" t="s">
        <v>134</v>
      </c>
      <c r="FSX11" s="1429" t="s">
        <v>134</v>
      </c>
      <c r="FSY11" s="1429" t="s">
        <v>134</v>
      </c>
      <c r="FSZ11" s="1429" t="s">
        <v>134</v>
      </c>
      <c r="FTA11" s="1429" t="s">
        <v>134</v>
      </c>
      <c r="FTB11" s="1429" t="s">
        <v>134</v>
      </c>
      <c r="FTC11" s="1429" t="s">
        <v>134</v>
      </c>
      <c r="FTD11" s="1429" t="s">
        <v>134</v>
      </c>
      <c r="FTE11" s="1429" t="s">
        <v>134</v>
      </c>
      <c r="FTF11" s="1429" t="s">
        <v>134</v>
      </c>
      <c r="FTG11" s="1429" t="s">
        <v>134</v>
      </c>
      <c r="FTH11" s="1429" t="s">
        <v>134</v>
      </c>
      <c r="FTI11" s="1429" t="s">
        <v>134</v>
      </c>
      <c r="FTJ11" s="1429" t="s">
        <v>134</v>
      </c>
      <c r="FTK11" s="1429" t="s">
        <v>134</v>
      </c>
      <c r="FTL11" s="1429" t="s">
        <v>134</v>
      </c>
      <c r="FTM11" s="1429" t="s">
        <v>134</v>
      </c>
      <c r="FTN11" s="1429" t="s">
        <v>134</v>
      </c>
      <c r="FTO11" s="1429" t="s">
        <v>134</v>
      </c>
      <c r="FTP11" s="1429" t="s">
        <v>134</v>
      </c>
      <c r="FTQ11" s="1429" t="s">
        <v>134</v>
      </c>
      <c r="FTR11" s="1429" t="s">
        <v>134</v>
      </c>
      <c r="FTS11" s="1429" t="s">
        <v>134</v>
      </c>
      <c r="FTT11" s="1429" t="s">
        <v>134</v>
      </c>
      <c r="FTU11" s="1429" t="s">
        <v>134</v>
      </c>
      <c r="FTV11" s="1429" t="s">
        <v>134</v>
      </c>
      <c r="FTW11" s="1429" t="s">
        <v>134</v>
      </c>
      <c r="FTX11" s="1429" t="s">
        <v>134</v>
      </c>
      <c r="FTY11" s="1429" t="s">
        <v>134</v>
      </c>
      <c r="FTZ11" s="1429" t="s">
        <v>134</v>
      </c>
      <c r="FUA11" s="1429" t="s">
        <v>134</v>
      </c>
      <c r="FUB11" s="1429" t="s">
        <v>134</v>
      </c>
      <c r="FUC11" s="1429" t="s">
        <v>134</v>
      </c>
      <c r="FUD11" s="1429" t="s">
        <v>134</v>
      </c>
      <c r="FUE11" s="1429" t="s">
        <v>134</v>
      </c>
      <c r="FUF11" s="1429" t="s">
        <v>134</v>
      </c>
      <c r="FUG11" s="1429" t="s">
        <v>134</v>
      </c>
      <c r="FUH11" s="1429" t="s">
        <v>134</v>
      </c>
      <c r="FUI11" s="1429" t="s">
        <v>134</v>
      </c>
      <c r="FUJ11" s="1429" t="s">
        <v>134</v>
      </c>
      <c r="FUK11" s="1429" t="s">
        <v>134</v>
      </c>
      <c r="FUL11" s="1429" t="s">
        <v>134</v>
      </c>
      <c r="FUM11" s="1429" t="s">
        <v>134</v>
      </c>
      <c r="FUN11" s="1429" t="s">
        <v>134</v>
      </c>
      <c r="FUO11" s="1429" t="s">
        <v>134</v>
      </c>
      <c r="FUP11" s="1429" t="s">
        <v>134</v>
      </c>
      <c r="FUQ11" s="1429" t="s">
        <v>134</v>
      </c>
      <c r="FUR11" s="1429" t="s">
        <v>134</v>
      </c>
      <c r="FUS11" s="1429" t="s">
        <v>134</v>
      </c>
      <c r="FUT11" s="1429" t="s">
        <v>134</v>
      </c>
      <c r="FUU11" s="1429" t="s">
        <v>134</v>
      </c>
      <c r="FUV11" s="1429" t="s">
        <v>134</v>
      </c>
      <c r="FUW11" s="1429" t="s">
        <v>134</v>
      </c>
      <c r="FUX11" s="1429" t="s">
        <v>134</v>
      </c>
      <c r="FUY11" s="1429" t="s">
        <v>134</v>
      </c>
      <c r="FUZ11" s="1429" t="s">
        <v>134</v>
      </c>
      <c r="FVA11" s="1429" t="s">
        <v>134</v>
      </c>
      <c r="FVB11" s="1429" t="s">
        <v>134</v>
      </c>
      <c r="FVC11" s="1429" t="s">
        <v>134</v>
      </c>
      <c r="FVD11" s="1429" t="s">
        <v>134</v>
      </c>
      <c r="FVE11" s="1429" t="s">
        <v>134</v>
      </c>
      <c r="FVF11" s="1429" t="s">
        <v>134</v>
      </c>
      <c r="FVG11" s="1429" t="s">
        <v>134</v>
      </c>
      <c r="FVH11" s="1429" t="s">
        <v>134</v>
      </c>
      <c r="FVI11" s="1429" t="s">
        <v>134</v>
      </c>
      <c r="FVJ11" s="1429" t="s">
        <v>134</v>
      </c>
      <c r="FVK11" s="1429" t="s">
        <v>134</v>
      </c>
      <c r="FVL11" s="1429" t="s">
        <v>134</v>
      </c>
      <c r="FVM11" s="1429" t="s">
        <v>134</v>
      </c>
      <c r="FVN11" s="1429" t="s">
        <v>134</v>
      </c>
      <c r="FVO11" s="1429" t="s">
        <v>134</v>
      </c>
      <c r="FVP11" s="1429" t="s">
        <v>134</v>
      </c>
      <c r="FVQ11" s="1429" t="s">
        <v>134</v>
      </c>
      <c r="FVR11" s="1429" t="s">
        <v>134</v>
      </c>
      <c r="FVS11" s="1429" t="s">
        <v>134</v>
      </c>
      <c r="FVT11" s="1429" t="s">
        <v>134</v>
      </c>
      <c r="FVU11" s="1429" t="s">
        <v>134</v>
      </c>
      <c r="FVV11" s="1429" t="s">
        <v>134</v>
      </c>
      <c r="FVW11" s="1429" t="s">
        <v>134</v>
      </c>
      <c r="FVX11" s="1429" t="s">
        <v>134</v>
      </c>
      <c r="FVY11" s="1429" t="s">
        <v>134</v>
      </c>
      <c r="FVZ11" s="1429" t="s">
        <v>134</v>
      </c>
      <c r="FWA11" s="1429" t="s">
        <v>134</v>
      </c>
      <c r="FWB11" s="1429" t="s">
        <v>134</v>
      </c>
      <c r="FWC11" s="1429" t="s">
        <v>134</v>
      </c>
      <c r="FWD11" s="1429" t="s">
        <v>134</v>
      </c>
      <c r="FWE11" s="1429" t="s">
        <v>134</v>
      </c>
      <c r="FWF11" s="1429" t="s">
        <v>134</v>
      </c>
      <c r="FWG11" s="1429" t="s">
        <v>134</v>
      </c>
      <c r="FWH11" s="1429" t="s">
        <v>134</v>
      </c>
      <c r="FWI11" s="1429" t="s">
        <v>134</v>
      </c>
      <c r="FWJ11" s="1429" t="s">
        <v>134</v>
      </c>
      <c r="FWK11" s="1429" t="s">
        <v>134</v>
      </c>
      <c r="FWL11" s="1429" t="s">
        <v>134</v>
      </c>
      <c r="FWM11" s="1429" t="s">
        <v>134</v>
      </c>
      <c r="FWN11" s="1429" t="s">
        <v>134</v>
      </c>
      <c r="FWO11" s="1429" t="s">
        <v>134</v>
      </c>
      <c r="FWP11" s="1429" t="s">
        <v>134</v>
      </c>
      <c r="FWQ11" s="1429" t="s">
        <v>134</v>
      </c>
      <c r="FWR11" s="1429" t="s">
        <v>134</v>
      </c>
      <c r="FWS11" s="1429" t="s">
        <v>134</v>
      </c>
      <c r="FWT11" s="1429" t="s">
        <v>134</v>
      </c>
      <c r="FWU11" s="1429" t="s">
        <v>134</v>
      </c>
      <c r="FWV11" s="1429" t="s">
        <v>134</v>
      </c>
      <c r="FWW11" s="1429" t="s">
        <v>134</v>
      </c>
      <c r="FWX11" s="1429" t="s">
        <v>134</v>
      </c>
      <c r="FWY11" s="1429" t="s">
        <v>134</v>
      </c>
      <c r="FWZ11" s="1429" t="s">
        <v>134</v>
      </c>
      <c r="FXA11" s="1429" t="s">
        <v>134</v>
      </c>
      <c r="FXB11" s="1429" t="s">
        <v>134</v>
      </c>
      <c r="FXC11" s="1429" t="s">
        <v>134</v>
      </c>
      <c r="FXD11" s="1429" t="s">
        <v>134</v>
      </c>
      <c r="FXE11" s="1429" t="s">
        <v>134</v>
      </c>
      <c r="FXF11" s="1429" t="s">
        <v>134</v>
      </c>
      <c r="FXG11" s="1429" t="s">
        <v>134</v>
      </c>
      <c r="FXH11" s="1429" t="s">
        <v>134</v>
      </c>
      <c r="FXI11" s="1429" t="s">
        <v>134</v>
      </c>
      <c r="FXJ11" s="1429" t="s">
        <v>134</v>
      </c>
      <c r="FXK11" s="1429" t="s">
        <v>134</v>
      </c>
      <c r="FXL11" s="1429" t="s">
        <v>134</v>
      </c>
      <c r="FXM11" s="1429" t="s">
        <v>134</v>
      </c>
      <c r="FXN11" s="1429" t="s">
        <v>134</v>
      </c>
      <c r="FXO11" s="1429" t="s">
        <v>134</v>
      </c>
      <c r="FXP11" s="1429" t="s">
        <v>134</v>
      </c>
      <c r="FXQ11" s="1429" t="s">
        <v>134</v>
      </c>
      <c r="FXR11" s="1429" t="s">
        <v>134</v>
      </c>
      <c r="FXS11" s="1429" t="s">
        <v>134</v>
      </c>
      <c r="FXT11" s="1429" t="s">
        <v>134</v>
      </c>
      <c r="FXU11" s="1429" t="s">
        <v>134</v>
      </c>
      <c r="FXV11" s="1429" t="s">
        <v>134</v>
      </c>
      <c r="FXW11" s="1429" t="s">
        <v>134</v>
      </c>
      <c r="FXX11" s="1429" t="s">
        <v>134</v>
      </c>
      <c r="FXY11" s="1429" t="s">
        <v>134</v>
      </c>
      <c r="FXZ11" s="1429" t="s">
        <v>134</v>
      </c>
      <c r="FYA11" s="1429" t="s">
        <v>134</v>
      </c>
      <c r="FYB11" s="1429" t="s">
        <v>134</v>
      </c>
      <c r="FYC11" s="1429" t="s">
        <v>134</v>
      </c>
      <c r="FYD11" s="1429" t="s">
        <v>134</v>
      </c>
      <c r="FYE11" s="1429" t="s">
        <v>134</v>
      </c>
      <c r="FYF11" s="1429" t="s">
        <v>134</v>
      </c>
      <c r="FYG11" s="1429" t="s">
        <v>134</v>
      </c>
      <c r="FYH11" s="1429" t="s">
        <v>134</v>
      </c>
      <c r="FYI11" s="1429" t="s">
        <v>134</v>
      </c>
      <c r="FYJ11" s="1429" t="s">
        <v>134</v>
      </c>
      <c r="FYK11" s="1429" t="s">
        <v>134</v>
      </c>
      <c r="FYL11" s="1429" t="s">
        <v>134</v>
      </c>
      <c r="FYM11" s="1429" t="s">
        <v>134</v>
      </c>
      <c r="FYN11" s="1429" t="s">
        <v>134</v>
      </c>
      <c r="FYO11" s="1429" t="s">
        <v>134</v>
      </c>
      <c r="FYP11" s="1429" t="s">
        <v>134</v>
      </c>
      <c r="FYQ11" s="1429" t="s">
        <v>134</v>
      </c>
      <c r="FYR11" s="1429" t="s">
        <v>134</v>
      </c>
      <c r="FYS11" s="1429" t="s">
        <v>134</v>
      </c>
      <c r="FYT11" s="1429" t="s">
        <v>134</v>
      </c>
      <c r="FYU11" s="1429" t="s">
        <v>134</v>
      </c>
      <c r="FYV11" s="1429" t="s">
        <v>134</v>
      </c>
      <c r="FYW11" s="1429" t="s">
        <v>134</v>
      </c>
      <c r="FYX11" s="1429" t="s">
        <v>134</v>
      </c>
      <c r="FYY11" s="1429" t="s">
        <v>134</v>
      </c>
      <c r="FYZ11" s="1429" t="s">
        <v>134</v>
      </c>
      <c r="FZA11" s="1429" t="s">
        <v>134</v>
      </c>
      <c r="FZB11" s="1429" t="s">
        <v>134</v>
      </c>
      <c r="FZC11" s="1429" t="s">
        <v>134</v>
      </c>
      <c r="FZD11" s="1429" t="s">
        <v>134</v>
      </c>
      <c r="FZE11" s="1429" t="s">
        <v>134</v>
      </c>
      <c r="FZF11" s="1429" t="s">
        <v>134</v>
      </c>
      <c r="FZG11" s="1429" t="s">
        <v>134</v>
      </c>
      <c r="FZH11" s="1429" t="s">
        <v>134</v>
      </c>
      <c r="FZI11" s="1429" t="s">
        <v>134</v>
      </c>
      <c r="FZJ11" s="1429" t="s">
        <v>134</v>
      </c>
      <c r="FZK11" s="1429" t="s">
        <v>134</v>
      </c>
      <c r="FZL11" s="1429" t="s">
        <v>134</v>
      </c>
      <c r="FZM11" s="1429" t="s">
        <v>134</v>
      </c>
      <c r="FZN11" s="1429" t="s">
        <v>134</v>
      </c>
      <c r="FZO11" s="1429" t="s">
        <v>134</v>
      </c>
      <c r="FZP11" s="1429" t="s">
        <v>134</v>
      </c>
      <c r="FZQ11" s="1429" t="s">
        <v>134</v>
      </c>
      <c r="FZR11" s="1429" t="s">
        <v>134</v>
      </c>
      <c r="FZS11" s="1429" t="s">
        <v>134</v>
      </c>
      <c r="FZT11" s="1429" t="s">
        <v>134</v>
      </c>
      <c r="FZU11" s="1429" t="s">
        <v>134</v>
      </c>
      <c r="FZV11" s="1429" t="s">
        <v>134</v>
      </c>
      <c r="FZW11" s="1429" t="s">
        <v>134</v>
      </c>
      <c r="FZX11" s="1429" t="s">
        <v>134</v>
      </c>
      <c r="FZY11" s="1429" t="s">
        <v>134</v>
      </c>
      <c r="FZZ11" s="1429" t="s">
        <v>134</v>
      </c>
      <c r="GAA11" s="1429" t="s">
        <v>134</v>
      </c>
      <c r="GAB11" s="1429" t="s">
        <v>134</v>
      </c>
      <c r="GAC11" s="1429" t="s">
        <v>134</v>
      </c>
      <c r="GAD11" s="1429" t="s">
        <v>134</v>
      </c>
      <c r="GAE11" s="1429" t="s">
        <v>134</v>
      </c>
      <c r="GAF11" s="1429" t="s">
        <v>134</v>
      </c>
      <c r="GAG11" s="1429" t="s">
        <v>134</v>
      </c>
      <c r="GAH11" s="1429" t="s">
        <v>134</v>
      </c>
      <c r="GAI11" s="1429" t="s">
        <v>134</v>
      </c>
      <c r="GAJ11" s="1429" t="s">
        <v>134</v>
      </c>
      <c r="GAK11" s="1429" t="s">
        <v>134</v>
      </c>
      <c r="GAL11" s="1429" t="s">
        <v>134</v>
      </c>
      <c r="GAM11" s="1429" t="s">
        <v>134</v>
      </c>
      <c r="GAN11" s="1429" t="s">
        <v>134</v>
      </c>
      <c r="GAO11" s="1429" t="s">
        <v>134</v>
      </c>
      <c r="GAP11" s="1429" t="s">
        <v>134</v>
      </c>
      <c r="GAQ11" s="1429" t="s">
        <v>134</v>
      </c>
      <c r="GAR11" s="1429" t="s">
        <v>134</v>
      </c>
      <c r="GAS11" s="1429" t="s">
        <v>134</v>
      </c>
      <c r="GAT11" s="1429" t="s">
        <v>134</v>
      </c>
      <c r="GAU11" s="1429" t="s">
        <v>134</v>
      </c>
      <c r="GAV11" s="1429" t="s">
        <v>134</v>
      </c>
      <c r="GAW11" s="1429" t="s">
        <v>134</v>
      </c>
      <c r="GAX11" s="1429" t="s">
        <v>134</v>
      </c>
      <c r="GAY11" s="1429" t="s">
        <v>134</v>
      </c>
      <c r="GAZ11" s="1429" t="s">
        <v>134</v>
      </c>
      <c r="GBA11" s="1429" t="s">
        <v>134</v>
      </c>
      <c r="GBB11" s="1429" t="s">
        <v>134</v>
      </c>
      <c r="GBC11" s="1429" t="s">
        <v>134</v>
      </c>
      <c r="GBD11" s="1429" t="s">
        <v>134</v>
      </c>
      <c r="GBE11" s="1429" t="s">
        <v>134</v>
      </c>
      <c r="GBF11" s="1429" t="s">
        <v>134</v>
      </c>
      <c r="GBG11" s="1429" t="s">
        <v>134</v>
      </c>
      <c r="GBH11" s="1429" t="s">
        <v>134</v>
      </c>
      <c r="GBI11" s="1429" t="s">
        <v>134</v>
      </c>
      <c r="GBJ11" s="1429" t="s">
        <v>134</v>
      </c>
      <c r="GBK11" s="1429" t="s">
        <v>134</v>
      </c>
      <c r="GBL11" s="1429" t="s">
        <v>134</v>
      </c>
      <c r="GBM11" s="1429" t="s">
        <v>134</v>
      </c>
      <c r="GBN11" s="1429" t="s">
        <v>134</v>
      </c>
      <c r="GBO11" s="1429" t="s">
        <v>134</v>
      </c>
      <c r="GBP11" s="1429" t="s">
        <v>134</v>
      </c>
      <c r="GBQ11" s="1429" t="s">
        <v>134</v>
      </c>
      <c r="GBR11" s="1429" t="s">
        <v>134</v>
      </c>
      <c r="GBS11" s="1429" t="s">
        <v>134</v>
      </c>
      <c r="GBT11" s="1429" t="s">
        <v>134</v>
      </c>
      <c r="GBU11" s="1429" t="s">
        <v>134</v>
      </c>
      <c r="GBV11" s="1429" t="s">
        <v>134</v>
      </c>
      <c r="GBW11" s="1429" t="s">
        <v>134</v>
      </c>
      <c r="GBX11" s="1429" t="s">
        <v>134</v>
      </c>
      <c r="GBY11" s="1429" t="s">
        <v>134</v>
      </c>
      <c r="GBZ11" s="1429" t="s">
        <v>134</v>
      </c>
      <c r="GCA11" s="1429" t="s">
        <v>134</v>
      </c>
      <c r="GCB11" s="1429" t="s">
        <v>134</v>
      </c>
      <c r="GCC11" s="1429" t="s">
        <v>134</v>
      </c>
      <c r="GCD11" s="1429" t="s">
        <v>134</v>
      </c>
      <c r="GCE11" s="1429" t="s">
        <v>134</v>
      </c>
      <c r="GCF11" s="1429" t="s">
        <v>134</v>
      </c>
      <c r="GCG11" s="1429" t="s">
        <v>134</v>
      </c>
      <c r="GCH11" s="1429" t="s">
        <v>134</v>
      </c>
      <c r="GCI11" s="1429" t="s">
        <v>134</v>
      </c>
      <c r="GCJ11" s="1429" t="s">
        <v>134</v>
      </c>
      <c r="GCK11" s="1429" t="s">
        <v>134</v>
      </c>
      <c r="GCL11" s="1429" t="s">
        <v>134</v>
      </c>
      <c r="GCM11" s="1429" t="s">
        <v>134</v>
      </c>
      <c r="GCN11" s="1429" t="s">
        <v>134</v>
      </c>
      <c r="GCO11" s="1429" t="s">
        <v>134</v>
      </c>
      <c r="GCP11" s="1429" t="s">
        <v>134</v>
      </c>
      <c r="GCQ11" s="1429" t="s">
        <v>134</v>
      </c>
      <c r="GCR11" s="1429" t="s">
        <v>134</v>
      </c>
      <c r="GCS11" s="1429" t="s">
        <v>134</v>
      </c>
      <c r="GCT11" s="1429" t="s">
        <v>134</v>
      </c>
      <c r="GCU11" s="1429" t="s">
        <v>134</v>
      </c>
      <c r="GCV11" s="1429" t="s">
        <v>134</v>
      </c>
      <c r="GCW11" s="1429" t="s">
        <v>134</v>
      </c>
      <c r="GCX11" s="1429" t="s">
        <v>134</v>
      </c>
      <c r="GCY11" s="1429" t="s">
        <v>134</v>
      </c>
      <c r="GCZ11" s="1429" t="s">
        <v>134</v>
      </c>
      <c r="GDA11" s="1429" t="s">
        <v>134</v>
      </c>
      <c r="GDB11" s="1429" t="s">
        <v>134</v>
      </c>
      <c r="GDC11" s="1429" t="s">
        <v>134</v>
      </c>
      <c r="GDD11" s="1429" t="s">
        <v>134</v>
      </c>
      <c r="GDE11" s="1429" t="s">
        <v>134</v>
      </c>
      <c r="GDF11" s="1429" t="s">
        <v>134</v>
      </c>
      <c r="GDG11" s="1429" t="s">
        <v>134</v>
      </c>
      <c r="GDH11" s="1429" t="s">
        <v>134</v>
      </c>
      <c r="GDI11" s="1429" t="s">
        <v>134</v>
      </c>
      <c r="GDJ11" s="1429" t="s">
        <v>134</v>
      </c>
      <c r="GDK11" s="1429" t="s">
        <v>134</v>
      </c>
      <c r="GDL11" s="1429" t="s">
        <v>134</v>
      </c>
      <c r="GDM11" s="1429" t="s">
        <v>134</v>
      </c>
      <c r="GDN11" s="1429" t="s">
        <v>134</v>
      </c>
      <c r="GDO11" s="1429" t="s">
        <v>134</v>
      </c>
      <c r="GDP11" s="1429" t="s">
        <v>134</v>
      </c>
      <c r="GDQ11" s="1429" t="s">
        <v>134</v>
      </c>
      <c r="GDR11" s="1429" t="s">
        <v>134</v>
      </c>
      <c r="GDS11" s="1429" t="s">
        <v>134</v>
      </c>
      <c r="GDT11" s="1429" t="s">
        <v>134</v>
      </c>
      <c r="GDU11" s="1429" t="s">
        <v>134</v>
      </c>
      <c r="GDV11" s="1429" t="s">
        <v>134</v>
      </c>
      <c r="GDW11" s="1429" t="s">
        <v>134</v>
      </c>
      <c r="GDX11" s="1429" t="s">
        <v>134</v>
      </c>
      <c r="GDY11" s="1429" t="s">
        <v>134</v>
      </c>
      <c r="GDZ11" s="1429" t="s">
        <v>134</v>
      </c>
      <c r="GEA11" s="1429" t="s">
        <v>134</v>
      </c>
      <c r="GEB11" s="1429" t="s">
        <v>134</v>
      </c>
      <c r="GEC11" s="1429" t="s">
        <v>134</v>
      </c>
      <c r="GED11" s="1429" t="s">
        <v>134</v>
      </c>
      <c r="GEE11" s="1429" t="s">
        <v>134</v>
      </c>
      <c r="GEF11" s="1429" t="s">
        <v>134</v>
      </c>
      <c r="GEG11" s="1429" t="s">
        <v>134</v>
      </c>
      <c r="GEH11" s="1429" t="s">
        <v>134</v>
      </c>
      <c r="GEI11" s="1429" t="s">
        <v>134</v>
      </c>
      <c r="GEJ11" s="1429" t="s">
        <v>134</v>
      </c>
      <c r="GEK11" s="1429" t="s">
        <v>134</v>
      </c>
      <c r="GEL11" s="1429" t="s">
        <v>134</v>
      </c>
      <c r="GEM11" s="1429" t="s">
        <v>134</v>
      </c>
      <c r="GEN11" s="1429" t="s">
        <v>134</v>
      </c>
      <c r="GEO11" s="1429" t="s">
        <v>134</v>
      </c>
      <c r="GEP11" s="1429" t="s">
        <v>134</v>
      </c>
      <c r="GEQ11" s="1429" t="s">
        <v>134</v>
      </c>
      <c r="GER11" s="1429" t="s">
        <v>134</v>
      </c>
      <c r="GES11" s="1429" t="s">
        <v>134</v>
      </c>
      <c r="GET11" s="1429" t="s">
        <v>134</v>
      </c>
      <c r="GEU11" s="1429" t="s">
        <v>134</v>
      </c>
      <c r="GEV11" s="1429" t="s">
        <v>134</v>
      </c>
      <c r="GEW11" s="1429" t="s">
        <v>134</v>
      </c>
      <c r="GEX11" s="1429" t="s">
        <v>134</v>
      </c>
      <c r="GEY11" s="1429" t="s">
        <v>134</v>
      </c>
      <c r="GEZ11" s="1429" t="s">
        <v>134</v>
      </c>
      <c r="GFA11" s="1429" t="s">
        <v>134</v>
      </c>
      <c r="GFB11" s="1429" t="s">
        <v>134</v>
      </c>
      <c r="GFC11" s="1429" t="s">
        <v>134</v>
      </c>
      <c r="GFD11" s="1429" t="s">
        <v>134</v>
      </c>
      <c r="GFE11" s="1429" t="s">
        <v>134</v>
      </c>
      <c r="GFF11" s="1429" t="s">
        <v>134</v>
      </c>
      <c r="GFG11" s="1429" t="s">
        <v>134</v>
      </c>
      <c r="GFH11" s="1429" t="s">
        <v>134</v>
      </c>
      <c r="GFI11" s="1429" t="s">
        <v>134</v>
      </c>
      <c r="GFJ11" s="1429" t="s">
        <v>134</v>
      </c>
      <c r="GFK11" s="1429" t="s">
        <v>134</v>
      </c>
      <c r="GFL11" s="1429" t="s">
        <v>134</v>
      </c>
      <c r="GFM11" s="1429" t="s">
        <v>134</v>
      </c>
      <c r="GFN11" s="1429" t="s">
        <v>134</v>
      </c>
      <c r="GFO11" s="1429" t="s">
        <v>134</v>
      </c>
      <c r="GFP11" s="1429" t="s">
        <v>134</v>
      </c>
      <c r="GFQ11" s="1429" t="s">
        <v>134</v>
      </c>
      <c r="GFR11" s="1429" t="s">
        <v>134</v>
      </c>
      <c r="GFS11" s="1429" t="s">
        <v>134</v>
      </c>
      <c r="GFT11" s="1429" t="s">
        <v>134</v>
      </c>
      <c r="GFU11" s="1429" t="s">
        <v>134</v>
      </c>
      <c r="GFV11" s="1429" t="s">
        <v>134</v>
      </c>
      <c r="GFW11" s="1429" t="s">
        <v>134</v>
      </c>
      <c r="GFX11" s="1429" t="s">
        <v>134</v>
      </c>
      <c r="GFY11" s="1429" t="s">
        <v>134</v>
      </c>
      <c r="GFZ11" s="1429" t="s">
        <v>134</v>
      </c>
      <c r="GGA11" s="1429" t="s">
        <v>134</v>
      </c>
      <c r="GGB11" s="1429" t="s">
        <v>134</v>
      </c>
      <c r="GGC11" s="1429" t="s">
        <v>134</v>
      </c>
      <c r="GGD11" s="1429" t="s">
        <v>134</v>
      </c>
      <c r="GGE11" s="1429" t="s">
        <v>134</v>
      </c>
      <c r="GGF11" s="1429" t="s">
        <v>134</v>
      </c>
      <c r="GGG11" s="1429" t="s">
        <v>134</v>
      </c>
      <c r="GGH11" s="1429" t="s">
        <v>134</v>
      </c>
      <c r="GGI11" s="1429" t="s">
        <v>134</v>
      </c>
      <c r="GGJ11" s="1429" t="s">
        <v>134</v>
      </c>
      <c r="GGK11" s="1429" t="s">
        <v>134</v>
      </c>
      <c r="GGL11" s="1429" t="s">
        <v>134</v>
      </c>
      <c r="GGM11" s="1429" t="s">
        <v>134</v>
      </c>
      <c r="GGN11" s="1429" t="s">
        <v>134</v>
      </c>
      <c r="GGO11" s="1429" t="s">
        <v>134</v>
      </c>
      <c r="GGP11" s="1429" t="s">
        <v>134</v>
      </c>
      <c r="GGQ11" s="1429" t="s">
        <v>134</v>
      </c>
      <c r="GGR11" s="1429" t="s">
        <v>134</v>
      </c>
      <c r="GGS11" s="1429" t="s">
        <v>134</v>
      </c>
      <c r="GGT11" s="1429" t="s">
        <v>134</v>
      </c>
      <c r="GGU11" s="1429" t="s">
        <v>134</v>
      </c>
      <c r="GGV11" s="1429" t="s">
        <v>134</v>
      </c>
      <c r="GGW11" s="1429" t="s">
        <v>134</v>
      </c>
      <c r="GGX11" s="1429" t="s">
        <v>134</v>
      </c>
      <c r="GGY11" s="1429" t="s">
        <v>134</v>
      </c>
      <c r="GGZ11" s="1429" t="s">
        <v>134</v>
      </c>
      <c r="GHA11" s="1429" t="s">
        <v>134</v>
      </c>
      <c r="GHB11" s="1429" t="s">
        <v>134</v>
      </c>
      <c r="GHC11" s="1429" t="s">
        <v>134</v>
      </c>
      <c r="GHD11" s="1429" t="s">
        <v>134</v>
      </c>
      <c r="GHE11" s="1429" t="s">
        <v>134</v>
      </c>
      <c r="GHF11" s="1429" t="s">
        <v>134</v>
      </c>
      <c r="GHG11" s="1429" t="s">
        <v>134</v>
      </c>
      <c r="GHH11" s="1429" t="s">
        <v>134</v>
      </c>
      <c r="GHI11" s="1429" t="s">
        <v>134</v>
      </c>
      <c r="GHJ11" s="1429" t="s">
        <v>134</v>
      </c>
      <c r="GHK11" s="1429" t="s">
        <v>134</v>
      </c>
      <c r="GHL11" s="1429" t="s">
        <v>134</v>
      </c>
      <c r="GHM11" s="1429" t="s">
        <v>134</v>
      </c>
      <c r="GHN11" s="1429" t="s">
        <v>134</v>
      </c>
      <c r="GHO11" s="1429" t="s">
        <v>134</v>
      </c>
      <c r="GHP11" s="1429" t="s">
        <v>134</v>
      </c>
      <c r="GHQ11" s="1429" t="s">
        <v>134</v>
      </c>
      <c r="GHR11" s="1429" t="s">
        <v>134</v>
      </c>
      <c r="GHS11" s="1429" t="s">
        <v>134</v>
      </c>
      <c r="GHT11" s="1429" t="s">
        <v>134</v>
      </c>
      <c r="GHU11" s="1429" t="s">
        <v>134</v>
      </c>
      <c r="GHV11" s="1429" t="s">
        <v>134</v>
      </c>
      <c r="GHW11" s="1429" t="s">
        <v>134</v>
      </c>
      <c r="GHX11" s="1429" t="s">
        <v>134</v>
      </c>
      <c r="GHY11" s="1429" t="s">
        <v>134</v>
      </c>
      <c r="GHZ11" s="1429" t="s">
        <v>134</v>
      </c>
      <c r="GIA11" s="1429" t="s">
        <v>134</v>
      </c>
      <c r="GIB11" s="1429" t="s">
        <v>134</v>
      </c>
      <c r="GIC11" s="1429" t="s">
        <v>134</v>
      </c>
      <c r="GID11" s="1429" t="s">
        <v>134</v>
      </c>
      <c r="GIE11" s="1429" t="s">
        <v>134</v>
      </c>
      <c r="GIF11" s="1429" t="s">
        <v>134</v>
      </c>
      <c r="GIG11" s="1429" t="s">
        <v>134</v>
      </c>
      <c r="GIH11" s="1429" t="s">
        <v>134</v>
      </c>
      <c r="GII11" s="1429" t="s">
        <v>134</v>
      </c>
      <c r="GIJ11" s="1429" t="s">
        <v>134</v>
      </c>
      <c r="GIK11" s="1429" t="s">
        <v>134</v>
      </c>
      <c r="GIL11" s="1429" t="s">
        <v>134</v>
      </c>
      <c r="GIM11" s="1429" t="s">
        <v>134</v>
      </c>
      <c r="GIN11" s="1429" t="s">
        <v>134</v>
      </c>
      <c r="GIO11" s="1429" t="s">
        <v>134</v>
      </c>
      <c r="GIP11" s="1429" t="s">
        <v>134</v>
      </c>
      <c r="GIQ11" s="1429" t="s">
        <v>134</v>
      </c>
      <c r="GIR11" s="1429" t="s">
        <v>134</v>
      </c>
      <c r="GIS11" s="1429" t="s">
        <v>134</v>
      </c>
      <c r="GIT11" s="1429" t="s">
        <v>134</v>
      </c>
      <c r="GIU11" s="1429" t="s">
        <v>134</v>
      </c>
      <c r="GIV11" s="1429" t="s">
        <v>134</v>
      </c>
      <c r="GIW11" s="1429" t="s">
        <v>134</v>
      </c>
      <c r="GIX11" s="1429" t="s">
        <v>134</v>
      </c>
      <c r="GIY11" s="1429" t="s">
        <v>134</v>
      </c>
      <c r="GIZ11" s="1429" t="s">
        <v>134</v>
      </c>
      <c r="GJA11" s="1429" t="s">
        <v>134</v>
      </c>
      <c r="GJB11" s="1429" t="s">
        <v>134</v>
      </c>
      <c r="GJC11" s="1429" t="s">
        <v>134</v>
      </c>
      <c r="GJD11" s="1429" t="s">
        <v>134</v>
      </c>
      <c r="GJE11" s="1429" t="s">
        <v>134</v>
      </c>
      <c r="GJF11" s="1429" t="s">
        <v>134</v>
      </c>
      <c r="GJG11" s="1429" t="s">
        <v>134</v>
      </c>
      <c r="GJH11" s="1429" t="s">
        <v>134</v>
      </c>
      <c r="GJI11" s="1429" t="s">
        <v>134</v>
      </c>
      <c r="GJJ11" s="1429" t="s">
        <v>134</v>
      </c>
      <c r="GJK11" s="1429" t="s">
        <v>134</v>
      </c>
      <c r="GJL11" s="1429" t="s">
        <v>134</v>
      </c>
      <c r="GJM11" s="1429" t="s">
        <v>134</v>
      </c>
      <c r="GJN11" s="1429" t="s">
        <v>134</v>
      </c>
      <c r="GJO11" s="1429" t="s">
        <v>134</v>
      </c>
      <c r="GJP11" s="1429" t="s">
        <v>134</v>
      </c>
      <c r="GJQ11" s="1429" t="s">
        <v>134</v>
      </c>
      <c r="GJR11" s="1429" t="s">
        <v>134</v>
      </c>
      <c r="GJS11" s="1429" t="s">
        <v>134</v>
      </c>
      <c r="GJT11" s="1429" t="s">
        <v>134</v>
      </c>
      <c r="GJU11" s="1429" t="s">
        <v>134</v>
      </c>
      <c r="GJV11" s="1429" t="s">
        <v>134</v>
      </c>
      <c r="GJW11" s="1429" t="s">
        <v>134</v>
      </c>
      <c r="GJX11" s="1429" t="s">
        <v>134</v>
      </c>
      <c r="GJY11" s="1429" t="s">
        <v>134</v>
      </c>
      <c r="GJZ11" s="1429" t="s">
        <v>134</v>
      </c>
      <c r="GKA11" s="1429" t="s">
        <v>134</v>
      </c>
      <c r="GKB11" s="1429" t="s">
        <v>134</v>
      </c>
      <c r="GKC11" s="1429" t="s">
        <v>134</v>
      </c>
      <c r="GKD11" s="1429" t="s">
        <v>134</v>
      </c>
      <c r="GKE11" s="1429" t="s">
        <v>134</v>
      </c>
      <c r="GKF11" s="1429" t="s">
        <v>134</v>
      </c>
      <c r="GKG11" s="1429" t="s">
        <v>134</v>
      </c>
      <c r="GKH11" s="1429" t="s">
        <v>134</v>
      </c>
      <c r="GKI11" s="1429" t="s">
        <v>134</v>
      </c>
      <c r="GKJ11" s="1429" t="s">
        <v>134</v>
      </c>
      <c r="GKK11" s="1429" t="s">
        <v>134</v>
      </c>
      <c r="GKL11" s="1429" t="s">
        <v>134</v>
      </c>
      <c r="GKM11" s="1429" t="s">
        <v>134</v>
      </c>
      <c r="GKN11" s="1429" t="s">
        <v>134</v>
      </c>
      <c r="GKO11" s="1429" t="s">
        <v>134</v>
      </c>
      <c r="GKP11" s="1429" t="s">
        <v>134</v>
      </c>
      <c r="GKQ11" s="1429" t="s">
        <v>134</v>
      </c>
      <c r="GKR11" s="1429" t="s">
        <v>134</v>
      </c>
      <c r="GKS11" s="1429" t="s">
        <v>134</v>
      </c>
      <c r="GKT11" s="1429" t="s">
        <v>134</v>
      </c>
      <c r="GKU11" s="1429" t="s">
        <v>134</v>
      </c>
      <c r="GKV11" s="1429" t="s">
        <v>134</v>
      </c>
      <c r="GKW11" s="1429" t="s">
        <v>134</v>
      </c>
      <c r="GKX11" s="1429" t="s">
        <v>134</v>
      </c>
      <c r="GKY11" s="1429" t="s">
        <v>134</v>
      </c>
      <c r="GKZ11" s="1429" t="s">
        <v>134</v>
      </c>
      <c r="GLA11" s="1429" t="s">
        <v>134</v>
      </c>
      <c r="GLB11" s="1429" t="s">
        <v>134</v>
      </c>
      <c r="GLC11" s="1429" t="s">
        <v>134</v>
      </c>
      <c r="GLD11" s="1429" t="s">
        <v>134</v>
      </c>
      <c r="GLE11" s="1429" t="s">
        <v>134</v>
      </c>
      <c r="GLF11" s="1429" t="s">
        <v>134</v>
      </c>
      <c r="GLG11" s="1429" t="s">
        <v>134</v>
      </c>
      <c r="GLH11" s="1429" t="s">
        <v>134</v>
      </c>
      <c r="GLI11" s="1429" t="s">
        <v>134</v>
      </c>
      <c r="GLJ11" s="1429" t="s">
        <v>134</v>
      </c>
      <c r="GLK11" s="1429" t="s">
        <v>134</v>
      </c>
      <c r="GLL11" s="1429" t="s">
        <v>134</v>
      </c>
      <c r="GLM11" s="1429" t="s">
        <v>134</v>
      </c>
      <c r="GLN11" s="1429" t="s">
        <v>134</v>
      </c>
      <c r="GLO11" s="1429" t="s">
        <v>134</v>
      </c>
      <c r="GLP11" s="1429" t="s">
        <v>134</v>
      </c>
      <c r="GLQ11" s="1429" t="s">
        <v>134</v>
      </c>
      <c r="GLR11" s="1429" t="s">
        <v>134</v>
      </c>
      <c r="GLS11" s="1429" t="s">
        <v>134</v>
      </c>
      <c r="GLT11" s="1429" t="s">
        <v>134</v>
      </c>
      <c r="GLU11" s="1429" t="s">
        <v>134</v>
      </c>
      <c r="GLV11" s="1429" t="s">
        <v>134</v>
      </c>
      <c r="GLW11" s="1429" t="s">
        <v>134</v>
      </c>
      <c r="GLX11" s="1429" t="s">
        <v>134</v>
      </c>
      <c r="GLY11" s="1429" t="s">
        <v>134</v>
      </c>
      <c r="GLZ11" s="1429" t="s">
        <v>134</v>
      </c>
      <c r="GMA11" s="1429" t="s">
        <v>134</v>
      </c>
      <c r="GMB11" s="1429" t="s">
        <v>134</v>
      </c>
      <c r="GMC11" s="1429" t="s">
        <v>134</v>
      </c>
      <c r="GMD11" s="1429" t="s">
        <v>134</v>
      </c>
      <c r="GME11" s="1429" t="s">
        <v>134</v>
      </c>
      <c r="GMF11" s="1429" t="s">
        <v>134</v>
      </c>
      <c r="GMG11" s="1429" t="s">
        <v>134</v>
      </c>
      <c r="GMH11" s="1429" t="s">
        <v>134</v>
      </c>
      <c r="GMI11" s="1429" t="s">
        <v>134</v>
      </c>
      <c r="GMJ11" s="1429" t="s">
        <v>134</v>
      </c>
      <c r="GMK11" s="1429" t="s">
        <v>134</v>
      </c>
      <c r="GML11" s="1429" t="s">
        <v>134</v>
      </c>
      <c r="GMM11" s="1429" t="s">
        <v>134</v>
      </c>
      <c r="GMN11" s="1429" t="s">
        <v>134</v>
      </c>
      <c r="GMO11" s="1429" t="s">
        <v>134</v>
      </c>
      <c r="GMP11" s="1429" t="s">
        <v>134</v>
      </c>
      <c r="GMQ11" s="1429" t="s">
        <v>134</v>
      </c>
      <c r="GMR11" s="1429" t="s">
        <v>134</v>
      </c>
      <c r="GMS11" s="1429" t="s">
        <v>134</v>
      </c>
      <c r="GMT11" s="1429" t="s">
        <v>134</v>
      </c>
      <c r="GMU11" s="1429" t="s">
        <v>134</v>
      </c>
      <c r="GMV11" s="1429" t="s">
        <v>134</v>
      </c>
      <c r="GMW11" s="1429" t="s">
        <v>134</v>
      </c>
      <c r="GMX11" s="1429" t="s">
        <v>134</v>
      </c>
      <c r="GMY11" s="1429" t="s">
        <v>134</v>
      </c>
      <c r="GMZ11" s="1429" t="s">
        <v>134</v>
      </c>
      <c r="GNA11" s="1429" t="s">
        <v>134</v>
      </c>
      <c r="GNB11" s="1429" t="s">
        <v>134</v>
      </c>
      <c r="GNC11" s="1429" t="s">
        <v>134</v>
      </c>
      <c r="GND11" s="1429" t="s">
        <v>134</v>
      </c>
      <c r="GNE11" s="1429" t="s">
        <v>134</v>
      </c>
      <c r="GNF11" s="1429" t="s">
        <v>134</v>
      </c>
      <c r="GNG11" s="1429" t="s">
        <v>134</v>
      </c>
      <c r="GNH11" s="1429" t="s">
        <v>134</v>
      </c>
      <c r="GNI11" s="1429" t="s">
        <v>134</v>
      </c>
      <c r="GNJ11" s="1429" t="s">
        <v>134</v>
      </c>
      <c r="GNK11" s="1429" t="s">
        <v>134</v>
      </c>
      <c r="GNL11" s="1429" t="s">
        <v>134</v>
      </c>
      <c r="GNM11" s="1429" t="s">
        <v>134</v>
      </c>
      <c r="GNN11" s="1429" t="s">
        <v>134</v>
      </c>
      <c r="GNO11" s="1429" t="s">
        <v>134</v>
      </c>
      <c r="GNP11" s="1429" t="s">
        <v>134</v>
      </c>
      <c r="GNQ11" s="1429" t="s">
        <v>134</v>
      </c>
      <c r="GNR11" s="1429" t="s">
        <v>134</v>
      </c>
      <c r="GNS11" s="1429" t="s">
        <v>134</v>
      </c>
      <c r="GNT11" s="1429" t="s">
        <v>134</v>
      </c>
      <c r="GNU11" s="1429" t="s">
        <v>134</v>
      </c>
      <c r="GNV11" s="1429" t="s">
        <v>134</v>
      </c>
      <c r="GNW11" s="1429" t="s">
        <v>134</v>
      </c>
      <c r="GNX11" s="1429" t="s">
        <v>134</v>
      </c>
      <c r="GNY11" s="1429" t="s">
        <v>134</v>
      </c>
      <c r="GNZ11" s="1429" t="s">
        <v>134</v>
      </c>
      <c r="GOA11" s="1429" t="s">
        <v>134</v>
      </c>
      <c r="GOB11" s="1429" t="s">
        <v>134</v>
      </c>
      <c r="GOC11" s="1429" t="s">
        <v>134</v>
      </c>
      <c r="GOD11" s="1429" t="s">
        <v>134</v>
      </c>
      <c r="GOE11" s="1429" t="s">
        <v>134</v>
      </c>
      <c r="GOF11" s="1429" t="s">
        <v>134</v>
      </c>
      <c r="GOG11" s="1429" t="s">
        <v>134</v>
      </c>
      <c r="GOH11" s="1429" t="s">
        <v>134</v>
      </c>
      <c r="GOI11" s="1429" t="s">
        <v>134</v>
      </c>
      <c r="GOJ11" s="1429" t="s">
        <v>134</v>
      </c>
      <c r="GOK11" s="1429" t="s">
        <v>134</v>
      </c>
      <c r="GOL11" s="1429" t="s">
        <v>134</v>
      </c>
      <c r="GOM11" s="1429" t="s">
        <v>134</v>
      </c>
      <c r="GON11" s="1429" t="s">
        <v>134</v>
      </c>
      <c r="GOO11" s="1429" t="s">
        <v>134</v>
      </c>
      <c r="GOP11" s="1429" t="s">
        <v>134</v>
      </c>
      <c r="GOQ11" s="1429" t="s">
        <v>134</v>
      </c>
      <c r="GOR11" s="1429" t="s">
        <v>134</v>
      </c>
      <c r="GOS11" s="1429" t="s">
        <v>134</v>
      </c>
      <c r="GOT11" s="1429" t="s">
        <v>134</v>
      </c>
      <c r="GOU11" s="1429" t="s">
        <v>134</v>
      </c>
      <c r="GOV11" s="1429" t="s">
        <v>134</v>
      </c>
      <c r="GOW11" s="1429" t="s">
        <v>134</v>
      </c>
      <c r="GOX11" s="1429" t="s">
        <v>134</v>
      </c>
      <c r="GOY11" s="1429" t="s">
        <v>134</v>
      </c>
      <c r="GOZ11" s="1429" t="s">
        <v>134</v>
      </c>
      <c r="GPA11" s="1429" t="s">
        <v>134</v>
      </c>
      <c r="GPB11" s="1429" t="s">
        <v>134</v>
      </c>
      <c r="GPC11" s="1429" t="s">
        <v>134</v>
      </c>
      <c r="GPD11" s="1429" t="s">
        <v>134</v>
      </c>
      <c r="GPE11" s="1429" t="s">
        <v>134</v>
      </c>
      <c r="GPF11" s="1429" t="s">
        <v>134</v>
      </c>
      <c r="GPG11" s="1429" t="s">
        <v>134</v>
      </c>
      <c r="GPH11" s="1429" t="s">
        <v>134</v>
      </c>
      <c r="GPI11" s="1429" t="s">
        <v>134</v>
      </c>
      <c r="GPJ11" s="1429" t="s">
        <v>134</v>
      </c>
      <c r="GPK11" s="1429" t="s">
        <v>134</v>
      </c>
      <c r="GPL11" s="1429" t="s">
        <v>134</v>
      </c>
      <c r="GPM11" s="1429" t="s">
        <v>134</v>
      </c>
      <c r="GPN11" s="1429" t="s">
        <v>134</v>
      </c>
      <c r="GPO11" s="1429" t="s">
        <v>134</v>
      </c>
      <c r="GPP11" s="1429" t="s">
        <v>134</v>
      </c>
      <c r="GPQ11" s="1429" t="s">
        <v>134</v>
      </c>
      <c r="GPR11" s="1429" t="s">
        <v>134</v>
      </c>
      <c r="GPS11" s="1429" t="s">
        <v>134</v>
      </c>
      <c r="GPT11" s="1429" t="s">
        <v>134</v>
      </c>
      <c r="GPU11" s="1429" t="s">
        <v>134</v>
      </c>
      <c r="GPV11" s="1429" t="s">
        <v>134</v>
      </c>
      <c r="GPW11" s="1429" t="s">
        <v>134</v>
      </c>
      <c r="GPX11" s="1429" t="s">
        <v>134</v>
      </c>
      <c r="GPY11" s="1429" t="s">
        <v>134</v>
      </c>
      <c r="GPZ11" s="1429" t="s">
        <v>134</v>
      </c>
      <c r="GQA11" s="1429" t="s">
        <v>134</v>
      </c>
      <c r="GQB11" s="1429" t="s">
        <v>134</v>
      </c>
      <c r="GQC11" s="1429" t="s">
        <v>134</v>
      </c>
      <c r="GQD11" s="1429" t="s">
        <v>134</v>
      </c>
      <c r="GQE11" s="1429" t="s">
        <v>134</v>
      </c>
      <c r="GQF11" s="1429" t="s">
        <v>134</v>
      </c>
      <c r="GQG11" s="1429" t="s">
        <v>134</v>
      </c>
      <c r="GQH11" s="1429" t="s">
        <v>134</v>
      </c>
      <c r="GQI11" s="1429" t="s">
        <v>134</v>
      </c>
      <c r="GQJ11" s="1429" t="s">
        <v>134</v>
      </c>
      <c r="GQK11" s="1429" t="s">
        <v>134</v>
      </c>
      <c r="GQL11" s="1429" t="s">
        <v>134</v>
      </c>
      <c r="GQM11" s="1429" t="s">
        <v>134</v>
      </c>
      <c r="GQN11" s="1429" t="s">
        <v>134</v>
      </c>
      <c r="GQO11" s="1429" t="s">
        <v>134</v>
      </c>
      <c r="GQP11" s="1429" t="s">
        <v>134</v>
      </c>
      <c r="GQQ11" s="1429" t="s">
        <v>134</v>
      </c>
      <c r="GQR11" s="1429" t="s">
        <v>134</v>
      </c>
      <c r="GQS11" s="1429" t="s">
        <v>134</v>
      </c>
      <c r="GQT11" s="1429" t="s">
        <v>134</v>
      </c>
      <c r="GQU11" s="1429" t="s">
        <v>134</v>
      </c>
      <c r="GQV11" s="1429" t="s">
        <v>134</v>
      </c>
      <c r="GQW11" s="1429" t="s">
        <v>134</v>
      </c>
      <c r="GQX11" s="1429" t="s">
        <v>134</v>
      </c>
      <c r="GQY11" s="1429" t="s">
        <v>134</v>
      </c>
      <c r="GQZ11" s="1429" t="s">
        <v>134</v>
      </c>
      <c r="GRA11" s="1429" t="s">
        <v>134</v>
      </c>
      <c r="GRB11" s="1429" t="s">
        <v>134</v>
      </c>
      <c r="GRC11" s="1429" t="s">
        <v>134</v>
      </c>
      <c r="GRD11" s="1429" t="s">
        <v>134</v>
      </c>
      <c r="GRE11" s="1429" t="s">
        <v>134</v>
      </c>
      <c r="GRF11" s="1429" t="s">
        <v>134</v>
      </c>
      <c r="GRG11" s="1429" t="s">
        <v>134</v>
      </c>
      <c r="GRH11" s="1429" t="s">
        <v>134</v>
      </c>
      <c r="GRI11" s="1429" t="s">
        <v>134</v>
      </c>
      <c r="GRJ11" s="1429" t="s">
        <v>134</v>
      </c>
      <c r="GRK11" s="1429" t="s">
        <v>134</v>
      </c>
      <c r="GRL11" s="1429" t="s">
        <v>134</v>
      </c>
      <c r="GRM11" s="1429" t="s">
        <v>134</v>
      </c>
      <c r="GRN11" s="1429" t="s">
        <v>134</v>
      </c>
      <c r="GRO11" s="1429" t="s">
        <v>134</v>
      </c>
      <c r="GRP11" s="1429" t="s">
        <v>134</v>
      </c>
      <c r="GRQ11" s="1429" t="s">
        <v>134</v>
      </c>
      <c r="GRR11" s="1429" t="s">
        <v>134</v>
      </c>
      <c r="GRS11" s="1429" t="s">
        <v>134</v>
      </c>
      <c r="GRT11" s="1429" t="s">
        <v>134</v>
      </c>
      <c r="GRU11" s="1429" t="s">
        <v>134</v>
      </c>
      <c r="GRV11" s="1429" t="s">
        <v>134</v>
      </c>
      <c r="GRW11" s="1429" t="s">
        <v>134</v>
      </c>
      <c r="GRX11" s="1429" t="s">
        <v>134</v>
      </c>
      <c r="GRY11" s="1429" t="s">
        <v>134</v>
      </c>
      <c r="GRZ11" s="1429" t="s">
        <v>134</v>
      </c>
      <c r="GSA11" s="1429" t="s">
        <v>134</v>
      </c>
      <c r="GSB11" s="1429" t="s">
        <v>134</v>
      </c>
      <c r="GSC11" s="1429" t="s">
        <v>134</v>
      </c>
      <c r="GSD11" s="1429" t="s">
        <v>134</v>
      </c>
      <c r="GSE11" s="1429" t="s">
        <v>134</v>
      </c>
      <c r="GSF11" s="1429" t="s">
        <v>134</v>
      </c>
      <c r="GSG11" s="1429" t="s">
        <v>134</v>
      </c>
      <c r="GSH11" s="1429" t="s">
        <v>134</v>
      </c>
      <c r="GSI11" s="1429" t="s">
        <v>134</v>
      </c>
      <c r="GSJ11" s="1429" t="s">
        <v>134</v>
      </c>
      <c r="GSK11" s="1429" t="s">
        <v>134</v>
      </c>
      <c r="GSL11" s="1429" t="s">
        <v>134</v>
      </c>
      <c r="GSM11" s="1429" t="s">
        <v>134</v>
      </c>
      <c r="GSN11" s="1429" t="s">
        <v>134</v>
      </c>
      <c r="GSO11" s="1429" t="s">
        <v>134</v>
      </c>
      <c r="GSP11" s="1429" t="s">
        <v>134</v>
      </c>
      <c r="GSQ11" s="1429" t="s">
        <v>134</v>
      </c>
      <c r="GSR11" s="1429" t="s">
        <v>134</v>
      </c>
      <c r="GSS11" s="1429" t="s">
        <v>134</v>
      </c>
      <c r="GST11" s="1429" t="s">
        <v>134</v>
      </c>
      <c r="GSU11" s="1429" t="s">
        <v>134</v>
      </c>
      <c r="GSV11" s="1429" t="s">
        <v>134</v>
      </c>
      <c r="GSW11" s="1429" t="s">
        <v>134</v>
      </c>
      <c r="GSX11" s="1429" t="s">
        <v>134</v>
      </c>
      <c r="GSY11" s="1429" t="s">
        <v>134</v>
      </c>
      <c r="GSZ11" s="1429" t="s">
        <v>134</v>
      </c>
      <c r="GTA11" s="1429" t="s">
        <v>134</v>
      </c>
      <c r="GTB11" s="1429" t="s">
        <v>134</v>
      </c>
      <c r="GTC11" s="1429" t="s">
        <v>134</v>
      </c>
      <c r="GTD11" s="1429" t="s">
        <v>134</v>
      </c>
      <c r="GTE11" s="1429" t="s">
        <v>134</v>
      </c>
      <c r="GTF11" s="1429" t="s">
        <v>134</v>
      </c>
      <c r="GTG11" s="1429" t="s">
        <v>134</v>
      </c>
      <c r="GTH11" s="1429" t="s">
        <v>134</v>
      </c>
      <c r="GTI11" s="1429" t="s">
        <v>134</v>
      </c>
      <c r="GTJ11" s="1429" t="s">
        <v>134</v>
      </c>
      <c r="GTK11" s="1429" t="s">
        <v>134</v>
      </c>
      <c r="GTL11" s="1429" t="s">
        <v>134</v>
      </c>
      <c r="GTM11" s="1429" t="s">
        <v>134</v>
      </c>
      <c r="GTN11" s="1429" t="s">
        <v>134</v>
      </c>
      <c r="GTO11" s="1429" t="s">
        <v>134</v>
      </c>
      <c r="GTP11" s="1429" t="s">
        <v>134</v>
      </c>
      <c r="GTQ11" s="1429" t="s">
        <v>134</v>
      </c>
      <c r="GTR11" s="1429" t="s">
        <v>134</v>
      </c>
      <c r="GTS11" s="1429" t="s">
        <v>134</v>
      </c>
      <c r="GTT11" s="1429" t="s">
        <v>134</v>
      </c>
      <c r="GTU11" s="1429" t="s">
        <v>134</v>
      </c>
      <c r="GTV11" s="1429" t="s">
        <v>134</v>
      </c>
      <c r="GTW11" s="1429" t="s">
        <v>134</v>
      </c>
      <c r="GTX11" s="1429" t="s">
        <v>134</v>
      </c>
      <c r="GTY11" s="1429" t="s">
        <v>134</v>
      </c>
      <c r="GTZ11" s="1429" t="s">
        <v>134</v>
      </c>
      <c r="GUA11" s="1429" t="s">
        <v>134</v>
      </c>
      <c r="GUB11" s="1429" t="s">
        <v>134</v>
      </c>
      <c r="GUC11" s="1429" t="s">
        <v>134</v>
      </c>
      <c r="GUD11" s="1429" t="s">
        <v>134</v>
      </c>
      <c r="GUE11" s="1429" t="s">
        <v>134</v>
      </c>
      <c r="GUF11" s="1429" t="s">
        <v>134</v>
      </c>
      <c r="GUG11" s="1429" t="s">
        <v>134</v>
      </c>
      <c r="GUH11" s="1429" t="s">
        <v>134</v>
      </c>
      <c r="GUI11" s="1429" t="s">
        <v>134</v>
      </c>
      <c r="GUJ11" s="1429" t="s">
        <v>134</v>
      </c>
      <c r="GUK11" s="1429" t="s">
        <v>134</v>
      </c>
      <c r="GUL11" s="1429" t="s">
        <v>134</v>
      </c>
      <c r="GUM11" s="1429" t="s">
        <v>134</v>
      </c>
      <c r="GUN11" s="1429" t="s">
        <v>134</v>
      </c>
      <c r="GUO11" s="1429" t="s">
        <v>134</v>
      </c>
      <c r="GUP11" s="1429" t="s">
        <v>134</v>
      </c>
      <c r="GUQ11" s="1429" t="s">
        <v>134</v>
      </c>
      <c r="GUR11" s="1429" t="s">
        <v>134</v>
      </c>
      <c r="GUS11" s="1429" t="s">
        <v>134</v>
      </c>
      <c r="GUT11" s="1429" t="s">
        <v>134</v>
      </c>
      <c r="GUU11" s="1429" t="s">
        <v>134</v>
      </c>
      <c r="GUV11" s="1429" t="s">
        <v>134</v>
      </c>
      <c r="GUW11" s="1429" t="s">
        <v>134</v>
      </c>
      <c r="GUX11" s="1429" t="s">
        <v>134</v>
      </c>
      <c r="GUY11" s="1429" t="s">
        <v>134</v>
      </c>
      <c r="GUZ11" s="1429" t="s">
        <v>134</v>
      </c>
      <c r="GVA11" s="1429" t="s">
        <v>134</v>
      </c>
      <c r="GVB11" s="1429" t="s">
        <v>134</v>
      </c>
      <c r="GVC11" s="1429" t="s">
        <v>134</v>
      </c>
      <c r="GVD11" s="1429" t="s">
        <v>134</v>
      </c>
      <c r="GVE11" s="1429" t="s">
        <v>134</v>
      </c>
      <c r="GVF11" s="1429" t="s">
        <v>134</v>
      </c>
      <c r="GVG11" s="1429" t="s">
        <v>134</v>
      </c>
      <c r="GVH11" s="1429" t="s">
        <v>134</v>
      </c>
      <c r="GVI11" s="1429" t="s">
        <v>134</v>
      </c>
      <c r="GVJ11" s="1429" t="s">
        <v>134</v>
      </c>
      <c r="GVK11" s="1429" t="s">
        <v>134</v>
      </c>
      <c r="GVL11" s="1429" t="s">
        <v>134</v>
      </c>
      <c r="GVM11" s="1429" t="s">
        <v>134</v>
      </c>
      <c r="GVN11" s="1429" t="s">
        <v>134</v>
      </c>
      <c r="GVO11" s="1429" t="s">
        <v>134</v>
      </c>
      <c r="GVP11" s="1429" t="s">
        <v>134</v>
      </c>
      <c r="GVQ11" s="1429" t="s">
        <v>134</v>
      </c>
      <c r="GVR11" s="1429" t="s">
        <v>134</v>
      </c>
      <c r="GVS11" s="1429" t="s">
        <v>134</v>
      </c>
      <c r="GVT11" s="1429" t="s">
        <v>134</v>
      </c>
      <c r="GVU11" s="1429" t="s">
        <v>134</v>
      </c>
      <c r="GVV11" s="1429" t="s">
        <v>134</v>
      </c>
      <c r="GVW11" s="1429" t="s">
        <v>134</v>
      </c>
      <c r="GVX11" s="1429" t="s">
        <v>134</v>
      </c>
      <c r="GVY11" s="1429" t="s">
        <v>134</v>
      </c>
      <c r="GVZ11" s="1429" t="s">
        <v>134</v>
      </c>
      <c r="GWA11" s="1429" t="s">
        <v>134</v>
      </c>
      <c r="GWB11" s="1429" t="s">
        <v>134</v>
      </c>
      <c r="GWC11" s="1429" t="s">
        <v>134</v>
      </c>
      <c r="GWD11" s="1429" t="s">
        <v>134</v>
      </c>
      <c r="GWE11" s="1429" t="s">
        <v>134</v>
      </c>
      <c r="GWF11" s="1429" t="s">
        <v>134</v>
      </c>
      <c r="GWG11" s="1429" t="s">
        <v>134</v>
      </c>
      <c r="GWH11" s="1429" t="s">
        <v>134</v>
      </c>
      <c r="GWI11" s="1429" t="s">
        <v>134</v>
      </c>
      <c r="GWJ11" s="1429" t="s">
        <v>134</v>
      </c>
      <c r="GWK11" s="1429" t="s">
        <v>134</v>
      </c>
      <c r="GWL11" s="1429" t="s">
        <v>134</v>
      </c>
      <c r="GWM11" s="1429" t="s">
        <v>134</v>
      </c>
      <c r="GWN11" s="1429" t="s">
        <v>134</v>
      </c>
      <c r="GWO11" s="1429" t="s">
        <v>134</v>
      </c>
      <c r="GWP11" s="1429" t="s">
        <v>134</v>
      </c>
      <c r="GWQ11" s="1429" t="s">
        <v>134</v>
      </c>
      <c r="GWR11" s="1429" t="s">
        <v>134</v>
      </c>
      <c r="GWS11" s="1429" t="s">
        <v>134</v>
      </c>
      <c r="GWT11" s="1429" t="s">
        <v>134</v>
      </c>
      <c r="GWU11" s="1429" t="s">
        <v>134</v>
      </c>
      <c r="GWV11" s="1429" t="s">
        <v>134</v>
      </c>
      <c r="GWW11" s="1429" t="s">
        <v>134</v>
      </c>
      <c r="GWX11" s="1429" t="s">
        <v>134</v>
      </c>
      <c r="GWY11" s="1429" t="s">
        <v>134</v>
      </c>
      <c r="GWZ11" s="1429" t="s">
        <v>134</v>
      </c>
      <c r="GXA11" s="1429" t="s">
        <v>134</v>
      </c>
      <c r="GXB11" s="1429" t="s">
        <v>134</v>
      </c>
      <c r="GXC11" s="1429" t="s">
        <v>134</v>
      </c>
      <c r="GXD11" s="1429" t="s">
        <v>134</v>
      </c>
      <c r="GXE11" s="1429" t="s">
        <v>134</v>
      </c>
      <c r="GXF11" s="1429" t="s">
        <v>134</v>
      </c>
      <c r="GXG11" s="1429" t="s">
        <v>134</v>
      </c>
      <c r="GXH11" s="1429" t="s">
        <v>134</v>
      </c>
      <c r="GXI11" s="1429" t="s">
        <v>134</v>
      </c>
      <c r="GXJ11" s="1429" t="s">
        <v>134</v>
      </c>
      <c r="GXK11" s="1429" t="s">
        <v>134</v>
      </c>
      <c r="GXL11" s="1429" t="s">
        <v>134</v>
      </c>
      <c r="GXM11" s="1429" t="s">
        <v>134</v>
      </c>
      <c r="GXN11" s="1429" t="s">
        <v>134</v>
      </c>
      <c r="GXO11" s="1429" t="s">
        <v>134</v>
      </c>
      <c r="GXP11" s="1429" t="s">
        <v>134</v>
      </c>
      <c r="GXQ11" s="1429" t="s">
        <v>134</v>
      </c>
      <c r="GXR11" s="1429" t="s">
        <v>134</v>
      </c>
      <c r="GXS11" s="1429" t="s">
        <v>134</v>
      </c>
      <c r="GXT11" s="1429" t="s">
        <v>134</v>
      </c>
      <c r="GXU11" s="1429" t="s">
        <v>134</v>
      </c>
      <c r="GXV11" s="1429" t="s">
        <v>134</v>
      </c>
      <c r="GXW11" s="1429" t="s">
        <v>134</v>
      </c>
      <c r="GXX11" s="1429" t="s">
        <v>134</v>
      </c>
      <c r="GXY11" s="1429" t="s">
        <v>134</v>
      </c>
      <c r="GXZ11" s="1429" t="s">
        <v>134</v>
      </c>
      <c r="GYA11" s="1429" t="s">
        <v>134</v>
      </c>
      <c r="GYB11" s="1429" t="s">
        <v>134</v>
      </c>
      <c r="GYC11" s="1429" t="s">
        <v>134</v>
      </c>
      <c r="GYD11" s="1429" t="s">
        <v>134</v>
      </c>
      <c r="GYE11" s="1429" t="s">
        <v>134</v>
      </c>
      <c r="GYF11" s="1429" t="s">
        <v>134</v>
      </c>
      <c r="GYG11" s="1429" t="s">
        <v>134</v>
      </c>
      <c r="GYH11" s="1429" t="s">
        <v>134</v>
      </c>
      <c r="GYI11" s="1429" t="s">
        <v>134</v>
      </c>
      <c r="GYJ11" s="1429" t="s">
        <v>134</v>
      </c>
      <c r="GYK11" s="1429" t="s">
        <v>134</v>
      </c>
      <c r="GYL11" s="1429" t="s">
        <v>134</v>
      </c>
      <c r="GYM11" s="1429" t="s">
        <v>134</v>
      </c>
      <c r="GYN11" s="1429" t="s">
        <v>134</v>
      </c>
      <c r="GYO11" s="1429" t="s">
        <v>134</v>
      </c>
      <c r="GYP11" s="1429" t="s">
        <v>134</v>
      </c>
      <c r="GYQ11" s="1429" t="s">
        <v>134</v>
      </c>
      <c r="GYR11" s="1429" t="s">
        <v>134</v>
      </c>
      <c r="GYS11" s="1429" t="s">
        <v>134</v>
      </c>
      <c r="GYT11" s="1429" t="s">
        <v>134</v>
      </c>
      <c r="GYU11" s="1429" t="s">
        <v>134</v>
      </c>
      <c r="GYV11" s="1429" t="s">
        <v>134</v>
      </c>
      <c r="GYW11" s="1429" t="s">
        <v>134</v>
      </c>
      <c r="GYX11" s="1429" t="s">
        <v>134</v>
      </c>
      <c r="GYY11" s="1429" t="s">
        <v>134</v>
      </c>
      <c r="GYZ11" s="1429" t="s">
        <v>134</v>
      </c>
      <c r="GZA11" s="1429" t="s">
        <v>134</v>
      </c>
      <c r="GZB11" s="1429" t="s">
        <v>134</v>
      </c>
      <c r="GZC11" s="1429" t="s">
        <v>134</v>
      </c>
      <c r="GZD11" s="1429" t="s">
        <v>134</v>
      </c>
      <c r="GZE11" s="1429" t="s">
        <v>134</v>
      </c>
      <c r="GZF11" s="1429" t="s">
        <v>134</v>
      </c>
      <c r="GZG11" s="1429" t="s">
        <v>134</v>
      </c>
      <c r="GZH11" s="1429" t="s">
        <v>134</v>
      </c>
      <c r="GZI11" s="1429" t="s">
        <v>134</v>
      </c>
      <c r="GZJ11" s="1429" t="s">
        <v>134</v>
      </c>
      <c r="GZK11" s="1429" t="s">
        <v>134</v>
      </c>
      <c r="GZL11" s="1429" t="s">
        <v>134</v>
      </c>
      <c r="GZM11" s="1429" t="s">
        <v>134</v>
      </c>
      <c r="GZN11" s="1429" t="s">
        <v>134</v>
      </c>
      <c r="GZO11" s="1429" t="s">
        <v>134</v>
      </c>
      <c r="GZP11" s="1429" t="s">
        <v>134</v>
      </c>
      <c r="GZQ11" s="1429" t="s">
        <v>134</v>
      </c>
      <c r="GZR11" s="1429" t="s">
        <v>134</v>
      </c>
      <c r="GZS11" s="1429" t="s">
        <v>134</v>
      </c>
      <c r="GZT11" s="1429" t="s">
        <v>134</v>
      </c>
      <c r="GZU11" s="1429" t="s">
        <v>134</v>
      </c>
      <c r="GZV11" s="1429" t="s">
        <v>134</v>
      </c>
      <c r="GZW11" s="1429" t="s">
        <v>134</v>
      </c>
      <c r="GZX11" s="1429" t="s">
        <v>134</v>
      </c>
      <c r="GZY11" s="1429" t="s">
        <v>134</v>
      </c>
      <c r="GZZ11" s="1429" t="s">
        <v>134</v>
      </c>
      <c r="HAA11" s="1429" t="s">
        <v>134</v>
      </c>
      <c r="HAB11" s="1429" t="s">
        <v>134</v>
      </c>
      <c r="HAC11" s="1429" t="s">
        <v>134</v>
      </c>
      <c r="HAD11" s="1429" t="s">
        <v>134</v>
      </c>
      <c r="HAE11" s="1429" t="s">
        <v>134</v>
      </c>
      <c r="HAF11" s="1429" t="s">
        <v>134</v>
      </c>
      <c r="HAG11" s="1429" t="s">
        <v>134</v>
      </c>
      <c r="HAH11" s="1429" t="s">
        <v>134</v>
      </c>
      <c r="HAI11" s="1429" t="s">
        <v>134</v>
      </c>
      <c r="HAJ11" s="1429" t="s">
        <v>134</v>
      </c>
      <c r="HAK11" s="1429" t="s">
        <v>134</v>
      </c>
      <c r="HAL11" s="1429" t="s">
        <v>134</v>
      </c>
      <c r="HAM11" s="1429" t="s">
        <v>134</v>
      </c>
      <c r="HAN11" s="1429" t="s">
        <v>134</v>
      </c>
      <c r="HAO11" s="1429" t="s">
        <v>134</v>
      </c>
      <c r="HAP11" s="1429" t="s">
        <v>134</v>
      </c>
      <c r="HAQ11" s="1429" t="s">
        <v>134</v>
      </c>
      <c r="HAR11" s="1429" t="s">
        <v>134</v>
      </c>
      <c r="HAS11" s="1429" t="s">
        <v>134</v>
      </c>
      <c r="HAT11" s="1429" t="s">
        <v>134</v>
      </c>
      <c r="HAU11" s="1429" t="s">
        <v>134</v>
      </c>
      <c r="HAV11" s="1429" t="s">
        <v>134</v>
      </c>
      <c r="HAW11" s="1429" t="s">
        <v>134</v>
      </c>
      <c r="HAX11" s="1429" t="s">
        <v>134</v>
      </c>
      <c r="HAY11" s="1429" t="s">
        <v>134</v>
      </c>
      <c r="HAZ11" s="1429" t="s">
        <v>134</v>
      </c>
      <c r="HBA11" s="1429" t="s">
        <v>134</v>
      </c>
      <c r="HBB11" s="1429" t="s">
        <v>134</v>
      </c>
      <c r="HBC11" s="1429" t="s">
        <v>134</v>
      </c>
      <c r="HBD11" s="1429" t="s">
        <v>134</v>
      </c>
      <c r="HBE11" s="1429" t="s">
        <v>134</v>
      </c>
      <c r="HBF11" s="1429" t="s">
        <v>134</v>
      </c>
      <c r="HBG11" s="1429" t="s">
        <v>134</v>
      </c>
      <c r="HBH11" s="1429" t="s">
        <v>134</v>
      </c>
      <c r="HBI11" s="1429" t="s">
        <v>134</v>
      </c>
      <c r="HBJ11" s="1429" t="s">
        <v>134</v>
      </c>
      <c r="HBK11" s="1429" t="s">
        <v>134</v>
      </c>
      <c r="HBL11" s="1429" t="s">
        <v>134</v>
      </c>
      <c r="HBM11" s="1429" t="s">
        <v>134</v>
      </c>
      <c r="HBN11" s="1429" t="s">
        <v>134</v>
      </c>
      <c r="HBO11" s="1429" t="s">
        <v>134</v>
      </c>
      <c r="HBP11" s="1429" t="s">
        <v>134</v>
      </c>
      <c r="HBQ11" s="1429" t="s">
        <v>134</v>
      </c>
      <c r="HBR11" s="1429" t="s">
        <v>134</v>
      </c>
      <c r="HBS11" s="1429" t="s">
        <v>134</v>
      </c>
      <c r="HBT11" s="1429" t="s">
        <v>134</v>
      </c>
      <c r="HBU11" s="1429" t="s">
        <v>134</v>
      </c>
      <c r="HBV11" s="1429" t="s">
        <v>134</v>
      </c>
      <c r="HBW11" s="1429" t="s">
        <v>134</v>
      </c>
      <c r="HBX11" s="1429" t="s">
        <v>134</v>
      </c>
      <c r="HBY11" s="1429" t="s">
        <v>134</v>
      </c>
      <c r="HBZ11" s="1429" t="s">
        <v>134</v>
      </c>
      <c r="HCA11" s="1429" t="s">
        <v>134</v>
      </c>
      <c r="HCB11" s="1429" t="s">
        <v>134</v>
      </c>
      <c r="HCC11" s="1429" t="s">
        <v>134</v>
      </c>
      <c r="HCD11" s="1429" t="s">
        <v>134</v>
      </c>
      <c r="HCE11" s="1429" t="s">
        <v>134</v>
      </c>
      <c r="HCF11" s="1429" t="s">
        <v>134</v>
      </c>
      <c r="HCG11" s="1429" t="s">
        <v>134</v>
      </c>
      <c r="HCH11" s="1429" t="s">
        <v>134</v>
      </c>
      <c r="HCI11" s="1429" t="s">
        <v>134</v>
      </c>
      <c r="HCJ11" s="1429" t="s">
        <v>134</v>
      </c>
      <c r="HCK11" s="1429" t="s">
        <v>134</v>
      </c>
      <c r="HCL11" s="1429" t="s">
        <v>134</v>
      </c>
      <c r="HCM11" s="1429" t="s">
        <v>134</v>
      </c>
      <c r="HCN11" s="1429" t="s">
        <v>134</v>
      </c>
      <c r="HCO11" s="1429" t="s">
        <v>134</v>
      </c>
      <c r="HCP11" s="1429" t="s">
        <v>134</v>
      </c>
      <c r="HCQ11" s="1429" t="s">
        <v>134</v>
      </c>
      <c r="HCR11" s="1429" t="s">
        <v>134</v>
      </c>
      <c r="HCS11" s="1429" t="s">
        <v>134</v>
      </c>
      <c r="HCT11" s="1429" t="s">
        <v>134</v>
      </c>
      <c r="HCU11" s="1429" t="s">
        <v>134</v>
      </c>
      <c r="HCV11" s="1429" t="s">
        <v>134</v>
      </c>
      <c r="HCW11" s="1429" t="s">
        <v>134</v>
      </c>
      <c r="HCX11" s="1429" t="s">
        <v>134</v>
      </c>
      <c r="HCY11" s="1429" t="s">
        <v>134</v>
      </c>
      <c r="HCZ11" s="1429" t="s">
        <v>134</v>
      </c>
      <c r="HDA11" s="1429" t="s">
        <v>134</v>
      </c>
      <c r="HDB11" s="1429" t="s">
        <v>134</v>
      </c>
      <c r="HDC11" s="1429" t="s">
        <v>134</v>
      </c>
      <c r="HDD11" s="1429" t="s">
        <v>134</v>
      </c>
      <c r="HDE11" s="1429" t="s">
        <v>134</v>
      </c>
      <c r="HDF11" s="1429" t="s">
        <v>134</v>
      </c>
      <c r="HDG11" s="1429" t="s">
        <v>134</v>
      </c>
      <c r="HDH11" s="1429" t="s">
        <v>134</v>
      </c>
      <c r="HDI11" s="1429" t="s">
        <v>134</v>
      </c>
      <c r="HDJ11" s="1429" t="s">
        <v>134</v>
      </c>
      <c r="HDK11" s="1429" t="s">
        <v>134</v>
      </c>
      <c r="HDL11" s="1429" t="s">
        <v>134</v>
      </c>
      <c r="HDM11" s="1429" t="s">
        <v>134</v>
      </c>
      <c r="HDN11" s="1429" t="s">
        <v>134</v>
      </c>
      <c r="HDO11" s="1429" t="s">
        <v>134</v>
      </c>
      <c r="HDP11" s="1429" t="s">
        <v>134</v>
      </c>
      <c r="HDQ11" s="1429" t="s">
        <v>134</v>
      </c>
      <c r="HDR11" s="1429" t="s">
        <v>134</v>
      </c>
      <c r="HDS11" s="1429" t="s">
        <v>134</v>
      </c>
      <c r="HDT11" s="1429" t="s">
        <v>134</v>
      </c>
      <c r="HDU11" s="1429" t="s">
        <v>134</v>
      </c>
      <c r="HDV11" s="1429" t="s">
        <v>134</v>
      </c>
      <c r="HDW11" s="1429" t="s">
        <v>134</v>
      </c>
      <c r="HDX11" s="1429" t="s">
        <v>134</v>
      </c>
      <c r="HDY11" s="1429" t="s">
        <v>134</v>
      </c>
      <c r="HDZ11" s="1429" t="s">
        <v>134</v>
      </c>
      <c r="HEA11" s="1429" t="s">
        <v>134</v>
      </c>
      <c r="HEB11" s="1429" t="s">
        <v>134</v>
      </c>
      <c r="HEC11" s="1429" t="s">
        <v>134</v>
      </c>
      <c r="HED11" s="1429" t="s">
        <v>134</v>
      </c>
      <c r="HEE11" s="1429" t="s">
        <v>134</v>
      </c>
      <c r="HEF11" s="1429" t="s">
        <v>134</v>
      </c>
      <c r="HEG11" s="1429" t="s">
        <v>134</v>
      </c>
      <c r="HEH11" s="1429" t="s">
        <v>134</v>
      </c>
      <c r="HEI11" s="1429" t="s">
        <v>134</v>
      </c>
      <c r="HEJ11" s="1429" t="s">
        <v>134</v>
      </c>
      <c r="HEK11" s="1429" t="s">
        <v>134</v>
      </c>
      <c r="HEL11" s="1429" t="s">
        <v>134</v>
      </c>
      <c r="HEM11" s="1429" t="s">
        <v>134</v>
      </c>
      <c r="HEN11" s="1429" t="s">
        <v>134</v>
      </c>
      <c r="HEO11" s="1429" t="s">
        <v>134</v>
      </c>
      <c r="HEP11" s="1429" t="s">
        <v>134</v>
      </c>
      <c r="HEQ11" s="1429" t="s">
        <v>134</v>
      </c>
      <c r="HER11" s="1429" t="s">
        <v>134</v>
      </c>
      <c r="HES11" s="1429" t="s">
        <v>134</v>
      </c>
      <c r="HET11" s="1429" t="s">
        <v>134</v>
      </c>
      <c r="HEU11" s="1429" t="s">
        <v>134</v>
      </c>
      <c r="HEV11" s="1429" t="s">
        <v>134</v>
      </c>
      <c r="HEW11" s="1429" t="s">
        <v>134</v>
      </c>
      <c r="HEX11" s="1429" t="s">
        <v>134</v>
      </c>
      <c r="HEY11" s="1429" t="s">
        <v>134</v>
      </c>
      <c r="HEZ11" s="1429" t="s">
        <v>134</v>
      </c>
      <c r="HFA11" s="1429" t="s">
        <v>134</v>
      </c>
      <c r="HFB11" s="1429" t="s">
        <v>134</v>
      </c>
      <c r="HFC11" s="1429" t="s">
        <v>134</v>
      </c>
      <c r="HFD11" s="1429" t="s">
        <v>134</v>
      </c>
      <c r="HFE11" s="1429" t="s">
        <v>134</v>
      </c>
      <c r="HFF11" s="1429" t="s">
        <v>134</v>
      </c>
      <c r="HFG11" s="1429" t="s">
        <v>134</v>
      </c>
      <c r="HFH11" s="1429" t="s">
        <v>134</v>
      </c>
      <c r="HFI11" s="1429" t="s">
        <v>134</v>
      </c>
      <c r="HFJ11" s="1429" t="s">
        <v>134</v>
      </c>
      <c r="HFK11" s="1429" t="s">
        <v>134</v>
      </c>
      <c r="HFL11" s="1429" t="s">
        <v>134</v>
      </c>
      <c r="HFM11" s="1429" t="s">
        <v>134</v>
      </c>
      <c r="HFN11" s="1429" t="s">
        <v>134</v>
      </c>
      <c r="HFO11" s="1429" t="s">
        <v>134</v>
      </c>
      <c r="HFP11" s="1429" t="s">
        <v>134</v>
      </c>
      <c r="HFQ11" s="1429" t="s">
        <v>134</v>
      </c>
      <c r="HFR11" s="1429" t="s">
        <v>134</v>
      </c>
      <c r="HFS11" s="1429" t="s">
        <v>134</v>
      </c>
      <c r="HFT11" s="1429" t="s">
        <v>134</v>
      </c>
      <c r="HFU11" s="1429" t="s">
        <v>134</v>
      </c>
      <c r="HFV11" s="1429" t="s">
        <v>134</v>
      </c>
      <c r="HFW11" s="1429" t="s">
        <v>134</v>
      </c>
      <c r="HFX11" s="1429" t="s">
        <v>134</v>
      </c>
      <c r="HFY11" s="1429" t="s">
        <v>134</v>
      </c>
      <c r="HFZ11" s="1429" t="s">
        <v>134</v>
      </c>
      <c r="HGA11" s="1429" t="s">
        <v>134</v>
      </c>
      <c r="HGB11" s="1429" t="s">
        <v>134</v>
      </c>
      <c r="HGC11" s="1429" t="s">
        <v>134</v>
      </c>
      <c r="HGD11" s="1429" t="s">
        <v>134</v>
      </c>
      <c r="HGE11" s="1429" t="s">
        <v>134</v>
      </c>
      <c r="HGF11" s="1429" t="s">
        <v>134</v>
      </c>
      <c r="HGG11" s="1429" t="s">
        <v>134</v>
      </c>
      <c r="HGH11" s="1429" t="s">
        <v>134</v>
      </c>
      <c r="HGI11" s="1429" t="s">
        <v>134</v>
      </c>
      <c r="HGJ11" s="1429" t="s">
        <v>134</v>
      </c>
      <c r="HGK11" s="1429" t="s">
        <v>134</v>
      </c>
      <c r="HGL11" s="1429" t="s">
        <v>134</v>
      </c>
      <c r="HGM11" s="1429" t="s">
        <v>134</v>
      </c>
      <c r="HGN11" s="1429" t="s">
        <v>134</v>
      </c>
      <c r="HGO11" s="1429" t="s">
        <v>134</v>
      </c>
      <c r="HGP11" s="1429" t="s">
        <v>134</v>
      </c>
      <c r="HGQ11" s="1429" t="s">
        <v>134</v>
      </c>
      <c r="HGR11" s="1429" t="s">
        <v>134</v>
      </c>
      <c r="HGS11" s="1429" t="s">
        <v>134</v>
      </c>
      <c r="HGT11" s="1429" t="s">
        <v>134</v>
      </c>
      <c r="HGU11" s="1429" t="s">
        <v>134</v>
      </c>
      <c r="HGV11" s="1429" t="s">
        <v>134</v>
      </c>
      <c r="HGW11" s="1429" t="s">
        <v>134</v>
      </c>
      <c r="HGX11" s="1429" t="s">
        <v>134</v>
      </c>
      <c r="HGY11" s="1429" t="s">
        <v>134</v>
      </c>
      <c r="HGZ11" s="1429" t="s">
        <v>134</v>
      </c>
      <c r="HHA11" s="1429" t="s">
        <v>134</v>
      </c>
      <c r="HHB11" s="1429" t="s">
        <v>134</v>
      </c>
      <c r="HHC11" s="1429" t="s">
        <v>134</v>
      </c>
      <c r="HHD11" s="1429" t="s">
        <v>134</v>
      </c>
      <c r="HHE11" s="1429" t="s">
        <v>134</v>
      </c>
      <c r="HHF11" s="1429" t="s">
        <v>134</v>
      </c>
      <c r="HHG11" s="1429" t="s">
        <v>134</v>
      </c>
      <c r="HHH11" s="1429" t="s">
        <v>134</v>
      </c>
      <c r="HHI11" s="1429" t="s">
        <v>134</v>
      </c>
      <c r="HHJ11" s="1429" t="s">
        <v>134</v>
      </c>
      <c r="HHK11" s="1429" t="s">
        <v>134</v>
      </c>
      <c r="HHL11" s="1429" t="s">
        <v>134</v>
      </c>
      <c r="HHM11" s="1429" t="s">
        <v>134</v>
      </c>
      <c r="HHN11" s="1429" t="s">
        <v>134</v>
      </c>
      <c r="HHO11" s="1429" t="s">
        <v>134</v>
      </c>
      <c r="HHP11" s="1429" t="s">
        <v>134</v>
      </c>
      <c r="HHQ11" s="1429" t="s">
        <v>134</v>
      </c>
      <c r="HHR11" s="1429" t="s">
        <v>134</v>
      </c>
      <c r="HHS11" s="1429" t="s">
        <v>134</v>
      </c>
      <c r="HHT11" s="1429" t="s">
        <v>134</v>
      </c>
      <c r="HHU11" s="1429" t="s">
        <v>134</v>
      </c>
      <c r="HHV11" s="1429" t="s">
        <v>134</v>
      </c>
      <c r="HHW11" s="1429" t="s">
        <v>134</v>
      </c>
      <c r="HHX11" s="1429" t="s">
        <v>134</v>
      </c>
      <c r="HHY11" s="1429" t="s">
        <v>134</v>
      </c>
      <c r="HHZ11" s="1429" t="s">
        <v>134</v>
      </c>
      <c r="HIA11" s="1429" t="s">
        <v>134</v>
      </c>
      <c r="HIB11" s="1429" t="s">
        <v>134</v>
      </c>
      <c r="HIC11" s="1429" t="s">
        <v>134</v>
      </c>
      <c r="HID11" s="1429" t="s">
        <v>134</v>
      </c>
      <c r="HIE11" s="1429" t="s">
        <v>134</v>
      </c>
      <c r="HIF11" s="1429" t="s">
        <v>134</v>
      </c>
      <c r="HIG11" s="1429" t="s">
        <v>134</v>
      </c>
      <c r="HIH11" s="1429" t="s">
        <v>134</v>
      </c>
      <c r="HII11" s="1429" t="s">
        <v>134</v>
      </c>
      <c r="HIJ11" s="1429" t="s">
        <v>134</v>
      </c>
      <c r="HIK11" s="1429" t="s">
        <v>134</v>
      </c>
      <c r="HIL11" s="1429" t="s">
        <v>134</v>
      </c>
      <c r="HIM11" s="1429" t="s">
        <v>134</v>
      </c>
      <c r="HIN11" s="1429" t="s">
        <v>134</v>
      </c>
      <c r="HIO11" s="1429" t="s">
        <v>134</v>
      </c>
      <c r="HIP11" s="1429" t="s">
        <v>134</v>
      </c>
      <c r="HIQ11" s="1429" t="s">
        <v>134</v>
      </c>
      <c r="HIR11" s="1429" t="s">
        <v>134</v>
      </c>
      <c r="HIS11" s="1429" t="s">
        <v>134</v>
      </c>
      <c r="HIT11" s="1429" t="s">
        <v>134</v>
      </c>
      <c r="HIU11" s="1429" t="s">
        <v>134</v>
      </c>
      <c r="HIV11" s="1429" t="s">
        <v>134</v>
      </c>
      <c r="HIW11" s="1429" t="s">
        <v>134</v>
      </c>
      <c r="HIX11" s="1429" t="s">
        <v>134</v>
      </c>
      <c r="HIY11" s="1429" t="s">
        <v>134</v>
      </c>
      <c r="HIZ11" s="1429" t="s">
        <v>134</v>
      </c>
      <c r="HJA11" s="1429" t="s">
        <v>134</v>
      </c>
      <c r="HJB11" s="1429" t="s">
        <v>134</v>
      </c>
      <c r="HJC11" s="1429" t="s">
        <v>134</v>
      </c>
      <c r="HJD11" s="1429" t="s">
        <v>134</v>
      </c>
      <c r="HJE11" s="1429" t="s">
        <v>134</v>
      </c>
      <c r="HJF11" s="1429" t="s">
        <v>134</v>
      </c>
      <c r="HJG11" s="1429" t="s">
        <v>134</v>
      </c>
      <c r="HJH11" s="1429" t="s">
        <v>134</v>
      </c>
      <c r="HJI11" s="1429" t="s">
        <v>134</v>
      </c>
      <c r="HJJ11" s="1429" t="s">
        <v>134</v>
      </c>
      <c r="HJK11" s="1429" t="s">
        <v>134</v>
      </c>
      <c r="HJL11" s="1429" t="s">
        <v>134</v>
      </c>
      <c r="HJM11" s="1429" t="s">
        <v>134</v>
      </c>
      <c r="HJN11" s="1429" t="s">
        <v>134</v>
      </c>
      <c r="HJO11" s="1429" t="s">
        <v>134</v>
      </c>
      <c r="HJP11" s="1429" t="s">
        <v>134</v>
      </c>
      <c r="HJQ11" s="1429" t="s">
        <v>134</v>
      </c>
      <c r="HJR11" s="1429" t="s">
        <v>134</v>
      </c>
      <c r="HJS11" s="1429" t="s">
        <v>134</v>
      </c>
      <c r="HJT11" s="1429" t="s">
        <v>134</v>
      </c>
      <c r="HJU11" s="1429" t="s">
        <v>134</v>
      </c>
      <c r="HJV11" s="1429" t="s">
        <v>134</v>
      </c>
      <c r="HJW11" s="1429" t="s">
        <v>134</v>
      </c>
      <c r="HJX11" s="1429" t="s">
        <v>134</v>
      </c>
      <c r="HJY11" s="1429" t="s">
        <v>134</v>
      </c>
      <c r="HJZ11" s="1429" t="s">
        <v>134</v>
      </c>
      <c r="HKA11" s="1429" t="s">
        <v>134</v>
      </c>
      <c r="HKB11" s="1429" t="s">
        <v>134</v>
      </c>
      <c r="HKC11" s="1429" t="s">
        <v>134</v>
      </c>
      <c r="HKD11" s="1429" t="s">
        <v>134</v>
      </c>
      <c r="HKE11" s="1429" t="s">
        <v>134</v>
      </c>
      <c r="HKF11" s="1429" t="s">
        <v>134</v>
      </c>
      <c r="HKG11" s="1429" t="s">
        <v>134</v>
      </c>
      <c r="HKH11" s="1429" t="s">
        <v>134</v>
      </c>
      <c r="HKI11" s="1429" t="s">
        <v>134</v>
      </c>
      <c r="HKJ11" s="1429" t="s">
        <v>134</v>
      </c>
      <c r="HKK11" s="1429" t="s">
        <v>134</v>
      </c>
      <c r="HKL11" s="1429" t="s">
        <v>134</v>
      </c>
      <c r="HKM11" s="1429" t="s">
        <v>134</v>
      </c>
      <c r="HKN11" s="1429" t="s">
        <v>134</v>
      </c>
      <c r="HKO11" s="1429" t="s">
        <v>134</v>
      </c>
      <c r="HKP11" s="1429" t="s">
        <v>134</v>
      </c>
      <c r="HKQ11" s="1429" t="s">
        <v>134</v>
      </c>
      <c r="HKR11" s="1429" t="s">
        <v>134</v>
      </c>
      <c r="HKS11" s="1429" t="s">
        <v>134</v>
      </c>
      <c r="HKT11" s="1429" t="s">
        <v>134</v>
      </c>
      <c r="HKU11" s="1429" t="s">
        <v>134</v>
      </c>
      <c r="HKV11" s="1429" t="s">
        <v>134</v>
      </c>
      <c r="HKW11" s="1429" t="s">
        <v>134</v>
      </c>
      <c r="HKX11" s="1429" t="s">
        <v>134</v>
      </c>
      <c r="HKY11" s="1429" t="s">
        <v>134</v>
      </c>
      <c r="HKZ11" s="1429" t="s">
        <v>134</v>
      </c>
      <c r="HLA11" s="1429" t="s">
        <v>134</v>
      </c>
      <c r="HLB11" s="1429" t="s">
        <v>134</v>
      </c>
      <c r="HLC11" s="1429" t="s">
        <v>134</v>
      </c>
      <c r="HLD11" s="1429" t="s">
        <v>134</v>
      </c>
      <c r="HLE11" s="1429" t="s">
        <v>134</v>
      </c>
      <c r="HLF11" s="1429" t="s">
        <v>134</v>
      </c>
      <c r="HLG11" s="1429" t="s">
        <v>134</v>
      </c>
      <c r="HLH11" s="1429" t="s">
        <v>134</v>
      </c>
      <c r="HLI11" s="1429" t="s">
        <v>134</v>
      </c>
      <c r="HLJ11" s="1429" t="s">
        <v>134</v>
      </c>
      <c r="HLK11" s="1429" t="s">
        <v>134</v>
      </c>
      <c r="HLL11" s="1429" t="s">
        <v>134</v>
      </c>
      <c r="HLM11" s="1429" t="s">
        <v>134</v>
      </c>
      <c r="HLN11" s="1429" t="s">
        <v>134</v>
      </c>
      <c r="HLO11" s="1429" t="s">
        <v>134</v>
      </c>
      <c r="HLP11" s="1429" t="s">
        <v>134</v>
      </c>
      <c r="HLQ11" s="1429" t="s">
        <v>134</v>
      </c>
      <c r="HLR11" s="1429" t="s">
        <v>134</v>
      </c>
      <c r="HLS11" s="1429" t="s">
        <v>134</v>
      </c>
      <c r="HLT11" s="1429" t="s">
        <v>134</v>
      </c>
      <c r="HLU11" s="1429" t="s">
        <v>134</v>
      </c>
      <c r="HLV11" s="1429" t="s">
        <v>134</v>
      </c>
      <c r="HLW11" s="1429" t="s">
        <v>134</v>
      </c>
      <c r="HLX11" s="1429" t="s">
        <v>134</v>
      </c>
      <c r="HLY11" s="1429" t="s">
        <v>134</v>
      </c>
      <c r="HLZ11" s="1429" t="s">
        <v>134</v>
      </c>
      <c r="HMA11" s="1429" t="s">
        <v>134</v>
      </c>
      <c r="HMB11" s="1429" t="s">
        <v>134</v>
      </c>
      <c r="HMC11" s="1429" t="s">
        <v>134</v>
      </c>
      <c r="HMD11" s="1429" t="s">
        <v>134</v>
      </c>
      <c r="HME11" s="1429" t="s">
        <v>134</v>
      </c>
      <c r="HMF11" s="1429" t="s">
        <v>134</v>
      </c>
      <c r="HMG11" s="1429" t="s">
        <v>134</v>
      </c>
      <c r="HMH11" s="1429" t="s">
        <v>134</v>
      </c>
      <c r="HMI11" s="1429" t="s">
        <v>134</v>
      </c>
      <c r="HMJ11" s="1429" t="s">
        <v>134</v>
      </c>
      <c r="HMK11" s="1429" t="s">
        <v>134</v>
      </c>
      <c r="HML11" s="1429" t="s">
        <v>134</v>
      </c>
      <c r="HMM11" s="1429" t="s">
        <v>134</v>
      </c>
      <c r="HMN11" s="1429" t="s">
        <v>134</v>
      </c>
      <c r="HMO11" s="1429" t="s">
        <v>134</v>
      </c>
      <c r="HMP11" s="1429" t="s">
        <v>134</v>
      </c>
      <c r="HMQ11" s="1429" t="s">
        <v>134</v>
      </c>
      <c r="HMR11" s="1429" t="s">
        <v>134</v>
      </c>
      <c r="HMS11" s="1429" t="s">
        <v>134</v>
      </c>
      <c r="HMT11" s="1429" t="s">
        <v>134</v>
      </c>
      <c r="HMU11" s="1429" t="s">
        <v>134</v>
      </c>
      <c r="HMV11" s="1429" t="s">
        <v>134</v>
      </c>
      <c r="HMW11" s="1429" t="s">
        <v>134</v>
      </c>
      <c r="HMX11" s="1429" t="s">
        <v>134</v>
      </c>
      <c r="HMY11" s="1429" t="s">
        <v>134</v>
      </c>
      <c r="HMZ11" s="1429" t="s">
        <v>134</v>
      </c>
      <c r="HNA11" s="1429" t="s">
        <v>134</v>
      </c>
      <c r="HNB11" s="1429" t="s">
        <v>134</v>
      </c>
      <c r="HNC11" s="1429" t="s">
        <v>134</v>
      </c>
      <c r="HND11" s="1429" t="s">
        <v>134</v>
      </c>
      <c r="HNE11" s="1429" t="s">
        <v>134</v>
      </c>
      <c r="HNF11" s="1429" t="s">
        <v>134</v>
      </c>
      <c r="HNG11" s="1429" t="s">
        <v>134</v>
      </c>
      <c r="HNH11" s="1429" t="s">
        <v>134</v>
      </c>
      <c r="HNI11" s="1429" t="s">
        <v>134</v>
      </c>
      <c r="HNJ11" s="1429" t="s">
        <v>134</v>
      </c>
      <c r="HNK11" s="1429" t="s">
        <v>134</v>
      </c>
      <c r="HNL11" s="1429" t="s">
        <v>134</v>
      </c>
      <c r="HNM11" s="1429" t="s">
        <v>134</v>
      </c>
      <c r="HNN11" s="1429" t="s">
        <v>134</v>
      </c>
      <c r="HNO11" s="1429" t="s">
        <v>134</v>
      </c>
      <c r="HNP11" s="1429" t="s">
        <v>134</v>
      </c>
      <c r="HNQ11" s="1429" t="s">
        <v>134</v>
      </c>
      <c r="HNR11" s="1429" t="s">
        <v>134</v>
      </c>
      <c r="HNS11" s="1429" t="s">
        <v>134</v>
      </c>
      <c r="HNT11" s="1429" t="s">
        <v>134</v>
      </c>
      <c r="HNU11" s="1429" t="s">
        <v>134</v>
      </c>
      <c r="HNV11" s="1429" t="s">
        <v>134</v>
      </c>
      <c r="HNW11" s="1429" t="s">
        <v>134</v>
      </c>
      <c r="HNX11" s="1429" t="s">
        <v>134</v>
      </c>
      <c r="HNY11" s="1429" t="s">
        <v>134</v>
      </c>
      <c r="HNZ11" s="1429" t="s">
        <v>134</v>
      </c>
      <c r="HOA11" s="1429" t="s">
        <v>134</v>
      </c>
      <c r="HOB11" s="1429" t="s">
        <v>134</v>
      </c>
      <c r="HOC11" s="1429" t="s">
        <v>134</v>
      </c>
      <c r="HOD11" s="1429" t="s">
        <v>134</v>
      </c>
      <c r="HOE11" s="1429" t="s">
        <v>134</v>
      </c>
      <c r="HOF11" s="1429" t="s">
        <v>134</v>
      </c>
      <c r="HOG11" s="1429" t="s">
        <v>134</v>
      </c>
      <c r="HOH11" s="1429" t="s">
        <v>134</v>
      </c>
      <c r="HOI11" s="1429" t="s">
        <v>134</v>
      </c>
      <c r="HOJ11" s="1429" t="s">
        <v>134</v>
      </c>
      <c r="HOK11" s="1429" t="s">
        <v>134</v>
      </c>
      <c r="HOL11" s="1429" t="s">
        <v>134</v>
      </c>
      <c r="HOM11" s="1429" t="s">
        <v>134</v>
      </c>
      <c r="HON11" s="1429" t="s">
        <v>134</v>
      </c>
      <c r="HOO11" s="1429" t="s">
        <v>134</v>
      </c>
      <c r="HOP11" s="1429" t="s">
        <v>134</v>
      </c>
      <c r="HOQ11" s="1429" t="s">
        <v>134</v>
      </c>
      <c r="HOR11" s="1429" t="s">
        <v>134</v>
      </c>
      <c r="HOS11" s="1429" t="s">
        <v>134</v>
      </c>
      <c r="HOT11" s="1429" t="s">
        <v>134</v>
      </c>
      <c r="HOU11" s="1429" t="s">
        <v>134</v>
      </c>
      <c r="HOV11" s="1429" t="s">
        <v>134</v>
      </c>
      <c r="HOW11" s="1429" t="s">
        <v>134</v>
      </c>
      <c r="HOX11" s="1429" t="s">
        <v>134</v>
      </c>
      <c r="HOY11" s="1429" t="s">
        <v>134</v>
      </c>
      <c r="HOZ11" s="1429" t="s">
        <v>134</v>
      </c>
      <c r="HPA11" s="1429" t="s">
        <v>134</v>
      </c>
      <c r="HPB11" s="1429" t="s">
        <v>134</v>
      </c>
      <c r="HPC11" s="1429" t="s">
        <v>134</v>
      </c>
      <c r="HPD11" s="1429" t="s">
        <v>134</v>
      </c>
      <c r="HPE11" s="1429" t="s">
        <v>134</v>
      </c>
      <c r="HPF11" s="1429" t="s">
        <v>134</v>
      </c>
      <c r="HPG11" s="1429" t="s">
        <v>134</v>
      </c>
      <c r="HPH11" s="1429" t="s">
        <v>134</v>
      </c>
      <c r="HPI11" s="1429" t="s">
        <v>134</v>
      </c>
      <c r="HPJ11" s="1429" t="s">
        <v>134</v>
      </c>
      <c r="HPK11" s="1429" t="s">
        <v>134</v>
      </c>
      <c r="HPL11" s="1429" t="s">
        <v>134</v>
      </c>
      <c r="HPM11" s="1429" t="s">
        <v>134</v>
      </c>
      <c r="HPN11" s="1429" t="s">
        <v>134</v>
      </c>
      <c r="HPO11" s="1429" t="s">
        <v>134</v>
      </c>
      <c r="HPP11" s="1429" t="s">
        <v>134</v>
      </c>
      <c r="HPQ11" s="1429" t="s">
        <v>134</v>
      </c>
      <c r="HPR11" s="1429" t="s">
        <v>134</v>
      </c>
      <c r="HPS11" s="1429" t="s">
        <v>134</v>
      </c>
      <c r="HPT11" s="1429" t="s">
        <v>134</v>
      </c>
      <c r="HPU11" s="1429" t="s">
        <v>134</v>
      </c>
      <c r="HPV11" s="1429" t="s">
        <v>134</v>
      </c>
      <c r="HPW11" s="1429" t="s">
        <v>134</v>
      </c>
      <c r="HPX11" s="1429" t="s">
        <v>134</v>
      </c>
      <c r="HPY11" s="1429" t="s">
        <v>134</v>
      </c>
      <c r="HPZ11" s="1429" t="s">
        <v>134</v>
      </c>
      <c r="HQA11" s="1429" t="s">
        <v>134</v>
      </c>
      <c r="HQB11" s="1429" t="s">
        <v>134</v>
      </c>
      <c r="HQC11" s="1429" t="s">
        <v>134</v>
      </c>
      <c r="HQD11" s="1429" t="s">
        <v>134</v>
      </c>
      <c r="HQE11" s="1429" t="s">
        <v>134</v>
      </c>
      <c r="HQF11" s="1429" t="s">
        <v>134</v>
      </c>
      <c r="HQG11" s="1429" t="s">
        <v>134</v>
      </c>
      <c r="HQH11" s="1429" t="s">
        <v>134</v>
      </c>
      <c r="HQI11" s="1429" t="s">
        <v>134</v>
      </c>
      <c r="HQJ11" s="1429" t="s">
        <v>134</v>
      </c>
      <c r="HQK11" s="1429" t="s">
        <v>134</v>
      </c>
      <c r="HQL11" s="1429" t="s">
        <v>134</v>
      </c>
      <c r="HQM11" s="1429" t="s">
        <v>134</v>
      </c>
      <c r="HQN11" s="1429" t="s">
        <v>134</v>
      </c>
      <c r="HQO11" s="1429" t="s">
        <v>134</v>
      </c>
      <c r="HQP11" s="1429" t="s">
        <v>134</v>
      </c>
      <c r="HQQ11" s="1429" t="s">
        <v>134</v>
      </c>
      <c r="HQR11" s="1429" t="s">
        <v>134</v>
      </c>
      <c r="HQS11" s="1429" t="s">
        <v>134</v>
      </c>
      <c r="HQT11" s="1429" t="s">
        <v>134</v>
      </c>
      <c r="HQU11" s="1429" t="s">
        <v>134</v>
      </c>
      <c r="HQV11" s="1429" t="s">
        <v>134</v>
      </c>
      <c r="HQW11" s="1429" t="s">
        <v>134</v>
      </c>
      <c r="HQX11" s="1429" t="s">
        <v>134</v>
      </c>
      <c r="HQY11" s="1429" t="s">
        <v>134</v>
      </c>
      <c r="HQZ11" s="1429" t="s">
        <v>134</v>
      </c>
      <c r="HRA11" s="1429" t="s">
        <v>134</v>
      </c>
      <c r="HRB11" s="1429" t="s">
        <v>134</v>
      </c>
      <c r="HRC11" s="1429" t="s">
        <v>134</v>
      </c>
      <c r="HRD11" s="1429" t="s">
        <v>134</v>
      </c>
      <c r="HRE11" s="1429" t="s">
        <v>134</v>
      </c>
      <c r="HRF11" s="1429" t="s">
        <v>134</v>
      </c>
      <c r="HRG11" s="1429" t="s">
        <v>134</v>
      </c>
      <c r="HRH11" s="1429" t="s">
        <v>134</v>
      </c>
      <c r="HRI11" s="1429" t="s">
        <v>134</v>
      </c>
      <c r="HRJ11" s="1429" t="s">
        <v>134</v>
      </c>
      <c r="HRK11" s="1429" t="s">
        <v>134</v>
      </c>
      <c r="HRL11" s="1429" t="s">
        <v>134</v>
      </c>
      <c r="HRM11" s="1429" t="s">
        <v>134</v>
      </c>
      <c r="HRN11" s="1429" t="s">
        <v>134</v>
      </c>
      <c r="HRO11" s="1429" t="s">
        <v>134</v>
      </c>
      <c r="HRP11" s="1429" t="s">
        <v>134</v>
      </c>
      <c r="HRQ11" s="1429" t="s">
        <v>134</v>
      </c>
      <c r="HRR11" s="1429" t="s">
        <v>134</v>
      </c>
      <c r="HRS11" s="1429" t="s">
        <v>134</v>
      </c>
      <c r="HRT11" s="1429" t="s">
        <v>134</v>
      </c>
      <c r="HRU11" s="1429" t="s">
        <v>134</v>
      </c>
      <c r="HRV11" s="1429" t="s">
        <v>134</v>
      </c>
      <c r="HRW11" s="1429" t="s">
        <v>134</v>
      </c>
      <c r="HRX11" s="1429" t="s">
        <v>134</v>
      </c>
      <c r="HRY11" s="1429" t="s">
        <v>134</v>
      </c>
      <c r="HRZ11" s="1429" t="s">
        <v>134</v>
      </c>
      <c r="HSA11" s="1429" t="s">
        <v>134</v>
      </c>
      <c r="HSB11" s="1429" t="s">
        <v>134</v>
      </c>
      <c r="HSC11" s="1429" t="s">
        <v>134</v>
      </c>
      <c r="HSD11" s="1429" t="s">
        <v>134</v>
      </c>
      <c r="HSE11" s="1429" t="s">
        <v>134</v>
      </c>
      <c r="HSF11" s="1429" t="s">
        <v>134</v>
      </c>
      <c r="HSG11" s="1429" t="s">
        <v>134</v>
      </c>
      <c r="HSH11" s="1429" t="s">
        <v>134</v>
      </c>
      <c r="HSI11" s="1429" t="s">
        <v>134</v>
      </c>
      <c r="HSJ11" s="1429" t="s">
        <v>134</v>
      </c>
      <c r="HSK11" s="1429" t="s">
        <v>134</v>
      </c>
      <c r="HSL11" s="1429" t="s">
        <v>134</v>
      </c>
      <c r="HSM11" s="1429" t="s">
        <v>134</v>
      </c>
      <c r="HSN11" s="1429" t="s">
        <v>134</v>
      </c>
      <c r="HSO11" s="1429" t="s">
        <v>134</v>
      </c>
      <c r="HSP11" s="1429" t="s">
        <v>134</v>
      </c>
      <c r="HSQ11" s="1429" t="s">
        <v>134</v>
      </c>
      <c r="HSR11" s="1429" t="s">
        <v>134</v>
      </c>
      <c r="HSS11" s="1429" t="s">
        <v>134</v>
      </c>
      <c r="HST11" s="1429" t="s">
        <v>134</v>
      </c>
      <c r="HSU11" s="1429" t="s">
        <v>134</v>
      </c>
      <c r="HSV11" s="1429" t="s">
        <v>134</v>
      </c>
      <c r="HSW11" s="1429" t="s">
        <v>134</v>
      </c>
      <c r="HSX11" s="1429" t="s">
        <v>134</v>
      </c>
      <c r="HSY11" s="1429" t="s">
        <v>134</v>
      </c>
      <c r="HSZ11" s="1429" t="s">
        <v>134</v>
      </c>
      <c r="HTA11" s="1429" t="s">
        <v>134</v>
      </c>
      <c r="HTB11" s="1429" t="s">
        <v>134</v>
      </c>
      <c r="HTC11" s="1429" t="s">
        <v>134</v>
      </c>
      <c r="HTD11" s="1429" t="s">
        <v>134</v>
      </c>
      <c r="HTE11" s="1429" t="s">
        <v>134</v>
      </c>
      <c r="HTF11" s="1429" t="s">
        <v>134</v>
      </c>
      <c r="HTG11" s="1429" t="s">
        <v>134</v>
      </c>
      <c r="HTH11" s="1429" t="s">
        <v>134</v>
      </c>
      <c r="HTI11" s="1429" t="s">
        <v>134</v>
      </c>
      <c r="HTJ11" s="1429" t="s">
        <v>134</v>
      </c>
      <c r="HTK11" s="1429" t="s">
        <v>134</v>
      </c>
      <c r="HTL11" s="1429" t="s">
        <v>134</v>
      </c>
      <c r="HTM11" s="1429" t="s">
        <v>134</v>
      </c>
      <c r="HTN11" s="1429" t="s">
        <v>134</v>
      </c>
      <c r="HTO11" s="1429" t="s">
        <v>134</v>
      </c>
      <c r="HTP11" s="1429" t="s">
        <v>134</v>
      </c>
      <c r="HTQ11" s="1429" t="s">
        <v>134</v>
      </c>
      <c r="HTR11" s="1429" t="s">
        <v>134</v>
      </c>
      <c r="HTS11" s="1429" t="s">
        <v>134</v>
      </c>
      <c r="HTT11" s="1429" t="s">
        <v>134</v>
      </c>
      <c r="HTU11" s="1429" t="s">
        <v>134</v>
      </c>
      <c r="HTV11" s="1429" t="s">
        <v>134</v>
      </c>
      <c r="HTW11" s="1429" t="s">
        <v>134</v>
      </c>
      <c r="HTX11" s="1429" t="s">
        <v>134</v>
      </c>
      <c r="HTY11" s="1429" t="s">
        <v>134</v>
      </c>
      <c r="HTZ11" s="1429" t="s">
        <v>134</v>
      </c>
      <c r="HUA11" s="1429" t="s">
        <v>134</v>
      </c>
      <c r="HUB11" s="1429" t="s">
        <v>134</v>
      </c>
      <c r="HUC11" s="1429" t="s">
        <v>134</v>
      </c>
      <c r="HUD11" s="1429" t="s">
        <v>134</v>
      </c>
      <c r="HUE11" s="1429" t="s">
        <v>134</v>
      </c>
      <c r="HUF11" s="1429" t="s">
        <v>134</v>
      </c>
      <c r="HUG11" s="1429" t="s">
        <v>134</v>
      </c>
      <c r="HUH11" s="1429" t="s">
        <v>134</v>
      </c>
      <c r="HUI11" s="1429" t="s">
        <v>134</v>
      </c>
      <c r="HUJ11" s="1429" t="s">
        <v>134</v>
      </c>
      <c r="HUK11" s="1429" t="s">
        <v>134</v>
      </c>
      <c r="HUL11" s="1429" t="s">
        <v>134</v>
      </c>
      <c r="HUM11" s="1429" t="s">
        <v>134</v>
      </c>
      <c r="HUN11" s="1429" t="s">
        <v>134</v>
      </c>
      <c r="HUO11" s="1429" t="s">
        <v>134</v>
      </c>
      <c r="HUP11" s="1429" t="s">
        <v>134</v>
      </c>
      <c r="HUQ11" s="1429" t="s">
        <v>134</v>
      </c>
      <c r="HUR11" s="1429" t="s">
        <v>134</v>
      </c>
      <c r="HUS11" s="1429" t="s">
        <v>134</v>
      </c>
      <c r="HUT11" s="1429" t="s">
        <v>134</v>
      </c>
      <c r="HUU11" s="1429" t="s">
        <v>134</v>
      </c>
      <c r="HUV11" s="1429" t="s">
        <v>134</v>
      </c>
      <c r="HUW11" s="1429" t="s">
        <v>134</v>
      </c>
      <c r="HUX11" s="1429" t="s">
        <v>134</v>
      </c>
      <c r="HUY11" s="1429" t="s">
        <v>134</v>
      </c>
      <c r="HUZ11" s="1429" t="s">
        <v>134</v>
      </c>
      <c r="HVA11" s="1429" t="s">
        <v>134</v>
      </c>
      <c r="HVB11" s="1429" t="s">
        <v>134</v>
      </c>
      <c r="HVC11" s="1429" t="s">
        <v>134</v>
      </c>
      <c r="HVD11" s="1429" t="s">
        <v>134</v>
      </c>
      <c r="HVE11" s="1429" t="s">
        <v>134</v>
      </c>
      <c r="HVF11" s="1429" t="s">
        <v>134</v>
      </c>
      <c r="HVG11" s="1429" t="s">
        <v>134</v>
      </c>
      <c r="HVH11" s="1429" t="s">
        <v>134</v>
      </c>
      <c r="HVI11" s="1429" t="s">
        <v>134</v>
      </c>
      <c r="HVJ11" s="1429" t="s">
        <v>134</v>
      </c>
      <c r="HVK11" s="1429" t="s">
        <v>134</v>
      </c>
      <c r="HVL11" s="1429" t="s">
        <v>134</v>
      </c>
      <c r="HVM11" s="1429" t="s">
        <v>134</v>
      </c>
      <c r="HVN11" s="1429" t="s">
        <v>134</v>
      </c>
      <c r="HVO11" s="1429" t="s">
        <v>134</v>
      </c>
      <c r="HVP11" s="1429" t="s">
        <v>134</v>
      </c>
      <c r="HVQ11" s="1429" t="s">
        <v>134</v>
      </c>
      <c r="HVR11" s="1429" t="s">
        <v>134</v>
      </c>
      <c r="HVS11" s="1429" t="s">
        <v>134</v>
      </c>
      <c r="HVT11" s="1429" t="s">
        <v>134</v>
      </c>
      <c r="HVU11" s="1429" t="s">
        <v>134</v>
      </c>
      <c r="HVV11" s="1429" t="s">
        <v>134</v>
      </c>
      <c r="HVW11" s="1429" t="s">
        <v>134</v>
      </c>
      <c r="HVX11" s="1429" t="s">
        <v>134</v>
      </c>
      <c r="HVY11" s="1429" t="s">
        <v>134</v>
      </c>
      <c r="HVZ11" s="1429" t="s">
        <v>134</v>
      </c>
      <c r="HWA11" s="1429" t="s">
        <v>134</v>
      </c>
      <c r="HWB11" s="1429" t="s">
        <v>134</v>
      </c>
      <c r="HWC11" s="1429" t="s">
        <v>134</v>
      </c>
      <c r="HWD11" s="1429" t="s">
        <v>134</v>
      </c>
      <c r="HWE11" s="1429" t="s">
        <v>134</v>
      </c>
      <c r="HWF11" s="1429" t="s">
        <v>134</v>
      </c>
      <c r="HWG11" s="1429" t="s">
        <v>134</v>
      </c>
      <c r="HWH11" s="1429" t="s">
        <v>134</v>
      </c>
      <c r="HWI11" s="1429" t="s">
        <v>134</v>
      </c>
      <c r="HWJ11" s="1429" t="s">
        <v>134</v>
      </c>
      <c r="HWK11" s="1429" t="s">
        <v>134</v>
      </c>
      <c r="HWL11" s="1429" t="s">
        <v>134</v>
      </c>
      <c r="HWM11" s="1429" t="s">
        <v>134</v>
      </c>
      <c r="HWN11" s="1429" t="s">
        <v>134</v>
      </c>
      <c r="HWO11" s="1429" t="s">
        <v>134</v>
      </c>
      <c r="HWP11" s="1429" t="s">
        <v>134</v>
      </c>
      <c r="HWQ11" s="1429" t="s">
        <v>134</v>
      </c>
      <c r="HWR11" s="1429" t="s">
        <v>134</v>
      </c>
      <c r="HWS11" s="1429" t="s">
        <v>134</v>
      </c>
      <c r="HWT11" s="1429" t="s">
        <v>134</v>
      </c>
      <c r="HWU11" s="1429" t="s">
        <v>134</v>
      </c>
      <c r="HWV11" s="1429" t="s">
        <v>134</v>
      </c>
      <c r="HWW11" s="1429" t="s">
        <v>134</v>
      </c>
      <c r="HWX11" s="1429" t="s">
        <v>134</v>
      </c>
      <c r="HWY11" s="1429" t="s">
        <v>134</v>
      </c>
      <c r="HWZ11" s="1429" t="s">
        <v>134</v>
      </c>
      <c r="HXA11" s="1429" t="s">
        <v>134</v>
      </c>
      <c r="HXB11" s="1429" t="s">
        <v>134</v>
      </c>
      <c r="HXC11" s="1429" t="s">
        <v>134</v>
      </c>
      <c r="HXD11" s="1429" t="s">
        <v>134</v>
      </c>
      <c r="HXE11" s="1429" t="s">
        <v>134</v>
      </c>
      <c r="HXF11" s="1429" t="s">
        <v>134</v>
      </c>
      <c r="HXG11" s="1429" t="s">
        <v>134</v>
      </c>
      <c r="HXH11" s="1429" t="s">
        <v>134</v>
      </c>
      <c r="HXI11" s="1429" t="s">
        <v>134</v>
      </c>
      <c r="HXJ11" s="1429" t="s">
        <v>134</v>
      </c>
      <c r="HXK11" s="1429" t="s">
        <v>134</v>
      </c>
      <c r="HXL11" s="1429" t="s">
        <v>134</v>
      </c>
      <c r="HXM11" s="1429" t="s">
        <v>134</v>
      </c>
      <c r="HXN11" s="1429" t="s">
        <v>134</v>
      </c>
      <c r="HXO11" s="1429" t="s">
        <v>134</v>
      </c>
      <c r="HXP11" s="1429" t="s">
        <v>134</v>
      </c>
      <c r="HXQ11" s="1429" t="s">
        <v>134</v>
      </c>
      <c r="HXR11" s="1429" t="s">
        <v>134</v>
      </c>
      <c r="HXS11" s="1429" t="s">
        <v>134</v>
      </c>
      <c r="HXT11" s="1429" t="s">
        <v>134</v>
      </c>
      <c r="HXU11" s="1429" t="s">
        <v>134</v>
      </c>
      <c r="HXV11" s="1429" t="s">
        <v>134</v>
      </c>
      <c r="HXW11" s="1429" t="s">
        <v>134</v>
      </c>
      <c r="HXX11" s="1429" t="s">
        <v>134</v>
      </c>
      <c r="HXY11" s="1429" t="s">
        <v>134</v>
      </c>
      <c r="HXZ11" s="1429" t="s">
        <v>134</v>
      </c>
      <c r="HYA11" s="1429" t="s">
        <v>134</v>
      </c>
      <c r="HYB11" s="1429" t="s">
        <v>134</v>
      </c>
      <c r="HYC11" s="1429" t="s">
        <v>134</v>
      </c>
      <c r="HYD11" s="1429" t="s">
        <v>134</v>
      </c>
      <c r="HYE11" s="1429" t="s">
        <v>134</v>
      </c>
      <c r="HYF11" s="1429" t="s">
        <v>134</v>
      </c>
      <c r="HYG11" s="1429" t="s">
        <v>134</v>
      </c>
      <c r="HYH11" s="1429" t="s">
        <v>134</v>
      </c>
      <c r="HYI11" s="1429" t="s">
        <v>134</v>
      </c>
      <c r="HYJ11" s="1429" t="s">
        <v>134</v>
      </c>
      <c r="HYK11" s="1429" t="s">
        <v>134</v>
      </c>
      <c r="HYL11" s="1429" t="s">
        <v>134</v>
      </c>
      <c r="HYM11" s="1429" t="s">
        <v>134</v>
      </c>
      <c r="HYN11" s="1429" t="s">
        <v>134</v>
      </c>
      <c r="HYO11" s="1429" t="s">
        <v>134</v>
      </c>
      <c r="HYP11" s="1429" t="s">
        <v>134</v>
      </c>
      <c r="HYQ11" s="1429" t="s">
        <v>134</v>
      </c>
      <c r="HYR11" s="1429" t="s">
        <v>134</v>
      </c>
      <c r="HYS11" s="1429" t="s">
        <v>134</v>
      </c>
      <c r="HYT11" s="1429" t="s">
        <v>134</v>
      </c>
      <c r="HYU11" s="1429" t="s">
        <v>134</v>
      </c>
      <c r="HYV11" s="1429" t="s">
        <v>134</v>
      </c>
      <c r="HYW11" s="1429" t="s">
        <v>134</v>
      </c>
      <c r="HYX11" s="1429" t="s">
        <v>134</v>
      </c>
      <c r="HYY11" s="1429" t="s">
        <v>134</v>
      </c>
      <c r="HYZ11" s="1429" t="s">
        <v>134</v>
      </c>
      <c r="HZA11" s="1429" t="s">
        <v>134</v>
      </c>
      <c r="HZB11" s="1429" t="s">
        <v>134</v>
      </c>
      <c r="HZC11" s="1429" t="s">
        <v>134</v>
      </c>
      <c r="HZD11" s="1429" t="s">
        <v>134</v>
      </c>
      <c r="HZE11" s="1429" t="s">
        <v>134</v>
      </c>
      <c r="HZF11" s="1429" t="s">
        <v>134</v>
      </c>
      <c r="HZG11" s="1429" t="s">
        <v>134</v>
      </c>
      <c r="HZH11" s="1429" t="s">
        <v>134</v>
      </c>
      <c r="HZI11" s="1429" t="s">
        <v>134</v>
      </c>
      <c r="HZJ11" s="1429" t="s">
        <v>134</v>
      </c>
      <c r="HZK11" s="1429" t="s">
        <v>134</v>
      </c>
      <c r="HZL11" s="1429" t="s">
        <v>134</v>
      </c>
      <c r="HZM11" s="1429" t="s">
        <v>134</v>
      </c>
      <c r="HZN11" s="1429" t="s">
        <v>134</v>
      </c>
      <c r="HZO11" s="1429" t="s">
        <v>134</v>
      </c>
      <c r="HZP11" s="1429" t="s">
        <v>134</v>
      </c>
      <c r="HZQ11" s="1429" t="s">
        <v>134</v>
      </c>
      <c r="HZR11" s="1429" t="s">
        <v>134</v>
      </c>
      <c r="HZS11" s="1429" t="s">
        <v>134</v>
      </c>
      <c r="HZT11" s="1429" t="s">
        <v>134</v>
      </c>
      <c r="HZU11" s="1429" t="s">
        <v>134</v>
      </c>
      <c r="HZV11" s="1429" t="s">
        <v>134</v>
      </c>
      <c r="HZW11" s="1429" t="s">
        <v>134</v>
      </c>
      <c r="HZX11" s="1429" t="s">
        <v>134</v>
      </c>
      <c r="HZY11" s="1429" t="s">
        <v>134</v>
      </c>
      <c r="HZZ11" s="1429" t="s">
        <v>134</v>
      </c>
      <c r="IAA11" s="1429" t="s">
        <v>134</v>
      </c>
      <c r="IAB11" s="1429" t="s">
        <v>134</v>
      </c>
      <c r="IAC11" s="1429" t="s">
        <v>134</v>
      </c>
      <c r="IAD11" s="1429" t="s">
        <v>134</v>
      </c>
      <c r="IAE11" s="1429" t="s">
        <v>134</v>
      </c>
      <c r="IAF11" s="1429" t="s">
        <v>134</v>
      </c>
      <c r="IAG11" s="1429" t="s">
        <v>134</v>
      </c>
      <c r="IAH11" s="1429" t="s">
        <v>134</v>
      </c>
      <c r="IAI11" s="1429" t="s">
        <v>134</v>
      </c>
      <c r="IAJ11" s="1429" t="s">
        <v>134</v>
      </c>
      <c r="IAK11" s="1429" t="s">
        <v>134</v>
      </c>
      <c r="IAL11" s="1429" t="s">
        <v>134</v>
      </c>
      <c r="IAM11" s="1429" t="s">
        <v>134</v>
      </c>
      <c r="IAN11" s="1429" t="s">
        <v>134</v>
      </c>
      <c r="IAO11" s="1429" t="s">
        <v>134</v>
      </c>
      <c r="IAP11" s="1429" t="s">
        <v>134</v>
      </c>
      <c r="IAQ11" s="1429" t="s">
        <v>134</v>
      </c>
      <c r="IAR11" s="1429" t="s">
        <v>134</v>
      </c>
      <c r="IAS11" s="1429" t="s">
        <v>134</v>
      </c>
      <c r="IAT11" s="1429" t="s">
        <v>134</v>
      </c>
      <c r="IAU11" s="1429" t="s">
        <v>134</v>
      </c>
      <c r="IAV11" s="1429" t="s">
        <v>134</v>
      </c>
      <c r="IAW11" s="1429" t="s">
        <v>134</v>
      </c>
      <c r="IAX11" s="1429" t="s">
        <v>134</v>
      </c>
      <c r="IAY11" s="1429" t="s">
        <v>134</v>
      </c>
      <c r="IAZ11" s="1429" t="s">
        <v>134</v>
      </c>
      <c r="IBA11" s="1429" t="s">
        <v>134</v>
      </c>
      <c r="IBB11" s="1429" t="s">
        <v>134</v>
      </c>
      <c r="IBC11" s="1429" t="s">
        <v>134</v>
      </c>
      <c r="IBD11" s="1429" t="s">
        <v>134</v>
      </c>
      <c r="IBE11" s="1429" t="s">
        <v>134</v>
      </c>
      <c r="IBF11" s="1429" t="s">
        <v>134</v>
      </c>
      <c r="IBG11" s="1429" t="s">
        <v>134</v>
      </c>
      <c r="IBH11" s="1429" t="s">
        <v>134</v>
      </c>
      <c r="IBI11" s="1429" t="s">
        <v>134</v>
      </c>
      <c r="IBJ11" s="1429" t="s">
        <v>134</v>
      </c>
      <c r="IBK11" s="1429" t="s">
        <v>134</v>
      </c>
      <c r="IBL11" s="1429" t="s">
        <v>134</v>
      </c>
      <c r="IBM11" s="1429" t="s">
        <v>134</v>
      </c>
      <c r="IBN11" s="1429" t="s">
        <v>134</v>
      </c>
      <c r="IBO11" s="1429" t="s">
        <v>134</v>
      </c>
      <c r="IBP11" s="1429" t="s">
        <v>134</v>
      </c>
      <c r="IBQ11" s="1429" t="s">
        <v>134</v>
      </c>
      <c r="IBR11" s="1429" t="s">
        <v>134</v>
      </c>
      <c r="IBS11" s="1429" t="s">
        <v>134</v>
      </c>
      <c r="IBT11" s="1429" t="s">
        <v>134</v>
      </c>
      <c r="IBU11" s="1429" t="s">
        <v>134</v>
      </c>
      <c r="IBV11" s="1429" t="s">
        <v>134</v>
      </c>
      <c r="IBW11" s="1429" t="s">
        <v>134</v>
      </c>
      <c r="IBX11" s="1429" t="s">
        <v>134</v>
      </c>
      <c r="IBY11" s="1429" t="s">
        <v>134</v>
      </c>
      <c r="IBZ11" s="1429" t="s">
        <v>134</v>
      </c>
      <c r="ICA11" s="1429" t="s">
        <v>134</v>
      </c>
      <c r="ICB11" s="1429" t="s">
        <v>134</v>
      </c>
      <c r="ICC11" s="1429" t="s">
        <v>134</v>
      </c>
      <c r="ICD11" s="1429" t="s">
        <v>134</v>
      </c>
      <c r="ICE11" s="1429" t="s">
        <v>134</v>
      </c>
      <c r="ICF11" s="1429" t="s">
        <v>134</v>
      </c>
      <c r="ICG11" s="1429" t="s">
        <v>134</v>
      </c>
      <c r="ICH11" s="1429" t="s">
        <v>134</v>
      </c>
      <c r="ICI11" s="1429" t="s">
        <v>134</v>
      </c>
      <c r="ICJ11" s="1429" t="s">
        <v>134</v>
      </c>
      <c r="ICK11" s="1429" t="s">
        <v>134</v>
      </c>
      <c r="ICL11" s="1429" t="s">
        <v>134</v>
      </c>
      <c r="ICM11" s="1429" t="s">
        <v>134</v>
      </c>
      <c r="ICN11" s="1429" t="s">
        <v>134</v>
      </c>
      <c r="ICO11" s="1429" t="s">
        <v>134</v>
      </c>
      <c r="ICP11" s="1429" t="s">
        <v>134</v>
      </c>
      <c r="ICQ11" s="1429" t="s">
        <v>134</v>
      </c>
      <c r="ICR11" s="1429" t="s">
        <v>134</v>
      </c>
      <c r="ICS11" s="1429" t="s">
        <v>134</v>
      </c>
      <c r="ICT11" s="1429" t="s">
        <v>134</v>
      </c>
      <c r="ICU11" s="1429" t="s">
        <v>134</v>
      </c>
      <c r="ICV11" s="1429" t="s">
        <v>134</v>
      </c>
      <c r="ICW11" s="1429" t="s">
        <v>134</v>
      </c>
      <c r="ICX11" s="1429" t="s">
        <v>134</v>
      </c>
      <c r="ICY11" s="1429" t="s">
        <v>134</v>
      </c>
      <c r="ICZ11" s="1429" t="s">
        <v>134</v>
      </c>
      <c r="IDA11" s="1429" t="s">
        <v>134</v>
      </c>
      <c r="IDB11" s="1429" t="s">
        <v>134</v>
      </c>
      <c r="IDC11" s="1429" t="s">
        <v>134</v>
      </c>
      <c r="IDD11" s="1429" t="s">
        <v>134</v>
      </c>
      <c r="IDE11" s="1429" t="s">
        <v>134</v>
      </c>
      <c r="IDF11" s="1429" t="s">
        <v>134</v>
      </c>
      <c r="IDG11" s="1429" t="s">
        <v>134</v>
      </c>
      <c r="IDH11" s="1429" t="s">
        <v>134</v>
      </c>
      <c r="IDI11" s="1429" t="s">
        <v>134</v>
      </c>
      <c r="IDJ11" s="1429" t="s">
        <v>134</v>
      </c>
      <c r="IDK11" s="1429" t="s">
        <v>134</v>
      </c>
      <c r="IDL11" s="1429" t="s">
        <v>134</v>
      </c>
      <c r="IDM11" s="1429" t="s">
        <v>134</v>
      </c>
      <c r="IDN11" s="1429" t="s">
        <v>134</v>
      </c>
      <c r="IDO11" s="1429" t="s">
        <v>134</v>
      </c>
      <c r="IDP11" s="1429" t="s">
        <v>134</v>
      </c>
      <c r="IDQ11" s="1429" t="s">
        <v>134</v>
      </c>
      <c r="IDR11" s="1429" t="s">
        <v>134</v>
      </c>
      <c r="IDS11" s="1429" t="s">
        <v>134</v>
      </c>
      <c r="IDT11" s="1429" t="s">
        <v>134</v>
      </c>
      <c r="IDU11" s="1429" t="s">
        <v>134</v>
      </c>
      <c r="IDV11" s="1429" t="s">
        <v>134</v>
      </c>
      <c r="IDW11" s="1429" t="s">
        <v>134</v>
      </c>
      <c r="IDX11" s="1429" t="s">
        <v>134</v>
      </c>
      <c r="IDY11" s="1429" t="s">
        <v>134</v>
      </c>
      <c r="IDZ11" s="1429" t="s">
        <v>134</v>
      </c>
      <c r="IEA11" s="1429" t="s">
        <v>134</v>
      </c>
      <c r="IEB11" s="1429" t="s">
        <v>134</v>
      </c>
      <c r="IEC11" s="1429" t="s">
        <v>134</v>
      </c>
      <c r="IED11" s="1429" t="s">
        <v>134</v>
      </c>
      <c r="IEE11" s="1429" t="s">
        <v>134</v>
      </c>
      <c r="IEF11" s="1429" t="s">
        <v>134</v>
      </c>
      <c r="IEG11" s="1429" t="s">
        <v>134</v>
      </c>
      <c r="IEH11" s="1429" t="s">
        <v>134</v>
      </c>
      <c r="IEI11" s="1429" t="s">
        <v>134</v>
      </c>
      <c r="IEJ11" s="1429" t="s">
        <v>134</v>
      </c>
      <c r="IEK11" s="1429" t="s">
        <v>134</v>
      </c>
      <c r="IEL11" s="1429" t="s">
        <v>134</v>
      </c>
      <c r="IEM11" s="1429" t="s">
        <v>134</v>
      </c>
      <c r="IEN11" s="1429" t="s">
        <v>134</v>
      </c>
      <c r="IEO11" s="1429" t="s">
        <v>134</v>
      </c>
      <c r="IEP11" s="1429" t="s">
        <v>134</v>
      </c>
      <c r="IEQ11" s="1429" t="s">
        <v>134</v>
      </c>
      <c r="IER11" s="1429" t="s">
        <v>134</v>
      </c>
      <c r="IES11" s="1429" t="s">
        <v>134</v>
      </c>
      <c r="IET11" s="1429" t="s">
        <v>134</v>
      </c>
      <c r="IEU11" s="1429" t="s">
        <v>134</v>
      </c>
      <c r="IEV11" s="1429" t="s">
        <v>134</v>
      </c>
      <c r="IEW11" s="1429" t="s">
        <v>134</v>
      </c>
      <c r="IEX11" s="1429" t="s">
        <v>134</v>
      </c>
      <c r="IEY11" s="1429" t="s">
        <v>134</v>
      </c>
      <c r="IEZ11" s="1429" t="s">
        <v>134</v>
      </c>
      <c r="IFA11" s="1429" t="s">
        <v>134</v>
      </c>
      <c r="IFB11" s="1429" t="s">
        <v>134</v>
      </c>
      <c r="IFC11" s="1429" t="s">
        <v>134</v>
      </c>
      <c r="IFD11" s="1429" t="s">
        <v>134</v>
      </c>
      <c r="IFE11" s="1429" t="s">
        <v>134</v>
      </c>
      <c r="IFF11" s="1429" t="s">
        <v>134</v>
      </c>
      <c r="IFG11" s="1429" t="s">
        <v>134</v>
      </c>
      <c r="IFH11" s="1429" t="s">
        <v>134</v>
      </c>
      <c r="IFI11" s="1429" t="s">
        <v>134</v>
      </c>
      <c r="IFJ11" s="1429" t="s">
        <v>134</v>
      </c>
      <c r="IFK11" s="1429" t="s">
        <v>134</v>
      </c>
      <c r="IFL11" s="1429" t="s">
        <v>134</v>
      </c>
      <c r="IFM11" s="1429" t="s">
        <v>134</v>
      </c>
      <c r="IFN11" s="1429" t="s">
        <v>134</v>
      </c>
      <c r="IFO11" s="1429" t="s">
        <v>134</v>
      </c>
      <c r="IFP11" s="1429" t="s">
        <v>134</v>
      </c>
      <c r="IFQ11" s="1429" t="s">
        <v>134</v>
      </c>
      <c r="IFR11" s="1429" t="s">
        <v>134</v>
      </c>
      <c r="IFS11" s="1429" t="s">
        <v>134</v>
      </c>
      <c r="IFT11" s="1429" t="s">
        <v>134</v>
      </c>
      <c r="IFU11" s="1429" t="s">
        <v>134</v>
      </c>
      <c r="IFV11" s="1429" t="s">
        <v>134</v>
      </c>
      <c r="IFW11" s="1429" t="s">
        <v>134</v>
      </c>
      <c r="IFX11" s="1429" t="s">
        <v>134</v>
      </c>
      <c r="IFY11" s="1429" t="s">
        <v>134</v>
      </c>
      <c r="IFZ11" s="1429" t="s">
        <v>134</v>
      </c>
      <c r="IGA11" s="1429" t="s">
        <v>134</v>
      </c>
      <c r="IGB11" s="1429" t="s">
        <v>134</v>
      </c>
      <c r="IGC11" s="1429" t="s">
        <v>134</v>
      </c>
      <c r="IGD11" s="1429" t="s">
        <v>134</v>
      </c>
      <c r="IGE11" s="1429" t="s">
        <v>134</v>
      </c>
      <c r="IGF11" s="1429" t="s">
        <v>134</v>
      </c>
      <c r="IGG11" s="1429" t="s">
        <v>134</v>
      </c>
      <c r="IGH11" s="1429" t="s">
        <v>134</v>
      </c>
      <c r="IGI11" s="1429" t="s">
        <v>134</v>
      </c>
      <c r="IGJ11" s="1429" t="s">
        <v>134</v>
      </c>
      <c r="IGK11" s="1429" t="s">
        <v>134</v>
      </c>
      <c r="IGL11" s="1429" t="s">
        <v>134</v>
      </c>
      <c r="IGM11" s="1429" t="s">
        <v>134</v>
      </c>
      <c r="IGN11" s="1429" t="s">
        <v>134</v>
      </c>
      <c r="IGO11" s="1429" t="s">
        <v>134</v>
      </c>
      <c r="IGP11" s="1429" t="s">
        <v>134</v>
      </c>
      <c r="IGQ11" s="1429" t="s">
        <v>134</v>
      </c>
      <c r="IGR11" s="1429" t="s">
        <v>134</v>
      </c>
      <c r="IGS11" s="1429" t="s">
        <v>134</v>
      </c>
      <c r="IGT11" s="1429" t="s">
        <v>134</v>
      </c>
      <c r="IGU11" s="1429" t="s">
        <v>134</v>
      </c>
      <c r="IGV11" s="1429" t="s">
        <v>134</v>
      </c>
      <c r="IGW11" s="1429" t="s">
        <v>134</v>
      </c>
      <c r="IGX11" s="1429" t="s">
        <v>134</v>
      </c>
      <c r="IGY11" s="1429" t="s">
        <v>134</v>
      </c>
      <c r="IGZ11" s="1429" t="s">
        <v>134</v>
      </c>
      <c r="IHA11" s="1429" t="s">
        <v>134</v>
      </c>
      <c r="IHB11" s="1429" t="s">
        <v>134</v>
      </c>
      <c r="IHC11" s="1429" t="s">
        <v>134</v>
      </c>
      <c r="IHD11" s="1429" t="s">
        <v>134</v>
      </c>
      <c r="IHE11" s="1429" t="s">
        <v>134</v>
      </c>
      <c r="IHF11" s="1429" t="s">
        <v>134</v>
      </c>
      <c r="IHG11" s="1429" t="s">
        <v>134</v>
      </c>
      <c r="IHH11" s="1429" t="s">
        <v>134</v>
      </c>
      <c r="IHI11" s="1429" t="s">
        <v>134</v>
      </c>
      <c r="IHJ11" s="1429" t="s">
        <v>134</v>
      </c>
      <c r="IHK11" s="1429" t="s">
        <v>134</v>
      </c>
      <c r="IHL11" s="1429" t="s">
        <v>134</v>
      </c>
      <c r="IHM11" s="1429" t="s">
        <v>134</v>
      </c>
      <c r="IHN11" s="1429" t="s">
        <v>134</v>
      </c>
      <c r="IHO11" s="1429" t="s">
        <v>134</v>
      </c>
      <c r="IHP11" s="1429" t="s">
        <v>134</v>
      </c>
      <c r="IHQ11" s="1429" t="s">
        <v>134</v>
      </c>
      <c r="IHR11" s="1429" t="s">
        <v>134</v>
      </c>
      <c r="IHS11" s="1429" t="s">
        <v>134</v>
      </c>
      <c r="IHT11" s="1429" t="s">
        <v>134</v>
      </c>
      <c r="IHU11" s="1429" t="s">
        <v>134</v>
      </c>
      <c r="IHV11" s="1429" t="s">
        <v>134</v>
      </c>
      <c r="IHW11" s="1429" t="s">
        <v>134</v>
      </c>
      <c r="IHX11" s="1429" t="s">
        <v>134</v>
      </c>
      <c r="IHY11" s="1429" t="s">
        <v>134</v>
      </c>
      <c r="IHZ11" s="1429" t="s">
        <v>134</v>
      </c>
      <c r="IIA11" s="1429" t="s">
        <v>134</v>
      </c>
      <c r="IIB11" s="1429" t="s">
        <v>134</v>
      </c>
      <c r="IIC11" s="1429" t="s">
        <v>134</v>
      </c>
      <c r="IID11" s="1429" t="s">
        <v>134</v>
      </c>
      <c r="IIE11" s="1429" t="s">
        <v>134</v>
      </c>
      <c r="IIF11" s="1429" t="s">
        <v>134</v>
      </c>
      <c r="IIG11" s="1429" t="s">
        <v>134</v>
      </c>
      <c r="IIH11" s="1429" t="s">
        <v>134</v>
      </c>
      <c r="III11" s="1429" t="s">
        <v>134</v>
      </c>
      <c r="IIJ11" s="1429" t="s">
        <v>134</v>
      </c>
      <c r="IIK11" s="1429" t="s">
        <v>134</v>
      </c>
      <c r="IIL11" s="1429" t="s">
        <v>134</v>
      </c>
      <c r="IIM11" s="1429" t="s">
        <v>134</v>
      </c>
      <c r="IIN11" s="1429" t="s">
        <v>134</v>
      </c>
      <c r="IIO11" s="1429" t="s">
        <v>134</v>
      </c>
      <c r="IIP11" s="1429" t="s">
        <v>134</v>
      </c>
      <c r="IIQ11" s="1429" t="s">
        <v>134</v>
      </c>
      <c r="IIR11" s="1429" t="s">
        <v>134</v>
      </c>
      <c r="IIS11" s="1429" t="s">
        <v>134</v>
      </c>
      <c r="IIT11" s="1429" t="s">
        <v>134</v>
      </c>
      <c r="IIU11" s="1429" t="s">
        <v>134</v>
      </c>
      <c r="IIV11" s="1429" t="s">
        <v>134</v>
      </c>
      <c r="IIW11" s="1429" t="s">
        <v>134</v>
      </c>
      <c r="IIX11" s="1429" t="s">
        <v>134</v>
      </c>
      <c r="IIY11" s="1429" t="s">
        <v>134</v>
      </c>
      <c r="IIZ11" s="1429" t="s">
        <v>134</v>
      </c>
      <c r="IJA11" s="1429" t="s">
        <v>134</v>
      </c>
      <c r="IJB11" s="1429" t="s">
        <v>134</v>
      </c>
      <c r="IJC11" s="1429" t="s">
        <v>134</v>
      </c>
      <c r="IJD11" s="1429" t="s">
        <v>134</v>
      </c>
      <c r="IJE11" s="1429" t="s">
        <v>134</v>
      </c>
      <c r="IJF11" s="1429" t="s">
        <v>134</v>
      </c>
      <c r="IJG11" s="1429" t="s">
        <v>134</v>
      </c>
      <c r="IJH11" s="1429" t="s">
        <v>134</v>
      </c>
      <c r="IJI11" s="1429" t="s">
        <v>134</v>
      </c>
      <c r="IJJ11" s="1429" t="s">
        <v>134</v>
      </c>
      <c r="IJK11" s="1429" t="s">
        <v>134</v>
      </c>
      <c r="IJL11" s="1429" t="s">
        <v>134</v>
      </c>
      <c r="IJM11" s="1429" t="s">
        <v>134</v>
      </c>
      <c r="IJN11" s="1429" t="s">
        <v>134</v>
      </c>
      <c r="IJO11" s="1429" t="s">
        <v>134</v>
      </c>
      <c r="IJP11" s="1429" t="s">
        <v>134</v>
      </c>
      <c r="IJQ11" s="1429" t="s">
        <v>134</v>
      </c>
      <c r="IJR11" s="1429" t="s">
        <v>134</v>
      </c>
      <c r="IJS11" s="1429" t="s">
        <v>134</v>
      </c>
      <c r="IJT11" s="1429" t="s">
        <v>134</v>
      </c>
      <c r="IJU11" s="1429" t="s">
        <v>134</v>
      </c>
      <c r="IJV11" s="1429" t="s">
        <v>134</v>
      </c>
      <c r="IJW11" s="1429" t="s">
        <v>134</v>
      </c>
      <c r="IJX11" s="1429" t="s">
        <v>134</v>
      </c>
      <c r="IJY11" s="1429" t="s">
        <v>134</v>
      </c>
      <c r="IJZ11" s="1429" t="s">
        <v>134</v>
      </c>
      <c r="IKA11" s="1429" t="s">
        <v>134</v>
      </c>
      <c r="IKB11" s="1429" t="s">
        <v>134</v>
      </c>
      <c r="IKC11" s="1429" t="s">
        <v>134</v>
      </c>
      <c r="IKD11" s="1429" t="s">
        <v>134</v>
      </c>
      <c r="IKE11" s="1429" t="s">
        <v>134</v>
      </c>
      <c r="IKF11" s="1429" t="s">
        <v>134</v>
      </c>
      <c r="IKG11" s="1429" t="s">
        <v>134</v>
      </c>
      <c r="IKH11" s="1429" t="s">
        <v>134</v>
      </c>
      <c r="IKI11" s="1429" t="s">
        <v>134</v>
      </c>
      <c r="IKJ11" s="1429" t="s">
        <v>134</v>
      </c>
      <c r="IKK11" s="1429" t="s">
        <v>134</v>
      </c>
      <c r="IKL11" s="1429" t="s">
        <v>134</v>
      </c>
      <c r="IKM11" s="1429" t="s">
        <v>134</v>
      </c>
      <c r="IKN11" s="1429" t="s">
        <v>134</v>
      </c>
      <c r="IKO11" s="1429" t="s">
        <v>134</v>
      </c>
      <c r="IKP11" s="1429" t="s">
        <v>134</v>
      </c>
      <c r="IKQ11" s="1429" t="s">
        <v>134</v>
      </c>
      <c r="IKR11" s="1429" t="s">
        <v>134</v>
      </c>
      <c r="IKS11" s="1429" t="s">
        <v>134</v>
      </c>
      <c r="IKT11" s="1429" t="s">
        <v>134</v>
      </c>
      <c r="IKU11" s="1429" t="s">
        <v>134</v>
      </c>
      <c r="IKV11" s="1429" t="s">
        <v>134</v>
      </c>
      <c r="IKW11" s="1429" t="s">
        <v>134</v>
      </c>
      <c r="IKX11" s="1429" t="s">
        <v>134</v>
      </c>
      <c r="IKY11" s="1429" t="s">
        <v>134</v>
      </c>
      <c r="IKZ11" s="1429" t="s">
        <v>134</v>
      </c>
      <c r="ILA11" s="1429" t="s">
        <v>134</v>
      </c>
      <c r="ILB11" s="1429" t="s">
        <v>134</v>
      </c>
      <c r="ILC11" s="1429" t="s">
        <v>134</v>
      </c>
      <c r="ILD11" s="1429" t="s">
        <v>134</v>
      </c>
      <c r="ILE11" s="1429" t="s">
        <v>134</v>
      </c>
      <c r="ILF11" s="1429" t="s">
        <v>134</v>
      </c>
      <c r="ILG11" s="1429" t="s">
        <v>134</v>
      </c>
      <c r="ILH11" s="1429" t="s">
        <v>134</v>
      </c>
      <c r="ILI11" s="1429" t="s">
        <v>134</v>
      </c>
      <c r="ILJ11" s="1429" t="s">
        <v>134</v>
      </c>
      <c r="ILK11" s="1429" t="s">
        <v>134</v>
      </c>
      <c r="ILL11" s="1429" t="s">
        <v>134</v>
      </c>
      <c r="ILM11" s="1429" t="s">
        <v>134</v>
      </c>
      <c r="ILN11" s="1429" t="s">
        <v>134</v>
      </c>
      <c r="ILO11" s="1429" t="s">
        <v>134</v>
      </c>
      <c r="ILP11" s="1429" t="s">
        <v>134</v>
      </c>
      <c r="ILQ11" s="1429" t="s">
        <v>134</v>
      </c>
      <c r="ILR11" s="1429" t="s">
        <v>134</v>
      </c>
      <c r="ILS11" s="1429" t="s">
        <v>134</v>
      </c>
      <c r="ILT11" s="1429" t="s">
        <v>134</v>
      </c>
      <c r="ILU11" s="1429" t="s">
        <v>134</v>
      </c>
      <c r="ILV11" s="1429" t="s">
        <v>134</v>
      </c>
      <c r="ILW11" s="1429" t="s">
        <v>134</v>
      </c>
      <c r="ILX11" s="1429" t="s">
        <v>134</v>
      </c>
      <c r="ILY11" s="1429" t="s">
        <v>134</v>
      </c>
      <c r="ILZ11" s="1429" t="s">
        <v>134</v>
      </c>
      <c r="IMA11" s="1429" t="s">
        <v>134</v>
      </c>
      <c r="IMB11" s="1429" t="s">
        <v>134</v>
      </c>
      <c r="IMC11" s="1429" t="s">
        <v>134</v>
      </c>
      <c r="IMD11" s="1429" t="s">
        <v>134</v>
      </c>
      <c r="IME11" s="1429" t="s">
        <v>134</v>
      </c>
      <c r="IMF11" s="1429" t="s">
        <v>134</v>
      </c>
      <c r="IMG11" s="1429" t="s">
        <v>134</v>
      </c>
      <c r="IMH11" s="1429" t="s">
        <v>134</v>
      </c>
      <c r="IMI11" s="1429" t="s">
        <v>134</v>
      </c>
      <c r="IMJ11" s="1429" t="s">
        <v>134</v>
      </c>
      <c r="IMK11" s="1429" t="s">
        <v>134</v>
      </c>
      <c r="IML11" s="1429" t="s">
        <v>134</v>
      </c>
      <c r="IMM11" s="1429" t="s">
        <v>134</v>
      </c>
      <c r="IMN11" s="1429" t="s">
        <v>134</v>
      </c>
      <c r="IMO11" s="1429" t="s">
        <v>134</v>
      </c>
      <c r="IMP11" s="1429" t="s">
        <v>134</v>
      </c>
      <c r="IMQ11" s="1429" t="s">
        <v>134</v>
      </c>
      <c r="IMR11" s="1429" t="s">
        <v>134</v>
      </c>
      <c r="IMS11" s="1429" t="s">
        <v>134</v>
      </c>
      <c r="IMT11" s="1429" t="s">
        <v>134</v>
      </c>
      <c r="IMU11" s="1429" t="s">
        <v>134</v>
      </c>
      <c r="IMV11" s="1429" t="s">
        <v>134</v>
      </c>
      <c r="IMW11" s="1429" t="s">
        <v>134</v>
      </c>
      <c r="IMX11" s="1429" t="s">
        <v>134</v>
      </c>
      <c r="IMY11" s="1429" t="s">
        <v>134</v>
      </c>
      <c r="IMZ11" s="1429" t="s">
        <v>134</v>
      </c>
      <c r="INA11" s="1429" t="s">
        <v>134</v>
      </c>
      <c r="INB11" s="1429" t="s">
        <v>134</v>
      </c>
      <c r="INC11" s="1429" t="s">
        <v>134</v>
      </c>
      <c r="IND11" s="1429" t="s">
        <v>134</v>
      </c>
      <c r="INE11" s="1429" t="s">
        <v>134</v>
      </c>
      <c r="INF11" s="1429" t="s">
        <v>134</v>
      </c>
      <c r="ING11" s="1429" t="s">
        <v>134</v>
      </c>
      <c r="INH11" s="1429" t="s">
        <v>134</v>
      </c>
      <c r="INI11" s="1429" t="s">
        <v>134</v>
      </c>
      <c r="INJ11" s="1429" t="s">
        <v>134</v>
      </c>
      <c r="INK11" s="1429" t="s">
        <v>134</v>
      </c>
      <c r="INL11" s="1429" t="s">
        <v>134</v>
      </c>
      <c r="INM11" s="1429" t="s">
        <v>134</v>
      </c>
      <c r="INN11" s="1429" t="s">
        <v>134</v>
      </c>
      <c r="INO11" s="1429" t="s">
        <v>134</v>
      </c>
      <c r="INP11" s="1429" t="s">
        <v>134</v>
      </c>
      <c r="INQ11" s="1429" t="s">
        <v>134</v>
      </c>
      <c r="INR11" s="1429" t="s">
        <v>134</v>
      </c>
      <c r="INS11" s="1429" t="s">
        <v>134</v>
      </c>
      <c r="INT11" s="1429" t="s">
        <v>134</v>
      </c>
      <c r="INU11" s="1429" t="s">
        <v>134</v>
      </c>
      <c r="INV11" s="1429" t="s">
        <v>134</v>
      </c>
      <c r="INW11" s="1429" t="s">
        <v>134</v>
      </c>
      <c r="INX11" s="1429" t="s">
        <v>134</v>
      </c>
      <c r="INY11" s="1429" t="s">
        <v>134</v>
      </c>
      <c r="INZ11" s="1429" t="s">
        <v>134</v>
      </c>
      <c r="IOA11" s="1429" t="s">
        <v>134</v>
      </c>
      <c r="IOB11" s="1429" t="s">
        <v>134</v>
      </c>
      <c r="IOC11" s="1429" t="s">
        <v>134</v>
      </c>
      <c r="IOD11" s="1429" t="s">
        <v>134</v>
      </c>
      <c r="IOE11" s="1429" t="s">
        <v>134</v>
      </c>
      <c r="IOF11" s="1429" t="s">
        <v>134</v>
      </c>
      <c r="IOG11" s="1429" t="s">
        <v>134</v>
      </c>
      <c r="IOH11" s="1429" t="s">
        <v>134</v>
      </c>
      <c r="IOI11" s="1429" t="s">
        <v>134</v>
      </c>
      <c r="IOJ11" s="1429" t="s">
        <v>134</v>
      </c>
      <c r="IOK11" s="1429" t="s">
        <v>134</v>
      </c>
      <c r="IOL11" s="1429" t="s">
        <v>134</v>
      </c>
      <c r="IOM11" s="1429" t="s">
        <v>134</v>
      </c>
      <c r="ION11" s="1429" t="s">
        <v>134</v>
      </c>
      <c r="IOO11" s="1429" t="s">
        <v>134</v>
      </c>
      <c r="IOP11" s="1429" t="s">
        <v>134</v>
      </c>
      <c r="IOQ11" s="1429" t="s">
        <v>134</v>
      </c>
      <c r="IOR11" s="1429" t="s">
        <v>134</v>
      </c>
      <c r="IOS11" s="1429" t="s">
        <v>134</v>
      </c>
      <c r="IOT11" s="1429" t="s">
        <v>134</v>
      </c>
      <c r="IOU11" s="1429" t="s">
        <v>134</v>
      </c>
      <c r="IOV11" s="1429" t="s">
        <v>134</v>
      </c>
      <c r="IOW11" s="1429" t="s">
        <v>134</v>
      </c>
      <c r="IOX11" s="1429" t="s">
        <v>134</v>
      </c>
      <c r="IOY11" s="1429" t="s">
        <v>134</v>
      </c>
      <c r="IOZ11" s="1429" t="s">
        <v>134</v>
      </c>
      <c r="IPA11" s="1429" t="s">
        <v>134</v>
      </c>
      <c r="IPB11" s="1429" t="s">
        <v>134</v>
      </c>
      <c r="IPC11" s="1429" t="s">
        <v>134</v>
      </c>
      <c r="IPD11" s="1429" t="s">
        <v>134</v>
      </c>
      <c r="IPE11" s="1429" t="s">
        <v>134</v>
      </c>
      <c r="IPF11" s="1429" t="s">
        <v>134</v>
      </c>
      <c r="IPG11" s="1429" t="s">
        <v>134</v>
      </c>
      <c r="IPH11" s="1429" t="s">
        <v>134</v>
      </c>
      <c r="IPI11" s="1429" t="s">
        <v>134</v>
      </c>
      <c r="IPJ11" s="1429" t="s">
        <v>134</v>
      </c>
      <c r="IPK11" s="1429" t="s">
        <v>134</v>
      </c>
      <c r="IPL11" s="1429" t="s">
        <v>134</v>
      </c>
      <c r="IPM11" s="1429" t="s">
        <v>134</v>
      </c>
      <c r="IPN11" s="1429" t="s">
        <v>134</v>
      </c>
      <c r="IPO11" s="1429" t="s">
        <v>134</v>
      </c>
      <c r="IPP11" s="1429" t="s">
        <v>134</v>
      </c>
      <c r="IPQ11" s="1429" t="s">
        <v>134</v>
      </c>
      <c r="IPR11" s="1429" t="s">
        <v>134</v>
      </c>
      <c r="IPS11" s="1429" t="s">
        <v>134</v>
      </c>
      <c r="IPT11" s="1429" t="s">
        <v>134</v>
      </c>
      <c r="IPU11" s="1429" t="s">
        <v>134</v>
      </c>
      <c r="IPV11" s="1429" t="s">
        <v>134</v>
      </c>
      <c r="IPW11" s="1429" t="s">
        <v>134</v>
      </c>
      <c r="IPX11" s="1429" t="s">
        <v>134</v>
      </c>
      <c r="IPY11" s="1429" t="s">
        <v>134</v>
      </c>
      <c r="IPZ11" s="1429" t="s">
        <v>134</v>
      </c>
      <c r="IQA11" s="1429" t="s">
        <v>134</v>
      </c>
      <c r="IQB11" s="1429" t="s">
        <v>134</v>
      </c>
      <c r="IQC11" s="1429" t="s">
        <v>134</v>
      </c>
      <c r="IQD11" s="1429" t="s">
        <v>134</v>
      </c>
      <c r="IQE11" s="1429" t="s">
        <v>134</v>
      </c>
      <c r="IQF11" s="1429" t="s">
        <v>134</v>
      </c>
      <c r="IQG11" s="1429" t="s">
        <v>134</v>
      </c>
      <c r="IQH11" s="1429" t="s">
        <v>134</v>
      </c>
      <c r="IQI11" s="1429" t="s">
        <v>134</v>
      </c>
      <c r="IQJ11" s="1429" t="s">
        <v>134</v>
      </c>
      <c r="IQK11" s="1429" t="s">
        <v>134</v>
      </c>
      <c r="IQL11" s="1429" t="s">
        <v>134</v>
      </c>
      <c r="IQM11" s="1429" t="s">
        <v>134</v>
      </c>
      <c r="IQN11" s="1429" t="s">
        <v>134</v>
      </c>
      <c r="IQO11" s="1429" t="s">
        <v>134</v>
      </c>
      <c r="IQP11" s="1429" t="s">
        <v>134</v>
      </c>
      <c r="IQQ11" s="1429" t="s">
        <v>134</v>
      </c>
      <c r="IQR11" s="1429" t="s">
        <v>134</v>
      </c>
      <c r="IQS11" s="1429" t="s">
        <v>134</v>
      </c>
      <c r="IQT11" s="1429" t="s">
        <v>134</v>
      </c>
      <c r="IQU11" s="1429" t="s">
        <v>134</v>
      </c>
      <c r="IQV11" s="1429" t="s">
        <v>134</v>
      </c>
      <c r="IQW11" s="1429" t="s">
        <v>134</v>
      </c>
      <c r="IQX11" s="1429" t="s">
        <v>134</v>
      </c>
      <c r="IQY11" s="1429" t="s">
        <v>134</v>
      </c>
      <c r="IQZ11" s="1429" t="s">
        <v>134</v>
      </c>
      <c r="IRA11" s="1429" t="s">
        <v>134</v>
      </c>
      <c r="IRB11" s="1429" t="s">
        <v>134</v>
      </c>
      <c r="IRC11" s="1429" t="s">
        <v>134</v>
      </c>
      <c r="IRD11" s="1429" t="s">
        <v>134</v>
      </c>
      <c r="IRE11" s="1429" t="s">
        <v>134</v>
      </c>
      <c r="IRF11" s="1429" t="s">
        <v>134</v>
      </c>
      <c r="IRG11" s="1429" t="s">
        <v>134</v>
      </c>
      <c r="IRH11" s="1429" t="s">
        <v>134</v>
      </c>
      <c r="IRI11" s="1429" t="s">
        <v>134</v>
      </c>
      <c r="IRJ11" s="1429" t="s">
        <v>134</v>
      </c>
      <c r="IRK11" s="1429" t="s">
        <v>134</v>
      </c>
      <c r="IRL11" s="1429" t="s">
        <v>134</v>
      </c>
      <c r="IRM11" s="1429" t="s">
        <v>134</v>
      </c>
      <c r="IRN11" s="1429" t="s">
        <v>134</v>
      </c>
      <c r="IRO11" s="1429" t="s">
        <v>134</v>
      </c>
      <c r="IRP11" s="1429" t="s">
        <v>134</v>
      </c>
      <c r="IRQ11" s="1429" t="s">
        <v>134</v>
      </c>
      <c r="IRR11" s="1429" t="s">
        <v>134</v>
      </c>
      <c r="IRS11" s="1429" t="s">
        <v>134</v>
      </c>
      <c r="IRT11" s="1429" t="s">
        <v>134</v>
      </c>
      <c r="IRU11" s="1429" t="s">
        <v>134</v>
      </c>
      <c r="IRV11" s="1429" t="s">
        <v>134</v>
      </c>
      <c r="IRW11" s="1429" t="s">
        <v>134</v>
      </c>
      <c r="IRX11" s="1429" t="s">
        <v>134</v>
      </c>
      <c r="IRY11" s="1429" t="s">
        <v>134</v>
      </c>
      <c r="IRZ11" s="1429" t="s">
        <v>134</v>
      </c>
      <c r="ISA11" s="1429" t="s">
        <v>134</v>
      </c>
      <c r="ISB11" s="1429" t="s">
        <v>134</v>
      </c>
      <c r="ISC11" s="1429" t="s">
        <v>134</v>
      </c>
      <c r="ISD11" s="1429" t="s">
        <v>134</v>
      </c>
      <c r="ISE11" s="1429" t="s">
        <v>134</v>
      </c>
      <c r="ISF11" s="1429" t="s">
        <v>134</v>
      </c>
      <c r="ISG11" s="1429" t="s">
        <v>134</v>
      </c>
      <c r="ISH11" s="1429" t="s">
        <v>134</v>
      </c>
      <c r="ISI11" s="1429" t="s">
        <v>134</v>
      </c>
      <c r="ISJ11" s="1429" t="s">
        <v>134</v>
      </c>
      <c r="ISK11" s="1429" t="s">
        <v>134</v>
      </c>
      <c r="ISL11" s="1429" t="s">
        <v>134</v>
      </c>
      <c r="ISM11" s="1429" t="s">
        <v>134</v>
      </c>
      <c r="ISN11" s="1429" t="s">
        <v>134</v>
      </c>
      <c r="ISO11" s="1429" t="s">
        <v>134</v>
      </c>
      <c r="ISP11" s="1429" t="s">
        <v>134</v>
      </c>
      <c r="ISQ11" s="1429" t="s">
        <v>134</v>
      </c>
      <c r="ISR11" s="1429" t="s">
        <v>134</v>
      </c>
      <c r="ISS11" s="1429" t="s">
        <v>134</v>
      </c>
      <c r="IST11" s="1429" t="s">
        <v>134</v>
      </c>
      <c r="ISU11" s="1429" t="s">
        <v>134</v>
      </c>
      <c r="ISV11" s="1429" t="s">
        <v>134</v>
      </c>
      <c r="ISW11" s="1429" t="s">
        <v>134</v>
      </c>
      <c r="ISX11" s="1429" t="s">
        <v>134</v>
      </c>
      <c r="ISY11" s="1429" t="s">
        <v>134</v>
      </c>
      <c r="ISZ11" s="1429" t="s">
        <v>134</v>
      </c>
      <c r="ITA11" s="1429" t="s">
        <v>134</v>
      </c>
      <c r="ITB11" s="1429" t="s">
        <v>134</v>
      </c>
      <c r="ITC11" s="1429" t="s">
        <v>134</v>
      </c>
      <c r="ITD11" s="1429" t="s">
        <v>134</v>
      </c>
      <c r="ITE11" s="1429" t="s">
        <v>134</v>
      </c>
      <c r="ITF11" s="1429" t="s">
        <v>134</v>
      </c>
      <c r="ITG11" s="1429" t="s">
        <v>134</v>
      </c>
      <c r="ITH11" s="1429" t="s">
        <v>134</v>
      </c>
      <c r="ITI11" s="1429" t="s">
        <v>134</v>
      </c>
      <c r="ITJ11" s="1429" t="s">
        <v>134</v>
      </c>
      <c r="ITK11" s="1429" t="s">
        <v>134</v>
      </c>
      <c r="ITL11" s="1429" t="s">
        <v>134</v>
      </c>
      <c r="ITM11" s="1429" t="s">
        <v>134</v>
      </c>
      <c r="ITN11" s="1429" t="s">
        <v>134</v>
      </c>
      <c r="ITO11" s="1429" t="s">
        <v>134</v>
      </c>
      <c r="ITP11" s="1429" t="s">
        <v>134</v>
      </c>
      <c r="ITQ11" s="1429" t="s">
        <v>134</v>
      </c>
      <c r="ITR11" s="1429" t="s">
        <v>134</v>
      </c>
      <c r="ITS11" s="1429" t="s">
        <v>134</v>
      </c>
      <c r="ITT11" s="1429" t="s">
        <v>134</v>
      </c>
      <c r="ITU11" s="1429" t="s">
        <v>134</v>
      </c>
      <c r="ITV11" s="1429" t="s">
        <v>134</v>
      </c>
      <c r="ITW11" s="1429" t="s">
        <v>134</v>
      </c>
      <c r="ITX11" s="1429" t="s">
        <v>134</v>
      </c>
      <c r="ITY11" s="1429" t="s">
        <v>134</v>
      </c>
      <c r="ITZ11" s="1429" t="s">
        <v>134</v>
      </c>
      <c r="IUA11" s="1429" t="s">
        <v>134</v>
      </c>
      <c r="IUB11" s="1429" t="s">
        <v>134</v>
      </c>
      <c r="IUC11" s="1429" t="s">
        <v>134</v>
      </c>
      <c r="IUD11" s="1429" t="s">
        <v>134</v>
      </c>
      <c r="IUE11" s="1429" t="s">
        <v>134</v>
      </c>
      <c r="IUF11" s="1429" t="s">
        <v>134</v>
      </c>
      <c r="IUG11" s="1429" t="s">
        <v>134</v>
      </c>
      <c r="IUH11" s="1429" t="s">
        <v>134</v>
      </c>
      <c r="IUI11" s="1429" t="s">
        <v>134</v>
      </c>
      <c r="IUJ11" s="1429" t="s">
        <v>134</v>
      </c>
      <c r="IUK11" s="1429" t="s">
        <v>134</v>
      </c>
      <c r="IUL11" s="1429" t="s">
        <v>134</v>
      </c>
      <c r="IUM11" s="1429" t="s">
        <v>134</v>
      </c>
      <c r="IUN11" s="1429" t="s">
        <v>134</v>
      </c>
      <c r="IUO11" s="1429" t="s">
        <v>134</v>
      </c>
      <c r="IUP11" s="1429" t="s">
        <v>134</v>
      </c>
      <c r="IUQ11" s="1429" t="s">
        <v>134</v>
      </c>
      <c r="IUR11" s="1429" t="s">
        <v>134</v>
      </c>
      <c r="IUS11" s="1429" t="s">
        <v>134</v>
      </c>
      <c r="IUT11" s="1429" t="s">
        <v>134</v>
      </c>
      <c r="IUU11" s="1429" t="s">
        <v>134</v>
      </c>
      <c r="IUV11" s="1429" t="s">
        <v>134</v>
      </c>
      <c r="IUW11" s="1429" t="s">
        <v>134</v>
      </c>
      <c r="IUX11" s="1429" t="s">
        <v>134</v>
      </c>
      <c r="IUY11" s="1429" t="s">
        <v>134</v>
      </c>
      <c r="IUZ11" s="1429" t="s">
        <v>134</v>
      </c>
      <c r="IVA11" s="1429" t="s">
        <v>134</v>
      </c>
      <c r="IVB11" s="1429" t="s">
        <v>134</v>
      </c>
      <c r="IVC11" s="1429" t="s">
        <v>134</v>
      </c>
      <c r="IVD11" s="1429" t="s">
        <v>134</v>
      </c>
      <c r="IVE11" s="1429" t="s">
        <v>134</v>
      </c>
      <c r="IVF11" s="1429" t="s">
        <v>134</v>
      </c>
      <c r="IVG11" s="1429" t="s">
        <v>134</v>
      </c>
      <c r="IVH11" s="1429" t="s">
        <v>134</v>
      </c>
      <c r="IVI11" s="1429" t="s">
        <v>134</v>
      </c>
      <c r="IVJ11" s="1429" t="s">
        <v>134</v>
      </c>
      <c r="IVK11" s="1429" t="s">
        <v>134</v>
      </c>
      <c r="IVL11" s="1429" t="s">
        <v>134</v>
      </c>
      <c r="IVM11" s="1429" t="s">
        <v>134</v>
      </c>
      <c r="IVN11" s="1429" t="s">
        <v>134</v>
      </c>
      <c r="IVO11" s="1429" t="s">
        <v>134</v>
      </c>
      <c r="IVP11" s="1429" t="s">
        <v>134</v>
      </c>
      <c r="IVQ11" s="1429" t="s">
        <v>134</v>
      </c>
      <c r="IVR11" s="1429" t="s">
        <v>134</v>
      </c>
      <c r="IVS11" s="1429" t="s">
        <v>134</v>
      </c>
      <c r="IVT11" s="1429" t="s">
        <v>134</v>
      </c>
      <c r="IVU11" s="1429" t="s">
        <v>134</v>
      </c>
      <c r="IVV11" s="1429" t="s">
        <v>134</v>
      </c>
      <c r="IVW11" s="1429" t="s">
        <v>134</v>
      </c>
      <c r="IVX11" s="1429" t="s">
        <v>134</v>
      </c>
      <c r="IVY11" s="1429" t="s">
        <v>134</v>
      </c>
      <c r="IVZ11" s="1429" t="s">
        <v>134</v>
      </c>
      <c r="IWA11" s="1429" t="s">
        <v>134</v>
      </c>
      <c r="IWB11" s="1429" t="s">
        <v>134</v>
      </c>
      <c r="IWC11" s="1429" t="s">
        <v>134</v>
      </c>
      <c r="IWD11" s="1429" t="s">
        <v>134</v>
      </c>
      <c r="IWE11" s="1429" t="s">
        <v>134</v>
      </c>
      <c r="IWF11" s="1429" t="s">
        <v>134</v>
      </c>
      <c r="IWG11" s="1429" t="s">
        <v>134</v>
      </c>
      <c r="IWH11" s="1429" t="s">
        <v>134</v>
      </c>
      <c r="IWI11" s="1429" t="s">
        <v>134</v>
      </c>
      <c r="IWJ11" s="1429" t="s">
        <v>134</v>
      </c>
      <c r="IWK11" s="1429" t="s">
        <v>134</v>
      </c>
      <c r="IWL11" s="1429" t="s">
        <v>134</v>
      </c>
      <c r="IWM11" s="1429" t="s">
        <v>134</v>
      </c>
      <c r="IWN11" s="1429" t="s">
        <v>134</v>
      </c>
      <c r="IWO11" s="1429" t="s">
        <v>134</v>
      </c>
      <c r="IWP11" s="1429" t="s">
        <v>134</v>
      </c>
      <c r="IWQ11" s="1429" t="s">
        <v>134</v>
      </c>
      <c r="IWR11" s="1429" t="s">
        <v>134</v>
      </c>
      <c r="IWS11" s="1429" t="s">
        <v>134</v>
      </c>
      <c r="IWT11" s="1429" t="s">
        <v>134</v>
      </c>
      <c r="IWU11" s="1429" t="s">
        <v>134</v>
      </c>
      <c r="IWV11" s="1429" t="s">
        <v>134</v>
      </c>
      <c r="IWW11" s="1429" t="s">
        <v>134</v>
      </c>
      <c r="IWX11" s="1429" t="s">
        <v>134</v>
      </c>
      <c r="IWY11" s="1429" t="s">
        <v>134</v>
      </c>
      <c r="IWZ11" s="1429" t="s">
        <v>134</v>
      </c>
      <c r="IXA11" s="1429" t="s">
        <v>134</v>
      </c>
      <c r="IXB11" s="1429" t="s">
        <v>134</v>
      </c>
      <c r="IXC11" s="1429" t="s">
        <v>134</v>
      </c>
      <c r="IXD11" s="1429" t="s">
        <v>134</v>
      </c>
      <c r="IXE11" s="1429" t="s">
        <v>134</v>
      </c>
      <c r="IXF11" s="1429" t="s">
        <v>134</v>
      </c>
      <c r="IXG11" s="1429" t="s">
        <v>134</v>
      </c>
      <c r="IXH11" s="1429" t="s">
        <v>134</v>
      </c>
      <c r="IXI11" s="1429" t="s">
        <v>134</v>
      </c>
      <c r="IXJ11" s="1429" t="s">
        <v>134</v>
      </c>
      <c r="IXK11" s="1429" t="s">
        <v>134</v>
      </c>
      <c r="IXL11" s="1429" t="s">
        <v>134</v>
      </c>
      <c r="IXM11" s="1429" t="s">
        <v>134</v>
      </c>
      <c r="IXN11" s="1429" t="s">
        <v>134</v>
      </c>
      <c r="IXO11" s="1429" t="s">
        <v>134</v>
      </c>
      <c r="IXP11" s="1429" t="s">
        <v>134</v>
      </c>
      <c r="IXQ11" s="1429" t="s">
        <v>134</v>
      </c>
      <c r="IXR11" s="1429" t="s">
        <v>134</v>
      </c>
      <c r="IXS11" s="1429" t="s">
        <v>134</v>
      </c>
      <c r="IXT11" s="1429" t="s">
        <v>134</v>
      </c>
      <c r="IXU11" s="1429" t="s">
        <v>134</v>
      </c>
      <c r="IXV11" s="1429" t="s">
        <v>134</v>
      </c>
      <c r="IXW11" s="1429" t="s">
        <v>134</v>
      </c>
      <c r="IXX11" s="1429" t="s">
        <v>134</v>
      </c>
      <c r="IXY11" s="1429" t="s">
        <v>134</v>
      </c>
      <c r="IXZ11" s="1429" t="s">
        <v>134</v>
      </c>
      <c r="IYA11" s="1429" t="s">
        <v>134</v>
      </c>
      <c r="IYB11" s="1429" t="s">
        <v>134</v>
      </c>
      <c r="IYC11" s="1429" t="s">
        <v>134</v>
      </c>
      <c r="IYD11" s="1429" t="s">
        <v>134</v>
      </c>
      <c r="IYE11" s="1429" t="s">
        <v>134</v>
      </c>
      <c r="IYF11" s="1429" t="s">
        <v>134</v>
      </c>
      <c r="IYG11" s="1429" t="s">
        <v>134</v>
      </c>
      <c r="IYH11" s="1429" t="s">
        <v>134</v>
      </c>
      <c r="IYI11" s="1429" t="s">
        <v>134</v>
      </c>
      <c r="IYJ11" s="1429" t="s">
        <v>134</v>
      </c>
      <c r="IYK11" s="1429" t="s">
        <v>134</v>
      </c>
      <c r="IYL11" s="1429" t="s">
        <v>134</v>
      </c>
      <c r="IYM11" s="1429" t="s">
        <v>134</v>
      </c>
      <c r="IYN11" s="1429" t="s">
        <v>134</v>
      </c>
      <c r="IYO11" s="1429" t="s">
        <v>134</v>
      </c>
      <c r="IYP11" s="1429" t="s">
        <v>134</v>
      </c>
      <c r="IYQ11" s="1429" t="s">
        <v>134</v>
      </c>
      <c r="IYR11" s="1429" t="s">
        <v>134</v>
      </c>
      <c r="IYS11" s="1429" t="s">
        <v>134</v>
      </c>
      <c r="IYT11" s="1429" t="s">
        <v>134</v>
      </c>
      <c r="IYU11" s="1429" t="s">
        <v>134</v>
      </c>
      <c r="IYV11" s="1429" t="s">
        <v>134</v>
      </c>
      <c r="IYW11" s="1429" t="s">
        <v>134</v>
      </c>
      <c r="IYX11" s="1429" t="s">
        <v>134</v>
      </c>
      <c r="IYY11" s="1429" t="s">
        <v>134</v>
      </c>
      <c r="IYZ11" s="1429" t="s">
        <v>134</v>
      </c>
      <c r="IZA11" s="1429" t="s">
        <v>134</v>
      </c>
      <c r="IZB11" s="1429" t="s">
        <v>134</v>
      </c>
      <c r="IZC11" s="1429" t="s">
        <v>134</v>
      </c>
      <c r="IZD11" s="1429" t="s">
        <v>134</v>
      </c>
      <c r="IZE11" s="1429" t="s">
        <v>134</v>
      </c>
      <c r="IZF11" s="1429" t="s">
        <v>134</v>
      </c>
      <c r="IZG11" s="1429" t="s">
        <v>134</v>
      </c>
      <c r="IZH11" s="1429" t="s">
        <v>134</v>
      </c>
      <c r="IZI11" s="1429" t="s">
        <v>134</v>
      </c>
      <c r="IZJ11" s="1429" t="s">
        <v>134</v>
      </c>
      <c r="IZK11" s="1429" t="s">
        <v>134</v>
      </c>
      <c r="IZL11" s="1429" t="s">
        <v>134</v>
      </c>
      <c r="IZM11" s="1429" t="s">
        <v>134</v>
      </c>
      <c r="IZN11" s="1429" t="s">
        <v>134</v>
      </c>
      <c r="IZO11" s="1429" t="s">
        <v>134</v>
      </c>
      <c r="IZP11" s="1429" t="s">
        <v>134</v>
      </c>
      <c r="IZQ11" s="1429" t="s">
        <v>134</v>
      </c>
      <c r="IZR11" s="1429" t="s">
        <v>134</v>
      </c>
      <c r="IZS11" s="1429" t="s">
        <v>134</v>
      </c>
      <c r="IZT11" s="1429" t="s">
        <v>134</v>
      </c>
      <c r="IZU11" s="1429" t="s">
        <v>134</v>
      </c>
      <c r="IZV11" s="1429" t="s">
        <v>134</v>
      </c>
      <c r="IZW11" s="1429" t="s">
        <v>134</v>
      </c>
      <c r="IZX11" s="1429" t="s">
        <v>134</v>
      </c>
      <c r="IZY11" s="1429" t="s">
        <v>134</v>
      </c>
      <c r="IZZ11" s="1429" t="s">
        <v>134</v>
      </c>
      <c r="JAA11" s="1429" t="s">
        <v>134</v>
      </c>
      <c r="JAB11" s="1429" t="s">
        <v>134</v>
      </c>
      <c r="JAC11" s="1429" t="s">
        <v>134</v>
      </c>
      <c r="JAD11" s="1429" t="s">
        <v>134</v>
      </c>
      <c r="JAE11" s="1429" t="s">
        <v>134</v>
      </c>
      <c r="JAF11" s="1429" t="s">
        <v>134</v>
      </c>
      <c r="JAG11" s="1429" t="s">
        <v>134</v>
      </c>
      <c r="JAH11" s="1429" t="s">
        <v>134</v>
      </c>
      <c r="JAI11" s="1429" t="s">
        <v>134</v>
      </c>
      <c r="JAJ11" s="1429" t="s">
        <v>134</v>
      </c>
      <c r="JAK11" s="1429" t="s">
        <v>134</v>
      </c>
      <c r="JAL11" s="1429" t="s">
        <v>134</v>
      </c>
      <c r="JAM11" s="1429" t="s">
        <v>134</v>
      </c>
      <c r="JAN11" s="1429" t="s">
        <v>134</v>
      </c>
      <c r="JAO11" s="1429" t="s">
        <v>134</v>
      </c>
      <c r="JAP11" s="1429" t="s">
        <v>134</v>
      </c>
      <c r="JAQ11" s="1429" t="s">
        <v>134</v>
      </c>
      <c r="JAR11" s="1429" t="s">
        <v>134</v>
      </c>
      <c r="JAS11" s="1429" t="s">
        <v>134</v>
      </c>
      <c r="JAT11" s="1429" t="s">
        <v>134</v>
      </c>
      <c r="JAU11" s="1429" t="s">
        <v>134</v>
      </c>
      <c r="JAV11" s="1429" t="s">
        <v>134</v>
      </c>
      <c r="JAW11" s="1429" t="s">
        <v>134</v>
      </c>
      <c r="JAX11" s="1429" t="s">
        <v>134</v>
      </c>
      <c r="JAY11" s="1429" t="s">
        <v>134</v>
      </c>
      <c r="JAZ11" s="1429" t="s">
        <v>134</v>
      </c>
      <c r="JBA11" s="1429" t="s">
        <v>134</v>
      </c>
      <c r="JBB11" s="1429" t="s">
        <v>134</v>
      </c>
      <c r="JBC11" s="1429" t="s">
        <v>134</v>
      </c>
      <c r="JBD11" s="1429" t="s">
        <v>134</v>
      </c>
      <c r="JBE11" s="1429" t="s">
        <v>134</v>
      </c>
      <c r="JBF11" s="1429" t="s">
        <v>134</v>
      </c>
      <c r="JBG11" s="1429" t="s">
        <v>134</v>
      </c>
      <c r="JBH11" s="1429" t="s">
        <v>134</v>
      </c>
      <c r="JBI11" s="1429" t="s">
        <v>134</v>
      </c>
      <c r="JBJ11" s="1429" t="s">
        <v>134</v>
      </c>
      <c r="JBK11" s="1429" t="s">
        <v>134</v>
      </c>
      <c r="JBL11" s="1429" t="s">
        <v>134</v>
      </c>
      <c r="JBM11" s="1429" t="s">
        <v>134</v>
      </c>
      <c r="JBN11" s="1429" t="s">
        <v>134</v>
      </c>
      <c r="JBO11" s="1429" t="s">
        <v>134</v>
      </c>
      <c r="JBP11" s="1429" t="s">
        <v>134</v>
      </c>
      <c r="JBQ11" s="1429" t="s">
        <v>134</v>
      </c>
      <c r="JBR11" s="1429" t="s">
        <v>134</v>
      </c>
      <c r="JBS11" s="1429" t="s">
        <v>134</v>
      </c>
      <c r="JBT11" s="1429" t="s">
        <v>134</v>
      </c>
      <c r="JBU11" s="1429" t="s">
        <v>134</v>
      </c>
      <c r="JBV11" s="1429" t="s">
        <v>134</v>
      </c>
      <c r="JBW11" s="1429" t="s">
        <v>134</v>
      </c>
      <c r="JBX11" s="1429" t="s">
        <v>134</v>
      </c>
      <c r="JBY11" s="1429" t="s">
        <v>134</v>
      </c>
      <c r="JBZ11" s="1429" t="s">
        <v>134</v>
      </c>
      <c r="JCA11" s="1429" t="s">
        <v>134</v>
      </c>
      <c r="JCB11" s="1429" t="s">
        <v>134</v>
      </c>
      <c r="JCC11" s="1429" t="s">
        <v>134</v>
      </c>
      <c r="JCD11" s="1429" t="s">
        <v>134</v>
      </c>
      <c r="JCE11" s="1429" t="s">
        <v>134</v>
      </c>
      <c r="JCF11" s="1429" t="s">
        <v>134</v>
      </c>
      <c r="JCG11" s="1429" t="s">
        <v>134</v>
      </c>
      <c r="JCH11" s="1429" t="s">
        <v>134</v>
      </c>
      <c r="JCI11" s="1429" t="s">
        <v>134</v>
      </c>
      <c r="JCJ11" s="1429" t="s">
        <v>134</v>
      </c>
      <c r="JCK11" s="1429" t="s">
        <v>134</v>
      </c>
      <c r="JCL11" s="1429" t="s">
        <v>134</v>
      </c>
      <c r="JCM11" s="1429" t="s">
        <v>134</v>
      </c>
      <c r="JCN11" s="1429" t="s">
        <v>134</v>
      </c>
      <c r="JCO11" s="1429" t="s">
        <v>134</v>
      </c>
      <c r="JCP11" s="1429" t="s">
        <v>134</v>
      </c>
      <c r="JCQ11" s="1429" t="s">
        <v>134</v>
      </c>
      <c r="JCR11" s="1429" t="s">
        <v>134</v>
      </c>
      <c r="JCS11" s="1429" t="s">
        <v>134</v>
      </c>
      <c r="JCT11" s="1429" t="s">
        <v>134</v>
      </c>
      <c r="JCU11" s="1429" t="s">
        <v>134</v>
      </c>
      <c r="JCV11" s="1429" t="s">
        <v>134</v>
      </c>
      <c r="JCW11" s="1429" t="s">
        <v>134</v>
      </c>
      <c r="JCX11" s="1429" t="s">
        <v>134</v>
      </c>
      <c r="JCY11" s="1429" t="s">
        <v>134</v>
      </c>
      <c r="JCZ11" s="1429" t="s">
        <v>134</v>
      </c>
      <c r="JDA11" s="1429" t="s">
        <v>134</v>
      </c>
      <c r="JDB11" s="1429" t="s">
        <v>134</v>
      </c>
      <c r="JDC11" s="1429" t="s">
        <v>134</v>
      </c>
      <c r="JDD11" s="1429" t="s">
        <v>134</v>
      </c>
      <c r="JDE11" s="1429" t="s">
        <v>134</v>
      </c>
      <c r="JDF11" s="1429" t="s">
        <v>134</v>
      </c>
      <c r="JDG11" s="1429" t="s">
        <v>134</v>
      </c>
      <c r="JDH11" s="1429" t="s">
        <v>134</v>
      </c>
      <c r="JDI11" s="1429" t="s">
        <v>134</v>
      </c>
      <c r="JDJ11" s="1429" t="s">
        <v>134</v>
      </c>
      <c r="JDK11" s="1429" t="s">
        <v>134</v>
      </c>
      <c r="JDL11" s="1429" t="s">
        <v>134</v>
      </c>
      <c r="JDM11" s="1429" t="s">
        <v>134</v>
      </c>
      <c r="JDN11" s="1429" t="s">
        <v>134</v>
      </c>
      <c r="JDO11" s="1429" t="s">
        <v>134</v>
      </c>
      <c r="JDP11" s="1429" t="s">
        <v>134</v>
      </c>
      <c r="JDQ11" s="1429" t="s">
        <v>134</v>
      </c>
      <c r="JDR11" s="1429" t="s">
        <v>134</v>
      </c>
      <c r="JDS11" s="1429" t="s">
        <v>134</v>
      </c>
      <c r="JDT11" s="1429" t="s">
        <v>134</v>
      </c>
      <c r="JDU11" s="1429" t="s">
        <v>134</v>
      </c>
      <c r="JDV11" s="1429" t="s">
        <v>134</v>
      </c>
      <c r="JDW11" s="1429" t="s">
        <v>134</v>
      </c>
      <c r="JDX11" s="1429" t="s">
        <v>134</v>
      </c>
      <c r="JDY11" s="1429" t="s">
        <v>134</v>
      </c>
      <c r="JDZ11" s="1429" t="s">
        <v>134</v>
      </c>
      <c r="JEA11" s="1429" t="s">
        <v>134</v>
      </c>
      <c r="JEB11" s="1429" t="s">
        <v>134</v>
      </c>
      <c r="JEC11" s="1429" t="s">
        <v>134</v>
      </c>
      <c r="JED11" s="1429" t="s">
        <v>134</v>
      </c>
      <c r="JEE11" s="1429" t="s">
        <v>134</v>
      </c>
      <c r="JEF11" s="1429" t="s">
        <v>134</v>
      </c>
      <c r="JEG11" s="1429" t="s">
        <v>134</v>
      </c>
      <c r="JEH11" s="1429" t="s">
        <v>134</v>
      </c>
      <c r="JEI11" s="1429" t="s">
        <v>134</v>
      </c>
      <c r="JEJ11" s="1429" t="s">
        <v>134</v>
      </c>
      <c r="JEK11" s="1429" t="s">
        <v>134</v>
      </c>
      <c r="JEL11" s="1429" t="s">
        <v>134</v>
      </c>
      <c r="JEM11" s="1429" t="s">
        <v>134</v>
      </c>
      <c r="JEN11" s="1429" t="s">
        <v>134</v>
      </c>
      <c r="JEO11" s="1429" t="s">
        <v>134</v>
      </c>
      <c r="JEP11" s="1429" t="s">
        <v>134</v>
      </c>
      <c r="JEQ11" s="1429" t="s">
        <v>134</v>
      </c>
      <c r="JER11" s="1429" t="s">
        <v>134</v>
      </c>
      <c r="JES11" s="1429" t="s">
        <v>134</v>
      </c>
      <c r="JET11" s="1429" t="s">
        <v>134</v>
      </c>
      <c r="JEU11" s="1429" t="s">
        <v>134</v>
      </c>
      <c r="JEV11" s="1429" t="s">
        <v>134</v>
      </c>
      <c r="JEW11" s="1429" t="s">
        <v>134</v>
      </c>
      <c r="JEX11" s="1429" t="s">
        <v>134</v>
      </c>
      <c r="JEY11" s="1429" t="s">
        <v>134</v>
      </c>
      <c r="JEZ11" s="1429" t="s">
        <v>134</v>
      </c>
      <c r="JFA11" s="1429" t="s">
        <v>134</v>
      </c>
      <c r="JFB11" s="1429" t="s">
        <v>134</v>
      </c>
      <c r="JFC11" s="1429" t="s">
        <v>134</v>
      </c>
      <c r="JFD11" s="1429" t="s">
        <v>134</v>
      </c>
      <c r="JFE11" s="1429" t="s">
        <v>134</v>
      </c>
      <c r="JFF11" s="1429" t="s">
        <v>134</v>
      </c>
      <c r="JFG11" s="1429" t="s">
        <v>134</v>
      </c>
      <c r="JFH11" s="1429" t="s">
        <v>134</v>
      </c>
      <c r="JFI11" s="1429" t="s">
        <v>134</v>
      </c>
      <c r="JFJ11" s="1429" t="s">
        <v>134</v>
      </c>
      <c r="JFK11" s="1429" t="s">
        <v>134</v>
      </c>
      <c r="JFL11" s="1429" t="s">
        <v>134</v>
      </c>
      <c r="JFM11" s="1429" t="s">
        <v>134</v>
      </c>
      <c r="JFN11" s="1429" t="s">
        <v>134</v>
      </c>
      <c r="JFO11" s="1429" t="s">
        <v>134</v>
      </c>
      <c r="JFP11" s="1429" t="s">
        <v>134</v>
      </c>
      <c r="JFQ11" s="1429" t="s">
        <v>134</v>
      </c>
      <c r="JFR11" s="1429" t="s">
        <v>134</v>
      </c>
      <c r="JFS11" s="1429" t="s">
        <v>134</v>
      </c>
      <c r="JFT11" s="1429" t="s">
        <v>134</v>
      </c>
      <c r="JFU11" s="1429" t="s">
        <v>134</v>
      </c>
      <c r="JFV11" s="1429" t="s">
        <v>134</v>
      </c>
      <c r="JFW11" s="1429" t="s">
        <v>134</v>
      </c>
      <c r="JFX11" s="1429" t="s">
        <v>134</v>
      </c>
      <c r="JFY11" s="1429" t="s">
        <v>134</v>
      </c>
      <c r="JFZ11" s="1429" t="s">
        <v>134</v>
      </c>
      <c r="JGA11" s="1429" t="s">
        <v>134</v>
      </c>
      <c r="JGB11" s="1429" t="s">
        <v>134</v>
      </c>
      <c r="JGC11" s="1429" t="s">
        <v>134</v>
      </c>
      <c r="JGD11" s="1429" t="s">
        <v>134</v>
      </c>
      <c r="JGE11" s="1429" t="s">
        <v>134</v>
      </c>
      <c r="JGF11" s="1429" t="s">
        <v>134</v>
      </c>
      <c r="JGG11" s="1429" t="s">
        <v>134</v>
      </c>
      <c r="JGH11" s="1429" t="s">
        <v>134</v>
      </c>
      <c r="JGI11" s="1429" t="s">
        <v>134</v>
      </c>
      <c r="JGJ11" s="1429" t="s">
        <v>134</v>
      </c>
      <c r="JGK11" s="1429" t="s">
        <v>134</v>
      </c>
      <c r="JGL11" s="1429" t="s">
        <v>134</v>
      </c>
      <c r="JGM11" s="1429" t="s">
        <v>134</v>
      </c>
      <c r="JGN11" s="1429" t="s">
        <v>134</v>
      </c>
      <c r="JGO11" s="1429" t="s">
        <v>134</v>
      </c>
      <c r="JGP11" s="1429" t="s">
        <v>134</v>
      </c>
      <c r="JGQ11" s="1429" t="s">
        <v>134</v>
      </c>
      <c r="JGR11" s="1429" t="s">
        <v>134</v>
      </c>
      <c r="JGS11" s="1429" t="s">
        <v>134</v>
      </c>
      <c r="JGT11" s="1429" t="s">
        <v>134</v>
      </c>
      <c r="JGU11" s="1429" t="s">
        <v>134</v>
      </c>
      <c r="JGV11" s="1429" t="s">
        <v>134</v>
      </c>
      <c r="JGW11" s="1429" t="s">
        <v>134</v>
      </c>
      <c r="JGX11" s="1429" t="s">
        <v>134</v>
      </c>
      <c r="JGY11" s="1429" t="s">
        <v>134</v>
      </c>
      <c r="JGZ11" s="1429" t="s">
        <v>134</v>
      </c>
      <c r="JHA11" s="1429" t="s">
        <v>134</v>
      </c>
      <c r="JHB11" s="1429" t="s">
        <v>134</v>
      </c>
      <c r="JHC11" s="1429" t="s">
        <v>134</v>
      </c>
      <c r="JHD11" s="1429" t="s">
        <v>134</v>
      </c>
      <c r="JHE11" s="1429" t="s">
        <v>134</v>
      </c>
      <c r="JHF11" s="1429" t="s">
        <v>134</v>
      </c>
      <c r="JHG11" s="1429" t="s">
        <v>134</v>
      </c>
      <c r="JHH11" s="1429" t="s">
        <v>134</v>
      </c>
      <c r="JHI11" s="1429" t="s">
        <v>134</v>
      </c>
      <c r="JHJ11" s="1429" t="s">
        <v>134</v>
      </c>
      <c r="JHK11" s="1429" t="s">
        <v>134</v>
      </c>
      <c r="JHL11" s="1429" t="s">
        <v>134</v>
      </c>
      <c r="JHM11" s="1429" t="s">
        <v>134</v>
      </c>
      <c r="JHN11" s="1429" t="s">
        <v>134</v>
      </c>
      <c r="JHO11" s="1429" t="s">
        <v>134</v>
      </c>
      <c r="JHP11" s="1429" t="s">
        <v>134</v>
      </c>
      <c r="JHQ11" s="1429" t="s">
        <v>134</v>
      </c>
      <c r="JHR11" s="1429" t="s">
        <v>134</v>
      </c>
      <c r="JHS11" s="1429" t="s">
        <v>134</v>
      </c>
      <c r="JHT11" s="1429" t="s">
        <v>134</v>
      </c>
      <c r="JHU11" s="1429" t="s">
        <v>134</v>
      </c>
      <c r="JHV11" s="1429" t="s">
        <v>134</v>
      </c>
      <c r="JHW11" s="1429" t="s">
        <v>134</v>
      </c>
      <c r="JHX11" s="1429" t="s">
        <v>134</v>
      </c>
      <c r="JHY11" s="1429" t="s">
        <v>134</v>
      </c>
      <c r="JHZ11" s="1429" t="s">
        <v>134</v>
      </c>
      <c r="JIA11" s="1429" t="s">
        <v>134</v>
      </c>
      <c r="JIB11" s="1429" t="s">
        <v>134</v>
      </c>
      <c r="JIC11" s="1429" t="s">
        <v>134</v>
      </c>
      <c r="JID11" s="1429" t="s">
        <v>134</v>
      </c>
      <c r="JIE11" s="1429" t="s">
        <v>134</v>
      </c>
      <c r="JIF11" s="1429" t="s">
        <v>134</v>
      </c>
      <c r="JIG11" s="1429" t="s">
        <v>134</v>
      </c>
      <c r="JIH11" s="1429" t="s">
        <v>134</v>
      </c>
      <c r="JII11" s="1429" t="s">
        <v>134</v>
      </c>
      <c r="JIJ11" s="1429" t="s">
        <v>134</v>
      </c>
      <c r="JIK11" s="1429" t="s">
        <v>134</v>
      </c>
      <c r="JIL11" s="1429" t="s">
        <v>134</v>
      </c>
      <c r="JIM11" s="1429" t="s">
        <v>134</v>
      </c>
      <c r="JIN11" s="1429" t="s">
        <v>134</v>
      </c>
      <c r="JIO11" s="1429" t="s">
        <v>134</v>
      </c>
      <c r="JIP11" s="1429" t="s">
        <v>134</v>
      </c>
      <c r="JIQ11" s="1429" t="s">
        <v>134</v>
      </c>
      <c r="JIR11" s="1429" t="s">
        <v>134</v>
      </c>
      <c r="JIS11" s="1429" t="s">
        <v>134</v>
      </c>
      <c r="JIT11" s="1429" t="s">
        <v>134</v>
      </c>
      <c r="JIU11" s="1429" t="s">
        <v>134</v>
      </c>
      <c r="JIV11" s="1429" t="s">
        <v>134</v>
      </c>
      <c r="JIW11" s="1429" t="s">
        <v>134</v>
      </c>
      <c r="JIX11" s="1429" t="s">
        <v>134</v>
      </c>
      <c r="JIY11" s="1429" t="s">
        <v>134</v>
      </c>
      <c r="JIZ11" s="1429" t="s">
        <v>134</v>
      </c>
      <c r="JJA11" s="1429" t="s">
        <v>134</v>
      </c>
      <c r="JJB11" s="1429" t="s">
        <v>134</v>
      </c>
      <c r="JJC11" s="1429" t="s">
        <v>134</v>
      </c>
      <c r="JJD11" s="1429" t="s">
        <v>134</v>
      </c>
      <c r="JJE11" s="1429" t="s">
        <v>134</v>
      </c>
      <c r="JJF11" s="1429" t="s">
        <v>134</v>
      </c>
      <c r="JJG11" s="1429" t="s">
        <v>134</v>
      </c>
      <c r="JJH11" s="1429" t="s">
        <v>134</v>
      </c>
      <c r="JJI11" s="1429" t="s">
        <v>134</v>
      </c>
      <c r="JJJ11" s="1429" t="s">
        <v>134</v>
      </c>
      <c r="JJK11" s="1429" t="s">
        <v>134</v>
      </c>
      <c r="JJL11" s="1429" t="s">
        <v>134</v>
      </c>
      <c r="JJM11" s="1429" t="s">
        <v>134</v>
      </c>
      <c r="JJN11" s="1429" t="s">
        <v>134</v>
      </c>
      <c r="JJO11" s="1429" t="s">
        <v>134</v>
      </c>
      <c r="JJP11" s="1429" t="s">
        <v>134</v>
      </c>
      <c r="JJQ11" s="1429" t="s">
        <v>134</v>
      </c>
      <c r="JJR11" s="1429" t="s">
        <v>134</v>
      </c>
      <c r="JJS11" s="1429" t="s">
        <v>134</v>
      </c>
      <c r="JJT11" s="1429" t="s">
        <v>134</v>
      </c>
      <c r="JJU11" s="1429" t="s">
        <v>134</v>
      </c>
      <c r="JJV11" s="1429" t="s">
        <v>134</v>
      </c>
      <c r="JJW11" s="1429" t="s">
        <v>134</v>
      </c>
      <c r="JJX11" s="1429" t="s">
        <v>134</v>
      </c>
      <c r="JJY11" s="1429" t="s">
        <v>134</v>
      </c>
      <c r="JJZ11" s="1429" t="s">
        <v>134</v>
      </c>
      <c r="JKA11" s="1429" t="s">
        <v>134</v>
      </c>
      <c r="JKB11" s="1429" t="s">
        <v>134</v>
      </c>
      <c r="JKC11" s="1429" t="s">
        <v>134</v>
      </c>
      <c r="JKD11" s="1429" t="s">
        <v>134</v>
      </c>
      <c r="JKE11" s="1429" t="s">
        <v>134</v>
      </c>
      <c r="JKF11" s="1429" t="s">
        <v>134</v>
      </c>
      <c r="JKG11" s="1429" t="s">
        <v>134</v>
      </c>
      <c r="JKH11" s="1429" t="s">
        <v>134</v>
      </c>
      <c r="JKI11" s="1429" t="s">
        <v>134</v>
      </c>
      <c r="JKJ11" s="1429" t="s">
        <v>134</v>
      </c>
      <c r="JKK11" s="1429" t="s">
        <v>134</v>
      </c>
      <c r="JKL11" s="1429" t="s">
        <v>134</v>
      </c>
      <c r="JKM11" s="1429" t="s">
        <v>134</v>
      </c>
      <c r="JKN11" s="1429" t="s">
        <v>134</v>
      </c>
      <c r="JKO11" s="1429" t="s">
        <v>134</v>
      </c>
      <c r="JKP11" s="1429" t="s">
        <v>134</v>
      </c>
      <c r="JKQ11" s="1429" t="s">
        <v>134</v>
      </c>
      <c r="JKR11" s="1429" t="s">
        <v>134</v>
      </c>
      <c r="JKS11" s="1429" t="s">
        <v>134</v>
      </c>
      <c r="JKT11" s="1429" t="s">
        <v>134</v>
      </c>
      <c r="JKU11" s="1429" t="s">
        <v>134</v>
      </c>
      <c r="JKV11" s="1429" t="s">
        <v>134</v>
      </c>
      <c r="JKW11" s="1429" t="s">
        <v>134</v>
      </c>
      <c r="JKX11" s="1429" t="s">
        <v>134</v>
      </c>
      <c r="JKY11" s="1429" t="s">
        <v>134</v>
      </c>
      <c r="JKZ11" s="1429" t="s">
        <v>134</v>
      </c>
      <c r="JLA11" s="1429" t="s">
        <v>134</v>
      </c>
      <c r="JLB11" s="1429" t="s">
        <v>134</v>
      </c>
      <c r="JLC11" s="1429" t="s">
        <v>134</v>
      </c>
      <c r="JLD11" s="1429" t="s">
        <v>134</v>
      </c>
      <c r="JLE11" s="1429" t="s">
        <v>134</v>
      </c>
      <c r="JLF11" s="1429" t="s">
        <v>134</v>
      </c>
      <c r="JLG11" s="1429" t="s">
        <v>134</v>
      </c>
      <c r="JLH11" s="1429" t="s">
        <v>134</v>
      </c>
      <c r="JLI11" s="1429" t="s">
        <v>134</v>
      </c>
      <c r="JLJ11" s="1429" t="s">
        <v>134</v>
      </c>
      <c r="JLK11" s="1429" t="s">
        <v>134</v>
      </c>
      <c r="JLL11" s="1429" t="s">
        <v>134</v>
      </c>
      <c r="JLM11" s="1429" t="s">
        <v>134</v>
      </c>
      <c r="JLN11" s="1429" t="s">
        <v>134</v>
      </c>
      <c r="JLO11" s="1429" t="s">
        <v>134</v>
      </c>
      <c r="JLP11" s="1429" t="s">
        <v>134</v>
      </c>
      <c r="JLQ11" s="1429" t="s">
        <v>134</v>
      </c>
      <c r="JLR11" s="1429" t="s">
        <v>134</v>
      </c>
      <c r="JLS11" s="1429" t="s">
        <v>134</v>
      </c>
      <c r="JLT11" s="1429" t="s">
        <v>134</v>
      </c>
      <c r="JLU11" s="1429" t="s">
        <v>134</v>
      </c>
      <c r="JLV11" s="1429" t="s">
        <v>134</v>
      </c>
      <c r="JLW11" s="1429" t="s">
        <v>134</v>
      </c>
      <c r="JLX11" s="1429" t="s">
        <v>134</v>
      </c>
      <c r="JLY11" s="1429" t="s">
        <v>134</v>
      </c>
      <c r="JLZ11" s="1429" t="s">
        <v>134</v>
      </c>
      <c r="JMA11" s="1429" t="s">
        <v>134</v>
      </c>
      <c r="JMB11" s="1429" t="s">
        <v>134</v>
      </c>
      <c r="JMC11" s="1429" t="s">
        <v>134</v>
      </c>
      <c r="JMD11" s="1429" t="s">
        <v>134</v>
      </c>
      <c r="JME11" s="1429" t="s">
        <v>134</v>
      </c>
      <c r="JMF11" s="1429" t="s">
        <v>134</v>
      </c>
      <c r="JMG11" s="1429" t="s">
        <v>134</v>
      </c>
      <c r="JMH11" s="1429" t="s">
        <v>134</v>
      </c>
      <c r="JMI11" s="1429" t="s">
        <v>134</v>
      </c>
      <c r="JMJ11" s="1429" t="s">
        <v>134</v>
      </c>
      <c r="JMK11" s="1429" t="s">
        <v>134</v>
      </c>
      <c r="JML11" s="1429" t="s">
        <v>134</v>
      </c>
      <c r="JMM11" s="1429" t="s">
        <v>134</v>
      </c>
      <c r="JMN11" s="1429" t="s">
        <v>134</v>
      </c>
      <c r="JMO11" s="1429" t="s">
        <v>134</v>
      </c>
      <c r="JMP11" s="1429" t="s">
        <v>134</v>
      </c>
      <c r="JMQ11" s="1429" t="s">
        <v>134</v>
      </c>
      <c r="JMR11" s="1429" t="s">
        <v>134</v>
      </c>
      <c r="JMS11" s="1429" t="s">
        <v>134</v>
      </c>
      <c r="JMT11" s="1429" t="s">
        <v>134</v>
      </c>
      <c r="JMU11" s="1429" t="s">
        <v>134</v>
      </c>
      <c r="JMV11" s="1429" t="s">
        <v>134</v>
      </c>
      <c r="JMW11" s="1429" t="s">
        <v>134</v>
      </c>
      <c r="JMX11" s="1429" t="s">
        <v>134</v>
      </c>
      <c r="JMY11" s="1429" t="s">
        <v>134</v>
      </c>
      <c r="JMZ11" s="1429" t="s">
        <v>134</v>
      </c>
      <c r="JNA11" s="1429" t="s">
        <v>134</v>
      </c>
      <c r="JNB11" s="1429" t="s">
        <v>134</v>
      </c>
      <c r="JNC11" s="1429" t="s">
        <v>134</v>
      </c>
      <c r="JND11" s="1429" t="s">
        <v>134</v>
      </c>
      <c r="JNE11" s="1429" t="s">
        <v>134</v>
      </c>
      <c r="JNF11" s="1429" t="s">
        <v>134</v>
      </c>
      <c r="JNG11" s="1429" t="s">
        <v>134</v>
      </c>
      <c r="JNH11" s="1429" t="s">
        <v>134</v>
      </c>
      <c r="JNI11" s="1429" t="s">
        <v>134</v>
      </c>
      <c r="JNJ11" s="1429" t="s">
        <v>134</v>
      </c>
      <c r="JNK11" s="1429" t="s">
        <v>134</v>
      </c>
      <c r="JNL11" s="1429" t="s">
        <v>134</v>
      </c>
      <c r="JNM11" s="1429" t="s">
        <v>134</v>
      </c>
      <c r="JNN11" s="1429" t="s">
        <v>134</v>
      </c>
      <c r="JNO11" s="1429" t="s">
        <v>134</v>
      </c>
      <c r="JNP11" s="1429" t="s">
        <v>134</v>
      </c>
      <c r="JNQ11" s="1429" t="s">
        <v>134</v>
      </c>
      <c r="JNR11" s="1429" t="s">
        <v>134</v>
      </c>
      <c r="JNS11" s="1429" t="s">
        <v>134</v>
      </c>
      <c r="JNT11" s="1429" t="s">
        <v>134</v>
      </c>
      <c r="JNU11" s="1429" t="s">
        <v>134</v>
      </c>
      <c r="JNV11" s="1429" t="s">
        <v>134</v>
      </c>
      <c r="JNW11" s="1429" t="s">
        <v>134</v>
      </c>
      <c r="JNX11" s="1429" t="s">
        <v>134</v>
      </c>
      <c r="JNY11" s="1429" t="s">
        <v>134</v>
      </c>
      <c r="JNZ11" s="1429" t="s">
        <v>134</v>
      </c>
      <c r="JOA11" s="1429" t="s">
        <v>134</v>
      </c>
      <c r="JOB11" s="1429" t="s">
        <v>134</v>
      </c>
      <c r="JOC11" s="1429" t="s">
        <v>134</v>
      </c>
      <c r="JOD11" s="1429" t="s">
        <v>134</v>
      </c>
      <c r="JOE11" s="1429" t="s">
        <v>134</v>
      </c>
      <c r="JOF11" s="1429" t="s">
        <v>134</v>
      </c>
      <c r="JOG11" s="1429" t="s">
        <v>134</v>
      </c>
      <c r="JOH11" s="1429" t="s">
        <v>134</v>
      </c>
      <c r="JOI11" s="1429" t="s">
        <v>134</v>
      </c>
      <c r="JOJ11" s="1429" t="s">
        <v>134</v>
      </c>
      <c r="JOK11" s="1429" t="s">
        <v>134</v>
      </c>
      <c r="JOL11" s="1429" t="s">
        <v>134</v>
      </c>
      <c r="JOM11" s="1429" t="s">
        <v>134</v>
      </c>
      <c r="JON11" s="1429" t="s">
        <v>134</v>
      </c>
      <c r="JOO11" s="1429" t="s">
        <v>134</v>
      </c>
      <c r="JOP11" s="1429" t="s">
        <v>134</v>
      </c>
      <c r="JOQ11" s="1429" t="s">
        <v>134</v>
      </c>
      <c r="JOR11" s="1429" t="s">
        <v>134</v>
      </c>
      <c r="JOS11" s="1429" t="s">
        <v>134</v>
      </c>
      <c r="JOT11" s="1429" t="s">
        <v>134</v>
      </c>
      <c r="JOU11" s="1429" t="s">
        <v>134</v>
      </c>
      <c r="JOV11" s="1429" t="s">
        <v>134</v>
      </c>
      <c r="JOW11" s="1429" t="s">
        <v>134</v>
      </c>
      <c r="JOX11" s="1429" t="s">
        <v>134</v>
      </c>
      <c r="JOY11" s="1429" t="s">
        <v>134</v>
      </c>
      <c r="JOZ11" s="1429" t="s">
        <v>134</v>
      </c>
      <c r="JPA11" s="1429" t="s">
        <v>134</v>
      </c>
      <c r="JPB11" s="1429" t="s">
        <v>134</v>
      </c>
      <c r="JPC11" s="1429" t="s">
        <v>134</v>
      </c>
      <c r="JPD11" s="1429" t="s">
        <v>134</v>
      </c>
      <c r="JPE11" s="1429" t="s">
        <v>134</v>
      </c>
      <c r="JPF11" s="1429" t="s">
        <v>134</v>
      </c>
      <c r="JPG11" s="1429" t="s">
        <v>134</v>
      </c>
      <c r="JPH11" s="1429" t="s">
        <v>134</v>
      </c>
      <c r="JPI11" s="1429" t="s">
        <v>134</v>
      </c>
      <c r="JPJ11" s="1429" t="s">
        <v>134</v>
      </c>
      <c r="JPK11" s="1429" t="s">
        <v>134</v>
      </c>
      <c r="JPL11" s="1429" t="s">
        <v>134</v>
      </c>
      <c r="JPM11" s="1429" t="s">
        <v>134</v>
      </c>
      <c r="JPN11" s="1429" t="s">
        <v>134</v>
      </c>
      <c r="JPO11" s="1429" t="s">
        <v>134</v>
      </c>
      <c r="JPP11" s="1429" t="s">
        <v>134</v>
      </c>
      <c r="JPQ11" s="1429" t="s">
        <v>134</v>
      </c>
      <c r="JPR11" s="1429" t="s">
        <v>134</v>
      </c>
      <c r="JPS11" s="1429" t="s">
        <v>134</v>
      </c>
      <c r="JPT11" s="1429" t="s">
        <v>134</v>
      </c>
      <c r="JPU11" s="1429" t="s">
        <v>134</v>
      </c>
      <c r="JPV11" s="1429" t="s">
        <v>134</v>
      </c>
      <c r="JPW11" s="1429" t="s">
        <v>134</v>
      </c>
      <c r="JPX11" s="1429" t="s">
        <v>134</v>
      </c>
      <c r="JPY11" s="1429" t="s">
        <v>134</v>
      </c>
      <c r="JPZ11" s="1429" t="s">
        <v>134</v>
      </c>
      <c r="JQA11" s="1429" t="s">
        <v>134</v>
      </c>
      <c r="JQB11" s="1429" t="s">
        <v>134</v>
      </c>
      <c r="JQC11" s="1429" t="s">
        <v>134</v>
      </c>
      <c r="JQD11" s="1429" t="s">
        <v>134</v>
      </c>
      <c r="JQE11" s="1429" t="s">
        <v>134</v>
      </c>
      <c r="JQF11" s="1429" t="s">
        <v>134</v>
      </c>
      <c r="JQG11" s="1429" t="s">
        <v>134</v>
      </c>
      <c r="JQH11" s="1429" t="s">
        <v>134</v>
      </c>
      <c r="JQI11" s="1429" t="s">
        <v>134</v>
      </c>
      <c r="JQJ11" s="1429" t="s">
        <v>134</v>
      </c>
      <c r="JQK11" s="1429" t="s">
        <v>134</v>
      </c>
      <c r="JQL11" s="1429" t="s">
        <v>134</v>
      </c>
      <c r="JQM11" s="1429" t="s">
        <v>134</v>
      </c>
      <c r="JQN11" s="1429" t="s">
        <v>134</v>
      </c>
      <c r="JQO11" s="1429" t="s">
        <v>134</v>
      </c>
      <c r="JQP11" s="1429" t="s">
        <v>134</v>
      </c>
      <c r="JQQ11" s="1429" t="s">
        <v>134</v>
      </c>
      <c r="JQR11" s="1429" t="s">
        <v>134</v>
      </c>
      <c r="JQS11" s="1429" t="s">
        <v>134</v>
      </c>
      <c r="JQT11" s="1429" t="s">
        <v>134</v>
      </c>
      <c r="JQU11" s="1429" t="s">
        <v>134</v>
      </c>
      <c r="JQV11" s="1429" t="s">
        <v>134</v>
      </c>
      <c r="JQW11" s="1429" t="s">
        <v>134</v>
      </c>
      <c r="JQX11" s="1429" t="s">
        <v>134</v>
      </c>
      <c r="JQY11" s="1429" t="s">
        <v>134</v>
      </c>
      <c r="JQZ11" s="1429" t="s">
        <v>134</v>
      </c>
      <c r="JRA11" s="1429" t="s">
        <v>134</v>
      </c>
      <c r="JRB11" s="1429" t="s">
        <v>134</v>
      </c>
      <c r="JRC11" s="1429" t="s">
        <v>134</v>
      </c>
      <c r="JRD11" s="1429" t="s">
        <v>134</v>
      </c>
      <c r="JRE11" s="1429" t="s">
        <v>134</v>
      </c>
      <c r="JRF11" s="1429" t="s">
        <v>134</v>
      </c>
      <c r="JRG11" s="1429" t="s">
        <v>134</v>
      </c>
      <c r="JRH11" s="1429" t="s">
        <v>134</v>
      </c>
      <c r="JRI11" s="1429" t="s">
        <v>134</v>
      </c>
      <c r="JRJ11" s="1429" t="s">
        <v>134</v>
      </c>
      <c r="JRK11" s="1429" t="s">
        <v>134</v>
      </c>
      <c r="JRL11" s="1429" t="s">
        <v>134</v>
      </c>
      <c r="JRM11" s="1429" t="s">
        <v>134</v>
      </c>
      <c r="JRN11" s="1429" t="s">
        <v>134</v>
      </c>
      <c r="JRO11" s="1429" t="s">
        <v>134</v>
      </c>
      <c r="JRP11" s="1429" t="s">
        <v>134</v>
      </c>
      <c r="JRQ11" s="1429" t="s">
        <v>134</v>
      </c>
      <c r="JRR11" s="1429" t="s">
        <v>134</v>
      </c>
      <c r="JRS11" s="1429" t="s">
        <v>134</v>
      </c>
      <c r="JRT11" s="1429" t="s">
        <v>134</v>
      </c>
      <c r="JRU11" s="1429" t="s">
        <v>134</v>
      </c>
      <c r="JRV11" s="1429" t="s">
        <v>134</v>
      </c>
      <c r="JRW11" s="1429" t="s">
        <v>134</v>
      </c>
      <c r="JRX11" s="1429" t="s">
        <v>134</v>
      </c>
      <c r="JRY11" s="1429" t="s">
        <v>134</v>
      </c>
      <c r="JRZ11" s="1429" t="s">
        <v>134</v>
      </c>
      <c r="JSA11" s="1429" t="s">
        <v>134</v>
      </c>
      <c r="JSB11" s="1429" t="s">
        <v>134</v>
      </c>
      <c r="JSC11" s="1429" t="s">
        <v>134</v>
      </c>
      <c r="JSD11" s="1429" t="s">
        <v>134</v>
      </c>
      <c r="JSE11" s="1429" t="s">
        <v>134</v>
      </c>
      <c r="JSF11" s="1429" t="s">
        <v>134</v>
      </c>
      <c r="JSG11" s="1429" t="s">
        <v>134</v>
      </c>
      <c r="JSH11" s="1429" t="s">
        <v>134</v>
      </c>
      <c r="JSI11" s="1429" t="s">
        <v>134</v>
      </c>
      <c r="JSJ11" s="1429" t="s">
        <v>134</v>
      </c>
      <c r="JSK11" s="1429" t="s">
        <v>134</v>
      </c>
      <c r="JSL11" s="1429" t="s">
        <v>134</v>
      </c>
      <c r="JSM11" s="1429" t="s">
        <v>134</v>
      </c>
      <c r="JSN11" s="1429" t="s">
        <v>134</v>
      </c>
      <c r="JSO11" s="1429" t="s">
        <v>134</v>
      </c>
      <c r="JSP11" s="1429" t="s">
        <v>134</v>
      </c>
      <c r="JSQ11" s="1429" t="s">
        <v>134</v>
      </c>
      <c r="JSR11" s="1429" t="s">
        <v>134</v>
      </c>
      <c r="JSS11" s="1429" t="s">
        <v>134</v>
      </c>
      <c r="JST11" s="1429" t="s">
        <v>134</v>
      </c>
      <c r="JSU11" s="1429" t="s">
        <v>134</v>
      </c>
      <c r="JSV11" s="1429" t="s">
        <v>134</v>
      </c>
      <c r="JSW11" s="1429" t="s">
        <v>134</v>
      </c>
      <c r="JSX11" s="1429" t="s">
        <v>134</v>
      </c>
      <c r="JSY11" s="1429" t="s">
        <v>134</v>
      </c>
      <c r="JSZ11" s="1429" t="s">
        <v>134</v>
      </c>
      <c r="JTA11" s="1429" t="s">
        <v>134</v>
      </c>
      <c r="JTB11" s="1429" t="s">
        <v>134</v>
      </c>
      <c r="JTC11" s="1429" t="s">
        <v>134</v>
      </c>
      <c r="JTD11" s="1429" t="s">
        <v>134</v>
      </c>
      <c r="JTE11" s="1429" t="s">
        <v>134</v>
      </c>
      <c r="JTF11" s="1429" t="s">
        <v>134</v>
      </c>
      <c r="JTG11" s="1429" t="s">
        <v>134</v>
      </c>
      <c r="JTH11" s="1429" t="s">
        <v>134</v>
      </c>
      <c r="JTI11" s="1429" t="s">
        <v>134</v>
      </c>
      <c r="JTJ11" s="1429" t="s">
        <v>134</v>
      </c>
      <c r="JTK11" s="1429" t="s">
        <v>134</v>
      </c>
      <c r="JTL11" s="1429" t="s">
        <v>134</v>
      </c>
      <c r="JTM11" s="1429" t="s">
        <v>134</v>
      </c>
      <c r="JTN11" s="1429" t="s">
        <v>134</v>
      </c>
      <c r="JTO11" s="1429" t="s">
        <v>134</v>
      </c>
      <c r="JTP11" s="1429" t="s">
        <v>134</v>
      </c>
      <c r="JTQ11" s="1429" t="s">
        <v>134</v>
      </c>
      <c r="JTR11" s="1429" t="s">
        <v>134</v>
      </c>
      <c r="JTS11" s="1429" t="s">
        <v>134</v>
      </c>
      <c r="JTT11" s="1429" t="s">
        <v>134</v>
      </c>
      <c r="JTU11" s="1429" t="s">
        <v>134</v>
      </c>
      <c r="JTV11" s="1429" t="s">
        <v>134</v>
      </c>
      <c r="JTW11" s="1429" t="s">
        <v>134</v>
      </c>
      <c r="JTX11" s="1429" t="s">
        <v>134</v>
      </c>
      <c r="JTY11" s="1429" t="s">
        <v>134</v>
      </c>
      <c r="JTZ11" s="1429" t="s">
        <v>134</v>
      </c>
      <c r="JUA11" s="1429" t="s">
        <v>134</v>
      </c>
      <c r="JUB11" s="1429" t="s">
        <v>134</v>
      </c>
      <c r="JUC11" s="1429" t="s">
        <v>134</v>
      </c>
      <c r="JUD11" s="1429" t="s">
        <v>134</v>
      </c>
      <c r="JUE11" s="1429" t="s">
        <v>134</v>
      </c>
      <c r="JUF11" s="1429" t="s">
        <v>134</v>
      </c>
      <c r="JUG11" s="1429" t="s">
        <v>134</v>
      </c>
      <c r="JUH11" s="1429" t="s">
        <v>134</v>
      </c>
      <c r="JUI11" s="1429" t="s">
        <v>134</v>
      </c>
      <c r="JUJ11" s="1429" t="s">
        <v>134</v>
      </c>
      <c r="JUK11" s="1429" t="s">
        <v>134</v>
      </c>
      <c r="JUL11" s="1429" t="s">
        <v>134</v>
      </c>
      <c r="JUM11" s="1429" t="s">
        <v>134</v>
      </c>
      <c r="JUN11" s="1429" t="s">
        <v>134</v>
      </c>
      <c r="JUO11" s="1429" t="s">
        <v>134</v>
      </c>
      <c r="JUP11" s="1429" t="s">
        <v>134</v>
      </c>
      <c r="JUQ11" s="1429" t="s">
        <v>134</v>
      </c>
      <c r="JUR11" s="1429" t="s">
        <v>134</v>
      </c>
      <c r="JUS11" s="1429" t="s">
        <v>134</v>
      </c>
      <c r="JUT11" s="1429" t="s">
        <v>134</v>
      </c>
      <c r="JUU11" s="1429" t="s">
        <v>134</v>
      </c>
      <c r="JUV11" s="1429" t="s">
        <v>134</v>
      </c>
      <c r="JUW11" s="1429" t="s">
        <v>134</v>
      </c>
      <c r="JUX11" s="1429" t="s">
        <v>134</v>
      </c>
      <c r="JUY11" s="1429" t="s">
        <v>134</v>
      </c>
      <c r="JUZ11" s="1429" t="s">
        <v>134</v>
      </c>
      <c r="JVA11" s="1429" t="s">
        <v>134</v>
      </c>
      <c r="JVB11" s="1429" t="s">
        <v>134</v>
      </c>
      <c r="JVC11" s="1429" t="s">
        <v>134</v>
      </c>
      <c r="JVD11" s="1429" t="s">
        <v>134</v>
      </c>
      <c r="JVE11" s="1429" t="s">
        <v>134</v>
      </c>
      <c r="JVF11" s="1429" t="s">
        <v>134</v>
      </c>
      <c r="JVG11" s="1429" t="s">
        <v>134</v>
      </c>
      <c r="JVH11" s="1429" t="s">
        <v>134</v>
      </c>
      <c r="JVI11" s="1429" t="s">
        <v>134</v>
      </c>
      <c r="JVJ11" s="1429" t="s">
        <v>134</v>
      </c>
      <c r="JVK11" s="1429" t="s">
        <v>134</v>
      </c>
      <c r="JVL11" s="1429" t="s">
        <v>134</v>
      </c>
      <c r="JVM11" s="1429" t="s">
        <v>134</v>
      </c>
      <c r="JVN11" s="1429" t="s">
        <v>134</v>
      </c>
      <c r="JVO11" s="1429" t="s">
        <v>134</v>
      </c>
      <c r="JVP11" s="1429" t="s">
        <v>134</v>
      </c>
      <c r="JVQ11" s="1429" t="s">
        <v>134</v>
      </c>
      <c r="JVR11" s="1429" t="s">
        <v>134</v>
      </c>
      <c r="JVS11" s="1429" t="s">
        <v>134</v>
      </c>
      <c r="JVT11" s="1429" t="s">
        <v>134</v>
      </c>
      <c r="JVU11" s="1429" t="s">
        <v>134</v>
      </c>
      <c r="JVV11" s="1429" t="s">
        <v>134</v>
      </c>
      <c r="JVW11" s="1429" t="s">
        <v>134</v>
      </c>
      <c r="JVX11" s="1429" t="s">
        <v>134</v>
      </c>
      <c r="JVY11" s="1429" t="s">
        <v>134</v>
      </c>
      <c r="JVZ11" s="1429" t="s">
        <v>134</v>
      </c>
      <c r="JWA11" s="1429" t="s">
        <v>134</v>
      </c>
      <c r="JWB11" s="1429" t="s">
        <v>134</v>
      </c>
      <c r="JWC11" s="1429" t="s">
        <v>134</v>
      </c>
      <c r="JWD11" s="1429" t="s">
        <v>134</v>
      </c>
      <c r="JWE11" s="1429" t="s">
        <v>134</v>
      </c>
      <c r="JWF11" s="1429" t="s">
        <v>134</v>
      </c>
      <c r="JWG11" s="1429" t="s">
        <v>134</v>
      </c>
      <c r="JWH11" s="1429" t="s">
        <v>134</v>
      </c>
      <c r="JWI11" s="1429" t="s">
        <v>134</v>
      </c>
      <c r="JWJ11" s="1429" t="s">
        <v>134</v>
      </c>
      <c r="JWK11" s="1429" t="s">
        <v>134</v>
      </c>
      <c r="JWL11" s="1429" t="s">
        <v>134</v>
      </c>
      <c r="JWM11" s="1429" t="s">
        <v>134</v>
      </c>
      <c r="JWN11" s="1429" t="s">
        <v>134</v>
      </c>
      <c r="JWO11" s="1429" t="s">
        <v>134</v>
      </c>
      <c r="JWP11" s="1429" t="s">
        <v>134</v>
      </c>
      <c r="JWQ11" s="1429" t="s">
        <v>134</v>
      </c>
      <c r="JWR11" s="1429" t="s">
        <v>134</v>
      </c>
      <c r="JWS11" s="1429" t="s">
        <v>134</v>
      </c>
      <c r="JWT11" s="1429" t="s">
        <v>134</v>
      </c>
      <c r="JWU11" s="1429" t="s">
        <v>134</v>
      </c>
      <c r="JWV11" s="1429" t="s">
        <v>134</v>
      </c>
      <c r="JWW11" s="1429" t="s">
        <v>134</v>
      </c>
      <c r="JWX11" s="1429" t="s">
        <v>134</v>
      </c>
      <c r="JWY11" s="1429" t="s">
        <v>134</v>
      </c>
      <c r="JWZ11" s="1429" t="s">
        <v>134</v>
      </c>
      <c r="JXA11" s="1429" t="s">
        <v>134</v>
      </c>
      <c r="JXB11" s="1429" t="s">
        <v>134</v>
      </c>
      <c r="JXC11" s="1429" t="s">
        <v>134</v>
      </c>
      <c r="JXD11" s="1429" t="s">
        <v>134</v>
      </c>
      <c r="JXE11" s="1429" t="s">
        <v>134</v>
      </c>
      <c r="JXF11" s="1429" t="s">
        <v>134</v>
      </c>
      <c r="JXG11" s="1429" t="s">
        <v>134</v>
      </c>
      <c r="JXH11" s="1429" t="s">
        <v>134</v>
      </c>
      <c r="JXI11" s="1429" t="s">
        <v>134</v>
      </c>
      <c r="JXJ11" s="1429" t="s">
        <v>134</v>
      </c>
      <c r="JXK11" s="1429" t="s">
        <v>134</v>
      </c>
      <c r="JXL11" s="1429" t="s">
        <v>134</v>
      </c>
      <c r="JXM11" s="1429" t="s">
        <v>134</v>
      </c>
      <c r="JXN11" s="1429" t="s">
        <v>134</v>
      </c>
      <c r="JXO11" s="1429" t="s">
        <v>134</v>
      </c>
      <c r="JXP11" s="1429" t="s">
        <v>134</v>
      </c>
      <c r="JXQ11" s="1429" t="s">
        <v>134</v>
      </c>
      <c r="JXR11" s="1429" t="s">
        <v>134</v>
      </c>
      <c r="JXS11" s="1429" t="s">
        <v>134</v>
      </c>
      <c r="JXT11" s="1429" t="s">
        <v>134</v>
      </c>
      <c r="JXU11" s="1429" t="s">
        <v>134</v>
      </c>
      <c r="JXV11" s="1429" t="s">
        <v>134</v>
      </c>
      <c r="JXW11" s="1429" t="s">
        <v>134</v>
      </c>
      <c r="JXX11" s="1429" t="s">
        <v>134</v>
      </c>
      <c r="JXY11" s="1429" t="s">
        <v>134</v>
      </c>
      <c r="JXZ11" s="1429" t="s">
        <v>134</v>
      </c>
      <c r="JYA11" s="1429" t="s">
        <v>134</v>
      </c>
      <c r="JYB11" s="1429" t="s">
        <v>134</v>
      </c>
      <c r="JYC11" s="1429" t="s">
        <v>134</v>
      </c>
      <c r="JYD11" s="1429" t="s">
        <v>134</v>
      </c>
      <c r="JYE11" s="1429" t="s">
        <v>134</v>
      </c>
      <c r="JYF11" s="1429" t="s">
        <v>134</v>
      </c>
      <c r="JYG11" s="1429" t="s">
        <v>134</v>
      </c>
      <c r="JYH11" s="1429" t="s">
        <v>134</v>
      </c>
      <c r="JYI11" s="1429" t="s">
        <v>134</v>
      </c>
      <c r="JYJ11" s="1429" t="s">
        <v>134</v>
      </c>
      <c r="JYK11" s="1429" t="s">
        <v>134</v>
      </c>
      <c r="JYL11" s="1429" t="s">
        <v>134</v>
      </c>
      <c r="JYM11" s="1429" t="s">
        <v>134</v>
      </c>
      <c r="JYN11" s="1429" t="s">
        <v>134</v>
      </c>
      <c r="JYO11" s="1429" t="s">
        <v>134</v>
      </c>
      <c r="JYP11" s="1429" t="s">
        <v>134</v>
      </c>
      <c r="JYQ11" s="1429" t="s">
        <v>134</v>
      </c>
      <c r="JYR11" s="1429" t="s">
        <v>134</v>
      </c>
      <c r="JYS11" s="1429" t="s">
        <v>134</v>
      </c>
      <c r="JYT11" s="1429" t="s">
        <v>134</v>
      </c>
      <c r="JYU11" s="1429" t="s">
        <v>134</v>
      </c>
      <c r="JYV11" s="1429" t="s">
        <v>134</v>
      </c>
      <c r="JYW11" s="1429" t="s">
        <v>134</v>
      </c>
      <c r="JYX11" s="1429" t="s">
        <v>134</v>
      </c>
      <c r="JYY11" s="1429" t="s">
        <v>134</v>
      </c>
      <c r="JYZ11" s="1429" t="s">
        <v>134</v>
      </c>
      <c r="JZA11" s="1429" t="s">
        <v>134</v>
      </c>
      <c r="JZB11" s="1429" t="s">
        <v>134</v>
      </c>
      <c r="JZC11" s="1429" t="s">
        <v>134</v>
      </c>
      <c r="JZD11" s="1429" t="s">
        <v>134</v>
      </c>
      <c r="JZE11" s="1429" t="s">
        <v>134</v>
      </c>
      <c r="JZF11" s="1429" t="s">
        <v>134</v>
      </c>
      <c r="JZG11" s="1429" t="s">
        <v>134</v>
      </c>
      <c r="JZH11" s="1429" t="s">
        <v>134</v>
      </c>
      <c r="JZI11" s="1429" t="s">
        <v>134</v>
      </c>
      <c r="JZJ11" s="1429" t="s">
        <v>134</v>
      </c>
      <c r="JZK11" s="1429" t="s">
        <v>134</v>
      </c>
      <c r="JZL11" s="1429" t="s">
        <v>134</v>
      </c>
      <c r="JZM11" s="1429" t="s">
        <v>134</v>
      </c>
      <c r="JZN11" s="1429" t="s">
        <v>134</v>
      </c>
      <c r="JZO11" s="1429" t="s">
        <v>134</v>
      </c>
      <c r="JZP11" s="1429" t="s">
        <v>134</v>
      </c>
      <c r="JZQ11" s="1429" t="s">
        <v>134</v>
      </c>
      <c r="JZR11" s="1429" t="s">
        <v>134</v>
      </c>
      <c r="JZS11" s="1429" t="s">
        <v>134</v>
      </c>
      <c r="JZT11" s="1429" t="s">
        <v>134</v>
      </c>
      <c r="JZU11" s="1429" t="s">
        <v>134</v>
      </c>
      <c r="JZV11" s="1429" t="s">
        <v>134</v>
      </c>
      <c r="JZW11" s="1429" t="s">
        <v>134</v>
      </c>
      <c r="JZX11" s="1429" t="s">
        <v>134</v>
      </c>
      <c r="JZY11" s="1429" t="s">
        <v>134</v>
      </c>
      <c r="JZZ11" s="1429" t="s">
        <v>134</v>
      </c>
      <c r="KAA11" s="1429" t="s">
        <v>134</v>
      </c>
      <c r="KAB11" s="1429" t="s">
        <v>134</v>
      </c>
      <c r="KAC11" s="1429" t="s">
        <v>134</v>
      </c>
      <c r="KAD11" s="1429" t="s">
        <v>134</v>
      </c>
      <c r="KAE11" s="1429" t="s">
        <v>134</v>
      </c>
      <c r="KAF11" s="1429" t="s">
        <v>134</v>
      </c>
      <c r="KAG11" s="1429" t="s">
        <v>134</v>
      </c>
      <c r="KAH11" s="1429" t="s">
        <v>134</v>
      </c>
      <c r="KAI11" s="1429" t="s">
        <v>134</v>
      </c>
      <c r="KAJ11" s="1429" t="s">
        <v>134</v>
      </c>
      <c r="KAK11" s="1429" t="s">
        <v>134</v>
      </c>
      <c r="KAL11" s="1429" t="s">
        <v>134</v>
      </c>
      <c r="KAM11" s="1429" t="s">
        <v>134</v>
      </c>
      <c r="KAN11" s="1429" t="s">
        <v>134</v>
      </c>
      <c r="KAO11" s="1429" t="s">
        <v>134</v>
      </c>
      <c r="KAP11" s="1429" t="s">
        <v>134</v>
      </c>
      <c r="KAQ11" s="1429" t="s">
        <v>134</v>
      </c>
      <c r="KAR11" s="1429" t="s">
        <v>134</v>
      </c>
      <c r="KAS11" s="1429" t="s">
        <v>134</v>
      </c>
      <c r="KAT11" s="1429" t="s">
        <v>134</v>
      </c>
      <c r="KAU11" s="1429" t="s">
        <v>134</v>
      </c>
      <c r="KAV11" s="1429" t="s">
        <v>134</v>
      </c>
      <c r="KAW11" s="1429" t="s">
        <v>134</v>
      </c>
      <c r="KAX11" s="1429" t="s">
        <v>134</v>
      </c>
      <c r="KAY11" s="1429" t="s">
        <v>134</v>
      </c>
      <c r="KAZ11" s="1429" t="s">
        <v>134</v>
      </c>
      <c r="KBA11" s="1429" t="s">
        <v>134</v>
      </c>
      <c r="KBB11" s="1429" t="s">
        <v>134</v>
      </c>
      <c r="KBC11" s="1429" t="s">
        <v>134</v>
      </c>
      <c r="KBD11" s="1429" t="s">
        <v>134</v>
      </c>
      <c r="KBE11" s="1429" t="s">
        <v>134</v>
      </c>
      <c r="KBF11" s="1429" t="s">
        <v>134</v>
      </c>
      <c r="KBG11" s="1429" t="s">
        <v>134</v>
      </c>
      <c r="KBH11" s="1429" t="s">
        <v>134</v>
      </c>
      <c r="KBI11" s="1429" t="s">
        <v>134</v>
      </c>
      <c r="KBJ11" s="1429" t="s">
        <v>134</v>
      </c>
      <c r="KBK11" s="1429" t="s">
        <v>134</v>
      </c>
      <c r="KBL11" s="1429" t="s">
        <v>134</v>
      </c>
      <c r="KBM11" s="1429" t="s">
        <v>134</v>
      </c>
      <c r="KBN11" s="1429" t="s">
        <v>134</v>
      </c>
      <c r="KBO11" s="1429" t="s">
        <v>134</v>
      </c>
      <c r="KBP11" s="1429" t="s">
        <v>134</v>
      </c>
      <c r="KBQ11" s="1429" t="s">
        <v>134</v>
      </c>
      <c r="KBR11" s="1429" t="s">
        <v>134</v>
      </c>
      <c r="KBS11" s="1429" t="s">
        <v>134</v>
      </c>
      <c r="KBT11" s="1429" t="s">
        <v>134</v>
      </c>
      <c r="KBU11" s="1429" t="s">
        <v>134</v>
      </c>
      <c r="KBV11" s="1429" t="s">
        <v>134</v>
      </c>
      <c r="KBW11" s="1429" t="s">
        <v>134</v>
      </c>
      <c r="KBX11" s="1429" t="s">
        <v>134</v>
      </c>
      <c r="KBY11" s="1429" t="s">
        <v>134</v>
      </c>
      <c r="KBZ11" s="1429" t="s">
        <v>134</v>
      </c>
      <c r="KCA11" s="1429" t="s">
        <v>134</v>
      </c>
      <c r="KCB11" s="1429" t="s">
        <v>134</v>
      </c>
      <c r="KCC11" s="1429" t="s">
        <v>134</v>
      </c>
      <c r="KCD11" s="1429" t="s">
        <v>134</v>
      </c>
      <c r="KCE11" s="1429" t="s">
        <v>134</v>
      </c>
      <c r="KCF11" s="1429" t="s">
        <v>134</v>
      </c>
      <c r="KCG11" s="1429" t="s">
        <v>134</v>
      </c>
      <c r="KCH11" s="1429" t="s">
        <v>134</v>
      </c>
      <c r="KCI11" s="1429" t="s">
        <v>134</v>
      </c>
      <c r="KCJ11" s="1429" t="s">
        <v>134</v>
      </c>
      <c r="KCK11" s="1429" t="s">
        <v>134</v>
      </c>
      <c r="KCL11" s="1429" t="s">
        <v>134</v>
      </c>
      <c r="KCM11" s="1429" t="s">
        <v>134</v>
      </c>
      <c r="KCN11" s="1429" t="s">
        <v>134</v>
      </c>
      <c r="KCO11" s="1429" t="s">
        <v>134</v>
      </c>
      <c r="KCP11" s="1429" t="s">
        <v>134</v>
      </c>
      <c r="KCQ11" s="1429" t="s">
        <v>134</v>
      </c>
      <c r="KCR11" s="1429" t="s">
        <v>134</v>
      </c>
      <c r="KCS11" s="1429" t="s">
        <v>134</v>
      </c>
      <c r="KCT11" s="1429" t="s">
        <v>134</v>
      </c>
      <c r="KCU11" s="1429" t="s">
        <v>134</v>
      </c>
      <c r="KCV11" s="1429" t="s">
        <v>134</v>
      </c>
      <c r="KCW11" s="1429" t="s">
        <v>134</v>
      </c>
      <c r="KCX11" s="1429" t="s">
        <v>134</v>
      </c>
      <c r="KCY11" s="1429" t="s">
        <v>134</v>
      </c>
      <c r="KCZ11" s="1429" t="s">
        <v>134</v>
      </c>
      <c r="KDA11" s="1429" t="s">
        <v>134</v>
      </c>
      <c r="KDB11" s="1429" t="s">
        <v>134</v>
      </c>
      <c r="KDC11" s="1429" t="s">
        <v>134</v>
      </c>
      <c r="KDD11" s="1429" t="s">
        <v>134</v>
      </c>
      <c r="KDE11" s="1429" t="s">
        <v>134</v>
      </c>
      <c r="KDF11" s="1429" t="s">
        <v>134</v>
      </c>
      <c r="KDG11" s="1429" t="s">
        <v>134</v>
      </c>
      <c r="KDH11" s="1429" t="s">
        <v>134</v>
      </c>
      <c r="KDI11" s="1429" t="s">
        <v>134</v>
      </c>
      <c r="KDJ11" s="1429" t="s">
        <v>134</v>
      </c>
      <c r="KDK11" s="1429" t="s">
        <v>134</v>
      </c>
      <c r="KDL11" s="1429" t="s">
        <v>134</v>
      </c>
      <c r="KDM11" s="1429" t="s">
        <v>134</v>
      </c>
      <c r="KDN11" s="1429" t="s">
        <v>134</v>
      </c>
      <c r="KDO11" s="1429" t="s">
        <v>134</v>
      </c>
      <c r="KDP11" s="1429" t="s">
        <v>134</v>
      </c>
      <c r="KDQ11" s="1429" t="s">
        <v>134</v>
      </c>
      <c r="KDR11" s="1429" t="s">
        <v>134</v>
      </c>
      <c r="KDS11" s="1429" t="s">
        <v>134</v>
      </c>
      <c r="KDT11" s="1429" t="s">
        <v>134</v>
      </c>
      <c r="KDU11" s="1429" t="s">
        <v>134</v>
      </c>
      <c r="KDV11" s="1429" t="s">
        <v>134</v>
      </c>
      <c r="KDW11" s="1429" t="s">
        <v>134</v>
      </c>
      <c r="KDX11" s="1429" t="s">
        <v>134</v>
      </c>
      <c r="KDY11" s="1429" t="s">
        <v>134</v>
      </c>
      <c r="KDZ11" s="1429" t="s">
        <v>134</v>
      </c>
      <c r="KEA11" s="1429" t="s">
        <v>134</v>
      </c>
      <c r="KEB11" s="1429" t="s">
        <v>134</v>
      </c>
      <c r="KEC11" s="1429" t="s">
        <v>134</v>
      </c>
      <c r="KED11" s="1429" t="s">
        <v>134</v>
      </c>
      <c r="KEE11" s="1429" t="s">
        <v>134</v>
      </c>
      <c r="KEF11" s="1429" t="s">
        <v>134</v>
      </c>
      <c r="KEG11" s="1429" t="s">
        <v>134</v>
      </c>
      <c r="KEH11" s="1429" t="s">
        <v>134</v>
      </c>
      <c r="KEI11" s="1429" t="s">
        <v>134</v>
      </c>
      <c r="KEJ11" s="1429" t="s">
        <v>134</v>
      </c>
      <c r="KEK11" s="1429" t="s">
        <v>134</v>
      </c>
      <c r="KEL11" s="1429" t="s">
        <v>134</v>
      </c>
      <c r="KEM11" s="1429" t="s">
        <v>134</v>
      </c>
      <c r="KEN11" s="1429" t="s">
        <v>134</v>
      </c>
      <c r="KEO11" s="1429" t="s">
        <v>134</v>
      </c>
      <c r="KEP11" s="1429" t="s">
        <v>134</v>
      </c>
      <c r="KEQ11" s="1429" t="s">
        <v>134</v>
      </c>
      <c r="KER11" s="1429" t="s">
        <v>134</v>
      </c>
      <c r="KES11" s="1429" t="s">
        <v>134</v>
      </c>
      <c r="KET11" s="1429" t="s">
        <v>134</v>
      </c>
      <c r="KEU11" s="1429" t="s">
        <v>134</v>
      </c>
      <c r="KEV11" s="1429" t="s">
        <v>134</v>
      </c>
      <c r="KEW11" s="1429" t="s">
        <v>134</v>
      </c>
      <c r="KEX11" s="1429" t="s">
        <v>134</v>
      </c>
      <c r="KEY11" s="1429" t="s">
        <v>134</v>
      </c>
      <c r="KEZ11" s="1429" t="s">
        <v>134</v>
      </c>
      <c r="KFA11" s="1429" t="s">
        <v>134</v>
      </c>
      <c r="KFB11" s="1429" t="s">
        <v>134</v>
      </c>
      <c r="KFC11" s="1429" t="s">
        <v>134</v>
      </c>
      <c r="KFD11" s="1429" t="s">
        <v>134</v>
      </c>
      <c r="KFE11" s="1429" t="s">
        <v>134</v>
      </c>
      <c r="KFF11" s="1429" t="s">
        <v>134</v>
      </c>
      <c r="KFG11" s="1429" t="s">
        <v>134</v>
      </c>
      <c r="KFH11" s="1429" t="s">
        <v>134</v>
      </c>
      <c r="KFI11" s="1429" t="s">
        <v>134</v>
      </c>
      <c r="KFJ11" s="1429" t="s">
        <v>134</v>
      </c>
      <c r="KFK11" s="1429" t="s">
        <v>134</v>
      </c>
      <c r="KFL11" s="1429" t="s">
        <v>134</v>
      </c>
      <c r="KFM11" s="1429" t="s">
        <v>134</v>
      </c>
      <c r="KFN11" s="1429" t="s">
        <v>134</v>
      </c>
      <c r="KFO11" s="1429" t="s">
        <v>134</v>
      </c>
      <c r="KFP11" s="1429" t="s">
        <v>134</v>
      </c>
      <c r="KFQ11" s="1429" t="s">
        <v>134</v>
      </c>
      <c r="KFR11" s="1429" t="s">
        <v>134</v>
      </c>
      <c r="KFS11" s="1429" t="s">
        <v>134</v>
      </c>
      <c r="KFT11" s="1429" t="s">
        <v>134</v>
      </c>
      <c r="KFU11" s="1429" t="s">
        <v>134</v>
      </c>
      <c r="KFV11" s="1429" t="s">
        <v>134</v>
      </c>
      <c r="KFW11" s="1429" t="s">
        <v>134</v>
      </c>
      <c r="KFX11" s="1429" t="s">
        <v>134</v>
      </c>
      <c r="KFY11" s="1429" t="s">
        <v>134</v>
      </c>
      <c r="KFZ11" s="1429" t="s">
        <v>134</v>
      </c>
      <c r="KGA11" s="1429" t="s">
        <v>134</v>
      </c>
      <c r="KGB11" s="1429" t="s">
        <v>134</v>
      </c>
      <c r="KGC11" s="1429" t="s">
        <v>134</v>
      </c>
      <c r="KGD11" s="1429" t="s">
        <v>134</v>
      </c>
      <c r="KGE11" s="1429" t="s">
        <v>134</v>
      </c>
      <c r="KGF11" s="1429" t="s">
        <v>134</v>
      </c>
      <c r="KGG11" s="1429" t="s">
        <v>134</v>
      </c>
      <c r="KGH11" s="1429" t="s">
        <v>134</v>
      </c>
      <c r="KGI11" s="1429" t="s">
        <v>134</v>
      </c>
      <c r="KGJ11" s="1429" t="s">
        <v>134</v>
      </c>
      <c r="KGK11" s="1429" t="s">
        <v>134</v>
      </c>
      <c r="KGL11" s="1429" t="s">
        <v>134</v>
      </c>
      <c r="KGM11" s="1429" t="s">
        <v>134</v>
      </c>
      <c r="KGN11" s="1429" t="s">
        <v>134</v>
      </c>
      <c r="KGO11" s="1429" t="s">
        <v>134</v>
      </c>
      <c r="KGP11" s="1429" t="s">
        <v>134</v>
      </c>
      <c r="KGQ11" s="1429" t="s">
        <v>134</v>
      </c>
      <c r="KGR11" s="1429" t="s">
        <v>134</v>
      </c>
      <c r="KGS11" s="1429" t="s">
        <v>134</v>
      </c>
      <c r="KGT11" s="1429" t="s">
        <v>134</v>
      </c>
      <c r="KGU11" s="1429" t="s">
        <v>134</v>
      </c>
      <c r="KGV11" s="1429" t="s">
        <v>134</v>
      </c>
      <c r="KGW11" s="1429" t="s">
        <v>134</v>
      </c>
      <c r="KGX11" s="1429" t="s">
        <v>134</v>
      </c>
      <c r="KGY11" s="1429" t="s">
        <v>134</v>
      </c>
      <c r="KGZ11" s="1429" t="s">
        <v>134</v>
      </c>
      <c r="KHA11" s="1429" t="s">
        <v>134</v>
      </c>
      <c r="KHB11" s="1429" t="s">
        <v>134</v>
      </c>
      <c r="KHC11" s="1429" t="s">
        <v>134</v>
      </c>
      <c r="KHD11" s="1429" t="s">
        <v>134</v>
      </c>
      <c r="KHE11" s="1429" t="s">
        <v>134</v>
      </c>
      <c r="KHF11" s="1429" t="s">
        <v>134</v>
      </c>
      <c r="KHG11" s="1429" t="s">
        <v>134</v>
      </c>
      <c r="KHH11" s="1429" t="s">
        <v>134</v>
      </c>
      <c r="KHI11" s="1429" t="s">
        <v>134</v>
      </c>
      <c r="KHJ11" s="1429" t="s">
        <v>134</v>
      </c>
      <c r="KHK11" s="1429" t="s">
        <v>134</v>
      </c>
      <c r="KHL11" s="1429" t="s">
        <v>134</v>
      </c>
      <c r="KHM11" s="1429" t="s">
        <v>134</v>
      </c>
      <c r="KHN11" s="1429" t="s">
        <v>134</v>
      </c>
      <c r="KHO11" s="1429" t="s">
        <v>134</v>
      </c>
      <c r="KHP11" s="1429" t="s">
        <v>134</v>
      </c>
      <c r="KHQ11" s="1429" t="s">
        <v>134</v>
      </c>
      <c r="KHR11" s="1429" t="s">
        <v>134</v>
      </c>
      <c r="KHS11" s="1429" t="s">
        <v>134</v>
      </c>
      <c r="KHT11" s="1429" t="s">
        <v>134</v>
      </c>
      <c r="KHU11" s="1429" t="s">
        <v>134</v>
      </c>
      <c r="KHV11" s="1429" t="s">
        <v>134</v>
      </c>
      <c r="KHW11" s="1429" t="s">
        <v>134</v>
      </c>
      <c r="KHX11" s="1429" t="s">
        <v>134</v>
      </c>
      <c r="KHY11" s="1429" t="s">
        <v>134</v>
      </c>
      <c r="KHZ11" s="1429" t="s">
        <v>134</v>
      </c>
      <c r="KIA11" s="1429" t="s">
        <v>134</v>
      </c>
      <c r="KIB11" s="1429" t="s">
        <v>134</v>
      </c>
      <c r="KIC11" s="1429" t="s">
        <v>134</v>
      </c>
      <c r="KID11" s="1429" t="s">
        <v>134</v>
      </c>
      <c r="KIE11" s="1429" t="s">
        <v>134</v>
      </c>
      <c r="KIF11" s="1429" t="s">
        <v>134</v>
      </c>
      <c r="KIG11" s="1429" t="s">
        <v>134</v>
      </c>
      <c r="KIH11" s="1429" t="s">
        <v>134</v>
      </c>
      <c r="KII11" s="1429" t="s">
        <v>134</v>
      </c>
      <c r="KIJ11" s="1429" t="s">
        <v>134</v>
      </c>
      <c r="KIK11" s="1429" t="s">
        <v>134</v>
      </c>
      <c r="KIL11" s="1429" t="s">
        <v>134</v>
      </c>
      <c r="KIM11" s="1429" t="s">
        <v>134</v>
      </c>
      <c r="KIN11" s="1429" t="s">
        <v>134</v>
      </c>
      <c r="KIO11" s="1429" t="s">
        <v>134</v>
      </c>
      <c r="KIP11" s="1429" t="s">
        <v>134</v>
      </c>
      <c r="KIQ11" s="1429" t="s">
        <v>134</v>
      </c>
      <c r="KIR11" s="1429" t="s">
        <v>134</v>
      </c>
      <c r="KIS11" s="1429" t="s">
        <v>134</v>
      </c>
      <c r="KIT11" s="1429" t="s">
        <v>134</v>
      </c>
      <c r="KIU11" s="1429" t="s">
        <v>134</v>
      </c>
      <c r="KIV11" s="1429" t="s">
        <v>134</v>
      </c>
      <c r="KIW11" s="1429" t="s">
        <v>134</v>
      </c>
      <c r="KIX11" s="1429" t="s">
        <v>134</v>
      </c>
      <c r="KIY11" s="1429" t="s">
        <v>134</v>
      </c>
      <c r="KIZ11" s="1429" t="s">
        <v>134</v>
      </c>
      <c r="KJA11" s="1429" t="s">
        <v>134</v>
      </c>
      <c r="KJB11" s="1429" t="s">
        <v>134</v>
      </c>
      <c r="KJC11" s="1429" t="s">
        <v>134</v>
      </c>
      <c r="KJD11" s="1429" t="s">
        <v>134</v>
      </c>
      <c r="KJE11" s="1429" t="s">
        <v>134</v>
      </c>
      <c r="KJF11" s="1429" t="s">
        <v>134</v>
      </c>
      <c r="KJG11" s="1429" t="s">
        <v>134</v>
      </c>
      <c r="KJH11" s="1429" t="s">
        <v>134</v>
      </c>
      <c r="KJI11" s="1429" t="s">
        <v>134</v>
      </c>
      <c r="KJJ11" s="1429" t="s">
        <v>134</v>
      </c>
      <c r="KJK11" s="1429" t="s">
        <v>134</v>
      </c>
      <c r="KJL11" s="1429" t="s">
        <v>134</v>
      </c>
      <c r="KJM11" s="1429" t="s">
        <v>134</v>
      </c>
      <c r="KJN11" s="1429" t="s">
        <v>134</v>
      </c>
      <c r="KJO11" s="1429" t="s">
        <v>134</v>
      </c>
      <c r="KJP11" s="1429" t="s">
        <v>134</v>
      </c>
      <c r="KJQ11" s="1429" t="s">
        <v>134</v>
      </c>
      <c r="KJR11" s="1429" t="s">
        <v>134</v>
      </c>
      <c r="KJS11" s="1429" t="s">
        <v>134</v>
      </c>
      <c r="KJT11" s="1429" t="s">
        <v>134</v>
      </c>
      <c r="KJU11" s="1429" t="s">
        <v>134</v>
      </c>
      <c r="KJV11" s="1429" t="s">
        <v>134</v>
      </c>
      <c r="KJW11" s="1429" t="s">
        <v>134</v>
      </c>
      <c r="KJX11" s="1429" t="s">
        <v>134</v>
      </c>
      <c r="KJY11" s="1429" t="s">
        <v>134</v>
      </c>
      <c r="KJZ11" s="1429" t="s">
        <v>134</v>
      </c>
      <c r="KKA11" s="1429" t="s">
        <v>134</v>
      </c>
      <c r="KKB11" s="1429" t="s">
        <v>134</v>
      </c>
      <c r="KKC11" s="1429" t="s">
        <v>134</v>
      </c>
      <c r="KKD11" s="1429" t="s">
        <v>134</v>
      </c>
      <c r="KKE11" s="1429" t="s">
        <v>134</v>
      </c>
      <c r="KKF11" s="1429" t="s">
        <v>134</v>
      </c>
      <c r="KKG11" s="1429" t="s">
        <v>134</v>
      </c>
      <c r="KKH11" s="1429" t="s">
        <v>134</v>
      </c>
      <c r="KKI11" s="1429" t="s">
        <v>134</v>
      </c>
      <c r="KKJ11" s="1429" t="s">
        <v>134</v>
      </c>
      <c r="KKK11" s="1429" t="s">
        <v>134</v>
      </c>
      <c r="KKL11" s="1429" t="s">
        <v>134</v>
      </c>
      <c r="KKM11" s="1429" t="s">
        <v>134</v>
      </c>
      <c r="KKN11" s="1429" t="s">
        <v>134</v>
      </c>
      <c r="KKO11" s="1429" t="s">
        <v>134</v>
      </c>
      <c r="KKP11" s="1429" t="s">
        <v>134</v>
      </c>
      <c r="KKQ11" s="1429" t="s">
        <v>134</v>
      </c>
      <c r="KKR11" s="1429" t="s">
        <v>134</v>
      </c>
      <c r="KKS11" s="1429" t="s">
        <v>134</v>
      </c>
      <c r="KKT11" s="1429" t="s">
        <v>134</v>
      </c>
      <c r="KKU11" s="1429" t="s">
        <v>134</v>
      </c>
      <c r="KKV11" s="1429" t="s">
        <v>134</v>
      </c>
      <c r="KKW11" s="1429" t="s">
        <v>134</v>
      </c>
      <c r="KKX11" s="1429" t="s">
        <v>134</v>
      </c>
      <c r="KKY11" s="1429" t="s">
        <v>134</v>
      </c>
      <c r="KKZ11" s="1429" t="s">
        <v>134</v>
      </c>
      <c r="KLA11" s="1429" t="s">
        <v>134</v>
      </c>
      <c r="KLB11" s="1429" t="s">
        <v>134</v>
      </c>
      <c r="KLC11" s="1429" t="s">
        <v>134</v>
      </c>
      <c r="KLD11" s="1429" t="s">
        <v>134</v>
      </c>
      <c r="KLE11" s="1429" t="s">
        <v>134</v>
      </c>
      <c r="KLF11" s="1429" t="s">
        <v>134</v>
      </c>
      <c r="KLG11" s="1429" t="s">
        <v>134</v>
      </c>
      <c r="KLH11" s="1429" t="s">
        <v>134</v>
      </c>
      <c r="KLI11" s="1429" t="s">
        <v>134</v>
      </c>
      <c r="KLJ11" s="1429" t="s">
        <v>134</v>
      </c>
      <c r="KLK11" s="1429" t="s">
        <v>134</v>
      </c>
      <c r="KLL11" s="1429" t="s">
        <v>134</v>
      </c>
      <c r="KLM11" s="1429" t="s">
        <v>134</v>
      </c>
      <c r="KLN11" s="1429" t="s">
        <v>134</v>
      </c>
      <c r="KLO11" s="1429" t="s">
        <v>134</v>
      </c>
      <c r="KLP11" s="1429" t="s">
        <v>134</v>
      </c>
      <c r="KLQ11" s="1429" t="s">
        <v>134</v>
      </c>
      <c r="KLR11" s="1429" t="s">
        <v>134</v>
      </c>
      <c r="KLS11" s="1429" t="s">
        <v>134</v>
      </c>
      <c r="KLT11" s="1429" t="s">
        <v>134</v>
      </c>
      <c r="KLU11" s="1429" t="s">
        <v>134</v>
      </c>
      <c r="KLV11" s="1429" t="s">
        <v>134</v>
      </c>
      <c r="KLW11" s="1429" t="s">
        <v>134</v>
      </c>
      <c r="KLX11" s="1429" t="s">
        <v>134</v>
      </c>
      <c r="KLY11" s="1429" t="s">
        <v>134</v>
      </c>
      <c r="KLZ11" s="1429" t="s">
        <v>134</v>
      </c>
      <c r="KMA11" s="1429" t="s">
        <v>134</v>
      </c>
      <c r="KMB11" s="1429" t="s">
        <v>134</v>
      </c>
      <c r="KMC11" s="1429" t="s">
        <v>134</v>
      </c>
      <c r="KMD11" s="1429" t="s">
        <v>134</v>
      </c>
      <c r="KME11" s="1429" t="s">
        <v>134</v>
      </c>
      <c r="KMF11" s="1429" t="s">
        <v>134</v>
      </c>
      <c r="KMG11" s="1429" t="s">
        <v>134</v>
      </c>
      <c r="KMH11" s="1429" t="s">
        <v>134</v>
      </c>
      <c r="KMI11" s="1429" t="s">
        <v>134</v>
      </c>
      <c r="KMJ11" s="1429" t="s">
        <v>134</v>
      </c>
      <c r="KMK11" s="1429" t="s">
        <v>134</v>
      </c>
      <c r="KML11" s="1429" t="s">
        <v>134</v>
      </c>
      <c r="KMM11" s="1429" t="s">
        <v>134</v>
      </c>
      <c r="KMN11" s="1429" t="s">
        <v>134</v>
      </c>
      <c r="KMO11" s="1429" t="s">
        <v>134</v>
      </c>
      <c r="KMP11" s="1429" t="s">
        <v>134</v>
      </c>
      <c r="KMQ11" s="1429" t="s">
        <v>134</v>
      </c>
      <c r="KMR11" s="1429" t="s">
        <v>134</v>
      </c>
      <c r="KMS11" s="1429" t="s">
        <v>134</v>
      </c>
      <c r="KMT11" s="1429" t="s">
        <v>134</v>
      </c>
      <c r="KMU11" s="1429" t="s">
        <v>134</v>
      </c>
      <c r="KMV11" s="1429" t="s">
        <v>134</v>
      </c>
      <c r="KMW11" s="1429" t="s">
        <v>134</v>
      </c>
      <c r="KMX11" s="1429" t="s">
        <v>134</v>
      </c>
      <c r="KMY11" s="1429" t="s">
        <v>134</v>
      </c>
      <c r="KMZ11" s="1429" t="s">
        <v>134</v>
      </c>
      <c r="KNA11" s="1429" t="s">
        <v>134</v>
      </c>
      <c r="KNB11" s="1429" t="s">
        <v>134</v>
      </c>
      <c r="KNC11" s="1429" t="s">
        <v>134</v>
      </c>
      <c r="KND11" s="1429" t="s">
        <v>134</v>
      </c>
      <c r="KNE11" s="1429" t="s">
        <v>134</v>
      </c>
      <c r="KNF11" s="1429" t="s">
        <v>134</v>
      </c>
      <c r="KNG11" s="1429" t="s">
        <v>134</v>
      </c>
      <c r="KNH11" s="1429" t="s">
        <v>134</v>
      </c>
      <c r="KNI11" s="1429" t="s">
        <v>134</v>
      </c>
      <c r="KNJ11" s="1429" t="s">
        <v>134</v>
      </c>
      <c r="KNK11" s="1429" t="s">
        <v>134</v>
      </c>
      <c r="KNL11" s="1429" t="s">
        <v>134</v>
      </c>
      <c r="KNM11" s="1429" t="s">
        <v>134</v>
      </c>
      <c r="KNN11" s="1429" t="s">
        <v>134</v>
      </c>
      <c r="KNO11" s="1429" t="s">
        <v>134</v>
      </c>
      <c r="KNP11" s="1429" t="s">
        <v>134</v>
      </c>
      <c r="KNQ11" s="1429" t="s">
        <v>134</v>
      </c>
      <c r="KNR11" s="1429" t="s">
        <v>134</v>
      </c>
      <c r="KNS11" s="1429" t="s">
        <v>134</v>
      </c>
      <c r="KNT11" s="1429" t="s">
        <v>134</v>
      </c>
      <c r="KNU11" s="1429" t="s">
        <v>134</v>
      </c>
      <c r="KNV11" s="1429" t="s">
        <v>134</v>
      </c>
      <c r="KNW11" s="1429" t="s">
        <v>134</v>
      </c>
      <c r="KNX11" s="1429" t="s">
        <v>134</v>
      </c>
      <c r="KNY11" s="1429" t="s">
        <v>134</v>
      </c>
      <c r="KNZ11" s="1429" t="s">
        <v>134</v>
      </c>
      <c r="KOA11" s="1429" t="s">
        <v>134</v>
      </c>
      <c r="KOB11" s="1429" t="s">
        <v>134</v>
      </c>
      <c r="KOC11" s="1429" t="s">
        <v>134</v>
      </c>
      <c r="KOD11" s="1429" t="s">
        <v>134</v>
      </c>
      <c r="KOE11" s="1429" t="s">
        <v>134</v>
      </c>
      <c r="KOF11" s="1429" t="s">
        <v>134</v>
      </c>
      <c r="KOG11" s="1429" t="s">
        <v>134</v>
      </c>
      <c r="KOH11" s="1429" t="s">
        <v>134</v>
      </c>
      <c r="KOI11" s="1429" t="s">
        <v>134</v>
      </c>
      <c r="KOJ11" s="1429" t="s">
        <v>134</v>
      </c>
      <c r="KOK11" s="1429" t="s">
        <v>134</v>
      </c>
      <c r="KOL11" s="1429" t="s">
        <v>134</v>
      </c>
      <c r="KOM11" s="1429" t="s">
        <v>134</v>
      </c>
      <c r="KON11" s="1429" t="s">
        <v>134</v>
      </c>
      <c r="KOO11" s="1429" t="s">
        <v>134</v>
      </c>
      <c r="KOP11" s="1429" t="s">
        <v>134</v>
      </c>
      <c r="KOQ11" s="1429" t="s">
        <v>134</v>
      </c>
      <c r="KOR11" s="1429" t="s">
        <v>134</v>
      </c>
      <c r="KOS11" s="1429" t="s">
        <v>134</v>
      </c>
      <c r="KOT11" s="1429" t="s">
        <v>134</v>
      </c>
      <c r="KOU11" s="1429" t="s">
        <v>134</v>
      </c>
      <c r="KOV11" s="1429" t="s">
        <v>134</v>
      </c>
      <c r="KOW11" s="1429" t="s">
        <v>134</v>
      </c>
      <c r="KOX11" s="1429" t="s">
        <v>134</v>
      </c>
      <c r="KOY11" s="1429" t="s">
        <v>134</v>
      </c>
      <c r="KOZ11" s="1429" t="s">
        <v>134</v>
      </c>
      <c r="KPA11" s="1429" t="s">
        <v>134</v>
      </c>
      <c r="KPB11" s="1429" t="s">
        <v>134</v>
      </c>
      <c r="KPC11" s="1429" t="s">
        <v>134</v>
      </c>
      <c r="KPD11" s="1429" t="s">
        <v>134</v>
      </c>
      <c r="KPE11" s="1429" t="s">
        <v>134</v>
      </c>
      <c r="KPF11" s="1429" t="s">
        <v>134</v>
      </c>
      <c r="KPG11" s="1429" t="s">
        <v>134</v>
      </c>
      <c r="KPH11" s="1429" t="s">
        <v>134</v>
      </c>
      <c r="KPI11" s="1429" t="s">
        <v>134</v>
      </c>
      <c r="KPJ11" s="1429" t="s">
        <v>134</v>
      </c>
      <c r="KPK11" s="1429" t="s">
        <v>134</v>
      </c>
      <c r="KPL11" s="1429" t="s">
        <v>134</v>
      </c>
      <c r="KPM11" s="1429" t="s">
        <v>134</v>
      </c>
      <c r="KPN11" s="1429" t="s">
        <v>134</v>
      </c>
      <c r="KPO11" s="1429" t="s">
        <v>134</v>
      </c>
      <c r="KPP11" s="1429" t="s">
        <v>134</v>
      </c>
      <c r="KPQ11" s="1429" t="s">
        <v>134</v>
      </c>
      <c r="KPR11" s="1429" t="s">
        <v>134</v>
      </c>
      <c r="KPS11" s="1429" t="s">
        <v>134</v>
      </c>
      <c r="KPT11" s="1429" t="s">
        <v>134</v>
      </c>
      <c r="KPU11" s="1429" t="s">
        <v>134</v>
      </c>
      <c r="KPV11" s="1429" t="s">
        <v>134</v>
      </c>
      <c r="KPW11" s="1429" t="s">
        <v>134</v>
      </c>
      <c r="KPX11" s="1429" t="s">
        <v>134</v>
      </c>
      <c r="KPY11" s="1429" t="s">
        <v>134</v>
      </c>
      <c r="KPZ11" s="1429" t="s">
        <v>134</v>
      </c>
      <c r="KQA11" s="1429" t="s">
        <v>134</v>
      </c>
      <c r="KQB11" s="1429" t="s">
        <v>134</v>
      </c>
      <c r="KQC11" s="1429" t="s">
        <v>134</v>
      </c>
      <c r="KQD11" s="1429" t="s">
        <v>134</v>
      </c>
      <c r="KQE11" s="1429" t="s">
        <v>134</v>
      </c>
      <c r="KQF11" s="1429" t="s">
        <v>134</v>
      </c>
      <c r="KQG11" s="1429" t="s">
        <v>134</v>
      </c>
      <c r="KQH11" s="1429" t="s">
        <v>134</v>
      </c>
      <c r="KQI11" s="1429" t="s">
        <v>134</v>
      </c>
      <c r="KQJ11" s="1429" t="s">
        <v>134</v>
      </c>
      <c r="KQK11" s="1429" t="s">
        <v>134</v>
      </c>
      <c r="KQL11" s="1429" t="s">
        <v>134</v>
      </c>
      <c r="KQM11" s="1429" t="s">
        <v>134</v>
      </c>
      <c r="KQN11" s="1429" t="s">
        <v>134</v>
      </c>
      <c r="KQO11" s="1429" t="s">
        <v>134</v>
      </c>
      <c r="KQP11" s="1429" t="s">
        <v>134</v>
      </c>
      <c r="KQQ11" s="1429" t="s">
        <v>134</v>
      </c>
      <c r="KQR11" s="1429" t="s">
        <v>134</v>
      </c>
      <c r="KQS11" s="1429" t="s">
        <v>134</v>
      </c>
      <c r="KQT11" s="1429" t="s">
        <v>134</v>
      </c>
      <c r="KQU11" s="1429" t="s">
        <v>134</v>
      </c>
      <c r="KQV11" s="1429" t="s">
        <v>134</v>
      </c>
      <c r="KQW11" s="1429" t="s">
        <v>134</v>
      </c>
      <c r="KQX11" s="1429" t="s">
        <v>134</v>
      </c>
      <c r="KQY11" s="1429" t="s">
        <v>134</v>
      </c>
      <c r="KQZ11" s="1429" t="s">
        <v>134</v>
      </c>
      <c r="KRA11" s="1429" t="s">
        <v>134</v>
      </c>
      <c r="KRB11" s="1429" t="s">
        <v>134</v>
      </c>
      <c r="KRC11" s="1429" t="s">
        <v>134</v>
      </c>
      <c r="KRD11" s="1429" t="s">
        <v>134</v>
      </c>
      <c r="KRE11" s="1429" t="s">
        <v>134</v>
      </c>
      <c r="KRF11" s="1429" t="s">
        <v>134</v>
      </c>
      <c r="KRG11" s="1429" t="s">
        <v>134</v>
      </c>
      <c r="KRH11" s="1429" t="s">
        <v>134</v>
      </c>
      <c r="KRI11" s="1429" t="s">
        <v>134</v>
      </c>
      <c r="KRJ11" s="1429" t="s">
        <v>134</v>
      </c>
      <c r="KRK11" s="1429" t="s">
        <v>134</v>
      </c>
      <c r="KRL11" s="1429" t="s">
        <v>134</v>
      </c>
      <c r="KRM11" s="1429" t="s">
        <v>134</v>
      </c>
      <c r="KRN11" s="1429" t="s">
        <v>134</v>
      </c>
      <c r="KRO11" s="1429" t="s">
        <v>134</v>
      </c>
      <c r="KRP11" s="1429" t="s">
        <v>134</v>
      </c>
      <c r="KRQ11" s="1429" t="s">
        <v>134</v>
      </c>
      <c r="KRR11" s="1429" t="s">
        <v>134</v>
      </c>
      <c r="KRS11" s="1429" t="s">
        <v>134</v>
      </c>
      <c r="KRT11" s="1429" t="s">
        <v>134</v>
      </c>
      <c r="KRU11" s="1429" t="s">
        <v>134</v>
      </c>
      <c r="KRV11" s="1429" t="s">
        <v>134</v>
      </c>
      <c r="KRW11" s="1429" t="s">
        <v>134</v>
      </c>
      <c r="KRX11" s="1429" t="s">
        <v>134</v>
      </c>
      <c r="KRY11" s="1429" t="s">
        <v>134</v>
      </c>
      <c r="KRZ11" s="1429" t="s">
        <v>134</v>
      </c>
      <c r="KSA11" s="1429" t="s">
        <v>134</v>
      </c>
      <c r="KSB11" s="1429" t="s">
        <v>134</v>
      </c>
      <c r="KSC11" s="1429" t="s">
        <v>134</v>
      </c>
      <c r="KSD11" s="1429" t="s">
        <v>134</v>
      </c>
      <c r="KSE11" s="1429" t="s">
        <v>134</v>
      </c>
      <c r="KSF11" s="1429" t="s">
        <v>134</v>
      </c>
      <c r="KSG11" s="1429" t="s">
        <v>134</v>
      </c>
      <c r="KSH11" s="1429" t="s">
        <v>134</v>
      </c>
      <c r="KSI11" s="1429" t="s">
        <v>134</v>
      </c>
      <c r="KSJ11" s="1429" t="s">
        <v>134</v>
      </c>
      <c r="KSK11" s="1429" t="s">
        <v>134</v>
      </c>
      <c r="KSL11" s="1429" t="s">
        <v>134</v>
      </c>
      <c r="KSM11" s="1429" t="s">
        <v>134</v>
      </c>
      <c r="KSN11" s="1429" t="s">
        <v>134</v>
      </c>
      <c r="KSO11" s="1429" t="s">
        <v>134</v>
      </c>
      <c r="KSP11" s="1429" t="s">
        <v>134</v>
      </c>
      <c r="KSQ11" s="1429" t="s">
        <v>134</v>
      </c>
      <c r="KSR11" s="1429" t="s">
        <v>134</v>
      </c>
      <c r="KSS11" s="1429" t="s">
        <v>134</v>
      </c>
      <c r="KST11" s="1429" t="s">
        <v>134</v>
      </c>
      <c r="KSU11" s="1429" t="s">
        <v>134</v>
      </c>
      <c r="KSV11" s="1429" t="s">
        <v>134</v>
      </c>
      <c r="KSW11" s="1429" t="s">
        <v>134</v>
      </c>
      <c r="KSX11" s="1429" t="s">
        <v>134</v>
      </c>
      <c r="KSY11" s="1429" t="s">
        <v>134</v>
      </c>
      <c r="KSZ11" s="1429" t="s">
        <v>134</v>
      </c>
      <c r="KTA11" s="1429" t="s">
        <v>134</v>
      </c>
      <c r="KTB11" s="1429" t="s">
        <v>134</v>
      </c>
      <c r="KTC11" s="1429" t="s">
        <v>134</v>
      </c>
      <c r="KTD11" s="1429" t="s">
        <v>134</v>
      </c>
      <c r="KTE11" s="1429" t="s">
        <v>134</v>
      </c>
      <c r="KTF11" s="1429" t="s">
        <v>134</v>
      </c>
      <c r="KTG11" s="1429" t="s">
        <v>134</v>
      </c>
      <c r="KTH11" s="1429" t="s">
        <v>134</v>
      </c>
      <c r="KTI11" s="1429" t="s">
        <v>134</v>
      </c>
      <c r="KTJ11" s="1429" t="s">
        <v>134</v>
      </c>
      <c r="KTK11" s="1429" t="s">
        <v>134</v>
      </c>
      <c r="KTL11" s="1429" t="s">
        <v>134</v>
      </c>
      <c r="KTM11" s="1429" t="s">
        <v>134</v>
      </c>
      <c r="KTN11" s="1429" t="s">
        <v>134</v>
      </c>
      <c r="KTO11" s="1429" t="s">
        <v>134</v>
      </c>
      <c r="KTP11" s="1429" t="s">
        <v>134</v>
      </c>
      <c r="KTQ11" s="1429" t="s">
        <v>134</v>
      </c>
      <c r="KTR11" s="1429" t="s">
        <v>134</v>
      </c>
      <c r="KTS11" s="1429" t="s">
        <v>134</v>
      </c>
      <c r="KTT11" s="1429" t="s">
        <v>134</v>
      </c>
      <c r="KTU11" s="1429" t="s">
        <v>134</v>
      </c>
      <c r="KTV11" s="1429" t="s">
        <v>134</v>
      </c>
      <c r="KTW11" s="1429" t="s">
        <v>134</v>
      </c>
      <c r="KTX11" s="1429" t="s">
        <v>134</v>
      </c>
      <c r="KTY11" s="1429" t="s">
        <v>134</v>
      </c>
      <c r="KTZ11" s="1429" t="s">
        <v>134</v>
      </c>
      <c r="KUA11" s="1429" t="s">
        <v>134</v>
      </c>
      <c r="KUB11" s="1429" t="s">
        <v>134</v>
      </c>
      <c r="KUC11" s="1429" t="s">
        <v>134</v>
      </c>
      <c r="KUD11" s="1429" t="s">
        <v>134</v>
      </c>
      <c r="KUE11" s="1429" t="s">
        <v>134</v>
      </c>
      <c r="KUF11" s="1429" t="s">
        <v>134</v>
      </c>
      <c r="KUG11" s="1429" t="s">
        <v>134</v>
      </c>
      <c r="KUH11" s="1429" t="s">
        <v>134</v>
      </c>
      <c r="KUI11" s="1429" t="s">
        <v>134</v>
      </c>
      <c r="KUJ11" s="1429" t="s">
        <v>134</v>
      </c>
      <c r="KUK11" s="1429" t="s">
        <v>134</v>
      </c>
      <c r="KUL11" s="1429" t="s">
        <v>134</v>
      </c>
      <c r="KUM11" s="1429" t="s">
        <v>134</v>
      </c>
      <c r="KUN11" s="1429" t="s">
        <v>134</v>
      </c>
      <c r="KUO11" s="1429" t="s">
        <v>134</v>
      </c>
      <c r="KUP11" s="1429" t="s">
        <v>134</v>
      </c>
      <c r="KUQ11" s="1429" t="s">
        <v>134</v>
      </c>
      <c r="KUR11" s="1429" t="s">
        <v>134</v>
      </c>
      <c r="KUS11" s="1429" t="s">
        <v>134</v>
      </c>
      <c r="KUT11" s="1429" t="s">
        <v>134</v>
      </c>
      <c r="KUU11" s="1429" t="s">
        <v>134</v>
      </c>
      <c r="KUV11" s="1429" t="s">
        <v>134</v>
      </c>
      <c r="KUW11" s="1429" t="s">
        <v>134</v>
      </c>
      <c r="KUX11" s="1429" t="s">
        <v>134</v>
      </c>
      <c r="KUY11" s="1429" t="s">
        <v>134</v>
      </c>
      <c r="KUZ11" s="1429" t="s">
        <v>134</v>
      </c>
      <c r="KVA11" s="1429" t="s">
        <v>134</v>
      </c>
      <c r="KVB11" s="1429" t="s">
        <v>134</v>
      </c>
      <c r="KVC11" s="1429" t="s">
        <v>134</v>
      </c>
      <c r="KVD11" s="1429" t="s">
        <v>134</v>
      </c>
      <c r="KVE11" s="1429" t="s">
        <v>134</v>
      </c>
      <c r="KVF11" s="1429" t="s">
        <v>134</v>
      </c>
      <c r="KVG11" s="1429" t="s">
        <v>134</v>
      </c>
      <c r="KVH11" s="1429" t="s">
        <v>134</v>
      </c>
      <c r="KVI11" s="1429" t="s">
        <v>134</v>
      </c>
      <c r="KVJ11" s="1429" t="s">
        <v>134</v>
      </c>
      <c r="KVK11" s="1429" t="s">
        <v>134</v>
      </c>
      <c r="KVL11" s="1429" t="s">
        <v>134</v>
      </c>
      <c r="KVM11" s="1429" t="s">
        <v>134</v>
      </c>
      <c r="KVN11" s="1429" t="s">
        <v>134</v>
      </c>
      <c r="KVO11" s="1429" t="s">
        <v>134</v>
      </c>
      <c r="KVP11" s="1429" t="s">
        <v>134</v>
      </c>
      <c r="KVQ11" s="1429" t="s">
        <v>134</v>
      </c>
      <c r="KVR11" s="1429" t="s">
        <v>134</v>
      </c>
      <c r="KVS11" s="1429" t="s">
        <v>134</v>
      </c>
      <c r="KVT11" s="1429" t="s">
        <v>134</v>
      </c>
      <c r="KVU11" s="1429" t="s">
        <v>134</v>
      </c>
      <c r="KVV11" s="1429" t="s">
        <v>134</v>
      </c>
      <c r="KVW11" s="1429" t="s">
        <v>134</v>
      </c>
      <c r="KVX11" s="1429" t="s">
        <v>134</v>
      </c>
      <c r="KVY11" s="1429" t="s">
        <v>134</v>
      </c>
      <c r="KVZ11" s="1429" t="s">
        <v>134</v>
      </c>
      <c r="KWA11" s="1429" t="s">
        <v>134</v>
      </c>
      <c r="KWB11" s="1429" t="s">
        <v>134</v>
      </c>
      <c r="KWC11" s="1429" t="s">
        <v>134</v>
      </c>
      <c r="KWD11" s="1429" t="s">
        <v>134</v>
      </c>
      <c r="KWE11" s="1429" t="s">
        <v>134</v>
      </c>
      <c r="KWF11" s="1429" t="s">
        <v>134</v>
      </c>
      <c r="KWG11" s="1429" t="s">
        <v>134</v>
      </c>
      <c r="KWH11" s="1429" t="s">
        <v>134</v>
      </c>
      <c r="KWI11" s="1429" t="s">
        <v>134</v>
      </c>
      <c r="KWJ11" s="1429" t="s">
        <v>134</v>
      </c>
      <c r="KWK11" s="1429" t="s">
        <v>134</v>
      </c>
      <c r="KWL11" s="1429" t="s">
        <v>134</v>
      </c>
      <c r="KWM11" s="1429" t="s">
        <v>134</v>
      </c>
      <c r="KWN11" s="1429" t="s">
        <v>134</v>
      </c>
      <c r="KWO11" s="1429" t="s">
        <v>134</v>
      </c>
      <c r="KWP11" s="1429" t="s">
        <v>134</v>
      </c>
      <c r="KWQ11" s="1429" t="s">
        <v>134</v>
      </c>
      <c r="KWR11" s="1429" t="s">
        <v>134</v>
      </c>
      <c r="KWS11" s="1429" t="s">
        <v>134</v>
      </c>
      <c r="KWT11" s="1429" t="s">
        <v>134</v>
      </c>
      <c r="KWU11" s="1429" t="s">
        <v>134</v>
      </c>
      <c r="KWV11" s="1429" t="s">
        <v>134</v>
      </c>
      <c r="KWW11" s="1429" t="s">
        <v>134</v>
      </c>
      <c r="KWX11" s="1429" t="s">
        <v>134</v>
      </c>
      <c r="KWY11" s="1429" t="s">
        <v>134</v>
      </c>
      <c r="KWZ11" s="1429" t="s">
        <v>134</v>
      </c>
      <c r="KXA11" s="1429" t="s">
        <v>134</v>
      </c>
      <c r="KXB11" s="1429" t="s">
        <v>134</v>
      </c>
      <c r="KXC11" s="1429" t="s">
        <v>134</v>
      </c>
      <c r="KXD11" s="1429" t="s">
        <v>134</v>
      </c>
      <c r="KXE11" s="1429" t="s">
        <v>134</v>
      </c>
      <c r="KXF11" s="1429" t="s">
        <v>134</v>
      </c>
      <c r="KXG11" s="1429" t="s">
        <v>134</v>
      </c>
      <c r="KXH11" s="1429" t="s">
        <v>134</v>
      </c>
      <c r="KXI11" s="1429" t="s">
        <v>134</v>
      </c>
      <c r="KXJ11" s="1429" t="s">
        <v>134</v>
      </c>
      <c r="KXK11" s="1429" t="s">
        <v>134</v>
      </c>
      <c r="KXL11" s="1429" t="s">
        <v>134</v>
      </c>
      <c r="KXM11" s="1429" t="s">
        <v>134</v>
      </c>
      <c r="KXN11" s="1429" t="s">
        <v>134</v>
      </c>
      <c r="KXO11" s="1429" t="s">
        <v>134</v>
      </c>
      <c r="KXP11" s="1429" t="s">
        <v>134</v>
      </c>
      <c r="KXQ11" s="1429" t="s">
        <v>134</v>
      </c>
      <c r="KXR11" s="1429" t="s">
        <v>134</v>
      </c>
      <c r="KXS11" s="1429" t="s">
        <v>134</v>
      </c>
      <c r="KXT11" s="1429" t="s">
        <v>134</v>
      </c>
      <c r="KXU11" s="1429" t="s">
        <v>134</v>
      </c>
      <c r="KXV11" s="1429" t="s">
        <v>134</v>
      </c>
      <c r="KXW11" s="1429" t="s">
        <v>134</v>
      </c>
      <c r="KXX11" s="1429" t="s">
        <v>134</v>
      </c>
      <c r="KXY11" s="1429" t="s">
        <v>134</v>
      </c>
      <c r="KXZ11" s="1429" t="s">
        <v>134</v>
      </c>
      <c r="KYA11" s="1429" t="s">
        <v>134</v>
      </c>
      <c r="KYB11" s="1429" t="s">
        <v>134</v>
      </c>
      <c r="KYC11" s="1429" t="s">
        <v>134</v>
      </c>
      <c r="KYD11" s="1429" t="s">
        <v>134</v>
      </c>
      <c r="KYE11" s="1429" t="s">
        <v>134</v>
      </c>
      <c r="KYF11" s="1429" t="s">
        <v>134</v>
      </c>
      <c r="KYG11" s="1429" t="s">
        <v>134</v>
      </c>
      <c r="KYH11" s="1429" t="s">
        <v>134</v>
      </c>
      <c r="KYI11" s="1429" t="s">
        <v>134</v>
      </c>
      <c r="KYJ11" s="1429" t="s">
        <v>134</v>
      </c>
      <c r="KYK11" s="1429" t="s">
        <v>134</v>
      </c>
      <c r="KYL11" s="1429" t="s">
        <v>134</v>
      </c>
      <c r="KYM11" s="1429" t="s">
        <v>134</v>
      </c>
      <c r="KYN11" s="1429" t="s">
        <v>134</v>
      </c>
      <c r="KYO11" s="1429" t="s">
        <v>134</v>
      </c>
      <c r="KYP11" s="1429" t="s">
        <v>134</v>
      </c>
      <c r="KYQ11" s="1429" t="s">
        <v>134</v>
      </c>
      <c r="KYR11" s="1429" t="s">
        <v>134</v>
      </c>
      <c r="KYS11" s="1429" t="s">
        <v>134</v>
      </c>
      <c r="KYT11" s="1429" t="s">
        <v>134</v>
      </c>
      <c r="KYU11" s="1429" t="s">
        <v>134</v>
      </c>
      <c r="KYV11" s="1429" t="s">
        <v>134</v>
      </c>
      <c r="KYW11" s="1429" t="s">
        <v>134</v>
      </c>
      <c r="KYX11" s="1429" t="s">
        <v>134</v>
      </c>
      <c r="KYY11" s="1429" t="s">
        <v>134</v>
      </c>
      <c r="KYZ11" s="1429" t="s">
        <v>134</v>
      </c>
      <c r="KZA11" s="1429" t="s">
        <v>134</v>
      </c>
      <c r="KZB11" s="1429" t="s">
        <v>134</v>
      </c>
      <c r="KZC11" s="1429" t="s">
        <v>134</v>
      </c>
      <c r="KZD11" s="1429" t="s">
        <v>134</v>
      </c>
      <c r="KZE11" s="1429" t="s">
        <v>134</v>
      </c>
      <c r="KZF11" s="1429" t="s">
        <v>134</v>
      </c>
      <c r="KZG11" s="1429" t="s">
        <v>134</v>
      </c>
      <c r="KZH11" s="1429" t="s">
        <v>134</v>
      </c>
      <c r="KZI11" s="1429" t="s">
        <v>134</v>
      </c>
      <c r="KZJ11" s="1429" t="s">
        <v>134</v>
      </c>
      <c r="KZK11" s="1429" t="s">
        <v>134</v>
      </c>
      <c r="KZL11" s="1429" t="s">
        <v>134</v>
      </c>
      <c r="KZM11" s="1429" t="s">
        <v>134</v>
      </c>
      <c r="KZN11" s="1429" t="s">
        <v>134</v>
      </c>
      <c r="KZO11" s="1429" t="s">
        <v>134</v>
      </c>
      <c r="KZP11" s="1429" t="s">
        <v>134</v>
      </c>
      <c r="KZQ11" s="1429" t="s">
        <v>134</v>
      </c>
      <c r="KZR11" s="1429" t="s">
        <v>134</v>
      </c>
      <c r="KZS11" s="1429" t="s">
        <v>134</v>
      </c>
      <c r="KZT11" s="1429" t="s">
        <v>134</v>
      </c>
      <c r="KZU11" s="1429" t="s">
        <v>134</v>
      </c>
      <c r="KZV11" s="1429" t="s">
        <v>134</v>
      </c>
      <c r="KZW11" s="1429" t="s">
        <v>134</v>
      </c>
      <c r="KZX11" s="1429" t="s">
        <v>134</v>
      </c>
      <c r="KZY11" s="1429" t="s">
        <v>134</v>
      </c>
      <c r="KZZ11" s="1429" t="s">
        <v>134</v>
      </c>
      <c r="LAA11" s="1429" t="s">
        <v>134</v>
      </c>
      <c r="LAB11" s="1429" t="s">
        <v>134</v>
      </c>
      <c r="LAC11" s="1429" t="s">
        <v>134</v>
      </c>
      <c r="LAD11" s="1429" t="s">
        <v>134</v>
      </c>
      <c r="LAE11" s="1429" t="s">
        <v>134</v>
      </c>
      <c r="LAF11" s="1429" t="s">
        <v>134</v>
      </c>
      <c r="LAG11" s="1429" t="s">
        <v>134</v>
      </c>
      <c r="LAH11" s="1429" t="s">
        <v>134</v>
      </c>
      <c r="LAI11" s="1429" t="s">
        <v>134</v>
      </c>
      <c r="LAJ11" s="1429" t="s">
        <v>134</v>
      </c>
      <c r="LAK11" s="1429" t="s">
        <v>134</v>
      </c>
      <c r="LAL11" s="1429" t="s">
        <v>134</v>
      </c>
      <c r="LAM11" s="1429" t="s">
        <v>134</v>
      </c>
      <c r="LAN11" s="1429" t="s">
        <v>134</v>
      </c>
      <c r="LAO11" s="1429" t="s">
        <v>134</v>
      </c>
      <c r="LAP11" s="1429" t="s">
        <v>134</v>
      </c>
      <c r="LAQ11" s="1429" t="s">
        <v>134</v>
      </c>
      <c r="LAR11" s="1429" t="s">
        <v>134</v>
      </c>
      <c r="LAS11" s="1429" t="s">
        <v>134</v>
      </c>
      <c r="LAT11" s="1429" t="s">
        <v>134</v>
      </c>
      <c r="LAU11" s="1429" t="s">
        <v>134</v>
      </c>
      <c r="LAV11" s="1429" t="s">
        <v>134</v>
      </c>
      <c r="LAW11" s="1429" t="s">
        <v>134</v>
      </c>
      <c r="LAX11" s="1429" t="s">
        <v>134</v>
      </c>
      <c r="LAY11" s="1429" t="s">
        <v>134</v>
      </c>
      <c r="LAZ11" s="1429" t="s">
        <v>134</v>
      </c>
      <c r="LBA11" s="1429" t="s">
        <v>134</v>
      </c>
      <c r="LBB11" s="1429" t="s">
        <v>134</v>
      </c>
      <c r="LBC11" s="1429" t="s">
        <v>134</v>
      </c>
      <c r="LBD11" s="1429" t="s">
        <v>134</v>
      </c>
      <c r="LBE11" s="1429" t="s">
        <v>134</v>
      </c>
      <c r="LBF11" s="1429" t="s">
        <v>134</v>
      </c>
      <c r="LBG11" s="1429" t="s">
        <v>134</v>
      </c>
      <c r="LBH11" s="1429" t="s">
        <v>134</v>
      </c>
      <c r="LBI11" s="1429" t="s">
        <v>134</v>
      </c>
      <c r="LBJ11" s="1429" t="s">
        <v>134</v>
      </c>
      <c r="LBK11" s="1429" t="s">
        <v>134</v>
      </c>
      <c r="LBL11" s="1429" t="s">
        <v>134</v>
      </c>
      <c r="LBM11" s="1429" t="s">
        <v>134</v>
      </c>
      <c r="LBN11" s="1429" t="s">
        <v>134</v>
      </c>
      <c r="LBO11" s="1429" t="s">
        <v>134</v>
      </c>
      <c r="LBP11" s="1429" t="s">
        <v>134</v>
      </c>
      <c r="LBQ11" s="1429" t="s">
        <v>134</v>
      </c>
      <c r="LBR11" s="1429" t="s">
        <v>134</v>
      </c>
      <c r="LBS11" s="1429" t="s">
        <v>134</v>
      </c>
      <c r="LBT11" s="1429" t="s">
        <v>134</v>
      </c>
      <c r="LBU11" s="1429" t="s">
        <v>134</v>
      </c>
      <c r="LBV11" s="1429" t="s">
        <v>134</v>
      </c>
      <c r="LBW11" s="1429" t="s">
        <v>134</v>
      </c>
      <c r="LBX11" s="1429" t="s">
        <v>134</v>
      </c>
      <c r="LBY11" s="1429" t="s">
        <v>134</v>
      </c>
      <c r="LBZ11" s="1429" t="s">
        <v>134</v>
      </c>
      <c r="LCA11" s="1429" t="s">
        <v>134</v>
      </c>
      <c r="LCB11" s="1429" t="s">
        <v>134</v>
      </c>
      <c r="LCC11" s="1429" t="s">
        <v>134</v>
      </c>
      <c r="LCD11" s="1429" t="s">
        <v>134</v>
      </c>
      <c r="LCE11" s="1429" t="s">
        <v>134</v>
      </c>
      <c r="LCF11" s="1429" t="s">
        <v>134</v>
      </c>
      <c r="LCG11" s="1429" t="s">
        <v>134</v>
      </c>
      <c r="LCH11" s="1429" t="s">
        <v>134</v>
      </c>
      <c r="LCI11" s="1429" t="s">
        <v>134</v>
      </c>
      <c r="LCJ11" s="1429" t="s">
        <v>134</v>
      </c>
      <c r="LCK11" s="1429" t="s">
        <v>134</v>
      </c>
      <c r="LCL11" s="1429" t="s">
        <v>134</v>
      </c>
      <c r="LCM11" s="1429" t="s">
        <v>134</v>
      </c>
      <c r="LCN11" s="1429" t="s">
        <v>134</v>
      </c>
      <c r="LCO11" s="1429" t="s">
        <v>134</v>
      </c>
      <c r="LCP11" s="1429" t="s">
        <v>134</v>
      </c>
      <c r="LCQ11" s="1429" t="s">
        <v>134</v>
      </c>
      <c r="LCR11" s="1429" t="s">
        <v>134</v>
      </c>
      <c r="LCS11" s="1429" t="s">
        <v>134</v>
      </c>
      <c r="LCT11" s="1429" t="s">
        <v>134</v>
      </c>
      <c r="LCU11" s="1429" t="s">
        <v>134</v>
      </c>
      <c r="LCV11" s="1429" t="s">
        <v>134</v>
      </c>
      <c r="LCW11" s="1429" t="s">
        <v>134</v>
      </c>
      <c r="LCX11" s="1429" t="s">
        <v>134</v>
      </c>
      <c r="LCY11" s="1429" t="s">
        <v>134</v>
      </c>
      <c r="LCZ11" s="1429" t="s">
        <v>134</v>
      </c>
      <c r="LDA11" s="1429" t="s">
        <v>134</v>
      </c>
      <c r="LDB11" s="1429" t="s">
        <v>134</v>
      </c>
      <c r="LDC11" s="1429" t="s">
        <v>134</v>
      </c>
      <c r="LDD11" s="1429" t="s">
        <v>134</v>
      </c>
      <c r="LDE11" s="1429" t="s">
        <v>134</v>
      </c>
      <c r="LDF11" s="1429" t="s">
        <v>134</v>
      </c>
      <c r="LDG11" s="1429" t="s">
        <v>134</v>
      </c>
      <c r="LDH11" s="1429" t="s">
        <v>134</v>
      </c>
      <c r="LDI11" s="1429" t="s">
        <v>134</v>
      </c>
      <c r="LDJ11" s="1429" t="s">
        <v>134</v>
      </c>
      <c r="LDK11" s="1429" t="s">
        <v>134</v>
      </c>
      <c r="LDL11" s="1429" t="s">
        <v>134</v>
      </c>
      <c r="LDM11" s="1429" t="s">
        <v>134</v>
      </c>
      <c r="LDN11" s="1429" t="s">
        <v>134</v>
      </c>
      <c r="LDO11" s="1429" t="s">
        <v>134</v>
      </c>
      <c r="LDP11" s="1429" t="s">
        <v>134</v>
      </c>
      <c r="LDQ11" s="1429" t="s">
        <v>134</v>
      </c>
      <c r="LDR11" s="1429" t="s">
        <v>134</v>
      </c>
      <c r="LDS11" s="1429" t="s">
        <v>134</v>
      </c>
      <c r="LDT11" s="1429" t="s">
        <v>134</v>
      </c>
      <c r="LDU11" s="1429" t="s">
        <v>134</v>
      </c>
      <c r="LDV11" s="1429" t="s">
        <v>134</v>
      </c>
      <c r="LDW11" s="1429" t="s">
        <v>134</v>
      </c>
      <c r="LDX11" s="1429" t="s">
        <v>134</v>
      </c>
      <c r="LDY11" s="1429" t="s">
        <v>134</v>
      </c>
      <c r="LDZ11" s="1429" t="s">
        <v>134</v>
      </c>
      <c r="LEA11" s="1429" t="s">
        <v>134</v>
      </c>
      <c r="LEB11" s="1429" t="s">
        <v>134</v>
      </c>
      <c r="LEC11" s="1429" t="s">
        <v>134</v>
      </c>
      <c r="LED11" s="1429" t="s">
        <v>134</v>
      </c>
      <c r="LEE11" s="1429" t="s">
        <v>134</v>
      </c>
      <c r="LEF11" s="1429" t="s">
        <v>134</v>
      </c>
      <c r="LEG11" s="1429" t="s">
        <v>134</v>
      </c>
      <c r="LEH11" s="1429" t="s">
        <v>134</v>
      </c>
      <c r="LEI11" s="1429" t="s">
        <v>134</v>
      </c>
      <c r="LEJ11" s="1429" t="s">
        <v>134</v>
      </c>
      <c r="LEK11" s="1429" t="s">
        <v>134</v>
      </c>
      <c r="LEL11" s="1429" t="s">
        <v>134</v>
      </c>
      <c r="LEM11" s="1429" t="s">
        <v>134</v>
      </c>
      <c r="LEN11" s="1429" t="s">
        <v>134</v>
      </c>
      <c r="LEO11" s="1429" t="s">
        <v>134</v>
      </c>
      <c r="LEP11" s="1429" t="s">
        <v>134</v>
      </c>
      <c r="LEQ11" s="1429" t="s">
        <v>134</v>
      </c>
      <c r="LER11" s="1429" t="s">
        <v>134</v>
      </c>
      <c r="LES11" s="1429" t="s">
        <v>134</v>
      </c>
      <c r="LET11" s="1429" t="s">
        <v>134</v>
      </c>
      <c r="LEU11" s="1429" t="s">
        <v>134</v>
      </c>
      <c r="LEV11" s="1429" t="s">
        <v>134</v>
      </c>
      <c r="LEW11" s="1429" t="s">
        <v>134</v>
      </c>
      <c r="LEX11" s="1429" t="s">
        <v>134</v>
      </c>
      <c r="LEY11" s="1429" t="s">
        <v>134</v>
      </c>
      <c r="LEZ11" s="1429" t="s">
        <v>134</v>
      </c>
      <c r="LFA11" s="1429" t="s">
        <v>134</v>
      </c>
      <c r="LFB11" s="1429" t="s">
        <v>134</v>
      </c>
      <c r="LFC11" s="1429" t="s">
        <v>134</v>
      </c>
      <c r="LFD11" s="1429" t="s">
        <v>134</v>
      </c>
      <c r="LFE11" s="1429" t="s">
        <v>134</v>
      </c>
      <c r="LFF11" s="1429" t="s">
        <v>134</v>
      </c>
      <c r="LFG11" s="1429" t="s">
        <v>134</v>
      </c>
      <c r="LFH11" s="1429" t="s">
        <v>134</v>
      </c>
      <c r="LFI11" s="1429" t="s">
        <v>134</v>
      </c>
      <c r="LFJ11" s="1429" t="s">
        <v>134</v>
      </c>
      <c r="LFK11" s="1429" t="s">
        <v>134</v>
      </c>
      <c r="LFL11" s="1429" t="s">
        <v>134</v>
      </c>
      <c r="LFM11" s="1429" t="s">
        <v>134</v>
      </c>
      <c r="LFN11" s="1429" t="s">
        <v>134</v>
      </c>
      <c r="LFO11" s="1429" t="s">
        <v>134</v>
      </c>
      <c r="LFP11" s="1429" t="s">
        <v>134</v>
      </c>
      <c r="LFQ11" s="1429" t="s">
        <v>134</v>
      </c>
      <c r="LFR11" s="1429" t="s">
        <v>134</v>
      </c>
      <c r="LFS11" s="1429" t="s">
        <v>134</v>
      </c>
      <c r="LFT11" s="1429" t="s">
        <v>134</v>
      </c>
      <c r="LFU11" s="1429" t="s">
        <v>134</v>
      </c>
      <c r="LFV11" s="1429" t="s">
        <v>134</v>
      </c>
      <c r="LFW11" s="1429" t="s">
        <v>134</v>
      </c>
      <c r="LFX11" s="1429" t="s">
        <v>134</v>
      </c>
      <c r="LFY11" s="1429" t="s">
        <v>134</v>
      </c>
      <c r="LFZ11" s="1429" t="s">
        <v>134</v>
      </c>
      <c r="LGA11" s="1429" t="s">
        <v>134</v>
      </c>
      <c r="LGB11" s="1429" t="s">
        <v>134</v>
      </c>
      <c r="LGC11" s="1429" t="s">
        <v>134</v>
      </c>
      <c r="LGD11" s="1429" t="s">
        <v>134</v>
      </c>
      <c r="LGE11" s="1429" t="s">
        <v>134</v>
      </c>
      <c r="LGF11" s="1429" t="s">
        <v>134</v>
      </c>
      <c r="LGG11" s="1429" t="s">
        <v>134</v>
      </c>
      <c r="LGH11" s="1429" t="s">
        <v>134</v>
      </c>
      <c r="LGI11" s="1429" t="s">
        <v>134</v>
      </c>
      <c r="LGJ11" s="1429" t="s">
        <v>134</v>
      </c>
      <c r="LGK11" s="1429" t="s">
        <v>134</v>
      </c>
      <c r="LGL11" s="1429" t="s">
        <v>134</v>
      </c>
      <c r="LGM11" s="1429" t="s">
        <v>134</v>
      </c>
      <c r="LGN11" s="1429" t="s">
        <v>134</v>
      </c>
      <c r="LGO11" s="1429" t="s">
        <v>134</v>
      </c>
      <c r="LGP11" s="1429" t="s">
        <v>134</v>
      </c>
      <c r="LGQ11" s="1429" t="s">
        <v>134</v>
      </c>
      <c r="LGR11" s="1429" t="s">
        <v>134</v>
      </c>
      <c r="LGS11" s="1429" t="s">
        <v>134</v>
      </c>
      <c r="LGT11" s="1429" t="s">
        <v>134</v>
      </c>
      <c r="LGU11" s="1429" t="s">
        <v>134</v>
      </c>
      <c r="LGV11" s="1429" t="s">
        <v>134</v>
      </c>
      <c r="LGW11" s="1429" t="s">
        <v>134</v>
      </c>
      <c r="LGX11" s="1429" t="s">
        <v>134</v>
      </c>
      <c r="LGY11" s="1429" t="s">
        <v>134</v>
      </c>
      <c r="LGZ11" s="1429" t="s">
        <v>134</v>
      </c>
      <c r="LHA11" s="1429" t="s">
        <v>134</v>
      </c>
      <c r="LHB11" s="1429" t="s">
        <v>134</v>
      </c>
      <c r="LHC11" s="1429" t="s">
        <v>134</v>
      </c>
      <c r="LHD11" s="1429" t="s">
        <v>134</v>
      </c>
      <c r="LHE11" s="1429" t="s">
        <v>134</v>
      </c>
      <c r="LHF11" s="1429" t="s">
        <v>134</v>
      </c>
      <c r="LHG11" s="1429" t="s">
        <v>134</v>
      </c>
      <c r="LHH11" s="1429" t="s">
        <v>134</v>
      </c>
      <c r="LHI11" s="1429" t="s">
        <v>134</v>
      </c>
      <c r="LHJ11" s="1429" t="s">
        <v>134</v>
      </c>
      <c r="LHK11" s="1429" t="s">
        <v>134</v>
      </c>
      <c r="LHL11" s="1429" t="s">
        <v>134</v>
      </c>
      <c r="LHM11" s="1429" t="s">
        <v>134</v>
      </c>
      <c r="LHN11" s="1429" t="s">
        <v>134</v>
      </c>
      <c r="LHO11" s="1429" t="s">
        <v>134</v>
      </c>
      <c r="LHP11" s="1429" t="s">
        <v>134</v>
      </c>
      <c r="LHQ11" s="1429" t="s">
        <v>134</v>
      </c>
      <c r="LHR11" s="1429" t="s">
        <v>134</v>
      </c>
      <c r="LHS11" s="1429" t="s">
        <v>134</v>
      </c>
      <c r="LHT11" s="1429" t="s">
        <v>134</v>
      </c>
      <c r="LHU11" s="1429" t="s">
        <v>134</v>
      </c>
      <c r="LHV11" s="1429" t="s">
        <v>134</v>
      </c>
      <c r="LHW11" s="1429" t="s">
        <v>134</v>
      </c>
      <c r="LHX11" s="1429" t="s">
        <v>134</v>
      </c>
      <c r="LHY11" s="1429" t="s">
        <v>134</v>
      </c>
      <c r="LHZ11" s="1429" t="s">
        <v>134</v>
      </c>
      <c r="LIA11" s="1429" t="s">
        <v>134</v>
      </c>
      <c r="LIB11" s="1429" t="s">
        <v>134</v>
      </c>
      <c r="LIC11" s="1429" t="s">
        <v>134</v>
      </c>
      <c r="LID11" s="1429" t="s">
        <v>134</v>
      </c>
      <c r="LIE11" s="1429" t="s">
        <v>134</v>
      </c>
      <c r="LIF11" s="1429" t="s">
        <v>134</v>
      </c>
      <c r="LIG11" s="1429" t="s">
        <v>134</v>
      </c>
      <c r="LIH11" s="1429" t="s">
        <v>134</v>
      </c>
      <c r="LII11" s="1429" t="s">
        <v>134</v>
      </c>
      <c r="LIJ11" s="1429" t="s">
        <v>134</v>
      </c>
      <c r="LIK11" s="1429" t="s">
        <v>134</v>
      </c>
      <c r="LIL11" s="1429" t="s">
        <v>134</v>
      </c>
      <c r="LIM11" s="1429" t="s">
        <v>134</v>
      </c>
      <c r="LIN11" s="1429" t="s">
        <v>134</v>
      </c>
      <c r="LIO11" s="1429" t="s">
        <v>134</v>
      </c>
      <c r="LIP11" s="1429" t="s">
        <v>134</v>
      </c>
      <c r="LIQ11" s="1429" t="s">
        <v>134</v>
      </c>
      <c r="LIR11" s="1429" t="s">
        <v>134</v>
      </c>
      <c r="LIS11" s="1429" t="s">
        <v>134</v>
      </c>
      <c r="LIT11" s="1429" t="s">
        <v>134</v>
      </c>
      <c r="LIU11" s="1429" t="s">
        <v>134</v>
      </c>
      <c r="LIV11" s="1429" t="s">
        <v>134</v>
      </c>
      <c r="LIW11" s="1429" t="s">
        <v>134</v>
      </c>
      <c r="LIX11" s="1429" t="s">
        <v>134</v>
      </c>
      <c r="LIY11" s="1429" t="s">
        <v>134</v>
      </c>
      <c r="LIZ11" s="1429" t="s">
        <v>134</v>
      </c>
      <c r="LJA11" s="1429" t="s">
        <v>134</v>
      </c>
      <c r="LJB11" s="1429" t="s">
        <v>134</v>
      </c>
      <c r="LJC11" s="1429" t="s">
        <v>134</v>
      </c>
      <c r="LJD11" s="1429" t="s">
        <v>134</v>
      </c>
      <c r="LJE11" s="1429" t="s">
        <v>134</v>
      </c>
      <c r="LJF11" s="1429" t="s">
        <v>134</v>
      </c>
      <c r="LJG11" s="1429" t="s">
        <v>134</v>
      </c>
      <c r="LJH11" s="1429" t="s">
        <v>134</v>
      </c>
      <c r="LJI11" s="1429" t="s">
        <v>134</v>
      </c>
      <c r="LJJ11" s="1429" t="s">
        <v>134</v>
      </c>
      <c r="LJK11" s="1429" t="s">
        <v>134</v>
      </c>
      <c r="LJL11" s="1429" t="s">
        <v>134</v>
      </c>
      <c r="LJM11" s="1429" t="s">
        <v>134</v>
      </c>
      <c r="LJN11" s="1429" t="s">
        <v>134</v>
      </c>
      <c r="LJO11" s="1429" t="s">
        <v>134</v>
      </c>
      <c r="LJP11" s="1429" t="s">
        <v>134</v>
      </c>
      <c r="LJQ11" s="1429" t="s">
        <v>134</v>
      </c>
      <c r="LJR11" s="1429" t="s">
        <v>134</v>
      </c>
      <c r="LJS11" s="1429" t="s">
        <v>134</v>
      </c>
      <c r="LJT11" s="1429" t="s">
        <v>134</v>
      </c>
      <c r="LJU11" s="1429" t="s">
        <v>134</v>
      </c>
      <c r="LJV11" s="1429" t="s">
        <v>134</v>
      </c>
      <c r="LJW11" s="1429" t="s">
        <v>134</v>
      </c>
      <c r="LJX11" s="1429" t="s">
        <v>134</v>
      </c>
      <c r="LJY11" s="1429" t="s">
        <v>134</v>
      </c>
      <c r="LJZ11" s="1429" t="s">
        <v>134</v>
      </c>
      <c r="LKA11" s="1429" t="s">
        <v>134</v>
      </c>
      <c r="LKB11" s="1429" t="s">
        <v>134</v>
      </c>
      <c r="LKC11" s="1429" t="s">
        <v>134</v>
      </c>
      <c r="LKD11" s="1429" t="s">
        <v>134</v>
      </c>
      <c r="LKE11" s="1429" t="s">
        <v>134</v>
      </c>
      <c r="LKF11" s="1429" t="s">
        <v>134</v>
      </c>
      <c r="LKG11" s="1429" t="s">
        <v>134</v>
      </c>
      <c r="LKH11" s="1429" t="s">
        <v>134</v>
      </c>
      <c r="LKI11" s="1429" t="s">
        <v>134</v>
      </c>
      <c r="LKJ11" s="1429" t="s">
        <v>134</v>
      </c>
      <c r="LKK11" s="1429" t="s">
        <v>134</v>
      </c>
      <c r="LKL11" s="1429" t="s">
        <v>134</v>
      </c>
      <c r="LKM11" s="1429" t="s">
        <v>134</v>
      </c>
      <c r="LKN11" s="1429" t="s">
        <v>134</v>
      </c>
      <c r="LKO11" s="1429" t="s">
        <v>134</v>
      </c>
      <c r="LKP11" s="1429" t="s">
        <v>134</v>
      </c>
      <c r="LKQ11" s="1429" t="s">
        <v>134</v>
      </c>
      <c r="LKR11" s="1429" t="s">
        <v>134</v>
      </c>
      <c r="LKS11" s="1429" t="s">
        <v>134</v>
      </c>
      <c r="LKT11" s="1429" t="s">
        <v>134</v>
      </c>
      <c r="LKU11" s="1429" t="s">
        <v>134</v>
      </c>
      <c r="LKV11" s="1429" t="s">
        <v>134</v>
      </c>
      <c r="LKW11" s="1429" t="s">
        <v>134</v>
      </c>
      <c r="LKX11" s="1429" t="s">
        <v>134</v>
      </c>
      <c r="LKY11" s="1429" t="s">
        <v>134</v>
      </c>
      <c r="LKZ11" s="1429" t="s">
        <v>134</v>
      </c>
      <c r="LLA11" s="1429" t="s">
        <v>134</v>
      </c>
      <c r="LLB11" s="1429" t="s">
        <v>134</v>
      </c>
      <c r="LLC11" s="1429" t="s">
        <v>134</v>
      </c>
      <c r="LLD11" s="1429" t="s">
        <v>134</v>
      </c>
      <c r="LLE11" s="1429" t="s">
        <v>134</v>
      </c>
      <c r="LLF11" s="1429" t="s">
        <v>134</v>
      </c>
      <c r="LLG11" s="1429" t="s">
        <v>134</v>
      </c>
      <c r="LLH11" s="1429" t="s">
        <v>134</v>
      </c>
      <c r="LLI11" s="1429" t="s">
        <v>134</v>
      </c>
      <c r="LLJ11" s="1429" t="s">
        <v>134</v>
      </c>
      <c r="LLK11" s="1429" t="s">
        <v>134</v>
      </c>
      <c r="LLL11" s="1429" t="s">
        <v>134</v>
      </c>
      <c r="LLM11" s="1429" t="s">
        <v>134</v>
      </c>
      <c r="LLN11" s="1429" t="s">
        <v>134</v>
      </c>
      <c r="LLO11" s="1429" t="s">
        <v>134</v>
      </c>
      <c r="LLP11" s="1429" t="s">
        <v>134</v>
      </c>
      <c r="LLQ11" s="1429" t="s">
        <v>134</v>
      </c>
      <c r="LLR11" s="1429" t="s">
        <v>134</v>
      </c>
      <c r="LLS11" s="1429" t="s">
        <v>134</v>
      </c>
      <c r="LLT11" s="1429" t="s">
        <v>134</v>
      </c>
      <c r="LLU11" s="1429" t="s">
        <v>134</v>
      </c>
      <c r="LLV11" s="1429" t="s">
        <v>134</v>
      </c>
      <c r="LLW11" s="1429" t="s">
        <v>134</v>
      </c>
      <c r="LLX11" s="1429" t="s">
        <v>134</v>
      </c>
      <c r="LLY11" s="1429" t="s">
        <v>134</v>
      </c>
      <c r="LLZ11" s="1429" t="s">
        <v>134</v>
      </c>
      <c r="LMA11" s="1429" t="s">
        <v>134</v>
      </c>
      <c r="LMB11" s="1429" t="s">
        <v>134</v>
      </c>
      <c r="LMC11" s="1429" t="s">
        <v>134</v>
      </c>
      <c r="LMD11" s="1429" t="s">
        <v>134</v>
      </c>
      <c r="LME11" s="1429" t="s">
        <v>134</v>
      </c>
      <c r="LMF11" s="1429" t="s">
        <v>134</v>
      </c>
      <c r="LMG11" s="1429" t="s">
        <v>134</v>
      </c>
      <c r="LMH11" s="1429" t="s">
        <v>134</v>
      </c>
      <c r="LMI11" s="1429" t="s">
        <v>134</v>
      </c>
      <c r="LMJ11" s="1429" t="s">
        <v>134</v>
      </c>
      <c r="LMK11" s="1429" t="s">
        <v>134</v>
      </c>
      <c r="LML11" s="1429" t="s">
        <v>134</v>
      </c>
      <c r="LMM11" s="1429" t="s">
        <v>134</v>
      </c>
      <c r="LMN11" s="1429" t="s">
        <v>134</v>
      </c>
      <c r="LMO11" s="1429" t="s">
        <v>134</v>
      </c>
      <c r="LMP11" s="1429" t="s">
        <v>134</v>
      </c>
      <c r="LMQ11" s="1429" t="s">
        <v>134</v>
      </c>
      <c r="LMR11" s="1429" t="s">
        <v>134</v>
      </c>
      <c r="LMS11" s="1429" t="s">
        <v>134</v>
      </c>
      <c r="LMT11" s="1429" t="s">
        <v>134</v>
      </c>
      <c r="LMU11" s="1429" t="s">
        <v>134</v>
      </c>
      <c r="LMV11" s="1429" t="s">
        <v>134</v>
      </c>
      <c r="LMW11" s="1429" t="s">
        <v>134</v>
      </c>
      <c r="LMX11" s="1429" t="s">
        <v>134</v>
      </c>
      <c r="LMY11" s="1429" t="s">
        <v>134</v>
      </c>
      <c r="LMZ11" s="1429" t="s">
        <v>134</v>
      </c>
      <c r="LNA11" s="1429" t="s">
        <v>134</v>
      </c>
      <c r="LNB11" s="1429" t="s">
        <v>134</v>
      </c>
      <c r="LNC11" s="1429" t="s">
        <v>134</v>
      </c>
      <c r="LND11" s="1429" t="s">
        <v>134</v>
      </c>
      <c r="LNE11" s="1429" t="s">
        <v>134</v>
      </c>
      <c r="LNF11" s="1429" t="s">
        <v>134</v>
      </c>
      <c r="LNG11" s="1429" t="s">
        <v>134</v>
      </c>
      <c r="LNH11" s="1429" t="s">
        <v>134</v>
      </c>
      <c r="LNI11" s="1429" t="s">
        <v>134</v>
      </c>
      <c r="LNJ11" s="1429" t="s">
        <v>134</v>
      </c>
      <c r="LNK11" s="1429" t="s">
        <v>134</v>
      </c>
      <c r="LNL11" s="1429" t="s">
        <v>134</v>
      </c>
      <c r="LNM11" s="1429" t="s">
        <v>134</v>
      </c>
      <c r="LNN11" s="1429" t="s">
        <v>134</v>
      </c>
      <c r="LNO11" s="1429" t="s">
        <v>134</v>
      </c>
      <c r="LNP11" s="1429" t="s">
        <v>134</v>
      </c>
      <c r="LNQ11" s="1429" t="s">
        <v>134</v>
      </c>
      <c r="LNR11" s="1429" t="s">
        <v>134</v>
      </c>
      <c r="LNS11" s="1429" t="s">
        <v>134</v>
      </c>
      <c r="LNT11" s="1429" t="s">
        <v>134</v>
      </c>
      <c r="LNU11" s="1429" t="s">
        <v>134</v>
      </c>
      <c r="LNV11" s="1429" t="s">
        <v>134</v>
      </c>
      <c r="LNW11" s="1429" t="s">
        <v>134</v>
      </c>
      <c r="LNX11" s="1429" t="s">
        <v>134</v>
      </c>
      <c r="LNY11" s="1429" t="s">
        <v>134</v>
      </c>
      <c r="LNZ11" s="1429" t="s">
        <v>134</v>
      </c>
      <c r="LOA11" s="1429" t="s">
        <v>134</v>
      </c>
      <c r="LOB11" s="1429" t="s">
        <v>134</v>
      </c>
      <c r="LOC11" s="1429" t="s">
        <v>134</v>
      </c>
      <c r="LOD11" s="1429" t="s">
        <v>134</v>
      </c>
      <c r="LOE11" s="1429" t="s">
        <v>134</v>
      </c>
      <c r="LOF11" s="1429" t="s">
        <v>134</v>
      </c>
      <c r="LOG11" s="1429" t="s">
        <v>134</v>
      </c>
      <c r="LOH11" s="1429" t="s">
        <v>134</v>
      </c>
      <c r="LOI11" s="1429" t="s">
        <v>134</v>
      </c>
      <c r="LOJ11" s="1429" t="s">
        <v>134</v>
      </c>
      <c r="LOK11" s="1429" t="s">
        <v>134</v>
      </c>
      <c r="LOL11" s="1429" t="s">
        <v>134</v>
      </c>
      <c r="LOM11" s="1429" t="s">
        <v>134</v>
      </c>
      <c r="LON11" s="1429" t="s">
        <v>134</v>
      </c>
      <c r="LOO11" s="1429" t="s">
        <v>134</v>
      </c>
      <c r="LOP11" s="1429" t="s">
        <v>134</v>
      </c>
      <c r="LOQ11" s="1429" t="s">
        <v>134</v>
      </c>
      <c r="LOR11" s="1429" t="s">
        <v>134</v>
      </c>
      <c r="LOS11" s="1429" t="s">
        <v>134</v>
      </c>
      <c r="LOT11" s="1429" t="s">
        <v>134</v>
      </c>
      <c r="LOU11" s="1429" t="s">
        <v>134</v>
      </c>
      <c r="LOV11" s="1429" t="s">
        <v>134</v>
      </c>
      <c r="LOW11" s="1429" t="s">
        <v>134</v>
      </c>
      <c r="LOX11" s="1429" t="s">
        <v>134</v>
      </c>
      <c r="LOY11" s="1429" t="s">
        <v>134</v>
      </c>
      <c r="LOZ11" s="1429" t="s">
        <v>134</v>
      </c>
      <c r="LPA11" s="1429" t="s">
        <v>134</v>
      </c>
      <c r="LPB11" s="1429" t="s">
        <v>134</v>
      </c>
      <c r="LPC11" s="1429" t="s">
        <v>134</v>
      </c>
      <c r="LPD11" s="1429" t="s">
        <v>134</v>
      </c>
      <c r="LPE11" s="1429" t="s">
        <v>134</v>
      </c>
      <c r="LPF11" s="1429" t="s">
        <v>134</v>
      </c>
      <c r="LPG11" s="1429" t="s">
        <v>134</v>
      </c>
      <c r="LPH11" s="1429" t="s">
        <v>134</v>
      </c>
      <c r="LPI11" s="1429" t="s">
        <v>134</v>
      </c>
      <c r="LPJ11" s="1429" t="s">
        <v>134</v>
      </c>
      <c r="LPK11" s="1429" t="s">
        <v>134</v>
      </c>
      <c r="LPL11" s="1429" t="s">
        <v>134</v>
      </c>
      <c r="LPM11" s="1429" t="s">
        <v>134</v>
      </c>
      <c r="LPN11" s="1429" t="s">
        <v>134</v>
      </c>
      <c r="LPO11" s="1429" t="s">
        <v>134</v>
      </c>
      <c r="LPP11" s="1429" t="s">
        <v>134</v>
      </c>
      <c r="LPQ11" s="1429" t="s">
        <v>134</v>
      </c>
      <c r="LPR11" s="1429" t="s">
        <v>134</v>
      </c>
      <c r="LPS11" s="1429" t="s">
        <v>134</v>
      </c>
      <c r="LPT11" s="1429" t="s">
        <v>134</v>
      </c>
      <c r="LPU11" s="1429" t="s">
        <v>134</v>
      </c>
      <c r="LPV11" s="1429" t="s">
        <v>134</v>
      </c>
      <c r="LPW11" s="1429" t="s">
        <v>134</v>
      </c>
      <c r="LPX11" s="1429" t="s">
        <v>134</v>
      </c>
      <c r="LPY11" s="1429" t="s">
        <v>134</v>
      </c>
      <c r="LPZ11" s="1429" t="s">
        <v>134</v>
      </c>
      <c r="LQA11" s="1429" t="s">
        <v>134</v>
      </c>
      <c r="LQB11" s="1429" t="s">
        <v>134</v>
      </c>
      <c r="LQC11" s="1429" t="s">
        <v>134</v>
      </c>
      <c r="LQD11" s="1429" t="s">
        <v>134</v>
      </c>
      <c r="LQE11" s="1429" t="s">
        <v>134</v>
      </c>
      <c r="LQF11" s="1429" t="s">
        <v>134</v>
      </c>
      <c r="LQG11" s="1429" t="s">
        <v>134</v>
      </c>
      <c r="LQH11" s="1429" t="s">
        <v>134</v>
      </c>
      <c r="LQI11" s="1429" t="s">
        <v>134</v>
      </c>
      <c r="LQJ11" s="1429" t="s">
        <v>134</v>
      </c>
      <c r="LQK11" s="1429" t="s">
        <v>134</v>
      </c>
      <c r="LQL11" s="1429" t="s">
        <v>134</v>
      </c>
      <c r="LQM11" s="1429" t="s">
        <v>134</v>
      </c>
      <c r="LQN11" s="1429" t="s">
        <v>134</v>
      </c>
      <c r="LQO11" s="1429" t="s">
        <v>134</v>
      </c>
      <c r="LQP11" s="1429" t="s">
        <v>134</v>
      </c>
      <c r="LQQ11" s="1429" t="s">
        <v>134</v>
      </c>
      <c r="LQR11" s="1429" t="s">
        <v>134</v>
      </c>
      <c r="LQS11" s="1429" t="s">
        <v>134</v>
      </c>
      <c r="LQT11" s="1429" t="s">
        <v>134</v>
      </c>
      <c r="LQU11" s="1429" t="s">
        <v>134</v>
      </c>
      <c r="LQV11" s="1429" t="s">
        <v>134</v>
      </c>
      <c r="LQW11" s="1429" t="s">
        <v>134</v>
      </c>
      <c r="LQX11" s="1429" t="s">
        <v>134</v>
      </c>
      <c r="LQY11" s="1429" t="s">
        <v>134</v>
      </c>
      <c r="LQZ11" s="1429" t="s">
        <v>134</v>
      </c>
      <c r="LRA11" s="1429" t="s">
        <v>134</v>
      </c>
      <c r="LRB11" s="1429" t="s">
        <v>134</v>
      </c>
      <c r="LRC11" s="1429" t="s">
        <v>134</v>
      </c>
      <c r="LRD11" s="1429" t="s">
        <v>134</v>
      </c>
      <c r="LRE11" s="1429" t="s">
        <v>134</v>
      </c>
      <c r="LRF11" s="1429" t="s">
        <v>134</v>
      </c>
      <c r="LRG11" s="1429" t="s">
        <v>134</v>
      </c>
      <c r="LRH11" s="1429" t="s">
        <v>134</v>
      </c>
      <c r="LRI11" s="1429" t="s">
        <v>134</v>
      </c>
      <c r="LRJ11" s="1429" t="s">
        <v>134</v>
      </c>
      <c r="LRK11" s="1429" t="s">
        <v>134</v>
      </c>
      <c r="LRL11" s="1429" t="s">
        <v>134</v>
      </c>
      <c r="LRM11" s="1429" t="s">
        <v>134</v>
      </c>
      <c r="LRN11" s="1429" t="s">
        <v>134</v>
      </c>
      <c r="LRO11" s="1429" t="s">
        <v>134</v>
      </c>
      <c r="LRP11" s="1429" t="s">
        <v>134</v>
      </c>
      <c r="LRQ11" s="1429" t="s">
        <v>134</v>
      </c>
      <c r="LRR11" s="1429" t="s">
        <v>134</v>
      </c>
      <c r="LRS11" s="1429" t="s">
        <v>134</v>
      </c>
      <c r="LRT11" s="1429" t="s">
        <v>134</v>
      </c>
      <c r="LRU11" s="1429" t="s">
        <v>134</v>
      </c>
      <c r="LRV11" s="1429" t="s">
        <v>134</v>
      </c>
      <c r="LRW11" s="1429" t="s">
        <v>134</v>
      </c>
      <c r="LRX11" s="1429" t="s">
        <v>134</v>
      </c>
      <c r="LRY11" s="1429" t="s">
        <v>134</v>
      </c>
      <c r="LRZ11" s="1429" t="s">
        <v>134</v>
      </c>
      <c r="LSA11" s="1429" t="s">
        <v>134</v>
      </c>
      <c r="LSB11" s="1429" t="s">
        <v>134</v>
      </c>
      <c r="LSC11" s="1429" t="s">
        <v>134</v>
      </c>
      <c r="LSD11" s="1429" t="s">
        <v>134</v>
      </c>
      <c r="LSE11" s="1429" t="s">
        <v>134</v>
      </c>
      <c r="LSF11" s="1429" t="s">
        <v>134</v>
      </c>
      <c r="LSG11" s="1429" t="s">
        <v>134</v>
      </c>
      <c r="LSH11" s="1429" t="s">
        <v>134</v>
      </c>
      <c r="LSI11" s="1429" t="s">
        <v>134</v>
      </c>
      <c r="LSJ11" s="1429" t="s">
        <v>134</v>
      </c>
      <c r="LSK11" s="1429" t="s">
        <v>134</v>
      </c>
      <c r="LSL11" s="1429" t="s">
        <v>134</v>
      </c>
      <c r="LSM11" s="1429" t="s">
        <v>134</v>
      </c>
      <c r="LSN11" s="1429" t="s">
        <v>134</v>
      </c>
      <c r="LSO11" s="1429" t="s">
        <v>134</v>
      </c>
      <c r="LSP11" s="1429" t="s">
        <v>134</v>
      </c>
      <c r="LSQ11" s="1429" t="s">
        <v>134</v>
      </c>
      <c r="LSR11" s="1429" t="s">
        <v>134</v>
      </c>
      <c r="LSS11" s="1429" t="s">
        <v>134</v>
      </c>
      <c r="LST11" s="1429" t="s">
        <v>134</v>
      </c>
      <c r="LSU11" s="1429" t="s">
        <v>134</v>
      </c>
      <c r="LSV11" s="1429" t="s">
        <v>134</v>
      </c>
      <c r="LSW11" s="1429" t="s">
        <v>134</v>
      </c>
      <c r="LSX11" s="1429" t="s">
        <v>134</v>
      </c>
      <c r="LSY11" s="1429" t="s">
        <v>134</v>
      </c>
      <c r="LSZ11" s="1429" t="s">
        <v>134</v>
      </c>
      <c r="LTA11" s="1429" t="s">
        <v>134</v>
      </c>
      <c r="LTB11" s="1429" t="s">
        <v>134</v>
      </c>
      <c r="LTC11" s="1429" t="s">
        <v>134</v>
      </c>
      <c r="LTD11" s="1429" t="s">
        <v>134</v>
      </c>
      <c r="LTE11" s="1429" t="s">
        <v>134</v>
      </c>
      <c r="LTF11" s="1429" t="s">
        <v>134</v>
      </c>
      <c r="LTG11" s="1429" t="s">
        <v>134</v>
      </c>
      <c r="LTH11" s="1429" t="s">
        <v>134</v>
      </c>
      <c r="LTI11" s="1429" t="s">
        <v>134</v>
      </c>
      <c r="LTJ11" s="1429" t="s">
        <v>134</v>
      </c>
      <c r="LTK11" s="1429" t="s">
        <v>134</v>
      </c>
      <c r="LTL11" s="1429" t="s">
        <v>134</v>
      </c>
      <c r="LTM11" s="1429" t="s">
        <v>134</v>
      </c>
      <c r="LTN11" s="1429" t="s">
        <v>134</v>
      </c>
      <c r="LTO11" s="1429" t="s">
        <v>134</v>
      </c>
      <c r="LTP11" s="1429" t="s">
        <v>134</v>
      </c>
      <c r="LTQ11" s="1429" t="s">
        <v>134</v>
      </c>
      <c r="LTR11" s="1429" t="s">
        <v>134</v>
      </c>
      <c r="LTS11" s="1429" t="s">
        <v>134</v>
      </c>
      <c r="LTT11" s="1429" t="s">
        <v>134</v>
      </c>
      <c r="LTU11" s="1429" t="s">
        <v>134</v>
      </c>
      <c r="LTV11" s="1429" t="s">
        <v>134</v>
      </c>
      <c r="LTW11" s="1429" t="s">
        <v>134</v>
      </c>
      <c r="LTX11" s="1429" t="s">
        <v>134</v>
      </c>
      <c r="LTY11" s="1429" t="s">
        <v>134</v>
      </c>
      <c r="LTZ11" s="1429" t="s">
        <v>134</v>
      </c>
      <c r="LUA11" s="1429" t="s">
        <v>134</v>
      </c>
      <c r="LUB11" s="1429" t="s">
        <v>134</v>
      </c>
      <c r="LUC11" s="1429" t="s">
        <v>134</v>
      </c>
      <c r="LUD11" s="1429" t="s">
        <v>134</v>
      </c>
      <c r="LUE11" s="1429" t="s">
        <v>134</v>
      </c>
      <c r="LUF11" s="1429" t="s">
        <v>134</v>
      </c>
      <c r="LUG11" s="1429" t="s">
        <v>134</v>
      </c>
      <c r="LUH11" s="1429" t="s">
        <v>134</v>
      </c>
      <c r="LUI11" s="1429" t="s">
        <v>134</v>
      </c>
      <c r="LUJ11" s="1429" t="s">
        <v>134</v>
      </c>
      <c r="LUK11" s="1429" t="s">
        <v>134</v>
      </c>
      <c r="LUL11" s="1429" t="s">
        <v>134</v>
      </c>
      <c r="LUM11" s="1429" t="s">
        <v>134</v>
      </c>
      <c r="LUN11" s="1429" t="s">
        <v>134</v>
      </c>
      <c r="LUO11" s="1429" t="s">
        <v>134</v>
      </c>
      <c r="LUP11" s="1429" t="s">
        <v>134</v>
      </c>
      <c r="LUQ11" s="1429" t="s">
        <v>134</v>
      </c>
      <c r="LUR11" s="1429" t="s">
        <v>134</v>
      </c>
      <c r="LUS11" s="1429" t="s">
        <v>134</v>
      </c>
      <c r="LUT11" s="1429" t="s">
        <v>134</v>
      </c>
      <c r="LUU11" s="1429" t="s">
        <v>134</v>
      </c>
      <c r="LUV11" s="1429" t="s">
        <v>134</v>
      </c>
      <c r="LUW11" s="1429" t="s">
        <v>134</v>
      </c>
      <c r="LUX11" s="1429" t="s">
        <v>134</v>
      </c>
      <c r="LUY11" s="1429" t="s">
        <v>134</v>
      </c>
      <c r="LUZ11" s="1429" t="s">
        <v>134</v>
      </c>
      <c r="LVA11" s="1429" t="s">
        <v>134</v>
      </c>
      <c r="LVB11" s="1429" t="s">
        <v>134</v>
      </c>
      <c r="LVC11" s="1429" t="s">
        <v>134</v>
      </c>
      <c r="LVD11" s="1429" t="s">
        <v>134</v>
      </c>
      <c r="LVE11" s="1429" t="s">
        <v>134</v>
      </c>
      <c r="LVF11" s="1429" t="s">
        <v>134</v>
      </c>
      <c r="LVG11" s="1429" t="s">
        <v>134</v>
      </c>
      <c r="LVH11" s="1429" t="s">
        <v>134</v>
      </c>
      <c r="LVI11" s="1429" t="s">
        <v>134</v>
      </c>
      <c r="LVJ11" s="1429" t="s">
        <v>134</v>
      </c>
      <c r="LVK11" s="1429" t="s">
        <v>134</v>
      </c>
      <c r="LVL11" s="1429" t="s">
        <v>134</v>
      </c>
      <c r="LVM11" s="1429" t="s">
        <v>134</v>
      </c>
      <c r="LVN11" s="1429" t="s">
        <v>134</v>
      </c>
      <c r="LVO11" s="1429" t="s">
        <v>134</v>
      </c>
      <c r="LVP11" s="1429" t="s">
        <v>134</v>
      </c>
      <c r="LVQ11" s="1429" t="s">
        <v>134</v>
      </c>
      <c r="LVR11" s="1429" t="s">
        <v>134</v>
      </c>
      <c r="LVS11" s="1429" t="s">
        <v>134</v>
      </c>
      <c r="LVT11" s="1429" t="s">
        <v>134</v>
      </c>
      <c r="LVU11" s="1429" t="s">
        <v>134</v>
      </c>
      <c r="LVV11" s="1429" t="s">
        <v>134</v>
      </c>
      <c r="LVW11" s="1429" t="s">
        <v>134</v>
      </c>
      <c r="LVX11" s="1429" t="s">
        <v>134</v>
      </c>
      <c r="LVY11" s="1429" t="s">
        <v>134</v>
      </c>
      <c r="LVZ11" s="1429" t="s">
        <v>134</v>
      </c>
      <c r="LWA11" s="1429" t="s">
        <v>134</v>
      </c>
      <c r="LWB11" s="1429" t="s">
        <v>134</v>
      </c>
      <c r="LWC11" s="1429" t="s">
        <v>134</v>
      </c>
      <c r="LWD11" s="1429" t="s">
        <v>134</v>
      </c>
      <c r="LWE11" s="1429" t="s">
        <v>134</v>
      </c>
      <c r="LWF11" s="1429" t="s">
        <v>134</v>
      </c>
      <c r="LWG11" s="1429" t="s">
        <v>134</v>
      </c>
      <c r="LWH11" s="1429" t="s">
        <v>134</v>
      </c>
      <c r="LWI11" s="1429" t="s">
        <v>134</v>
      </c>
      <c r="LWJ11" s="1429" t="s">
        <v>134</v>
      </c>
      <c r="LWK11" s="1429" t="s">
        <v>134</v>
      </c>
      <c r="LWL11" s="1429" t="s">
        <v>134</v>
      </c>
      <c r="LWM11" s="1429" t="s">
        <v>134</v>
      </c>
      <c r="LWN11" s="1429" t="s">
        <v>134</v>
      </c>
      <c r="LWO11" s="1429" t="s">
        <v>134</v>
      </c>
      <c r="LWP11" s="1429" t="s">
        <v>134</v>
      </c>
      <c r="LWQ11" s="1429" t="s">
        <v>134</v>
      </c>
      <c r="LWR11" s="1429" t="s">
        <v>134</v>
      </c>
      <c r="LWS11" s="1429" t="s">
        <v>134</v>
      </c>
      <c r="LWT11" s="1429" t="s">
        <v>134</v>
      </c>
      <c r="LWU11" s="1429" t="s">
        <v>134</v>
      </c>
      <c r="LWV11" s="1429" t="s">
        <v>134</v>
      </c>
      <c r="LWW11" s="1429" t="s">
        <v>134</v>
      </c>
      <c r="LWX11" s="1429" t="s">
        <v>134</v>
      </c>
      <c r="LWY11" s="1429" t="s">
        <v>134</v>
      </c>
      <c r="LWZ11" s="1429" t="s">
        <v>134</v>
      </c>
      <c r="LXA11" s="1429" t="s">
        <v>134</v>
      </c>
      <c r="LXB11" s="1429" t="s">
        <v>134</v>
      </c>
      <c r="LXC11" s="1429" t="s">
        <v>134</v>
      </c>
      <c r="LXD11" s="1429" t="s">
        <v>134</v>
      </c>
      <c r="LXE11" s="1429" t="s">
        <v>134</v>
      </c>
      <c r="LXF11" s="1429" t="s">
        <v>134</v>
      </c>
      <c r="LXG11" s="1429" t="s">
        <v>134</v>
      </c>
      <c r="LXH11" s="1429" t="s">
        <v>134</v>
      </c>
      <c r="LXI11" s="1429" t="s">
        <v>134</v>
      </c>
      <c r="LXJ11" s="1429" t="s">
        <v>134</v>
      </c>
      <c r="LXK11" s="1429" t="s">
        <v>134</v>
      </c>
      <c r="LXL11" s="1429" t="s">
        <v>134</v>
      </c>
      <c r="LXM11" s="1429" t="s">
        <v>134</v>
      </c>
      <c r="LXN11" s="1429" t="s">
        <v>134</v>
      </c>
      <c r="LXO11" s="1429" t="s">
        <v>134</v>
      </c>
      <c r="LXP11" s="1429" t="s">
        <v>134</v>
      </c>
      <c r="LXQ11" s="1429" t="s">
        <v>134</v>
      </c>
      <c r="LXR11" s="1429" t="s">
        <v>134</v>
      </c>
      <c r="LXS11" s="1429" t="s">
        <v>134</v>
      </c>
      <c r="LXT11" s="1429" t="s">
        <v>134</v>
      </c>
      <c r="LXU11" s="1429" t="s">
        <v>134</v>
      </c>
      <c r="LXV11" s="1429" t="s">
        <v>134</v>
      </c>
      <c r="LXW11" s="1429" t="s">
        <v>134</v>
      </c>
      <c r="LXX11" s="1429" t="s">
        <v>134</v>
      </c>
      <c r="LXY11" s="1429" t="s">
        <v>134</v>
      </c>
      <c r="LXZ11" s="1429" t="s">
        <v>134</v>
      </c>
      <c r="LYA11" s="1429" t="s">
        <v>134</v>
      </c>
      <c r="LYB11" s="1429" t="s">
        <v>134</v>
      </c>
      <c r="LYC11" s="1429" t="s">
        <v>134</v>
      </c>
      <c r="LYD11" s="1429" t="s">
        <v>134</v>
      </c>
      <c r="LYE11" s="1429" t="s">
        <v>134</v>
      </c>
      <c r="LYF11" s="1429" t="s">
        <v>134</v>
      </c>
      <c r="LYG11" s="1429" t="s">
        <v>134</v>
      </c>
      <c r="LYH11" s="1429" t="s">
        <v>134</v>
      </c>
      <c r="LYI11" s="1429" t="s">
        <v>134</v>
      </c>
      <c r="LYJ11" s="1429" t="s">
        <v>134</v>
      </c>
      <c r="LYK11" s="1429" t="s">
        <v>134</v>
      </c>
      <c r="LYL11" s="1429" t="s">
        <v>134</v>
      </c>
      <c r="LYM11" s="1429" t="s">
        <v>134</v>
      </c>
      <c r="LYN11" s="1429" t="s">
        <v>134</v>
      </c>
      <c r="LYO11" s="1429" t="s">
        <v>134</v>
      </c>
      <c r="LYP11" s="1429" t="s">
        <v>134</v>
      </c>
      <c r="LYQ11" s="1429" t="s">
        <v>134</v>
      </c>
      <c r="LYR11" s="1429" t="s">
        <v>134</v>
      </c>
      <c r="LYS11" s="1429" t="s">
        <v>134</v>
      </c>
      <c r="LYT11" s="1429" t="s">
        <v>134</v>
      </c>
      <c r="LYU11" s="1429" t="s">
        <v>134</v>
      </c>
      <c r="LYV11" s="1429" t="s">
        <v>134</v>
      </c>
      <c r="LYW11" s="1429" t="s">
        <v>134</v>
      </c>
      <c r="LYX11" s="1429" t="s">
        <v>134</v>
      </c>
      <c r="LYY11" s="1429" t="s">
        <v>134</v>
      </c>
      <c r="LYZ11" s="1429" t="s">
        <v>134</v>
      </c>
      <c r="LZA11" s="1429" t="s">
        <v>134</v>
      </c>
      <c r="LZB11" s="1429" t="s">
        <v>134</v>
      </c>
      <c r="LZC11" s="1429" t="s">
        <v>134</v>
      </c>
      <c r="LZD11" s="1429" t="s">
        <v>134</v>
      </c>
      <c r="LZE11" s="1429" t="s">
        <v>134</v>
      </c>
      <c r="LZF11" s="1429" t="s">
        <v>134</v>
      </c>
      <c r="LZG11" s="1429" t="s">
        <v>134</v>
      </c>
      <c r="LZH11" s="1429" t="s">
        <v>134</v>
      </c>
      <c r="LZI11" s="1429" t="s">
        <v>134</v>
      </c>
      <c r="LZJ11" s="1429" t="s">
        <v>134</v>
      </c>
      <c r="LZK11" s="1429" t="s">
        <v>134</v>
      </c>
      <c r="LZL11" s="1429" t="s">
        <v>134</v>
      </c>
      <c r="LZM11" s="1429" t="s">
        <v>134</v>
      </c>
      <c r="LZN11" s="1429" t="s">
        <v>134</v>
      </c>
      <c r="LZO11" s="1429" t="s">
        <v>134</v>
      </c>
      <c r="LZP11" s="1429" t="s">
        <v>134</v>
      </c>
      <c r="LZQ11" s="1429" t="s">
        <v>134</v>
      </c>
      <c r="LZR11" s="1429" t="s">
        <v>134</v>
      </c>
      <c r="LZS11" s="1429" t="s">
        <v>134</v>
      </c>
      <c r="LZT11" s="1429" t="s">
        <v>134</v>
      </c>
      <c r="LZU11" s="1429" t="s">
        <v>134</v>
      </c>
      <c r="LZV11" s="1429" t="s">
        <v>134</v>
      </c>
      <c r="LZW11" s="1429" t="s">
        <v>134</v>
      </c>
      <c r="LZX11" s="1429" t="s">
        <v>134</v>
      </c>
      <c r="LZY11" s="1429" t="s">
        <v>134</v>
      </c>
      <c r="LZZ11" s="1429" t="s">
        <v>134</v>
      </c>
      <c r="MAA11" s="1429" t="s">
        <v>134</v>
      </c>
      <c r="MAB11" s="1429" t="s">
        <v>134</v>
      </c>
      <c r="MAC11" s="1429" t="s">
        <v>134</v>
      </c>
      <c r="MAD11" s="1429" t="s">
        <v>134</v>
      </c>
      <c r="MAE11" s="1429" t="s">
        <v>134</v>
      </c>
      <c r="MAF11" s="1429" t="s">
        <v>134</v>
      </c>
      <c r="MAG11" s="1429" t="s">
        <v>134</v>
      </c>
      <c r="MAH11" s="1429" t="s">
        <v>134</v>
      </c>
      <c r="MAI11" s="1429" t="s">
        <v>134</v>
      </c>
      <c r="MAJ11" s="1429" t="s">
        <v>134</v>
      </c>
      <c r="MAK11" s="1429" t="s">
        <v>134</v>
      </c>
      <c r="MAL11" s="1429" t="s">
        <v>134</v>
      </c>
      <c r="MAM11" s="1429" t="s">
        <v>134</v>
      </c>
      <c r="MAN11" s="1429" t="s">
        <v>134</v>
      </c>
      <c r="MAO11" s="1429" t="s">
        <v>134</v>
      </c>
      <c r="MAP11" s="1429" t="s">
        <v>134</v>
      </c>
      <c r="MAQ11" s="1429" t="s">
        <v>134</v>
      </c>
      <c r="MAR11" s="1429" t="s">
        <v>134</v>
      </c>
      <c r="MAS11" s="1429" t="s">
        <v>134</v>
      </c>
      <c r="MAT11" s="1429" t="s">
        <v>134</v>
      </c>
      <c r="MAU11" s="1429" t="s">
        <v>134</v>
      </c>
      <c r="MAV11" s="1429" t="s">
        <v>134</v>
      </c>
      <c r="MAW11" s="1429" t="s">
        <v>134</v>
      </c>
      <c r="MAX11" s="1429" t="s">
        <v>134</v>
      </c>
      <c r="MAY11" s="1429" t="s">
        <v>134</v>
      </c>
      <c r="MAZ11" s="1429" t="s">
        <v>134</v>
      </c>
      <c r="MBA11" s="1429" t="s">
        <v>134</v>
      </c>
      <c r="MBB11" s="1429" t="s">
        <v>134</v>
      </c>
      <c r="MBC11" s="1429" t="s">
        <v>134</v>
      </c>
      <c r="MBD11" s="1429" t="s">
        <v>134</v>
      </c>
      <c r="MBE11" s="1429" t="s">
        <v>134</v>
      </c>
      <c r="MBF11" s="1429" t="s">
        <v>134</v>
      </c>
      <c r="MBG11" s="1429" t="s">
        <v>134</v>
      </c>
      <c r="MBH11" s="1429" t="s">
        <v>134</v>
      </c>
      <c r="MBI11" s="1429" t="s">
        <v>134</v>
      </c>
      <c r="MBJ11" s="1429" t="s">
        <v>134</v>
      </c>
      <c r="MBK11" s="1429" t="s">
        <v>134</v>
      </c>
      <c r="MBL11" s="1429" t="s">
        <v>134</v>
      </c>
      <c r="MBM11" s="1429" t="s">
        <v>134</v>
      </c>
      <c r="MBN11" s="1429" t="s">
        <v>134</v>
      </c>
      <c r="MBO11" s="1429" t="s">
        <v>134</v>
      </c>
      <c r="MBP11" s="1429" t="s">
        <v>134</v>
      </c>
      <c r="MBQ11" s="1429" t="s">
        <v>134</v>
      </c>
      <c r="MBR11" s="1429" t="s">
        <v>134</v>
      </c>
      <c r="MBS11" s="1429" t="s">
        <v>134</v>
      </c>
      <c r="MBT11" s="1429" t="s">
        <v>134</v>
      </c>
      <c r="MBU11" s="1429" t="s">
        <v>134</v>
      </c>
      <c r="MBV11" s="1429" t="s">
        <v>134</v>
      </c>
      <c r="MBW11" s="1429" t="s">
        <v>134</v>
      </c>
      <c r="MBX11" s="1429" t="s">
        <v>134</v>
      </c>
      <c r="MBY11" s="1429" t="s">
        <v>134</v>
      </c>
      <c r="MBZ11" s="1429" t="s">
        <v>134</v>
      </c>
      <c r="MCA11" s="1429" t="s">
        <v>134</v>
      </c>
      <c r="MCB11" s="1429" t="s">
        <v>134</v>
      </c>
      <c r="MCC11" s="1429" t="s">
        <v>134</v>
      </c>
      <c r="MCD11" s="1429" t="s">
        <v>134</v>
      </c>
      <c r="MCE11" s="1429" t="s">
        <v>134</v>
      </c>
      <c r="MCF11" s="1429" t="s">
        <v>134</v>
      </c>
      <c r="MCG11" s="1429" t="s">
        <v>134</v>
      </c>
      <c r="MCH11" s="1429" t="s">
        <v>134</v>
      </c>
      <c r="MCI11" s="1429" t="s">
        <v>134</v>
      </c>
      <c r="MCJ11" s="1429" t="s">
        <v>134</v>
      </c>
      <c r="MCK11" s="1429" t="s">
        <v>134</v>
      </c>
      <c r="MCL11" s="1429" t="s">
        <v>134</v>
      </c>
      <c r="MCM11" s="1429" t="s">
        <v>134</v>
      </c>
      <c r="MCN11" s="1429" t="s">
        <v>134</v>
      </c>
      <c r="MCO11" s="1429" t="s">
        <v>134</v>
      </c>
      <c r="MCP11" s="1429" t="s">
        <v>134</v>
      </c>
      <c r="MCQ11" s="1429" t="s">
        <v>134</v>
      </c>
      <c r="MCR11" s="1429" t="s">
        <v>134</v>
      </c>
      <c r="MCS11" s="1429" t="s">
        <v>134</v>
      </c>
      <c r="MCT11" s="1429" t="s">
        <v>134</v>
      </c>
      <c r="MCU11" s="1429" t="s">
        <v>134</v>
      </c>
      <c r="MCV11" s="1429" t="s">
        <v>134</v>
      </c>
      <c r="MCW11" s="1429" t="s">
        <v>134</v>
      </c>
      <c r="MCX11" s="1429" t="s">
        <v>134</v>
      </c>
      <c r="MCY11" s="1429" t="s">
        <v>134</v>
      </c>
      <c r="MCZ11" s="1429" t="s">
        <v>134</v>
      </c>
      <c r="MDA11" s="1429" t="s">
        <v>134</v>
      </c>
      <c r="MDB11" s="1429" t="s">
        <v>134</v>
      </c>
      <c r="MDC11" s="1429" t="s">
        <v>134</v>
      </c>
      <c r="MDD11" s="1429" t="s">
        <v>134</v>
      </c>
      <c r="MDE11" s="1429" t="s">
        <v>134</v>
      </c>
      <c r="MDF11" s="1429" t="s">
        <v>134</v>
      </c>
      <c r="MDG11" s="1429" t="s">
        <v>134</v>
      </c>
      <c r="MDH11" s="1429" t="s">
        <v>134</v>
      </c>
      <c r="MDI11" s="1429" t="s">
        <v>134</v>
      </c>
      <c r="MDJ11" s="1429" t="s">
        <v>134</v>
      </c>
      <c r="MDK11" s="1429" t="s">
        <v>134</v>
      </c>
      <c r="MDL11" s="1429" t="s">
        <v>134</v>
      </c>
      <c r="MDM11" s="1429" t="s">
        <v>134</v>
      </c>
      <c r="MDN11" s="1429" t="s">
        <v>134</v>
      </c>
      <c r="MDO11" s="1429" t="s">
        <v>134</v>
      </c>
      <c r="MDP11" s="1429" t="s">
        <v>134</v>
      </c>
      <c r="MDQ11" s="1429" t="s">
        <v>134</v>
      </c>
      <c r="MDR11" s="1429" t="s">
        <v>134</v>
      </c>
      <c r="MDS11" s="1429" t="s">
        <v>134</v>
      </c>
      <c r="MDT11" s="1429" t="s">
        <v>134</v>
      </c>
      <c r="MDU11" s="1429" t="s">
        <v>134</v>
      </c>
      <c r="MDV11" s="1429" t="s">
        <v>134</v>
      </c>
      <c r="MDW11" s="1429" t="s">
        <v>134</v>
      </c>
      <c r="MDX11" s="1429" t="s">
        <v>134</v>
      </c>
      <c r="MDY11" s="1429" t="s">
        <v>134</v>
      </c>
      <c r="MDZ11" s="1429" t="s">
        <v>134</v>
      </c>
      <c r="MEA11" s="1429" t="s">
        <v>134</v>
      </c>
      <c r="MEB11" s="1429" t="s">
        <v>134</v>
      </c>
      <c r="MEC11" s="1429" t="s">
        <v>134</v>
      </c>
      <c r="MED11" s="1429" t="s">
        <v>134</v>
      </c>
      <c r="MEE11" s="1429" t="s">
        <v>134</v>
      </c>
      <c r="MEF11" s="1429" t="s">
        <v>134</v>
      </c>
      <c r="MEG11" s="1429" t="s">
        <v>134</v>
      </c>
      <c r="MEH11" s="1429" t="s">
        <v>134</v>
      </c>
      <c r="MEI11" s="1429" t="s">
        <v>134</v>
      </c>
      <c r="MEJ11" s="1429" t="s">
        <v>134</v>
      </c>
      <c r="MEK11" s="1429" t="s">
        <v>134</v>
      </c>
      <c r="MEL11" s="1429" t="s">
        <v>134</v>
      </c>
      <c r="MEM11" s="1429" t="s">
        <v>134</v>
      </c>
      <c r="MEN11" s="1429" t="s">
        <v>134</v>
      </c>
      <c r="MEO11" s="1429" t="s">
        <v>134</v>
      </c>
      <c r="MEP11" s="1429" t="s">
        <v>134</v>
      </c>
      <c r="MEQ11" s="1429" t="s">
        <v>134</v>
      </c>
      <c r="MER11" s="1429" t="s">
        <v>134</v>
      </c>
      <c r="MES11" s="1429" t="s">
        <v>134</v>
      </c>
      <c r="MET11" s="1429" t="s">
        <v>134</v>
      </c>
      <c r="MEU11" s="1429" t="s">
        <v>134</v>
      </c>
      <c r="MEV11" s="1429" t="s">
        <v>134</v>
      </c>
      <c r="MEW11" s="1429" t="s">
        <v>134</v>
      </c>
      <c r="MEX11" s="1429" t="s">
        <v>134</v>
      </c>
      <c r="MEY11" s="1429" t="s">
        <v>134</v>
      </c>
      <c r="MEZ11" s="1429" t="s">
        <v>134</v>
      </c>
      <c r="MFA11" s="1429" t="s">
        <v>134</v>
      </c>
      <c r="MFB11" s="1429" t="s">
        <v>134</v>
      </c>
      <c r="MFC11" s="1429" t="s">
        <v>134</v>
      </c>
      <c r="MFD11" s="1429" t="s">
        <v>134</v>
      </c>
      <c r="MFE11" s="1429" t="s">
        <v>134</v>
      </c>
      <c r="MFF11" s="1429" t="s">
        <v>134</v>
      </c>
      <c r="MFG11" s="1429" t="s">
        <v>134</v>
      </c>
      <c r="MFH11" s="1429" t="s">
        <v>134</v>
      </c>
      <c r="MFI11" s="1429" t="s">
        <v>134</v>
      </c>
      <c r="MFJ11" s="1429" t="s">
        <v>134</v>
      </c>
      <c r="MFK11" s="1429" t="s">
        <v>134</v>
      </c>
      <c r="MFL11" s="1429" t="s">
        <v>134</v>
      </c>
      <c r="MFM11" s="1429" t="s">
        <v>134</v>
      </c>
      <c r="MFN11" s="1429" t="s">
        <v>134</v>
      </c>
      <c r="MFO11" s="1429" t="s">
        <v>134</v>
      </c>
      <c r="MFP11" s="1429" t="s">
        <v>134</v>
      </c>
      <c r="MFQ11" s="1429" t="s">
        <v>134</v>
      </c>
      <c r="MFR11" s="1429" t="s">
        <v>134</v>
      </c>
      <c r="MFS11" s="1429" t="s">
        <v>134</v>
      </c>
      <c r="MFT11" s="1429" t="s">
        <v>134</v>
      </c>
      <c r="MFU11" s="1429" t="s">
        <v>134</v>
      </c>
      <c r="MFV11" s="1429" t="s">
        <v>134</v>
      </c>
      <c r="MFW11" s="1429" t="s">
        <v>134</v>
      </c>
      <c r="MFX11" s="1429" t="s">
        <v>134</v>
      </c>
      <c r="MFY11" s="1429" t="s">
        <v>134</v>
      </c>
      <c r="MFZ11" s="1429" t="s">
        <v>134</v>
      </c>
      <c r="MGA11" s="1429" t="s">
        <v>134</v>
      </c>
      <c r="MGB11" s="1429" t="s">
        <v>134</v>
      </c>
      <c r="MGC11" s="1429" t="s">
        <v>134</v>
      </c>
      <c r="MGD11" s="1429" t="s">
        <v>134</v>
      </c>
      <c r="MGE11" s="1429" t="s">
        <v>134</v>
      </c>
      <c r="MGF11" s="1429" t="s">
        <v>134</v>
      </c>
      <c r="MGG11" s="1429" t="s">
        <v>134</v>
      </c>
      <c r="MGH11" s="1429" t="s">
        <v>134</v>
      </c>
      <c r="MGI11" s="1429" t="s">
        <v>134</v>
      </c>
      <c r="MGJ11" s="1429" t="s">
        <v>134</v>
      </c>
      <c r="MGK11" s="1429" t="s">
        <v>134</v>
      </c>
      <c r="MGL11" s="1429" t="s">
        <v>134</v>
      </c>
      <c r="MGM11" s="1429" t="s">
        <v>134</v>
      </c>
      <c r="MGN11" s="1429" t="s">
        <v>134</v>
      </c>
      <c r="MGO11" s="1429" t="s">
        <v>134</v>
      </c>
      <c r="MGP11" s="1429" t="s">
        <v>134</v>
      </c>
      <c r="MGQ11" s="1429" t="s">
        <v>134</v>
      </c>
      <c r="MGR11" s="1429" t="s">
        <v>134</v>
      </c>
      <c r="MGS11" s="1429" t="s">
        <v>134</v>
      </c>
      <c r="MGT11" s="1429" t="s">
        <v>134</v>
      </c>
      <c r="MGU11" s="1429" t="s">
        <v>134</v>
      </c>
      <c r="MGV11" s="1429" t="s">
        <v>134</v>
      </c>
      <c r="MGW11" s="1429" t="s">
        <v>134</v>
      </c>
      <c r="MGX11" s="1429" t="s">
        <v>134</v>
      </c>
      <c r="MGY11" s="1429" t="s">
        <v>134</v>
      </c>
      <c r="MGZ11" s="1429" t="s">
        <v>134</v>
      </c>
      <c r="MHA11" s="1429" t="s">
        <v>134</v>
      </c>
      <c r="MHB11" s="1429" t="s">
        <v>134</v>
      </c>
      <c r="MHC11" s="1429" t="s">
        <v>134</v>
      </c>
      <c r="MHD11" s="1429" t="s">
        <v>134</v>
      </c>
      <c r="MHE11" s="1429" t="s">
        <v>134</v>
      </c>
      <c r="MHF11" s="1429" t="s">
        <v>134</v>
      </c>
      <c r="MHG11" s="1429" t="s">
        <v>134</v>
      </c>
      <c r="MHH11" s="1429" t="s">
        <v>134</v>
      </c>
      <c r="MHI11" s="1429" t="s">
        <v>134</v>
      </c>
      <c r="MHJ11" s="1429" t="s">
        <v>134</v>
      </c>
      <c r="MHK11" s="1429" t="s">
        <v>134</v>
      </c>
      <c r="MHL11" s="1429" t="s">
        <v>134</v>
      </c>
      <c r="MHM11" s="1429" t="s">
        <v>134</v>
      </c>
      <c r="MHN11" s="1429" t="s">
        <v>134</v>
      </c>
      <c r="MHO11" s="1429" t="s">
        <v>134</v>
      </c>
      <c r="MHP11" s="1429" t="s">
        <v>134</v>
      </c>
      <c r="MHQ11" s="1429" t="s">
        <v>134</v>
      </c>
      <c r="MHR11" s="1429" t="s">
        <v>134</v>
      </c>
      <c r="MHS11" s="1429" t="s">
        <v>134</v>
      </c>
      <c r="MHT11" s="1429" t="s">
        <v>134</v>
      </c>
      <c r="MHU11" s="1429" t="s">
        <v>134</v>
      </c>
      <c r="MHV11" s="1429" t="s">
        <v>134</v>
      </c>
      <c r="MHW11" s="1429" t="s">
        <v>134</v>
      </c>
      <c r="MHX11" s="1429" t="s">
        <v>134</v>
      </c>
      <c r="MHY11" s="1429" t="s">
        <v>134</v>
      </c>
      <c r="MHZ11" s="1429" t="s">
        <v>134</v>
      </c>
      <c r="MIA11" s="1429" t="s">
        <v>134</v>
      </c>
      <c r="MIB11" s="1429" t="s">
        <v>134</v>
      </c>
      <c r="MIC11" s="1429" t="s">
        <v>134</v>
      </c>
      <c r="MID11" s="1429" t="s">
        <v>134</v>
      </c>
      <c r="MIE11" s="1429" t="s">
        <v>134</v>
      </c>
      <c r="MIF11" s="1429" t="s">
        <v>134</v>
      </c>
      <c r="MIG11" s="1429" t="s">
        <v>134</v>
      </c>
      <c r="MIH11" s="1429" t="s">
        <v>134</v>
      </c>
      <c r="MII11" s="1429" t="s">
        <v>134</v>
      </c>
      <c r="MIJ11" s="1429" t="s">
        <v>134</v>
      </c>
      <c r="MIK11" s="1429" t="s">
        <v>134</v>
      </c>
      <c r="MIL11" s="1429" t="s">
        <v>134</v>
      </c>
      <c r="MIM11" s="1429" t="s">
        <v>134</v>
      </c>
      <c r="MIN11" s="1429" t="s">
        <v>134</v>
      </c>
      <c r="MIO11" s="1429" t="s">
        <v>134</v>
      </c>
      <c r="MIP11" s="1429" t="s">
        <v>134</v>
      </c>
      <c r="MIQ11" s="1429" t="s">
        <v>134</v>
      </c>
      <c r="MIR11" s="1429" t="s">
        <v>134</v>
      </c>
      <c r="MIS11" s="1429" t="s">
        <v>134</v>
      </c>
      <c r="MIT11" s="1429" t="s">
        <v>134</v>
      </c>
      <c r="MIU11" s="1429" t="s">
        <v>134</v>
      </c>
      <c r="MIV11" s="1429" t="s">
        <v>134</v>
      </c>
      <c r="MIW11" s="1429" t="s">
        <v>134</v>
      </c>
      <c r="MIX11" s="1429" t="s">
        <v>134</v>
      </c>
      <c r="MIY11" s="1429" t="s">
        <v>134</v>
      </c>
      <c r="MIZ11" s="1429" t="s">
        <v>134</v>
      </c>
      <c r="MJA11" s="1429" t="s">
        <v>134</v>
      </c>
      <c r="MJB11" s="1429" t="s">
        <v>134</v>
      </c>
      <c r="MJC11" s="1429" t="s">
        <v>134</v>
      </c>
      <c r="MJD11" s="1429" t="s">
        <v>134</v>
      </c>
      <c r="MJE11" s="1429" t="s">
        <v>134</v>
      </c>
      <c r="MJF11" s="1429" t="s">
        <v>134</v>
      </c>
      <c r="MJG11" s="1429" t="s">
        <v>134</v>
      </c>
      <c r="MJH11" s="1429" t="s">
        <v>134</v>
      </c>
      <c r="MJI11" s="1429" t="s">
        <v>134</v>
      </c>
      <c r="MJJ11" s="1429" t="s">
        <v>134</v>
      </c>
      <c r="MJK11" s="1429" t="s">
        <v>134</v>
      </c>
      <c r="MJL11" s="1429" t="s">
        <v>134</v>
      </c>
      <c r="MJM11" s="1429" t="s">
        <v>134</v>
      </c>
      <c r="MJN11" s="1429" t="s">
        <v>134</v>
      </c>
      <c r="MJO11" s="1429" t="s">
        <v>134</v>
      </c>
      <c r="MJP11" s="1429" t="s">
        <v>134</v>
      </c>
      <c r="MJQ11" s="1429" t="s">
        <v>134</v>
      </c>
      <c r="MJR11" s="1429" t="s">
        <v>134</v>
      </c>
      <c r="MJS11" s="1429" t="s">
        <v>134</v>
      </c>
      <c r="MJT11" s="1429" t="s">
        <v>134</v>
      </c>
      <c r="MJU11" s="1429" t="s">
        <v>134</v>
      </c>
      <c r="MJV11" s="1429" t="s">
        <v>134</v>
      </c>
      <c r="MJW11" s="1429" t="s">
        <v>134</v>
      </c>
      <c r="MJX11" s="1429" t="s">
        <v>134</v>
      </c>
      <c r="MJY11" s="1429" t="s">
        <v>134</v>
      </c>
      <c r="MJZ11" s="1429" t="s">
        <v>134</v>
      </c>
      <c r="MKA11" s="1429" t="s">
        <v>134</v>
      </c>
      <c r="MKB11" s="1429" t="s">
        <v>134</v>
      </c>
      <c r="MKC11" s="1429" t="s">
        <v>134</v>
      </c>
      <c r="MKD11" s="1429" t="s">
        <v>134</v>
      </c>
      <c r="MKE11" s="1429" t="s">
        <v>134</v>
      </c>
      <c r="MKF11" s="1429" t="s">
        <v>134</v>
      </c>
      <c r="MKG11" s="1429" t="s">
        <v>134</v>
      </c>
      <c r="MKH11" s="1429" t="s">
        <v>134</v>
      </c>
      <c r="MKI11" s="1429" t="s">
        <v>134</v>
      </c>
      <c r="MKJ11" s="1429" t="s">
        <v>134</v>
      </c>
      <c r="MKK11" s="1429" t="s">
        <v>134</v>
      </c>
      <c r="MKL11" s="1429" t="s">
        <v>134</v>
      </c>
      <c r="MKM11" s="1429" t="s">
        <v>134</v>
      </c>
      <c r="MKN11" s="1429" t="s">
        <v>134</v>
      </c>
      <c r="MKO11" s="1429" t="s">
        <v>134</v>
      </c>
      <c r="MKP11" s="1429" t="s">
        <v>134</v>
      </c>
      <c r="MKQ11" s="1429" t="s">
        <v>134</v>
      </c>
      <c r="MKR11" s="1429" t="s">
        <v>134</v>
      </c>
      <c r="MKS11" s="1429" t="s">
        <v>134</v>
      </c>
      <c r="MKT11" s="1429" t="s">
        <v>134</v>
      </c>
      <c r="MKU11" s="1429" t="s">
        <v>134</v>
      </c>
      <c r="MKV11" s="1429" t="s">
        <v>134</v>
      </c>
      <c r="MKW11" s="1429" t="s">
        <v>134</v>
      </c>
      <c r="MKX11" s="1429" t="s">
        <v>134</v>
      </c>
      <c r="MKY11" s="1429" t="s">
        <v>134</v>
      </c>
      <c r="MKZ11" s="1429" t="s">
        <v>134</v>
      </c>
      <c r="MLA11" s="1429" t="s">
        <v>134</v>
      </c>
      <c r="MLB11" s="1429" t="s">
        <v>134</v>
      </c>
      <c r="MLC11" s="1429" t="s">
        <v>134</v>
      </c>
      <c r="MLD11" s="1429" t="s">
        <v>134</v>
      </c>
      <c r="MLE11" s="1429" t="s">
        <v>134</v>
      </c>
      <c r="MLF11" s="1429" t="s">
        <v>134</v>
      </c>
      <c r="MLG11" s="1429" t="s">
        <v>134</v>
      </c>
      <c r="MLH11" s="1429" t="s">
        <v>134</v>
      </c>
      <c r="MLI11" s="1429" t="s">
        <v>134</v>
      </c>
      <c r="MLJ11" s="1429" t="s">
        <v>134</v>
      </c>
      <c r="MLK11" s="1429" t="s">
        <v>134</v>
      </c>
      <c r="MLL11" s="1429" t="s">
        <v>134</v>
      </c>
      <c r="MLM11" s="1429" t="s">
        <v>134</v>
      </c>
      <c r="MLN11" s="1429" t="s">
        <v>134</v>
      </c>
      <c r="MLO11" s="1429" t="s">
        <v>134</v>
      </c>
      <c r="MLP11" s="1429" t="s">
        <v>134</v>
      </c>
      <c r="MLQ11" s="1429" t="s">
        <v>134</v>
      </c>
      <c r="MLR11" s="1429" t="s">
        <v>134</v>
      </c>
      <c r="MLS11" s="1429" t="s">
        <v>134</v>
      </c>
      <c r="MLT11" s="1429" t="s">
        <v>134</v>
      </c>
      <c r="MLU11" s="1429" t="s">
        <v>134</v>
      </c>
      <c r="MLV11" s="1429" t="s">
        <v>134</v>
      </c>
      <c r="MLW11" s="1429" t="s">
        <v>134</v>
      </c>
      <c r="MLX11" s="1429" t="s">
        <v>134</v>
      </c>
      <c r="MLY11" s="1429" t="s">
        <v>134</v>
      </c>
      <c r="MLZ11" s="1429" t="s">
        <v>134</v>
      </c>
      <c r="MMA11" s="1429" t="s">
        <v>134</v>
      </c>
      <c r="MMB11" s="1429" t="s">
        <v>134</v>
      </c>
      <c r="MMC11" s="1429" t="s">
        <v>134</v>
      </c>
      <c r="MMD11" s="1429" t="s">
        <v>134</v>
      </c>
      <c r="MME11" s="1429" t="s">
        <v>134</v>
      </c>
      <c r="MMF11" s="1429" t="s">
        <v>134</v>
      </c>
      <c r="MMG11" s="1429" t="s">
        <v>134</v>
      </c>
      <c r="MMH11" s="1429" t="s">
        <v>134</v>
      </c>
      <c r="MMI11" s="1429" t="s">
        <v>134</v>
      </c>
      <c r="MMJ11" s="1429" t="s">
        <v>134</v>
      </c>
      <c r="MMK11" s="1429" t="s">
        <v>134</v>
      </c>
      <c r="MML11" s="1429" t="s">
        <v>134</v>
      </c>
      <c r="MMM11" s="1429" t="s">
        <v>134</v>
      </c>
      <c r="MMN11" s="1429" t="s">
        <v>134</v>
      </c>
      <c r="MMO11" s="1429" t="s">
        <v>134</v>
      </c>
      <c r="MMP11" s="1429" t="s">
        <v>134</v>
      </c>
      <c r="MMQ11" s="1429" t="s">
        <v>134</v>
      </c>
      <c r="MMR11" s="1429" t="s">
        <v>134</v>
      </c>
      <c r="MMS11" s="1429" t="s">
        <v>134</v>
      </c>
      <c r="MMT11" s="1429" t="s">
        <v>134</v>
      </c>
      <c r="MMU11" s="1429" t="s">
        <v>134</v>
      </c>
      <c r="MMV11" s="1429" t="s">
        <v>134</v>
      </c>
      <c r="MMW11" s="1429" t="s">
        <v>134</v>
      </c>
      <c r="MMX11" s="1429" t="s">
        <v>134</v>
      </c>
      <c r="MMY11" s="1429" t="s">
        <v>134</v>
      </c>
      <c r="MMZ11" s="1429" t="s">
        <v>134</v>
      </c>
      <c r="MNA11" s="1429" t="s">
        <v>134</v>
      </c>
      <c r="MNB11" s="1429" t="s">
        <v>134</v>
      </c>
      <c r="MNC11" s="1429" t="s">
        <v>134</v>
      </c>
      <c r="MND11" s="1429" t="s">
        <v>134</v>
      </c>
      <c r="MNE11" s="1429" t="s">
        <v>134</v>
      </c>
      <c r="MNF11" s="1429" t="s">
        <v>134</v>
      </c>
      <c r="MNG11" s="1429" t="s">
        <v>134</v>
      </c>
      <c r="MNH11" s="1429" t="s">
        <v>134</v>
      </c>
      <c r="MNI11" s="1429" t="s">
        <v>134</v>
      </c>
      <c r="MNJ11" s="1429" t="s">
        <v>134</v>
      </c>
      <c r="MNK11" s="1429" t="s">
        <v>134</v>
      </c>
      <c r="MNL11" s="1429" t="s">
        <v>134</v>
      </c>
      <c r="MNM11" s="1429" t="s">
        <v>134</v>
      </c>
      <c r="MNN11" s="1429" t="s">
        <v>134</v>
      </c>
      <c r="MNO11" s="1429" t="s">
        <v>134</v>
      </c>
      <c r="MNP11" s="1429" t="s">
        <v>134</v>
      </c>
      <c r="MNQ11" s="1429" t="s">
        <v>134</v>
      </c>
      <c r="MNR11" s="1429" t="s">
        <v>134</v>
      </c>
      <c r="MNS11" s="1429" t="s">
        <v>134</v>
      </c>
      <c r="MNT11" s="1429" t="s">
        <v>134</v>
      </c>
      <c r="MNU11" s="1429" t="s">
        <v>134</v>
      </c>
      <c r="MNV11" s="1429" t="s">
        <v>134</v>
      </c>
      <c r="MNW11" s="1429" t="s">
        <v>134</v>
      </c>
      <c r="MNX11" s="1429" t="s">
        <v>134</v>
      </c>
      <c r="MNY11" s="1429" t="s">
        <v>134</v>
      </c>
      <c r="MNZ11" s="1429" t="s">
        <v>134</v>
      </c>
      <c r="MOA11" s="1429" t="s">
        <v>134</v>
      </c>
      <c r="MOB11" s="1429" t="s">
        <v>134</v>
      </c>
      <c r="MOC11" s="1429" t="s">
        <v>134</v>
      </c>
      <c r="MOD11" s="1429" t="s">
        <v>134</v>
      </c>
      <c r="MOE11" s="1429" t="s">
        <v>134</v>
      </c>
      <c r="MOF11" s="1429" t="s">
        <v>134</v>
      </c>
      <c r="MOG11" s="1429" t="s">
        <v>134</v>
      </c>
      <c r="MOH11" s="1429" t="s">
        <v>134</v>
      </c>
      <c r="MOI11" s="1429" t="s">
        <v>134</v>
      </c>
      <c r="MOJ11" s="1429" t="s">
        <v>134</v>
      </c>
      <c r="MOK11" s="1429" t="s">
        <v>134</v>
      </c>
      <c r="MOL11" s="1429" t="s">
        <v>134</v>
      </c>
      <c r="MOM11" s="1429" t="s">
        <v>134</v>
      </c>
      <c r="MON11" s="1429" t="s">
        <v>134</v>
      </c>
      <c r="MOO11" s="1429" t="s">
        <v>134</v>
      </c>
      <c r="MOP11" s="1429" t="s">
        <v>134</v>
      </c>
      <c r="MOQ11" s="1429" t="s">
        <v>134</v>
      </c>
      <c r="MOR11" s="1429" t="s">
        <v>134</v>
      </c>
      <c r="MOS11" s="1429" t="s">
        <v>134</v>
      </c>
      <c r="MOT11" s="1429" t="s">
        <v>134</v>
      </c>
      <c r="MOU11" s="1429" t="s">
        <v>134</v>
      </c>
      <c r="MOV11" s="1429" t="s">
        <v>134</v>
      </c>
      <c r="MOW11" s="1429" t="s">
        <v>134</v>
      </c>
      <c r="MOX11" s="1429" t="s">
        <v>134</v>
      </c>
      <c r="MOY11" s="1429" t="s">
        <v>134</v>
      </c>
      <c r="MOZ11" s="1429" t="s">
        <v>134</v>
      </c>
      <c r="MPA11" s="1429" t="s">
        <v>134</v>
      </c>
      <c r="MPB11" s="1429" t="s">
        <v>134</v>
      </c>
      <c r="MPC11" s="1429" t="s">
        <v>134</v>
      </c>
      <c r="MPD11" s="1429" t="s">
        <v>134</v>
      </c>
      <c r="MPE11" s="1429" t="s">
        <v>134</v>
      </c>
      <c r="MPF11" s="1429" t="s">
        <v>134</v>
      </c>
      <c r="MPG11" s="1429" t="s">
        <v>134</v>
      </c>
      <c r="MPH11" s="1429" t="s">
        <v>134</v>
      </c>
      <c r="MPI11" s="1429" t="s">
        <v>134</v>
      </c>
      <c r="MPJ11" s="1429" t="s">
        <v>134</v>
      </c>
      <c r="MPK11" s="1429" t="s">
        <v>134</v>
      </c>
      <c r="MPL11" s="1429" t="s">
        <v>134</v>
      </c>
      <c r="MPM11" s="1429" t="s">
        <v>134</v>
      </c>
      <c r="MPN11" s="1429" t="s">
        <v>134</v>
      </c>
      <c r="MPO11" s="1429" t="s">
        <v>134</v>
      </c>
      <c r="MPP11" s="1429" t="s">
        <v>134</v>
      </c>
      <c r="MPQ11" s="1429" t="s">
        <v>134</v>
      </c>
      <c r="MPR11" s="1429" t="s">
        <v>134</v>
      </c>
      <c r="MPS11" s="1429" t="s">
        <v>134</v>
      </c>
      <c r="MPT11" s="1429" t="s">
        <v>134</v>
      </c>
      <c r="MPU11" s="1429" t="s">
        <v>134</v>
      </c>
      <c r="MPV11" s="1429" t="s">
        <v>134</v>
      </c>
      <c r="MPW11" s="1429" t="s">
        <v>134</v>
      </c>
      <c r="MPX11" s="1429" t="s">
        <v>134</v>
      </c>
      <c r="MPY11" s="1429" t="s">
        <v>134</v>
      </c>
      <c r="MPZ11" s="1429" t="s">
        <v>134</v>
      </c>
      <c r="MQA11" s="1429" t="s">
        <v>134</v>
      </c>
      <c r="MQB11" s="1429" t="s">
        <v>134</v>
      </c>
      <c r="MQC11" s="1429" t="s">
        <v>134</v>
      </c>
      <c r="MQD11" s="1429" t="s">
        <v>134</v>
      </c>
      <c r="MQE11" s="1429" t="s">
        <v>134</v>
      </c>
      <c r="MQF11" s="1429" t="s">
        <v>134</v>
      </c>
      <c r="MQG11" s="1429" t="s">
        <v>134</v>
      </c>
      <c r="MQH11" s="1429" t="s">
        <v>134</v>
      </c>
      <c r="MQI11" s="1429" t="s">
        <v>134</v>
      </c>
      <c r="MQJ11" s="1429" t="s">
        <v>134</v>
      </c>
      <c r="MQK11" s="1429" t="s">
        <v>134</v>
      </c>
      <c r="MQL11" s="1429" t="s">
        <v>134</v>
      </c>
      <c r="MQM11" s="1429" t="s">
        <v>134</v>
      </c>
      <c r="MQN11" s="1429" t="s">
        <v>134</v>
      </c>
      <c r="MQO11" s="1429" t="s">
        <v>134</v>
      </c>
      <c r="MQP11" s="1429" t="s">
        <v>134</v>
      </c>
      <c r="MQQ11" s="1429" t="s">
        <v>134</v>
      </c>
      <c r="MQR11" s="1429" t="s">
        <v>134</v>
      </c>
      <c r="MQS11" s="1429" t="s">
        <v>134</v>
      </c>
      <c r="MQT11" s="1429" t="s">
        <v>134</v>
      </c>
      <c r="MQU11" s="1429" t="s">
        <v>134</v>
      </c>
      <c r="MQV11" s="1429" t="s">
        <v>134</v>
      </c>
      <c r="MQW11" s="1429" t="s">
        <v>134</v>
      </c>
      <c r="MQX11" s="1429" t="s">
        <v>134</v>
      </c>
      <c r="MQY11" s="1429" t="s">
        <v>134</v>
      </c>
      <c r="MQZ11" s="1429" t="s">
        <v>134</v>
      </c>
      <c r="MRA11" s="1429" t="s">
        <v>134</v>
      </c>
      <c r="MRB11" s="1429" t="s">
        <v>134</v>
      </c>
      <c r="MRC11" s="1429" t="s">
        <v>134</v>
      </c>
      <c r="MRD11" s="1429" t="s">
        <v>134</v>
      </c>
      <c r="MRE11" s="1429" t="s">
        <v>134</v>
      </c>
      <c r="MRF11" s="1429" t="s">
        <v>134</v>
      </c>
      <c r="MRG11" s="1429" t="s">
        <v>134</v>
      </c>
      <c r="MRH11" s="1429" t="s">
        <v>134</v>
      </c>
      <c r="MRI11" s="1429" t="s">
        <v>134</v>
      </c>
      <c r="MRJ11" s="1429" t="s">
        <v>134</v>
      </c>
      <c r="MRK11" s="1429" t="s">
        <v>134</v>
      </c>
      <c r="MRL11" s="1429" t="s">
        <v>134</v>
      </c>
      <c r="MRM11" s="1429" t="s">
        <v>134</v>
      </c>
      <c r="MRN11" s="1429" t="s">
        <v>134</v>
      </c>
      <c r="MRO11" s="1429" t="s">
        <v>134</v>
      </c>
      <c r="MRP11" s="1429" t="s">
        <v>134</v>
      </c>
      <c r="MRQ11" s="1429" t="s">
        <v>134</v>
      </c>
      <c r="MRR11" s="1429" t="s">
        <v>134</v>
      </c>
      <c r="MRS11" s="1429" t="s">
        <v>134</v>
      </c>
      <c r="MRT11" s="1429" t="s">
        <v>134</v>
      </c>
      <c r="MRU11" s="1429" t="s">
        <v>134</v>
      </c>
      <c r="MRV11" s="1429" t="s">
        <v>134</v>
      </c>
      <c r="MRW11" s="1429" t="s">
        <v>134</v>
      </c>
      <c r="MRX11" s="1429" t="s">
        <v>134</v>
      </c>
      <c r="MRY11" s="1429" t="s">
        <v>134</v>
      </c>
      <c r="MRZ11" s="1429" t="s">
        <v>134</v>
      </c>
      <c r="MSA11" s="1429" t="s">
        <v>134</v>
      </c>
      <c r="MSB11" s="1429" t="s">
        <v>134</v>
      </c>
      <c r="MSC11" s="1429" t="s">
        <v>134</v>
      </c>
      <c r="MSD11" s="1429" t="s">
        <v>134</v>
      </c>
      <c r="MSE11" s="1429" t="s">
        <v>134</v>
      </c>
      <c r="MSF11" s="1429" t="s">
        <v>134</v>
      </c>
      <c r="MSG11" s="1429" t="s">
        <v>134</v>
      </c>
      <c r="MSH11" s="1429" t="s">
        <v>134</v>
      </c>
      <c r="MSI11" s="1429" t="s">
        <v>134</v>
      </c>
      <c r="MSJ11" s="1429" t="s">
        <v>134</v>
      </c>
      <c r="MSK11" s="1429" t="s">
        <v>134</v>
      </c>
      <c r="MSL11" s="1429" t="s">
        <v>134</v>
      </c>
      <c r="MSM11" s="1429" t="s">
        <v>134</v>
      </c>
      <c r="MSN11" s="1429" t="s">
        <v>134</v>
      </c>
      <c r="MSO11" s="1429" t="s">
        <v>134</v>
      </c>
      <c r="MSP11" s="1429" t="s">
        <v>134</v>
      </c>
      <c r="MSQ11" s="1429" t="s">
        <v>134</v>
      </c>
      <c r="MSR11" s="1429" t="s">
        <v>134</v>
      </c>
      <c r="MSS11" s="1429" t="s">
        <v>134</v>
      </c>
      <c r="MST11" s="1429" t="s">
        <v>134</v>
      </c>
      <c r="MSU11" s="1429" t="s">
        <v>134</v>
      </c>
      <c r="MSV11" s="1429" t="s">
        <v>134</v>
      </c>
      <c r="MSW11" s="1429" t="s">
        <v>134</v>
      </c>
      <c r="MSX11" s="1429" t="s">
        <v>134</v>
      </c>
      <c r="MSY11" s="1429" t="s">
        <v>134</v>
      </c>
      <c r="MSZ11" s="1429" t="s">
        <v>134</v>
      </c>
      <c r="MTA11" s="1429" t="s">
        <v>134</v>
      </c>
      <c r="MTB11" s="1429" t="s">
        <v>134</v>
      </c>
      <c r="MTC11" s="1429" t="s">
        <v>134</v>
      </c>
      <c r="MTD11" s="1429" t="s">
        <v>134</v>
      </c>
      <c r="MTE11" s="1429" t="s">
        <v>134</v>
      </c>
      <c r="MTF11" s="1429" t="s">
        <v>134</v>
      </c>
      <c r="MTG11" s="1429" t="s">
        <v>134</v>
      </c>
      <c r="MTH11" s="1429" t="s">
        <v>134</v>
      </c>
      <c r="MTI11" s="1429" t="s">
        <v>134</v>
      </c>
      <c r="MTJ11" s="1429" t="s">
        <v>134</v>
      </c>
      <c r="MTK11" s="1429" t="s">
        <v>134</v>
      </c>
      <c r="MTL11" s="1429" t="s">
        <v>134</v>
      </c>
      <c r="MTM11" s="1429" t="s">
        <v>134</v>
      </c>
      <c r="MTN11" s="1429" t="s">
        <v>134</v>
      </c>
      <c r="MTO11" s="1429" t="s">
        <v>134</v>
      </c>
      <c r="MTP11" s="1429" t="s">
        <v>134</v>
      </c>
      <c r="MTQ11" s="1429" t="s">
        <v>134</v>
      </c>
      <c r="MTR11" s="1429" t="s">
        <v>134</v>
      </c>
      <c r="MTS11" s="1429" t="s">
        <v>134</v>
      </c>
      <c r="MTT11" s="1429" t="s">
        <v>134</v>
      </c>
      <c r="MTU11" s="1429" t="s">
        <v>134</v>
      </c>
      <c r="MTV11" s="1429" t="s">
        <v>134</v>
      </c>
      <c r="MTW11" s="1429" t="s">
        <v>134</v>
      </c>
      <c r="MTX11" s="1429" t="s">
        <v>134</v>
      </c>
      <c r="MTY11" s="1429" t="s">
        <v>134</v>
      </c>
      <c r="MTZ11" s="1429" t="s">
        <v>134</v>
      </c>
      <c r="MUA11" s="1429" t="s">
        <v>134</v>
      </c>
      <c r="MUB11" s="1429" t="s">
        <v>134</v>
      </c>
      <c r="MUC11" s="1429" t="s">
        <v>134</v>
      </c>
      <c r="MUD11" s="1429" t="s">
        <v>134</v>
      </c>
      <c r="MUE11" s="1429" t="s">
        <v>134</v>
      </c>
      <c r="MUF11" s="1429" t="s">
        <v>134</v>
      </c>
      <c r="MUG11" s="1429" t="s">
        <v>134</v>
      </c>
      <c r="MUH11" s="1429" t="s">
        <v>134</v>
      </c>
      <c r="MUI11" s="1429" t="s">
        <v>134</v>
      </c>
      <c r="MUJ11" s="1429" t="s">
        <v>134</v>
      </c>
      <c r="MUK11" s="1429" t="s">
        <v>134</v>
      </c>
      <c r="MUL11" s="1429" t="s">
        <v>134</v>
      </c>
      <c r="MUM11" s="1429" t="s">
        <v>134</v>
      </c>
      <c r="MUN11" s="1429" t="s">
        <v>134</v>
      </c>
      <c r="MUO11" s="1429" t="s">
        <v>134</v>
      </c>
      <c r="MUP11" s="1429" t="s">
        <v>134</v>
      </c>
      <c r="MUQ11" s="1429" t="s">
        <v>134</v>
      </c>
      <c r="MUR11" s="1429" t="s">
        <v>134</v>
      </c>
      <c r="MUS11" s="1429" t="s">
        <v>134</v>
      </c>
      <c r="MUT11" s="1429" t="s">
        <v>134</v>
      </c>
      <c r="MUU11" s="1429" t="s">
        <v>134</v>
      </c>
      <c r="MUV11" s="1429" t="s">
        <v>134</v>
      </c>
      <c r="MUW11" s="1429" t="s">
        <v>134</v>
      </c>
      <c r="MUX11" s="1429" t="s">
        <v>134</v>
      </c>
      <c r="MUY11" s="1429" t="s">
        <v>134</v>
      </c>
      <c r="MUZ11" s="1429" t="s">
        <v>134</v>
      </c>
      <c r="MVA11" s="1429" t="s">
        <v>134</v>
      </c>
      <c r="MVB11" s="1429" t="s">
        <v>134</v>
      </c>
      <c r="MVC11" s="1429" t="s">
        <v>134</v>
      </c>
      <c r="MVD11" s="1429" t="s">
        <v>134</v>
      </c>
      <c r="MVE11" s="1429" t="s">
        <v>134</v>
      </c>
      <c r="MVF11" s="1429" t="s">
        <v>134</v>
      </c>
      <c r="MVG11" s="1429" t="s">
        <v>134</v>
      </c>
      <c r="MVH11" s="1429" t="s">
        <v>134</v>
      </c>
      <c r="MVI11" s="1429" t="s">
        <v>134</v>
      </c>
      <c r="MVJ11" s="1429" t="s">
        <v>134</v>
      </c>
      <c r="MVK11" s="1429" t="s">
        <v>134</v>
      </c>
      <c r="MVL11" s="1429" t="s">
        <v>134</v>
      </c>
      <c r="MVM11" s="1429" t="s">
        <v>134</v>
      </c>
      <c r="MVN11" s="1429" t="s">
        <v>134</v>
      </c>
      <c r="MVO11" s="1429" t="s">
        <v>134</v>
      </c>
      <c r="MVP11" s="1429" t="s">
        <v>134</v>
      </c>
      <c r="MVQ11" s="1429" t="s">
        <v>134</v>
      </c>
      <c r="MVR11" s="1429" t="s">
        <v>134</v>
      </c>
      <c r="MVS11" s="1429" t="s">
        <v>134</v>
      </c>
      <c r="MVT11" s="1429" t="s">
        <v>134</v>
      </c>
      <c r="MVU11" s="1429" t="s">
        <v>134</v>
      </c>
      <c r="MVV11" s="1429" t="s">
        <v>134</v>
      </c>
      <c r="MVW11" s="1429" t="s">
        <v>134</v>
      </c>
      <c r="MVX11" s="1429" t="s">
        <v>134</v>
      </c>
      <c r="MVY11" s="1429" t="s">
        <v>134</v>
      </c>
      <c r="MVZ11" s="1429" t="s">
        <v>134</v>
      </c>
      <c r="MWA11" s="1429" t="s">
        <v>134</v>
      </c>
      <c r="MWB11" s="1429" t="s">
        <v>134</v>
      </c>
      <c r="MWC11" s="1429" t="s">
        <v>134</v>
      </c>
      <c r="MWD11" s="1429" t="s">
        <v>134</v>
      </c>
      <c r="MWE11" s="1429" t="s">
        <v>134</v>
      </c>
      <c r="MWF11" s="1429" t="s">
        <v>134</v>
      </c>
      <c r="MWG11" s="1429" t="s">
        <v>134</v>
      </c>
      <c r="MWH11" s="1429" t="s">
        <v>134</v>
      </c>
      <c r="MWI11" s="1429" t="s">
        <v>134</v>
      </c>
      <c r="MWJ11" s="1429" t="s">
        <v>134</v>
      </c>
      <c r="MWK11" s="1429" t="s">
        <v>134</v>
      </c>
      <c r="MWL11" s="1429" t="s">
        <v>134</v>
      </c>
      <c r="MWM11" s="1429" t="s">
        <v>134</v>
      </c>
      <c r="MWN11" s="1429" t="s">
        <v>134</v>
      </c>
      <c r="MWO11" s="1429" t="s">
        <v>134</v>
      </c>
      <c r="MWP11" s="1429" t="s">
        <v>134</v>
      </c>
      <c r="MWQ11" s="1429" t="s">
        <v>134</v>
      </c>
      <c r="MWR11" s="1429" t="s">
        <v>134</v>
      </c>
      <c r="MWS11" s="1429" t="s">
        <v>134</v>
      </c>
      <c r="MWT11" s="1429" t="s">
        <v>134</v>
      </c>
      <c r="MWU11" s="1429" t="s">
        <v>134</v>
      </c>
      <c r="MWV11" s="1429" t="s">
        <v>134</v>
      </c>
      <c r="MWW11" s="1429" t="s">
        <v>134</v>
      </c>
      <c r="MWX11" s="1429" t="s">
        <v>134</v>
      </c>
      <c r="MWY11" s="1429" t="s">
        <v>134</v>
      </c>
      <c r="MWZ11" s="1429" t="s">
        <v>134</v>
      </c>
      <c r="MXA11" s="1429" t="s">
        <v>134</v>
      </c>
      <c r="MXB11" s="1429" t="s">
        <v>134</v>
      </c>
      <c r="MXC11" s="1429" t="s">
        <v>134</v>
      </c>
      <c r="MXD11" s="1429" t="s">
        <v>134</v>
      </c>
      <c r="MXE11" s="1429" t="s">
        <v>134</v>
      </c>
      <c r="MXF11" s="1429" t="s">
        <v>134</v>
      </c>
      <c r="MXG11" s="1429" t="s">
        <v>134</v>
      </c>
      <c r="MXH11" s="1429" t="s">
        <v>134</v>
      </c>
      <c r="MXI11" s="1429" t="s">
        <v>134</v>
      </c>
      <c r="MXJ11" s="1429" t="s">
        <v>134</v>
      </c>
      <c r="MXK11" s="1429" t="s">
        <v>134</v>
      </c>
      <c r="MXL11" s="1429" t="s">
        <v>134</v>
      </c>
      <c r="MXM11" s="1429" t="s">
        <v>134</v>
      </c>
      <c r="MXN11" s="1429" t="s">
        <v>134</v>
      </c>
      <c r="MXO11" s="1429" t="s">
        <v>134</v>
      </c>
      <c r="MXP11" s="1429" t="s">
        <v>134</v>
      </c>
      <c r="MXQ11" s="1429" t="s">
        <v>134</v>
      </c>
      <c r="MXR11" s="1429" t="s">
        <v>134</v>
      </c>
      <c r="MXS11" s="1429" t="s">
        <v>134</v>
      </c>
      <c r="MXT11" s="1429" t="s">
        <v>134</v>
      </c>
      <c r="MXU11" s="1429" t="s">
        <v>134</v>
      </c>
      <c r="MXV11" s="1429" t="s">
        <v>134</v>
      </c>
      <c r="MXW11" s="1429" t="s">
        <v>134</v>
      </c>
      <c r="MXX11" s="1429" t="s">
        <v>134</v>
      </c>
      <c r="MXY11" s="1429" t="s">
        <v>134</v>
      </c>
      <c r="MXZ11" s="1429" t="s">
        <v>134</v>
      </c>
      <c r="MYA11" s="1429" t="s">
        <v>134</v>
      </c>
      <c r="MYB11" s="1429" t="s">
        <v>134</v>
      </c>
      <c r="MYC11" s="1429" t="s">
        <v>134</v>
      </c>
      <c r="MYD11" s="1429" t="s">
        <v>134</v>
      </c>
      <c r="MYE11" s="1429" t="s">
        <v>134</v>
      </c>
      <c r="MYF11" s="1429" t="s">
        <v>134</v>
      </c>
      <c r="MYG11" s="1429" t="s">
        <v>134</v>
      </c>
      <c r="MYH11" s="1429" t="s">
        <v>134</v>
      </c>
      <c r="MYI11" s="1429" t="s">
        <v>134</v>
      </c>
      <c r="MYJ11" s="1429" t="s">
        <v>134</v>
      </c>
      <c r="MYK11" s="1429" t="s">
        <v>134</v>
      </c>
      <c r="MYL11" s="1429" t="s">
        <v>134</v>
      </c>
      <c r="MYM11" s="1429" t="s">
        <v>134</v>
      </c>
      <c r="MYN11" s="1429" t="s">
        <v>134</v>
      </c>
      <c r="MYO11" s="1429" t="s">
        <v>134</v>
      </c>
      <c r="MYP11" s="1429" t="s">
        <v>134</v>
      </c>
      <c r="MYQ11" s="1429" t="s">
        <v>134</v>
      </c>
      <c r="MYR11" s="1429" t="s">
        <v>134</v>
      </c>
      <c r="MYS11" s="1429" t="s">
        <v>134</v>
      </c>
      <c r="MYT11" s="1429" t="s">
        <v>134</v>
      </c>
      <c r="MYU11" s="1429" t="s">
        <v>134</v>
      </c>
      <c r="MYV11" s="1429" t="s">
        <v>134</v>
      </c>
      <c r="MYW11" s="1429" t="s">
        <v>134</v>
      </c>
      <c r="MYX11" s="1429" t="s">
        <v>134</v>
      </c>
      <c r="MYY11" s="1429" t="s">
        <v>134</v>
      </c>
      <c r="MYZ11" s="1429" t="s">
        <v>134</v>
      </c>
      <c r="MZA11" s="1429" t="s">
        <v>134</v>
      </c>
      <c r="MZB11" s="1429" t="s">
        <v>134</v>
      </c>
      <c r="MZC11" s="1429" t="s">
        <v>134</v>
      </c>
      <c r="MZD11" s="1429" t="s">
        <v>134</v>
      </c>
      <c r="MZE11" s="1429" t="s">
        <v>134</v>
      </c>
      <c r="MZF11" s="1429" t="s">
        <v>134</v>
      </c>
      <c r="MZG11" s="1429" t="s">
        <v>134</v>
      </c>
      <c r="MZH11" s="1429" t="s">
        <v>134</v>
      </c>
      <c r="MZI11" s="1429" t="s">
        <v>134</v>
      </c>
      <c r="MZJ11" s="1429" t="s">
        <v>134</v>
      </c>
      <c r="MZK11" s="1429" t="s">
        <v>134</v>
      </c>
      <c r="MZL11" s="1429" t="s">
        <v>134</v>
      </c>
      <c r="MZM11" s="1429" t="s">
        <v>134</v>
      </c>
      <c r="MZN11" s="1429" t="s">
        <v>134</v>
      </c>
      <c r="MZO11" s="1429" t="s">
        <v>134</v>
      </c>
      <c r="MZP11" s="1429" t="s">
        <v>134</v>
      </c>
      <c r="MZQ11" s="1429" t="s">
        <v>134</v>
      </c>
      <c r="MZR11" s="1429" t="s">
        <v>134</v>
      </c>
      <c r="MZS11" s="1429" t="s">
        <v>134</v>
      </c>
      <c r="MZT11" s="1429" t="s">
        <v>134</v>
      </c>
      <c r="MZU11" s="1429" t="s">
        <v>134</v>
      </c>
      <c r="MZV11" s="1429" t="s">
        <v>134</v>
      </c>
      <c r="MZW11" s="1429" t="s">
        <v>134</v>
      </c>
      <c r="MZX11" s="1429" t="s">
        <v>134</v>
      </c>
      <c r="MZY11" s="1429" t="s">
        <v>134</v>
      </c>
      <c r="MZZ11" s="1429" t="s">
        <v>134</v>
      </c>
      <c r="NAA11" s="1429" t="s">
        <v>134</v>
      </c>
      <c r="NAB11" s="1429" t="s">
        <v>134</v>
      </c>
      <c r="NAC11" s="1429" t="s">
        <v>134</v>
      </c>
      <c r="NAD11" s="1429" t="s">
        <v>134</v>
      </c>
      <c r="NAE11" s="1429" t="s">
        <v>134</v>
      </c>
      <c r="NAF11" s="1429" t="s">
        <v>134</v>
      </c>
      <c r="NAG11" s="1429" t="s">
        <v>134</v>
      </c>
      <c r="NAH11" s="1429" t="s">
        <v>134</v>
      </c>
      <c r="NAI11" s="1429" t="s">
        <v>134</v>
      </c>
      <c r="NAJ11" s="1429" t="s">
        <v>134</v>
      </c>
      <c r="NAK11" s="1429" t="s">
        <v>134</v>
      </c>
      <c r="NAL11" s="1429" t="s">
        <v>134</v>
      </c>
      <c r="NAM11" s="1429" t="s">
        <v>134</v>
      </c>
      <c r="NAN11" s="1429" t="s">
        <v>134</v>
      </c>
      <c r="NAO11" s="1429" t="s">
        <v>134</v>
      </c>
      <c r="NAP11" s="1429" t="s">
        <v>134</v>
      </c>
      <c r="NAQ11" s="1429" t="s">
        <v>134</v>
      </c>
      <c r="NAR11" s="1429" t="s">
        <v>134</v>
      </c>
      <c r="NAS11" s="1429" t="s">
        <v>134</v>
      </c>
      <c r="NAT11" s="1429" t="s">
        <v>134</v>
      </c>
      <c r="NAU11" s="1429" t="s">
        <v>134</v>
      </c>
      <c r="NAV11" s="1429" t="s">
        <v>134</v>
      </c>
      <c r="NAW11" s="1429" t="s">
        <v>134</v>
      </c>
      <c r="NAX11" s="1429" t="s">
        <v>134</v>
      </c>
      <c r="NAY11" s="1429" t="s">
        <v>134</v>
      </c>
      <c r="NAZ11" s="1429" t="s">
        <v>134</v>
      </c>
      <c r="NBA11" s="1429" t="s">
        <v>134</v>
      </c>
      <c r="NBB11" s="1429" t="s">
        <v>134</v>
      </c>
      <c r="NBC11" s="1429" t="s">
        <v>134</v>
      </c>
      <c r="NBD11" s="1429" t="s">
        <v>134</v>
      </c>
      <c r="NBE11" s="1429" t="s">
        <v>134</v>
      </c>
      <c r="NBF11" s="1429" t="s">
        <v>134</v>
      </c>
      <c r="NBG11" s="1429" t="s">
        <v>134</v>
      </c>
      <c r="NBH11" s="1429" t="s">
        <v>134</v>
      </c>
      <c r="NBI11" s="1429" t="s">
        <v>134</v>
      </c>
      <c r="NBJ11" s="1429" t="s">
        <v>134</v>
      </c>
      <c r="NBK11" s="1429" t="s">
        <v>134</v>
      </c>
      <c r="NBL11" s="1429" t="s">
        <v>134</v>
      </c>
      <c r="NBM11" s="1429" t="s">
        <v>134</v>
      </c>
      <c r="NBN11" s="1429" t="s">
        <v>134</v>
      </c>
      <c r="NBO11" s="1429" t="s">
        <v>134</v>
      </c>
      <c r="NBP11" s="1429" t="s">
        <v>134</v>
      </c>
      <c r="NBQ11" s="1429" t="s">
        <v>134</v>
      </c>
      <c r="NBR11" s="1429" t="s">
        <v>134</v>
      </c>
      <c r="NBS11" s="1429" t="s">
        <v>134</v>
      </c>
      <c r="NBT11" s="1429" t="s">
        <v>134</v>
      </c>
      <c r="NBU11" s="1429" t="s">
        <v>134</v>
      </c>
      <c r="NBV11" s="1429" t="s">
        <v>134</v>
      </c>
      <c r="NBW11" s="1429" t="s">
        <v>134</v>
      </c>
      <c r="NBX11" s="1429" t="s">
        <v>134</v>
      </c>
      <c r="NBY11" s="1429" t="s">
        <v>134</v>
      </c>
      <c r="NBZ11" s="1429" t="s">
        <v>134</v>
      </c>
      <c r="NCA11" s="1429" t="s">
        <v>134</v>
      </c>
      <c r="NCB11" s="1429" t="s">
        <v>134</v>
      </c>
      <c r="NCC11" s="1429" t="s">
        <v>134</v>
      </c>
      <c r="NCD11" s="1429" t="s">
        <v>134</v>
      </c>
      <c r="NCE11" s="1429" t="s">
        <v>134</v>
      </c>
      <c r="NCF11" s="1429" t="s">
        <v>134</v>
      </c>
      <c r="NCG11" s="1429" t="s">
        <v>134</v>
      </c>
      <c r="NCH11" s="1429" t="s">
        <v>134</v>
      </c>
      <c r="NCI11" s="1429" t="s">
        <v>134</v>
      </c>
      <c r="NCJ11" s="1429" t="s">
        <v>134</v>
      </c>
      <c r="NCK11" s="1429" t="s">
        <v>134</v>
      </c>
      <c r="NCL11" s="1429" t="s">
        <v>134</v>
      </c>
      <c r="NCM11" s="1429" t="s">
        <v>134</v>
      </c>
      <c r="NCN11" s="1429" t="s">
        <v>134</v>
      </c>
      <c r="NCO11" s="1429" t="s">
        <v>134</v>
      </c>
      <c r="NCP11" s="1429" t="s">
        <v>134</v>
      </c>
      <c r="NCQ11" s="1429" t="s">
        <v>134</v>
      </c>
      <c r="NCR11" s="1429" t="s">
        <v>134</v>
      </c>
      <c r="NCS11" s="1429" t="s">
        <v>134</v>
      </c>
      <c r="NCT11" s="1429" t="s">
        <v>134</v>
      </c>
      <c r="NCU11" s="1429" t="s">
        <v>134</v>
      </c>
      <c r="NCV11" s="1429" t="s">
        <v>134</v>
      </c>
      <c r="NCW11" s="1429" t="s">
        <v>134</v>
      </c>
      <c r="NCX11" s="1429" t="s">
        <v>134</v>
      </c>
      <c r="NCY11" s="1429" t="s">
        <v>134</v>
      </c>
      <c r="NCZ11" s="1429" t="s">
        <v>134</v>
      </c>
      <c r="NDA11" s="1429" t="s">
        <v>134</v>
      </c>
      <c r="NDB11" s="1429" t="s">
        <v>134</v>
      </c>
      <c r="NDC11" s="1429" t="s">
        <v>134</v>
      </c>
      <c r="NDD11" s="1429" t="s">
        <v>134</v>
      </c>
      <c r="NDE11" s="1429" t="s">
        <v>134</v>
      </c>
      <c r="NDF11" s="1429" t="s">
        <v>134</v>
      </c>
      <c r="NDG11" s="1429" t="s">
        <v>134</v>
      </c>
      <c r="NDH11" s="1429" t="s">
        <v>134</v>
      </c>
      <c r="NDI11" s="1429" t="s">
        <v>134</v>
      </c>
      <c r="NDJ11" s="1429" t="s">
        <v>134</v>
      </c>
      <c r="NDK11" s="1429" t="s">
        <v>134</v>
      </c>
      <c r="NDL11" s="1429" t="s">
        <v>134</v>
      </c>
      <c r="NDM11" s="1429" t="s">
        <v>134</v>
      </c>
      <c r="NDN11" s="1429" t="s">
        <v>134</v>
      </c>
      <c r="NDO11" s="1429" t="s">
        <v>134</v>
      </c>
      <c r="NDP11" s="1429" t="s">
        <v>134</v>
      </c>
      <c r="NDQ11" s="1429" t="s">
        <v>134</v>
      </c>
      <c r="NDR11" s="1429" t="s">
        <v>134</v>
      </c>
      <c r="NDS11" s="1429" t="s">
        <v>134</v>
      </c>
      <c r="NDT11" s="1429" t="s">
        <v>134</v>
      </c>
      <c r="NDU11" s="1429" t="s">
        <v>134</v>
      </c>
      <c r="NDV11" s="1429" t="s">
        <v>134</v>
      </c>
      <c r="NDW11" s="1429" t="s">
        <v>134</v>
      </c>
      <c r="NDX11" s="1429" t="s">
        <v>134</v>
      </c>
      <c r="NDY11" s="1429" t="s">
        <v>134</v>
      </c>
      <c r="NDZ11" s="1429" t="s">
        <v>134</v>
      </c>
      <c r="NEA11" s="1429" t="s">
        <v>134</v>
      </c>
      <c r="NEB11" s="1429" t="s">
        <v>134</v>
      </c>
      <c r="NEC11" s="1429" t="s">
        <v>134</v>
      </c>
      <c r="NED11" s="1429" t="s">
        <v>134</v>
      </c>
      <c r="NEE11" s="1429" t="s">
        <v>134</v>
      </c>
      <c r="NEF11" s="1429" t="s">
        <v>134</v>
      </c>
      <c r="NEG11" s="1429" t="s">
        <v>134</v>
      </c>
      <c r="NEH11" s="1429" t="s">
        <v>134</v>
      </c>
      <c r="NEI11" s="1429" t="s">
        <v>134</v>
      </c>
      <c r="NEJ11" s="1429" t="s">
        <v>134</v>
      </c>
      <c r="NEK11" s="1429" t="s">
        <v>134</v>
      </c>
      <c r="NEL11" s="1429" t="s">
        <v>134</v>
      </c>
      <c r="NEM11" s="1429" t="s">
        <v>134</v>
      </c>
      <c r="NEN11" s="1429" t="s">
        <v>134</v>
      </c>
      <c r="NEO11" s="1429" t="s">
        <v>134</v>
      </c>
      <c r="NEP11" s="1429" t="s">
        <v>134</v>
      </c>
      <c r="NEQ11" s="1429" t="s">
        <v>134</v>
      </c>
      <c r="NER11" s="1429" t="s">
        <v>134</v>
      </c>
      <c r="NES11" s="1429" t="s">
        <v>134</v>
      </c>
      <c r="NET11" s="1429" t="s">
        <v>134</v>
      </c>
      <c r="NEU11" s="1429" t="s">
        <v>134</v>
      </c>
      <c r="NEV11" s="1429" t="s">
        <v>134</v>
      </c>
      <c r="NEW11" s="1429" t="s">
        <v>134</v>
      </c>
      <c r="NEX11" s="1429" t="s">
        <v>134</v>
      </c>
      <c r="NEY11" s="1429" t="s">
        <v>134</v>
      </c>
      <c r="NEZ11" s="1429" t="s">
        <v>134</v>
      </c>
      <c r="NFA11" s="1429" t="s">
        <v>134</v>
      </c>
      <c r="NFB11" s="1429" t="s">
        <v>134</v>
      </c>
      <c r="NFC11" s="1429" t="s">
        <v>134</v>
      </c>
      <c r="NFD11" s="1429" t="s">
        <v>134</v>
      </c>
      <c r="NFE11" s="1429" t="s">
        <v>134</v>
      </c>
      <c r="NFF11" s="1429" t="s">
        <v>134</v>
      </c>
      <c r="NFG11" s="1429" t="s">
        <v>134</v>
      </c>
      <c r="NFH11" s="1429" t="s">
        <v>134</v>
      </c>
      <c r="NFI11" s="1429" t="s">
        <v>134</v>
      </c>
      <c r="NFJ11" s="1429" t="s">
        <v>134</v>
      </c>
      <c r="NFK11" s="1429" t="s">
        <v>134</v>
      </c>
      <c r="NFL11" s="1429" t="s">
        <v>134</v>
      </c>
      <c r="NFM11" s="1429" t="s">
        <v>134</v>
      </c>
      <c r="NFN11" s="1429" t="s">
        <v>134</v>
      </c>
      <c r="NFO11" s="1429" t="s">
        <v>134</v>
      </c>
      <c r="NFP11" s="1429" t="s">
        <v>134</v>
      </c>
      <c r="NFQ11" s="1429" t="s">
        <v>134</v>
      </c>
      <c r="NFR11" s="1429" t="s">
        <v>134</v>
      </c>
      <c r="NFS11" s="1429" t="s">
        <v>134</v>
      </c>
      <c r="NFT11" s="1429" t="s">
        <v>134</v>
      </c>
      <c r="NFU11" s="1429" t="s">
        <v>134</v>
      </c>
      <c r="NFV11" s="1429" t="s">
        <v>134</v>
      </c>
      <c r="NFW11" s="1429" t="s">
        <v>134</v>
      </c>
      <c r="NFX11" s="1429" t="s">
        <v>134</v>
      </c>
      <c r="NFY11" s="1429" t="s">
        <v>134</v>
      </c>
      <c r="NFZ11" s="1429" t="s">
        <v>134</v>
      </c>
      <c r="NGA11" s="1429" t="s">
        <v>134</v>
      </c>
      <c r="NGB11" s="1429" t="s">
        <v>134</v>
      </c>
      <c r="NGC11" s="1429" t="s">
        <v>134</v>
      </c>
      <c r="NGD11" s="1429" t="s">
        <v>134</v>
      </c>
      <c r="NGE11" s="1429" t="s">
        <v>134</v>
      </c>
      <c r="NGF11" s="1429" t="s">
        <v>134</v>
      </c>
      <c r="NGG11" s="1429" t="s">
        <v>134</v>
      </c>
      <c r="NGH11" s="1429" t="s">
        <v>134</v>
      </c>
      <c r="NGI11" s="1429" t="s">
        <v>134</v>
      </c>
      <c r="NGJ11" s="1429" t="s">
        <v>134</v>
      </c>
      <c r="NGK11" s="1429" t="s">
        <v>134</v>
      </c>
      <c r="NGL11" s="1429" t="s">
        <v>134</v>
      </c>
      <c r="NGM11" s="1429" t="s">
        <v>134</v>
      </c>
      <c r="NGN11" s="1429" t="s">
        <v>134</v>
      </c>
      <c r="NGO11" s="1429" t="s">
        <v>134</v>
      </c>
      <c r="NGP11" s="1429" t="s">
        <v>134</v>
      </c>
      <c r="NGQ11" s="1429" t="s">
        <v>134</v>
      </c>
      <c r="NGR11" s="1429" t="s">
        <v>134</v>
      </c>
      <c r="NGS11" s="1429" t="s">
        <v>134</v>
      </c>
      <c r="NGT11" s="1429" t="s">
        <v>134</v>
      </c>
      <c r="NGU11" s="1429" t="s">
        <v>134</v>
      </c>
      <c r="NGV11" s="1429" t="s">
        <v>134</v>
      </c>
      <c r="NGW11" s="1429" t="s">
        <v>134</v>
      </c>
      <c r="NGX11" s="1429" t="s">
        <v>134</v>
      </c>
      <c r="NGY11" s="1429" t="s">
        <v>134</v>
      </c>
      <c r="NGZ11" s="1429" t="s">
        <v>134</v>
      </c>
      <c r="NHA11" s="1429" t="s">
        <v>134</v>
      </c>
      <c r="NHB11" s="1429" t="s">
        <v>134</v>
      </c>
      <c r="NHC11" s="1429" t="s">
        <v>134</v>
      </c>
      <c r="NHD11" s="1429" t="s">
        <v>134</v>
      </c>
      <c r="NHE11" s="1429" t="s">
        <v>134</v>
      </c>
      <c r="NHF11" s="1429" t="s">
        <v>134</v>
      </c>
      <c r="NHG11" s="1429" t="s">
        <v>134</v>
      </c>
      <c r="NHH11" s="1429" t="s">
        <v>134</v>
      </c>
      <c r="NHI11" s="1429" t="s">
        <v>134</v>
      </c>
      <c r="NHJ11" s="1429" t="s">
        <v>134</v>
      </c>
      <c r="NHK11" s="1429" t="s">
        <v>134</v>
      </c>
      <c r="NHL11" s="1429" t="s">
        <v>134</v>
      </c>
      <c r="NHM11" s="1429" t="s">
        <v>134</v>
      </c>
      <c r="NHN11" s="1429" t="s">
        <v>134</v>
      </c>
      <c r="NHO11" s="1429" t="s">
        <v>134</v>
      </c>
      <c r="NHP11" s="1429" t="s">
        <v>134</v>
      </c>
      <c r="NHQ11" s="1429" t="s">
        <v>134</v>
      </c>
      <c r="NHR11" s="1429" t="s">
        <v>134</v>
      </c>
      <c r="NHS11" s="1429" t="s">
        <v>134</v>
      </c>
      <c r="NHT11" s="1429" t="s">
        <v>134</v>
      </c>
      <c r="NHU11" s="1429" t="s">
        <v>134</v>
      </c>
      <c r="NHV11" s="1429" t="s">
        <v>134</v>
      </c>
      <c r="NHW11" s="1429" t="s">
        <v>134</v>
      </c>
      <c r="NHX11" s="1429" t="s">
        <v>134</v>
      </c>
      <c r="NHY11" s="1429" t="s">
        <v>134</v>
      </c>
      <c r="NHZ11" s="1429" t="s">
        <v>134</v>
      </c>
      <c r="NIA11" s="1429" t="s">
        <v>134</v>
      </c>
      <c r="NIB11" s="1429" t="s">
        <v>134</v>
      </c>
      <c r="NIC11" s="1429" t="s">
        <v>134</v>
      </c>
      <c r="NID11" s="1429" t="s">
        <v>134</v>
      </c>
      <c r="NIE11" s="1429" t="s">
        <v>134</v>
      </c>
      <c r="NIF11" s="1429" t="s">
        <v>134</v>
      </c>
      <c r="NIG11" s="1429" t="s">
        <v>134</v>
      </c>
      <c r="NIH11" s="1429" t="s">
        <v>134</v>
      </c>
      <c r="NII11" s="1429" t="s">
        <v>134</v>
      </c>
      <c r="NIJ11" s="1429" t="s">
        <v>134</v>
      </c>
      <c r="NIK11" s="1429" t="s">
        <v>134</v>
      </c>
      <c r="NIL11" s="1429" t="s">
        <v>134</v>
      </c>
      <c r="NIM11" s="1429" t="s">
        <v>134</v>
      </c>
      <c r="NIN11" s="1429" t="s">
        <v>134</v>
      </c>
      <c r="NIO11" s="1429" t="s">
        <v>134</v>
      </c>
      <c r="NIP11" s="1429" t="s">
        <v>134</v>
      </c>
      <c r="NIQ11" s="1429" t="s">
        <v>134</v>
      </c>
      <c r="NIR11" s="1429" t="s">
        <v>134</v>
      </c>
      <c r="NIS11" s="1429" t="s">
        <v>134</v>
      </c>
      <c r="NIT11" s="1429" t="s">
        <v>134</v>
      </c>
      <c r="NIU11" s="1429" t="s">
        <v>134</v>
      </c>
      <c r="NIV11" s="1429" t="s">
        <v>134</v>
      </c>
      <c r="NIW11" s="1429" t="s">
        <v>134</v>
      </c>
      <c r="NIX11" s="1429" t="s">
        <v>134</v>
      </c>
      <c r="NIY11" s="1429" t="s">
        <v>134</v>
      </c>
      <c r="NIZ11" s="1429" t="s">
        <v>134</v>
      </c>
      <c r="NJA11" s="1429" t="s">
        <v>134</v>
      </c>
      <c r="NJB11" s="1429" t="s">
        <v>134</v>
      </c>
      <c r="NJC11" s="1429" t="s">
        <v>134</v>
      </c>
      <c r="NJD11" s="1429" t="s">
        <v>134</v>
      </c>
      <c r="NJE11" s="1429" t="s">
        <v>134</v>
      </c>
      <c r="NJF11" s="1429" t="s">
        <v>134</v>
      </c>
      <c r="NJG11" s="1429" t="s">
        <v>134</v>
      </c>
      <c r="NJH11" s="1429" t="s">
        <v>134</v>
      </c>
      <c r="NJI11" s="1429" t="s">
        <v>134</v>
      </c>
      <c r="NJJ11" s="1429" t="s">
        <v>134</v>
      </c>
      <c r="NJK11" s="1429" t="s">
        <v>134</v>
      </c>
      <c r="NJL11" s="1429" t="s">
        <v>134</v>
      </c>
      <c r="NJM11" s="1429" t="s">
        <v>134</v>
      </c>
      <c r="NJN11" s="1429" t="s">
        <v>134</v>
      </c>
      <c r="NJO11" s="1429" t="s">
        <v>134</v>
      </c>
      <c r="NJP11" s="1429" t="s">
        <v>134</v>
      </c>
      <c r="NJQ11" s="1429" t="s">
        <v>134</v>
      </c>
      <c r="NJR11" s="1429" t="s">
        <v>134</v>
      </c>
      <c r="NJS11" s="1429" t="s">
        <v>134</v>
      </c>
      <c r="NJT11" s="1429" t="s">
        <v>134</v>
      </c>
      <c r="NJU11" s="1429" t="s">
        <v>134</v>
      </c>
      <c r="NJV11" s="1429" t="s">
        <v>134</v>
      </c>
      <c r="NJW11" s="1429" t="s">
        <v>134</v>
      </c>
      <c r="NJX11" s="1429" t="s">
        <v>134</v>
      </c>
      <c r="NJY11" s="1429" t="s">
        <v>134</v>
      </c>
      <c r="NJZ11" s="1429" t="s">
        <v>134</v>
      </c>
      <c r="NKA11" s="1429" t="s">
        <v>134</v>
      </c>
      <c r="NKB11" s="1429" t="s">
        <v>134</v>
      </c>
      <c r="NKC11" s="1429" t="s">
        <v>134</v>
      </c>
      <c r="NKD11" s="1429" t="s">
        <v>134</v>
      </c>
      <c r="NKE11" s="1429" t="s">
        <v>134</v>
      </c>
      <c r="NKF11" s="1429" t="s">
        <v>134</v>
      </c>
      <c r="NKG11" s="1429" t="s">
        <v>134</v>
      </c>
      <c r="NKH11" s="1429" t="s">
        <v>134</v>
      </c>
      <c r="NKI11" s="1429" t="s">
        <v>134</v>
      </c>
      <c r="NKJ11" s="1429" t="s">
        <v>134</v>
      </c>
      <c r="NKK11" s="1429" t="s">
        <v>134</v>
      </c>
      <c r="NKL11" s="1429" t="s">
        <v>134</v>
      </c>
      <c r="NKM11" s="1429" t="s">
        <v>134</v>
      </c>
      <c r="NKN11" s="1429" t="s">
        <v>134</v>
      </c>
      <c r="NKO11" s="1429" t="s">
        <v>134</v>
      </c>
      <c r="NKP11" s="1429" t="s">
        <v>134</v>
      </c>
      <c r="NKQ11" s="1429" t="s">
        <v>134</v>
      </c>
      <c r="NKR11" s="1429" t="s">
        <v>134</v>
      </c>
      <c r="NKS11" s="1429" t="s">
        <v>134</v>
      </c>
      <c r="NKT11" s="1429" t="s">
        <v>134</v>
      </c>
      <c r="NKU11" s="1429" t="s">
        <v>134</v>
      </c>
      <c r="NKV11" s="1429" t="s">
        <v>134</v>
      </c>
      <c r="NKW11" s="1429" t="s">
        <v>134</v>
      </c>
      <c r="NKX11" s="1429" t="s">
        <v>134</v>
      </c>
      <c r="NKY11" s="1429" t="s">
        <v>134</v>
      </c>
      <c r="NKZ11" s="1429" t="s">
        <v>134</v>
      </c>
      <c r="NLA11" s="1429" t="s">
        <v>134</v>
      </c>
      <c r="NLB11" s="1429" t="s">
        <v>134</v>
      </c>
      <c r="NLC11" s="1429" t="s">
        <v>134</v>
      </c>
      <c r="NLD11" s="1429" t="s">
        <v>134</v>
      </c>
      <c r="NLE11" s="1429" t="s">
        <v>134</v>
      </c>
      <c r="NLF11" s="1429" t="s">
        <v>134</v>
      </c>
      <c r="NLG11" s="1429" t="s">
        <v>134</v>
      </c>
      <c r="NLH11" s="1429" t="s">
        <v>134</v>
      </c>
      <c r="NLI11" s="1429" t="s">
        <v>134</v>
      </c>
      <c r="NLJ11" s="1429" t="s">
        <v>134</v>
      </c>
      <c r="NLK11" s="1429" t="s">
        <v>134</v>
      </c>
      <c r="NLL11" s="1429" t="s">
        <v>134</v>
      </c>
      <c r="NLM11" s="1429" t="s">
        <v>134</v>
      </c>
      <c r="NLN11" s="1429" t="s">
        <v>134</v>
      </c>
      <c r="NLO11" s="1429" t="s">
        <v>134</v>
      </c>
      <c r="NLP11" s="1429" t="s">
        <v>134</v>
      </c>
      <c r="NLQ11" s="1429" t="s">
        <v>134</v>
      </c>
      <c r="NLR11" s="1429" t="s">
        <v>134</v>
      </c>
      <c r="NLS11" s="1429" t="s">
        <v>134</v>
      </c>
      <c r="NLT11" s="1429" t="s">
        <v>134</v>
      </c>
      <c r="NLU11" s="1429" t="s">
        <v>134</v>
      </c>
      <c r="NLV11" s="1429" t="s">
        <v>134</v>
      </c>
      <c r="NLW11" s="1429" t="s">
        <v>134</v>
      </c>
      <c r="NLX11" s="1429" t="s">
        <v>134</v>
      </c>
      <c r="NLY11" s="1429" t="s">
        <v>134</v>
      </c>
      <c r="NLZ11" s="1429" t="s">
        <v>134</v>
      </c>
      <c r="NMA11" s="1429" t="s">
        <v>134</v>
      </c>
      <c r="NMB11" s="1429" t="s">
        <v>134</v>
      </c>
      <c r="NMC11" s="1429" t="s">
        <v>134</v>
      </c>
      <c r="NMD11" s="1429" t="s">
        <v>134</v>
      </c>
      <c r="NME11" s="1429" t="s">
        <v>134</v>
      </c>
      <c r="NMF11" s="1429" t="s">
        <v>134</v>
      </c>
      <c r="NMG11" s="1429" t="s">
        <v>134</v>
      </c>
      <c r="NMH11" s="1429" t="s">
        <v>134</v>
      </c>
      <c r="NMI11" s="1429" t="s">
        <v>134</v>
      </c>
      <c r="NMJ11" s="1429" t="s">
        <v>134</v>
      </c>
      <c r="NMK11" s="1429" t="s">
        <v>134</v>
      </c>
      <c r="NML11" s="1429" t="s">
        <v>134</v>
      </c>
      <c r="NMM11" s="1429" t="s">
        <v>134</v>
      </c>
      <c r="NMN11" s="1429" t="s">
        <v>134</v>
      </c>
      <c r="NMO11" s="1429" t="s">
        <v>134</v>
      </c>
      <c r="NMP11" s="1429" t="s">
        <v>134</v>
      </c>
      <c r="NMQ11" s="1429" t="s">
        <v>134</v>
      </c>
      <c r="NMR11" s="1429" t="s">
        <v>134</v>
      </c>
      <c r="NMS11" s="1429" t="s">
        <v>134</v>
      </c>
      <c r="NMT11" s="1429" t="s">
        <v>134</v>
      </c>
      <c r="NMU11" s="1429" t="s">
        <v>134</v>
      </c>
      <c r="NMV11" s="1429" t="s">
        <v>134</v>
      </c>
      <c r="NMW11" s="1429" t="s">
        <v>134</v>
      </c>
      <c r="NMX11" s="1429" t="s">
        <v>134</v>
      </c>
      <c r="NMY11" s="1429" t="s">
        <v>134</v>
      </c>
      <c r="NMZ11" s="1429" t="s">
        <v>134</v>
      </c>
      <c r="NNA11" s="1429" t="s">
        <v>134</v>
      </c>
      <c r="NNB11" s="1429" t="s">
        <v>134</v>
      </c>
      <c r="NNC11" s="1429" t="s">
        <v>134</v>
      </c>
      <c r="NND11" s="1429" t="s">
        <v>134</v>
      </c>
      <c r="NNE11" s="1429" t="s">
        <v>134</v>
      </c>
      <c r="NNF11" s="1429" t="s">
        <v>134</v>
      </c>
      <c r="NNG11" s="1429" t="s">
        <v>134</v>
      </c>
      <c r="NNH11" s="1429" t="s">
        <v>134</v>
      </c>
      <c r="NNI11" s="1429" t="s">
        <v>134</v>
      </c>
      <c r="NNJ11" s="1429" t="s">
        <v>134</v>
      </c>
      <c r="NNK11" s="1429" t="s">
        <v>134</v>
      </c>
      <c r="NNL11" s="1429" t="s">
        <v>134</v>
      </c>
      <c r="NNM11" s="1429" t="s">
        <v>134</v>
      </c>
      <c r="NNN11" s="1429" t="s">
        <v>134</v>
      </c>
      <c r="NNO11" s="1429" t="s">
        <v>134</v>
      </c>
      <c r="NNP11" s="1429" t="s">
        <v>134</v>
      </c>
      <c r="NNQ11" s="1429" t="s">
        <v>134</v>
      </c>
      <c r="NNR11" s="1429" t="s">
        <v>134</v>
      </c>
      <c r="NNS11" s="1429" t="s">
        <v>134</v>
      </c>
      <c r="NNT11" s="1429" t="s">
        <v>134</v>
      </c>
      <c r="NNU11" s="1429" t="s">
        <v>134</v>
      </c>
      <c r="NNV11" s="1429" t="s">
        <v>134</v>
      </c>
      <c r="NNW11" s="1429" t="s">
        <v>134</v>
      </c>
      <c r="NNX11" s="1429" t="s">
        <v>134</v>
      </c>
      <c r="NNY11" s="1429" t="s">
        <v>134</v>
      </c>
      <c r="NNZ11" s="1429" t="s">
        <v>134</v>
      </c>
      <c r="NOA11" s="1429" t="s">
        <v>134</v>
      </c>
      <c r="NOB11" s="1429" t="s">
        <v>134</v>
      </c>
      <c r="NOC11" s="1429" t="s">
        <v>134</v>
      </c>
      <c r="NOD11" s="1429" t="s">
        <v>134</v>
      </c>
      <c r="NOE11" s="1429" t="s">
        <v>134</v>
      </c>
      <c r="NOF11" s="1429" t="s">
        <v>134</v>
      </c>
      <c r="NOG11" s="1429" t="s">
        <v>134</v>
      </c>
      <c r="NOH11" s="1429" t="s">
        <v>134</v>
      </c>
      <c r="NOI11" s="1429" t="s">
        <v>134</v>
      </c>
      <c r="NOJ11" s="1429" t="s">
        <v>134</v>
      </c>
      <c r="NOK11" s="1429" t="s">
        <v>134</v>
      </c>
      <c r="NOL11" s="1429" t="s">
        <v>134</v>
      </c>
      <c r="NOM11" s="1429" t="s">
        <v>134</v>
      </c>
      <c r="NON11" s="1429" t="s">
        <v>134</v>
      </c>
      <c r="NOO11" s="1429" t="s">
        <v>134</v>
      </c>
      <c r="NOP11" s="1429" t="s">
        <v>134</v>
      </c>
      <c r="NOQ11" s="1429" t="s">
        <v>134</v>
      </c>
      <c r="NOR11" s="1429" t="s">
        <v>134</v>
      </c>
      <c r="NOS11" s="1429" t="s">
        <v>134</v>
      </c>
      <c r="NOT11" s="1429" t="s">
        <v>134</v>
      </c>
      <c r="NOU11" s="1429" t="s">
        <v>134</v>
      </c>
      <c r="NOV11" s="1429" t="s">
        <v>134</v>
      </c>
      <c r="NOW11" s="1429" t="s">
        <v>134</v>
      </c>
      <c r="NOX11" s="1429" t="s">
        <v>134</v>
      </c>
      <c r="NOY11" s="1429" t="s">
        <v>134</v>
      </c>
      <c r="NOZ11" s="1429" t="s">
        <v>134</v>
      </c>
      <c r="NPA11" s="1429" t="s">
        <v>134</v>
      </c>
      <c r="NPB11" s="1429" t="s">
        <v>134</v>
      </c>
      <c r="NPC11" s="1429" t="s">
        <v>134</v>
      </c>
      <c r="NPD11" s="1429" t="s">
        <v>134</v>
      </c>
      <c r="NPE11" s="1429" t="s">
        <v>134</v>
      </c>
      <c r="NPF11" s="1429" t="s">
        <v>134</v>
      </c>
      <c r="NPG11" s="1429" t="s">
        <v>134</v>
      </c>
      <c r="NPH11" s="1429" t="s">
        <v>134</v>
      </c>
      <c r="NPI11" s="1429" t="s">
        <v>134</v>
      </c>
      <c r="NPJ11" s="1429" t="s">
        <v>134</v>
      </c>
      <c r="NPK11" s="1429" t="s">
        <v>134</v>
      </c>
      <c r="NPL11" s="1429" t="s">
        <v>134</v>
      </c>
      <c r="NPM11" s="1429" t="s">
        <v>134</v>
      </c>
      <c r="NPN11" s="1429" t="s">
        <v>134</v>
      </c>
      <c r="NPO11" s="1429" t="s">
        <v>134</v>
      </c>
      <c r="NPP11" s="1429" t="s">
        <v>134</v>
      </c>
      <c r="NPQ11" s="1429" t="s">
        <v>134</v>
      </c>
      <c r="NPR11" s="1429" t="s">
        <v>134</v>
      </c>
      <c r="NPS11" s="1429" t="s">
        <v>134</v>
      </c>
      <c r="NPT11" s="1429" t="s">
        <v>134</v>
      </c>
      <c r="NPU11" s="1429" t="s">
        <v>134</v>
      </c>
      <c r="NPV11" s="1429" t="s">
        <v>134</v>
      </c>
      <c r="NPW11" s="1429" t="s">
        <v>134</v>
      </c>
      <c r="NPX11" s="1429" t="s">
        <v>134</v>
      </c>
      <c r="NPY11" s="1429" t="s">
        <v>134</v>
      </c>
      <c r="NPZ11" s="1429" t="s">
        <v>134</v>
      </c>
      <c r="NQA11" s="1429" t="s">
        <v>134</v>
      </c>
      <c r="NQB11" s="1429" t="s">
        <v>134</v>
      </c>
      <c r="NQC11" s="1429" t="s">
        <v>134</v>
      </c>
      <c r="NQD11" s="1429" t="s">
        <v>134</v>
      </c>
      <c r="NQE11" s="1429" t="s">
        <v>134</v>
      </c>
      <c r="NQF11" s="1429" t="s">
        <v>134</v>
      </c>
      <c r="NQG11" s="1429" t="s">
        <v>134</v>
      </c>
      <c r="NQH11" s="1429" t="s">
        <v>134</v>
      </c>
      <c r="NQI11" s="1429" t="s">
        <v>134</v>
      </c>
      <c r="NQJ11" s="1429" t="s">
        <v>134</v>
      </c>
      <c r="NQK11" s="1429" t="s">
        <v>134</v>
      </c>
      <c r="NQL11" s="1429" t="s">
        <v>134</v>
      </c>
      <c r="NQM11" s="1429" t="s">
        <v>134</v>
      </c>
      <c r="NQN11" s="1429" t="s">
        <v>134</v>
      </c>
      <c r="NQO11" s="1429" t="s">
        <v>134</v>
      </c>
      <c r="NQP11" s="1429" t="s">
        <v>134</v>
      </c>
      <c r="NQQ11" s="1429" t="s">
        <v>134</v>
      </c>
      <c r="NQR11" s="1429" t="s">
        <v>134</v>
      </c>
      <c r="NQS11" s="1429" t="s">
        <v>134</v>
      </c>
      <c r="NQT11" s="1429" t="s">
        <v>134</v>
      </c>
      <c r="NQU11" s="1429" t="s">
        <v>134</v>
      </c>
      <c r="NQV11" s="1429" t="s">
        <v>134</v>
      </c>
      <c r="NQW11" s="1429" t="s">
        <v>134</v>
      </c>
      <c r="NQX11" s="1429" t="s">
        <v>134</v>
      </c>
      <c r="NQY11" s="1429" t="s">
        <v>134</v>
      </c>
      <c r="NQZ11" s="1429" t="s">
        <v>134</v>
      </c>
      <c r="NRA11" s="1429" t="s">
        <v>134</v>
      </c>
      <c r="NRB11" s="1429" t="s">
        <v>134</v>
      </c>
      <c r="NRC11" s="1429" t="s">
        <v>134</v>
      </c>
      <c r="NRD11" s="1429" t="s">
        <v>134</v>
      </c>
      <c r="NRE11" s="1429" t="s">
        <v>134</v>
      </c>
      <c r="NRF11" s="1429" t="s">
        <v>134</v>
      </c>
      <c r="NRG11" s="1429" t="s">
        <v>134</v>
      </c>
      <c r="NRH11" s="1429" t="s">
        <v>134</v>
      </c>
      <c r="NRI11" s="1429" t="s">
        <v>134</v>
      </c>
      <c r="NRJ11" s="1429" t="s">
        <v>134</v>
      </c>
      <c r="NRK11" s="1429" t="s">
        <v>134</v>
      </c>
      <c r="NRL11" s="1429" t="s">
        <v>134</v>
      </c>
      <c r="NRM11" s="1429" t="s">
        <v>134</v>
      </c>
      <c r="NRN11" s="1429" t="s">
        <v>134</v>
      </c>
      <c r="NRO11" s="1429" t="s">
        <v>134</v>
      </c>
      <c r="NRP11" s="1429" t="s">
        <v>134</v>
      </c>
      <c r="NRQ11" s="1429" t="s">
        <v>134</v>
      </c>
      <c r="NRR11" s="1429" t="s">
        <v>134</v>
      </c>
      <c r="NRS11" s="1429" t="s">
        <v>134</v>
      </c>
      <c r="NRT11" s="1429" t="s">
        <v>134</v>
      </c>
      <c r="NRU11" s="1429" t="s">
        <v>134</v>
      </c>
      <c r="NRV11" s="1429" t="s">
        <v>134</v>
      </c>
      <c r="NRW11" s="1429" t="s">
        <v>134</v>
      </c>
      <c r="NRX11" s="1429" t="s">
        <v>134</v>
      </c>
      <c r="NRY11" s="1429" t="s">
        <v>134</v>
      </c>
      <c r="NRZ11" s="1429" t="s">
        <v>134</v>
      </c>
      <c r="NSA11" s="1429" t="s">
        <v>134</v>
      </c>
      <c r="NSB11" s="1429" t="s">
        <v>134</v>
      </c>
      <c r="NSC11" s="1429" t="s">
        <v>134</v>
      </c>
      <c r="NSD11" s="1429" t="s">
        <v>134</v>
      </c>
      <c r="NSE11" s="1429" t="s">
        <v>134</v>
      </c>
      <c r="NSF11" s="1429" t="s">
        <v>134</v>
      </c>
      <c r="NSG11" s="1429" t="s">
        <v>134</v>
      </c>
      <c r="NSH11" s="1429" t="s">
        <v>134</v>
      </c>
      <c r="NSI11" s="1429" t="s">
        <v>134</v>
      </c>
      <c r="NSJ11" s="1429" t="s">
        <v>134</v>
      </c>
      <c r="NSK11" s="1429" t="s">
        <v>134</v>
      </c>
      <c r="NSL11" s="1429" t="s">
        <v>134</v>
      </c>
      <c r="NSM11" s="1429" t="s">
        <v>134</v>
      </c>
      <c r="NSN11" s="1429" t="s">
        <v>134</v>
      </c>
      <c r="NSO11" s="1429" t="s">
        <v>134</v>
      </c>
      <c r="NSP11" s="1429" t="s">
        <v>134</v>
      </c>
      <c r="NSQ11" s="1429" t="s">
        <v>134</v>
      </c>
      <c r="NSR11" s="1429" t="s">
        <v>134</v>
      </c>
      <c r="NSS11" s="1429" t="s">
        <v>134</v>
      </c>
      <c r="NST11" s="1429" t="s">
        <v>134</v>
      </c>
      <c r="NSU11" s="1429" t="s">
        <v>134</v>
      </c>
      <c r="NSV11" s="1429" t="s">
        <v>134</v>
      </c>
      <c r="NSW11" s="1429" t="s">
        <v>134</v>
      </c>
      <c r="NSX11" s="1429" t="s">
        <v>134</v>
      </c>
      <c r="NSY11" s="1429" t="s">
        <v>134</v>
      </c>
      <c r="NSZ11" s="1429" t="s">
        <v>134</v>
      </c>
      <c r="NTA11" s="1429" t="s">
        <v>134</v>
      </c>
      <c r="NTB11" s="1429" t="s">
        <v>134</v>
      </c>
      <c r="NTC11" s="1429" t="s">
        <v>134</v>
      </c>
      <c r="NTD11" s="1429" t="s">
        <v>134</v>
      </c>
      <c r="NTE11" s="1429" t="s">
        <v>134</v>
      </c>
      <c r="NTF11" s="1429" t="s">
        <v>134</v>
      </c>
      <c r="NTG11" s="1429" t="s">
        <v>134</v>
      </c>
      <c r="NTH11" s="1429" t="s">
        <v>134</v>
      </c>
      <c r="NTI11" s="1429" t="s">
        <v>134</v>
      </c>
      <c r="NTJ11" s="1429" t="s">
        <v>134</v>
      </c>
      <c r="NTK11" s="1429" t="s">
        <v>134</v>
      </c>
      <c r="NTL11" s="1429" t="s">
        <v>134</v>
      </c>
      <c r="NTM11" s="1429" t="s">
        <v>134</v>
      </c>
      <c r="NTN11" s="1429" t="s">
        <v>134</v>
      </c>
      <c r="NTO11" s="1429" t="s">
        <v>134</v>
      </c>
      <c r="NTP11" s="1429" t="s">
        <v>134</v>
      </c>
      <c r="NTQ11" s="1429" t="s">
        <v>134</v>
      </c>
      <c r="NTR11" s="1429" t="s">
        <v>134</v>
      </c>
      <c r="NTS11" s="1429" t="s">
        <v>134</v>
      </c>
      <c r="NTT11" s="1429" t="s">
        <v>134</v>
      </c>
      <c r="NTU11" s="1429" t="s">
        <v>134</v>
      </c>
      <c r="NTV11" s="1429" t="s">
        <v>134</v>
      </c>
      <c r="NTW11" s="1429" t="s">
        <v>134</v>
      </c>
      <c r="NTX11" s="1429" t="s">
        <v>134</v>
      </c>
      <c r="NTY11" s="1429" t="s">
        <v>134</v>
      </c>
      <c r="NTZ11" s="1429" t="s">
        <v>134</v>
      </c>
      <c r="NUA11" s="1429" t="s">
        <v>134</v>
      </c>
      <c r="NUB11" s="1429" t="s">
        <v>134</v>
      </c>
      <c r="NUC11" s="1429" t="s">
        <v>134</v>
      </c>
      <c r="NUD11" s="1429" t="s">
        <v>134</v>
      </c>
      <c r="NUE11" s="1429" t="s">
        <v>134</v>
      </c>
      <c r="NUF11" s="1429" t="s">
        <v>134</v>
      </c>
      <c r="NUG11" s="1429" t="s">
        <v>134</v>
      </c>
      <c r="NUH11" s="1429" t="s">
        <v>134</v>
      </c>
      <c r="NUI11" s="1429" t="s">
        <v>134</v>
      </c>
      <c r="NUJ11" s="1429" t="s">
        <v>134</v>
      </c>
      <c r="NUK11" s="1429" t="s">
        <v>134</v>
      </c>
      <c r="NUL11" s="1429" t="s">
        <v>134</v>
      </c>
      <c r="NUM11" s="1429" t="s">
        <v>134</v>
      </c>
      <c r="NUN11" s="1429" t="s">
        <v>134</v>
      </c>
      <c r="NUO11" s="1429" t="s">
        <v>134</v>
      </c>
      <c r="NUP11" s="1429" t="s">
        <v>134</v>
      </c>
      <c r="NUQ11" s="1429" t="s">
        <v>134</v>
      </c>
      <c r="NUR11" s="1429" t="s">
        <v>134</v>
      </c>
      <c r="NUS11" s="1429" t="s">
        <v>134</v>
      </c>
      <c r="NUT11" s="1429" t="s">
        <v>134</v>
      </c>
      <c r="NUU11" s="1429" t="s">
        <v>134</v>
      </c>
      <c r="NUV11" s="1429" t="s">
        <v>134</v>
      </c>
      <c r="NUW11" s="1429" t="s">
        <v>134</v>
      </c>
      <c r="NUX11" s="1429" t="s">
        <v>134</v>
      </c>
      <c r="NUY11" s="1429" t="s">
        <v>134</v>
      </c>
      <c r="NUZ11" s="1429" t="s">
        <v>134</v>
      </c>
      <c r="NVA11" s="1429" t="s">
        <v>134</v>
      </c>
      <c r="NVB11" s="1429" t="s">
        <v>134</v>
      </c>
      <c r="NVC11" s="1429" t="s">
        <v>134</v>
      </c>
      <c r="NVD11" s="1429" t="s">
        <v>134</v>
      </c>
      <c r="NVE11" s="1429" t="s">
        <v>134</v>
      </c>
      <c r="NVF11" s="1429" t="s">
        <v>134</v>
      </c>
      <c r="NVG11" s="1429" t="s">
        <v>134</v>
      </c>
      <c r="NVH11" s="1429" t="s">
        <v>134</v>
      </c>
      <c r="NVI11" s="1429" t="s">
        <v>134</v>
      </c>
      <c r="NVJ11" s="1429" t="s">
        <v>134</v>
      </c>
      <c r="NVK11" s="1429" t="s">
        <v>134</v>
      </c>
      <c r="NVL11" s="1429" t="s">
        <v>134</v>
      </c>
      <c r="NVM11" s="1429" t="s">
        <v>134</v>
      </c>
      <c r="NVN11" s="1429" t="s">
        <v>134</v>
      </c>
      <c r="NVO11" s="1429" t="s">
        <v>134</v>
      </c>
      <c r="NVP11" s="1429" t="s">
        <v>134</v>
      </c>
      <c r="NVQ11" s="1429" t="s">
        <v>134</v>
      </c>
      <c r="NVR11" s="1429" t="s">
        <v>134</v>
      </c>
      <c r="NVS11" s="1429" t="s">
        <v>134</v>
      </c>
      <c r="NVT11" s="1429" t="s">
        <v>134</v>
      </c>
      <c r="NVU11" s="1429" t="s">
        <v>134</v>
      </c>
      <c r="NVV11" s="1429" t="s">
        <v>134</v>
      </c>
      <c r="NVW11" s="1429" t="s">
        <v>134</v>
      </c>
      <c r="NVX11" s="1429" t="s">
        <v>134</v>
      </c>
      <c r="NVY11" s="1429" t="s">
        <v>134</v>
      </c>
      <c r="NVZ11" s="1429" t="s">
        <v>134</v>
      </c>
      <c r="NWA11" s="1429" t="s">
        <v>134</v>
      </c>
      <c r="NWB11" s="1429" t="s">
        <v>134</v>
      </c>
      <c r="NWC11" s="1429" t="s">
        <v>134</v>
      </c>
      <c r="NWD11" s="1429" t="s">
        <v>134</v>
      </c>
      <c r="NWE11" s="1429" t="s">
        <v>134</v>
      </c>
      <c r="NWF11" s="1429" t="s">
        <v>134</v>
      </c>
      <c r="NWG11" s="1429" t="s">
        <v>134</v>
      </c>
      <c r="NWH11" s="1429" t="s">
        <v>134</v>
      </c>
      <c r="NWI11" s="1429" t="s">
        <v>134</v>
      </c>
      <c r="NWJ11" s="1429" t="s">
        <v>134</v>
      </c>
      <c r="NWK11" s="1429" t="s">
        <v>134</v>
      </c>
      <c r="NWL11" s="1429" t="s">
        <v>134</v>
      </c>
      <c r="NWM11" s="1429" t="s">
        <v>134</v>
      </c>
      <c r="NWN11" s="1429" t="s">
        <v>134</v>
      </c>
      <c r="NWO11" s="1429" t="s">
        <v>134</v>
      </c>
      <c r="NWP11" s="1429" t="s">
        <v>134</v>
      </c>
      <c r="NWQ11" s="1429" t="s">
        <v>134</v>
      </c>
      <c r="NWR11" s="1429" t="s">
        <v>134</v>
      </c>
      <c r="NWS11" s="1429" t="s">
        <v>134</v>
      </c>
      <c r="NWT11" s="1429" t="s">
        <v>134</v>
      </c>
      <c r="NWU11" s="1429" t="s">
        <v>134</v>
      </c>
      <c r="NWV11" s="1429" t="s">
        <v>134</v>
      </c>
      <c r="NWW11" s="1429" t="s">
        <v>134</v>
      </c>
      <c r="NWX11" s="1429" t="s">
        <v>134</v>
      </c>
      <c r="NWY11" s="1429" t="s">
        <v>134</v>
      </c>
      <c r="NWZ11" s="1429" t="s">
        <v>134</v>
      </c>
      <c r="NXA11" s="1429" t="s">
        <v>134</v>
      </c>
      <c r="NXB11" s="1429" t="s">
        <v>134</v>
      </c>
      <c r="NXC11" s="1429" t="s">
        <v>134</v>
      </c>
      <c r="NXD11" s="1429" t="s">
        <v>134</v>
      </c>
      <c r="NXE11" s="1429" t="s">
        <v>134</v>
      </c>
      <c r="NXF11" s="1429" t="s">
        <v>134</v>
      </c>
      <c r="NXG11" s="1429" t="s">
        <v>134</v>
      </c>
      <c r="NXH11" s="1429" t="s">
        <v>134</v>
      </c>
      <c r="NXI11" s="1429" t="s">
        <v>134</v>
      </c>
      <c r="NXJ11" s="1429" t="s">
        <v>134</v>
      </c>
      <c r="NXK11" s="1429" t="s">
        <v>134</v>
      </c>
      <c r="NXL11" s="1429" t="s">
        <v>134</v>
      </c>
      <c r="NXM11" s="1429" t="s">
        <v>134</v>
      </c>
      <c r="NXN11" s="1429" t="s">
        <v>134</v>
      </c>
      <c r="NXO11" s="1429" t="s">
        <v>134</v>
      </c>
      <c r="NXP11" s="1429" t="s">
        <v>134</v>
      </c>
      <c r="NXQ11" s="1429" t="s">
        <v>134</v>
      </c>
      <c r="NXR11" s="1429" t="s">
        <v>134</v>
      </c>
      <c r="NXS11" s="1429" t="s">
        <v>134</v>
      </c>
      <c r="NXT11" s="1429" t="s">
        <v>134</v>
      </c>
      <c r="NXU11" s="1429" t="s">
        <v>134</v>
      </c>
      <c r="NXV11" s="1429" t="s">
        <v>134</v>
      </c>
      <c r="NXW11" s="1429" t="s">
        <v>134</v>
      </c>
      <c r="NXX11" s="1429" t="s">
        <v>134</v>
      </c>
      <c r="NXY11" s="1429" t="s">
        <v>134</v>
      </c>
      <c r="NXZ11" s="1429" t="s">
        <v>134</v>
      </c>
      <c r="NYA11" s="1429" t="s">
        <v>134</v>
      </c>
      <c r="NYB11" s="1429" t="s">
        <v>134</v>
      </c>
      <c r="NYC11" s="1429" t="s">
        <v>134</v>
      </c>
      <c r="NYD11" s="1429" t="s">
        <v>134</v>
      </c>
      <c r="NYE11" s="1429" t="s">
        <v>134</v>
      </c>
      <c r="NYF11" s="1429" t="s">
        <v>134</v>
      </c>
      <c r="NYG11" s="1429" t="s">
        <v>134</v>
      </c>
      <c r="NYH11" s="1429" t="s">
        <v>134</v>
      </c>
      <c r="NYI11" s="1429" t="s">
        <v>134</v>
      </c>
      <c r="NYJ11" s="1429" t="s">
        <v>134</v>
      </c>
      <c r="NYK11" s="1429" t="s">
        <v>134</v>
      </c>
      <c r="NYL11" s="1429" t="s">
        <v>134</v>
      </c>
      <c r="NYM11" s="1429" t="s">
        <v>134</v>
      </c>
      <c r="NYN11" s="1429" t="s">
        <v>134</v>
      </c>
      <c r="NYO11" s="1429" t="s">
        <v>134</v>
      </c>
      <c r="NYP11" s="1429" t="s">
        <v>134</v>
      </c>
      <c r="NYQ11" s="1429" t="s">
        <v>134</v>
      </c>
      <c r="NYR11" s="1429" t="s">
        <v>134</v>
      </c>
      <c r="NYS11" s="1429" t="s">
        <v>134</v>
      </c>
      <c r="NYT11" s="1429" t="s">
        <v>134</v>
      </c>
      <c r="NYU11" s="1429" t="s">
        <v>134</v>
      </c>
      <c r="NYV11" s="1429" t="s">
        <v>134</v>
      </c>
      <c r="NYW11" s="1429" t="s">
        <v>134</v>
      </c>
      <c r="NYX11" s="1429" t="s">
        <v>134</v>
      </c>
      <c r="NYY11" s="1429" t="s">
        <v>134</v>
      </c>
      <c r="NYZ11" s="1429" t="s">
        <v>134</v>
      </c>
      <c r="NZA11" s="1429" t="s">
        <v>134</v>
      </c>
      <c r="NZB11" s="1429" t="s">
        <v>134</v>
      </c>
      <c r="NZC11" s="1429" t="s">
        <v>134</v>
      </c>
      <c r="NZD11" s="1429" t="s">
        <v>134</v>
      </c>
      <c r="NZE11" s="1429" t="s">
        <v>134</v>
      </c>
      <c r="NZF11" s="1429" t="s">
        <v>134</v>
      </c>
      <c r="NZG11" s="1429" t="s">
        <v>134</v>
      </c>
      <c r="NZH11" s="1429" t="s">
        <v>134</v>
      </c>
      <c r="NZI11" s="1429" t="s">
        <v>134</v>
      </c>
      <c r="NZJ11" s="1429" t="s">
        <v>134</v>
      </c>
      <c r="NZK11" s="1429" t="s">
        <v>134</v>
      </c>
      <c r="NZL11" s="1429" t="s">
        <v>134</v>
      </c>
      <c r="NZM11" s="1429" t="s">
        <v>134</v>
      </c>
      <c r="NZN11" s="1429" t="s">
        <v>134</v>
      </c>
      <c r="NZO11" s="1429" t="s">
        <v>134</v>
      </c>
      <c r="NZP11" s="1429" t="s">
        <v>134</v>
      </c>
      <c r="NZQ11" s="1429" t="s">
        <v>134</v>
      </c>
      <c r="NZR11" s="1429" t="s">
        <v>134</v>
      </c>
      <c r="NZS11" s="1429" t="s">
        <v>134</v>
      </c>
      <c r="NZT11" s="1429" t="s">
        <v>134</v>
      </c>
      <c r="NZU11" s="1429" t="s">
        <v>134</v>
      </c>
      <c r="NZV11" s="1429" t="s">
        <v>134</v>
      </c>
      <c r="NZW11" s="1429" t="s">
        <v>134</v>
      </c>
      <c r="NZX11" s="1429" t="s">
        <v>134</v>
      </c>
      <c r="NZY11" s="1429" t="s">
        <v>134</v>
      </c>
      <c r="NZZ11" s="1429" t="s">
        <v>134</v>
      </c>
      <c r="OAA11" s="1429" t="s">
        <v>134</v>
      </c>
      <c r="OAB11" s="1429" t="s">
        <v>134</v>
      </c>
      <c r="OAC11" s="1429" t="s">
        <v>134</v>
      </c>
      <c r="OAD11" s="1429" t="s">
        <v>134</v>
      </c>
      <c r="OAE11" s="1429" t="s">
        <v>134</v>
      </c>
      <c r="OAF11" s="1429" t="s">
        <v>134</v>
      </c>
      <c r="OAG11" s="1429" t="s">
        <v>134</v>
      </c>
      <c r="OAH11" s="1429" t="s">
        <v>134</v>
      </c>
      <c r="OAI11" s="1429" t="s">
        <v>134</v>
      </c>
      <c r="OAJ11" s="1429" t="s">
        <v>134</v>
      </c>
      <c r="OAK11" s="1429" t="s">
        <v>134</v>
      </c>
      <c r="OAL11" s="1429" t="s">
        <v>134</v>
      </c>
      <c r="OAM11" s="1429" t="s">
        <v>134</v>
      </c>
      <c r="OAN11" s="1429" t="s">
        <v>134</v>
      </c>
      <c r="OAO11" s="1429" t="s">
        <v>134</v>
      </c>
      <c r="OAP11" s="1429" t="s">
        <v>134</v>
      </c>
      <c r="OAQ11" s="1429" t="s">
        <v>134</v>
      </c>
      <c r="OAR11" s="1429" t="s">
        <v>134</v>
      </c>
      <c r="OAS11" s="1429" t="s">
        <v>134</v>
      </c>
      <c r="OAT11" s="1429" t="s">
        <v>134</v>
      </c>
      <c r="OAU11" s="1429" t="s">
        <v>134</v>
      </c>
      <c r="OAV11" s="1429" t="s">
        <v>134</v>
      </c>
      <c r="OAW11" s="1429" t="s">
        <v>134</v>
      </c>
      <c r="OAX11" s="1429" t="s">
        <v>134</v>
      </c>
      <c r="OAY11" s="1429" t="s">
        <v>134</v>
      </c>
      <c r="OAZ11" s="1429" t="s">
        <v>134</v>
      </c>
      <c r="OBA11" s="1429" t="s">
        <v>134</v>
      </c>
      <c r="OBB11" s="1429" t="s">
        <v>134</v>
      </c>
      <c r="OBC11" s="1429" t="s">
        <v>134</v>
      </c>
      <c r="OBD11" s="1429" t="s">
        <v>134</v>
      </c>
      <c r="OBE11" s="1429" t="s">
        <v>134</v>
      </c>
      <c r="OBF11" s="1429" t="s">
        <v>134</v>
      </c>
      <c r="OBG11" s="1429" t="s">
        <v>134</v>
      </c>
      <c r="OBH11" s="1429" t="s">
        <v>134</v>
      </c>
      <c r="OBI11" s="1429" t="s">
        <v>134</v>
      </c>
      <c r="OBJ11" s="1429" t="s">
        <v>134</v>
      </c>
      <c r="OBK11" s="1429" t="s">
        <v>134</v>
      </c>
      <c r="OBL11" s="1429" t="s">
        <v>134</v>
      </c>
      <c r="OBM11" s="1429" t="s">
        <v>134</v>
      </c>
      <c r="OBN11" s="1429" t="s">
        <v>134</v>
      </c>
      <c r="OBO11" s="1429" t="s">
        <v>134</v>
      </c>
      <c r="OBP11" s="1429" t="s">
        <v>134</v>
      </c>
      <c r="OBQ11" s="1429" t="s">
        <v>134</v>
      </c>
      <c r="OBR11" s="1429" t="s">
        <v>134</v>
      </c>
      <c r="OBS11" s="1429" t="s">
        <v>134</v>
      </c>
      <c r="OBT11" s="1429" t="s">
        <v>134</v>
      </c>
      <c r="OBU11" s="1429" t="s">
        <v>134</v>
      </c>
      <c r="OBV11" s="1429" t="s">
        <v>134</v>
      </c>
      <c r="OBW11" s="1429" t="s">
        <v>134</v>
      </c>
      <c r="OBX11" s="1429" t="s">
        <v>134</v>
      </c>
      <c r="OBY11" s="1429" t="s">
        <v>134</v>
      </c>
      <c r="OBZ11" s="1429" t="s">
        <v>134</v>
      </c>
      <c r="OCA11" s="1429" t="s">
        <v>134</v>
      </c>
      <c r="OCB11" s="1429" t="s">
        <v>134</v>
      </c>
      <c r="OCC11" s="1429" t="s">
        <v>134</v>
      </c>
      <c r="OCD11" s="1429" t="s">
        <v>134</v>
      </c>
      <c r="OCE11" s="1429" t="s">
        <v>134</v>
      </c>
      <c r="OCF11" s="1429" t="s">
        <v>134</v>
      </c>
      <c r="OCG11" s="1429" t="s">
        <v>134</v>
      </c>
      <c r="OCH11" s="1429" t="s">
        <v>134</v>
      </c>
      <c r="OCI11" s="1429" t="s">
        <v>134</v>
      </c>
      <c r="OCJ11" s="1429" t="s">
        <v>134</v>
      </c>
      <c r="OCK11" s="1429" t="s">
        <v>134</v>
      </c>
      <c r="OCL11" s="1429" t="s">
        <v>134</v>
      </c>
      <c r="OCM11" s="1429" t="s">
        <v>134</v>
      </c>
      <c r="OCN11" s="1429" t="s">
        <v>134</v>
      </c>
      <c r="OCO11" s="1429" t="s">
        <v>134</v>
      </c>
      <c r="OCP11" s="1429" t="s">
        <v>134</v>
      </c>
      <c r="OCQ11" s="1429" t="s">
        <v>134</v>
      </c>
      <c r="OCR11" s="1429" t="s">
        <v>134</v>
      </c>
      <c r="OCS11" s="1429" t="s">
        <v>134</v>
      </c>
      <c r="OCT11" s="1429" t="s">
        <v>134</v>
      </c>
      <c r="OCU11" s="1429" t="s">
        <v>134</v>
      </c>
      <c r="OCV11" s="1429" t="s">
        <v>134</v>
      </c>
      <c r="OCW11" s="1429" t="s">
        <v>134</v>
      </c>
      <c r="OCX11" s="1429" t="s">
        <v>134</v>
      </c>
      <c r="OCY11" s="1429" t="s">
        <v>134</v>
      </c>
      <c r="OCZ11" s="1429" t="s">
        <v>134</v>
      </c>
      <c r="ODA11" s="1429" t="s">
        <v>134</v>
      </c>
      <c r="ODB11" s="1429" t="s">
        <v>134</v>
      </c>
      <c r="ODC11" s="1429" t="s">
        <v>134</v>
      </c>
      <c r="ODD11" s="1429" t="s">
        <v>134</v>
      </c>
      <c r="ODE11" s="1429" t="s">
        <v>134</v>
      </c>
      <c r="ODF11" s="1429" t="s">
        <v>134</v>
      </c>
      <c r="ODG11" s="1429" t="s">
        <v>134</v>
      </c>
      <c r="ODH11" s="1429" t="s">
        <v>134</v>
      </c>
      <c r="ODI11" s="1429" t="s">
        <v>134</v>
      </c>
      <c r="ODJ11" s="1429" t="s">
        <v>134</v>
      </c>
      <c r="ODK11" s="1429" t="s">
        <v>134</v>
      </c>
      <c r="ODL11" s="1429" t="s">
        <v>134</v>
      </c>
      <c r="ODM11" s="1429" t="s">
        <v>134</v>
      </c>
      <c r="ODN11" s="1429" t="s">
        <v>134</v>
      </c>
      <c r="ODO11" s="1429" t="s">
        <v>134</v>
      </c>
      <c r="ODP11" s="1429" t="s">
        <v>134</v>
      </c>
      <c r="ODQ11" s="1429" t="s">
        <v>134</v>
      </c>
      <c r="ODR11" s="1429" t="s">
        <v>134</v>
      </c>
      <c r="ODS11" s="1429" t="s">
        <v>134</v>
      </c>
      <c r="ODT11" s="1429" t="s">
        <v>134</v>
      </c>
      <c r="ODU11" s="1429" t="s">
        <v>134</v>
      </c>
      <c r="ODV11" s="1429" t="s">
        <v>134</v>
      </c>
      <c r="ODW11" s="1429" t="s">
        <v>134</v>
      </c>
      <c r="ODX11" s="1429" t="s">
        <v>134</v>
      </c>
      <c r="ODY11" s="1429" t="s">
        <v>134</v>
      </c>
      <c r="ODZ11" s="1429" t="s">
        <v>134</v>
      </c>
      <c r="OEA11" s="1429" t="s">
        <v>134</v>
      </c>
      <c r="OEB11" s="1429" t="s">
        <v>134</v>
      </c>
      <c r="OEC11" s="1429" t="s">
        <v>134</v>
      </c>
      <c r="OED11" s="1429" t="s">
        <v>134</v>
      </c>
      <c r="OEE11" s="1429" t="s">
        <v>134</v>
      </c>
      <c r="OEF11" s="1429" t="s">
        <v>134</v>
      </c>
      <c r="OEG11" s="1429" t="s">
        <v>134</v>
      </c>
      <c r="OEH11" s="1429" t="s">
        <v>134</v>
      </c>
      <c r="OEI11" s="1429" t="s">
        <v>134</v>
      </c>
      <c r="OEJ11" s="1429" t="s">
        <v>134</v>
      </c>
      <c r="OEK11" s="1429" t="s">
        <v>134</v>
      </c>
      <c r="OEL11" s="1429" t="s">
        <v>134</v>
      </c>
      <c r="OEM11" s="1429" t="s">
        <v>134</v>
      </c>
      <c r="OEN11" s="1429" t="s">
        <v>134</v>
      </c>
      <c r="OEO11" s="1429" t="s">
        <v>134</v>
      </c>
      <c r="OEP11" s="1429" t="s">
        <v>134</v>
      </c>
      <c r="OEQ11" s="1429" t="s">
        <v>134</v>
      </c>
      <c r="OER11" s="1429" t="s">
        <v>134</v>
      </c>
      <c r="OES11" s="1429" t="s">
        <v>134</v>
      </c>
      <c r="OET11" s="1429" t="s">
        <v>134</v>
      </c>
      <c r="OEU11" s="1429" t="s">
        <v>134</v>
      </c>
      <c r="OEV11" s="1429" t="s">
        <v>134</v>
      </c>
      <c r="OEW11" s="1429" t="s">
        <v>134</v>
      </c>
      <c r="OEX11" s="1429" t="s">
        <v>134</v>
      </c>
      <c r="OEY11" s="1429" t="s">
        <v>134</v>
      </c>
      <c r="OEZ11" s="1429" t="s">
        <v>134</v>
      </c>
      <c r="OFA11" s="1429" t="s">
        <v>134</v>
      </c>
      <c r="OFB11" s="1429" t="s">
        <v>134</v>
      </c>
      <c r="OFC11" s="1429" t="s">
        <v>134</v>
      </c>
      <c r="OFD11" s="1429" t="s">
        <v>134</v>
      </c>
      <c r="OFE11" s="1429" t="s">
        <v>134</v>
      </c>
      <c r="OFF11" s="1429" t="s">
        <v>134</v>
      </c>
      <c r="OFG11" s="1429" t="s">
        <v>134</v>
      </c>
      <c r="OFH11" s="1429" t="s">
        <v>134</v>
      </c>
      <c r="OFI11" s="1429" t="s">
        <v>134</v>
      </c>
      <c r="OFJ11" s="1429" t="s">
        <v>134</v>
      </c>
      <c r="OFK11" s="1429" t="s">
        <v>134</v>
      </c>
      <c r="OFL11" s="1429" t="s">
        <v>134</v>
      </c>
      <c r="OFM11" s="1429" t="s">
        <v>134</v>
      </c>
      <c r="OFN11" s="1429" t="s">
        <v>134</v>
      </c>
      <c r="OFO11" s="1429" t="s">
        <v>134</v>
      </c>
      <c r="OFP11" s="1429" t="s">
        <v>134</v>
      </c>
      <c r="OFQ11" s="1429" t="s">
        <v>134</v>
      </c>
      <c r="OFR11" s="1429" t="s">
        <v>134</v>
      </c>
      <c r="OFS11" s="1429" t="s">
        <v>134</v>
      </c>
      <c r="OFT11" s="1429" t="s">
        <v>134</v>
      </c>
      <c r="OFU11" s="1429" t="s">
        <v>134</v>
      </c>
      <c r="OFV11" s="1429" t="s">
        <v>134</v>
      </c>
      <c r="OFW11" s="1429" t="s">
        <v>134</v>
      </c>
      <c r="OFX11" s="1429" t="s">
        <v>134</v>
      </c>
      <c r="OFY11" s="1429" t="s">
        <v>134</v>
      </c>
      <c r="OFZ11" s="1429" t="s">
        <v>134</v>
      </c>
      <c r="OGA11" s="1429" t="s">
        <v>134</v>
      </c>
      <c r="OGB11" s="1429" t="s">
        <v>134</v>
      </c>
      <c r="OGC11" s="1429" t="s">
        <v>134</v>
      </c>
      <c r="OGD11" s="1429" t="s">
        <v>134</v>
      </c>
      <c r="OGE11" s="1429" t="s">
        <v>134</v>
      </c>
      <c r="OGF11" s="1429" t="s">
        <v>134</v>
      </c>
      <c r="OGG11" s="1429" t="s">
        <v>134</v>
      </c>
      <c r="OGH11" s="1429" t="s">
        <v>134</v>
      </c>
      <c r="OGI11" s="1429" t="s">
        <v>134</v>
      </c>
      <c r="OGJ11" s="1429" t="s">
        <v>134</v>
      </c>
      <c r="OGK11" s="1429" t="s">
        <v>134</v>
      </c>
      <c r="OGL11" s="1429" t="s">
        <v>134</v>
      </c>
      <c r="OGM11" s="1429" t="s">
        <v>134</v>
      </c>
      <c r="OGN11" s="1429" t="s">
        <v>134</v>
      </c>
      <c r="OGO11" s="1429" t="s">
        <v>134</v>
      </c>
      <c r="OGP11" s="1429" t="s">
        <v>134</v>
      </c>
      <c r="OGQ11" s="1429" t="s">
        <v>134</v>
      </c>
      <c r="OGR11" s="1429" t="s">
        <v>134</v>
      </c>
      <c r="OGS11" s="1429" t="s">
        <v>134</v>
      </c>
      <c r="OGT11" s="1429" t="s">
        <v>134</v>
      </c>
      <c r="OGU11" s="1429" t="s">
        <v>134</v>
      </c>
      <c r="OGV11" s="1429" t="s">
        <v>134</v>
      </c>
      <c r="OGW11" s="1429" t="s">
        <v>134</v>
      </c>
      <c r="OGX11" s="1429" t="s">
        <v>134</v>
      </c>
      <c r="OGY11" s="1429" t="s">
        <v>134</v>
      </c>
      <c r="OGZ11" s="1429" t="s">
        <v>134</v>
      </c>
      <c r="OHA11" s="1429" t="s">
        <v>134</v>
      </c>
      <c r="OHB11" s="1429" t="s">
        <v>134</v>
      </c>
      <c r="OHC11" s="1429" t="s">
        <v>134</v>
      </c>
      <c r="OHD11" s="1429" t="s">
        <v>134</v>
      </c>
      <c r="OHE11" s="1429" t="s">
        <v>134</v>
      </c>
      <c r="OHF11" s="1429" t="s">
        <v>134</v>
      </c>
      <c r="OHG11" s="1429" t="s">
        <v>134</v>
      </c>
      <c r="OHH11" s="1429" t="s">
        <v>134</v>
      </c>
      <c r="OHI11" s="1429" t="s">
        <v>134</v>
      </c>
      <c r="OHJ11" s="1429" t="s">
        <v>134</v>
      </c>
      <c r="OHK11" s="1429" t="s">
        <v>134</v>
      </c>
      <c r="OHL11" s="1429" t="s">
        <v>134</v>
      </c>
      <c r="OHM11" s="1429" t="s">
        <v>134</v>
      </c>
      <c r="OHN11" s="1429" t="s">
        <v>134</v>
      </c>
      <c r="OHO11" s="1429" t="s">
        <v>134</v>
      </c>
      <c r="OHP11" s="1429" t="s">
        <v>134</v>
      </c>
      <c r="OHQ11" s="1429" t="s">
        <v>134</v>
      </c>
      <c r="OHR11" s="1429" t="s">
        <v>134</v>
      </c>
      <c r="OHS11" s="1429" t="s">
        <v>134</v>
      </c>
      <c r="OHT11" s="1429" t="s">
        <v>134</v>
      </c>
      <c r="OHU11" s="1429" t="s">
        <v>134</v>
      </c>
      <c r="OHV11" s="1429" t="s">
        <v>134</v>
      </c>
      <c r="OHW11" s="1429" t="s">
        <v>134</v>
      </c>
      <c r="OHX11" s="1429" t="s">
        <v>134</v>
      </c>
      <c r="OHY11" s="1429" t="s">
        <v>134</v>
      </c>
      <c r="OHZ11" s="1429" t="s">
        <v>134</v>
      </c>
      <c r="OIA11" s="1429" t="s">
        <v>134</v>
      </c>
      <c r="OIB11" s="1429" t="s">
        <v>134</v>
      </c>
      <c r="OIC11" s="1429" t="s">
        <v>134</v>
      </c>
      <c r="OID11" s="1429" t="s">
        <v>134</v>
      </c>
      <c r="OIE11" s="1429" t="s">
        <v>134</v>
      </c>
      <c r="OIF11" s="1429" t="s">
        <v>134</v>
      </c>
      <c r="OIG11" s="1429" t="s">
        <v>134</v>
      </c>
      <c r="OIH11" s="1429" t="s">
        <v>134</v>
      </c>
      <c r="OII11" s="1429" t="s">
        <v>134</v>
      </c>
      <c r="OIJ11" s="1429" t="s">
        <v>134</v>
      </c>
      <c r="OIK11" s="1429" t="s">
        <v>134</v>
      </c>
      <c r="OIL11" s="1429" t="s">
        <v>134</v>
      </c>
      <c r="OIM11" s="1429" t="s">
        <v>134</v>
      </c>
      <c r="OIN11" s="1429" t="s">
        <v>134</v>
      </c>
      <c r="OIO11" s="1429" t="s">
        <v>134</v>
      </c>
      <c r="OIP11" s="1429" t="s">
        <v>134</v>
      </c>
      <c r="OIQ11" s="1429" t="s">
        <v>134</v>
      </c>
      <c r="OIR11" s="1429" t="s">
        <v>134</v>
      </c>
      <c r="OIS11" s="1429" t="s">
        <v>134</v>
      </c>
      <c r="OIT11" s="1429" t="s">
        <v>134</v>
      </c>
      <c r="OIU11" s="1429" t="s">
        <v>134</v>
      </c>
      <c r="OIV11" s="1429" t="s">
        <v>134</v>
      </c>
      <c r="OIW11" s="1429" t="s">
        <v>134</v>
      </c>
      <c r="OIX11" s="1429" t="s">
        <v>134</v>
      </c>
      <c r="OIY11" s="1429" t="s">
        <v>134</v>
      </c>
      <c r="OIZ11" s="1429" t="s">
        <v>134</v>
      </c>
      <c r="OJA11" s="1429" t="s">
        <v>134</v>
      </c>
      <c r="OJB11" s="1429" t="s">
        <v>134</v>
      </c>
      <c r="OJC11" s="1429" t="s">
        <v>134</v>
      </c>
      <c r="OJD11" s="1429" t="s">
        <v>134</v>
      </c>
      <c r="OJE11" s="1429" t="s">
        <v>134</v>
      </c>
      <c r="OJF11" s="1429" t="s">
        <v>134</v>
      </c>
      <c r="OJG11" s="1429" t="s">
        <v>134</v>
      </c>
      <c r="OJH11" s="1429" t="s">
        <v>134</v>
      </c>
      <c r="OJI11" s="1429" t="s">
        <v>134</v>
      </c>
      <c r="OJJ11" s="1429" t="s">
        <v>134</v>
      </c>
      <c r="OJK11" s="1429" t="s">
        <v>134</v>
      </c>
      <c r="OJL11" s="1429" t="s">
        <v>134</v>
      </c>
      <c r="OJM11" s="1429" t="s">
        <v>134</v>
      </c>
      <c r="OJN11" s="1429" t="s">
        <v>134</v>
      </c>
      <c r="OJO11" s="1429" t="s">
        <v>134</v>
      </c>
      <c r="OJP11" s="1429" t="s">
        <v>134</v>
      </c>
      <c r="OJQ11" s="1429" t="s">
        <v>134</v>
      </c>
      <c r="OJR11" s="1429" t="s">
        <v>134</v>
      </c>
      <c r="OJS11" s="1429" t="s">
        <v>134</v>
      </c>
      <c r="OJT11" s="1429" t="s">
        <v>134</v>
      </c>
      <c r="OJU11" s="1429" t="s">
        <v>134</v>
      </c>
      <c r="OJV11" s="1429" t="s">
        <v>134</v>
      </c>
      <c r="OJW11" s="1429" t="s">
        <v>134</v>
      </c>
      <c r="OJX11" s="1429" t="s">
        <v>134</v>
      </c>
      <c r="OJY11" s="1429" t="s">
        <v>134</v>
      </c>
      <c r="OJZ11" s="1429" t="s">
        <v>134</v>
      </c>
      <c r="OKA11" s="1429" t="s">
        <v>134</v>
      </c>
      <c r="OKB11" s="1429" t="s">
        <v>134</v>
      </c>
      <c r="OKC11" s="1429" t="s">
        <v>134</v>
      </c>
      <c r="OKD11" s="1429" t="s">
        <v>134</v>
      </c>
      <c r="OKE11" s="1429" t="s">
        <v>134</v>
      </c>
      <c r="OKF11" s="1429" t="s">
        <v>134</v>
      </c>
      <c r="OKG11" s="1429" t="s">
        <v>134</v>
      </c>
      <c r="OKH11" s="1429" t="s">
        <v>134</v>
      </c>
      <c r="OKI11" s="1429" t="s">
        <v>134</v>
      </c>
      <c r="OKJ11" s="1429" t="s">
        <v>134</v>
      </c>
      <c r="OKK11" s="1429" t="s">
        <v>134</v>
      </c>
      <c r="OKL11" s="1429" t="s">
        <v>134</v>
      </c>
      <c r="OKM11" s="1429" t="s">
        <v>134</v>
      </c>
      <c r="OKN11" s="1429" t="s">
        <v>134</v>
      </c>
      <c r="OKO11" s="1429" t="s">
        <v>134</v>
      </c>
      <c r="OKP11" s="1429" t="s">
        <v>134</v>
      </c>
      <c r="OKQ11" s="1429" t="s">
        <v>134</v>
      </c>
      <c r="OKR11" s="1429" t="s">
        <v>134</v>
      </c>
      <c r="OKS11" s="1429" t="s">
        <v>134</v>
      </c>
      <c r="OKT11" s="1429" t="s">
        <v>134</v>
      </c>
      <c r="OKU11" s="1429" t="s">
        <v>134</v>
      </c>
      <c r="OKV11" s="1429" t="s">
        <v>134</v>
      </c>
      <c r="OKW11" s="1429" t="s">
        <v>134</v>
      </c>
      <c r="OKX11" s="1429" t="s">
        <v>134</v>
      </c>
      <c r="OKY11" s="1429" t="s">
        <v>134</v>
      </c>
      <c r="OKZ11" s="1429" t="s">
        <v>134</v>
      </c>
      <c r="OLA11" s="1429" t="s">
        <v>134</v>
      </c>
      <c r="OLB11" s="1429" t="s">
        <v>134</v>
      </c>
      <c r="OLC11" s="1429" t="s">
        <v>134</v>
      </c>
      <c r="OLD11" s="1429" t="s">
        <v>134</v>
      </c>
      <c r="OLE11" s="1429" t="s">
        <v>134</v>
      </c>
      <c r="OLF11" s="1429" t="s">
        <v>134</v>
      </c>
      <c r="OLG11" s="1429" t="s">
        <v>134</v>
      </c>
      <c r="OLH11" s="1429" t="s">
        <v>134</v>
      </c>
      <c r="OLI11" s="1429" t="s">
        <v>134</v>
      </c>
      <c r="OLJ11" s="1429" t="s">
        <v>134</v>
      </c>
      <c r="OLK11" s="1429" t="s">
        <v>134</v>
      </c>
      <c r="OLL11" s="1429" t="s">
        <v>134</v>
      </c>
      <c r="OLM11" s="1429" t="s">
        <v>134</v>
      </c>
      <c r="OLN11" s="1429" t="s">
        <v>134</v>
      </c>
      <c r="OLO11" s="1429" t="s">
        <v>134</v>
      </c>
      <c r="OLP11" s="1429" t="s">
        <v>134</v>
      </c>
      <c r="OLQ11" s="1429" t="s">
        <v>134</v>
      </c>
      <c r="OLR11" s="1429" t="s">
        <v>134</v>
      </c>
      <c r="OLS11" s="1429" t="s">
        <v>134</v>
      </c>
      <c r="OLT11" s="1429" t="s">
        <v>134</v>
      </c>
      <c r="OLU11" s="1429" t="s">
        <v>134</v>
      </c>
      <c r="OLV11" s="1429" t="s">
        <v>134</v>
      </c>
      <c r="OLW11" s="1429" t="s">
        <v>134</v>
      </c>
      <c r="OLX11" s="1429" t="s">
        <v>134</v>
      </c>
      <c r="OLY11" s="1429" t="s">
        <v>134</v>
      </c>
      <c r="OLZ11" s="1429" t="s">
        <v>134</v>
      </c>
      <c r="OMA11" s="1429" t="s">
        <v>134</v>
      </c>
      <c r="OMB11" s="1429" t="s">
        <v>134</v>
      </c>
      <c r="OMC11" s="1429" t="s">
        <v>134</v>
      </c>
      <c r="OMD11" s="1429" t="s">
        <v>134</v>
      </c>
      <c r="OME11" s="1429" t="s">
        <v>134</v>
      </c>
      <c r="OMF11" s="1429" t="s">
        <v>134</v>
      </c>
      <c r="OMG11" s="1429" t="s">
        <v>134</v>
      </c>
      <c r="OMH11" s="1429" t="s">
        <v>134</v>
      </c>
      <c r="OMI11" s="1429" t="s">
        <v>134</v>
      </c>
      <c r="OMJ11" s="1429" t="s">
        <v>134</v>
      </c>
      <c r="OMK11" s="1429" t="s">
        <v>134</v>
      </c>
      <c r="OML11" s="1429" t="s">
        <v>134</v>
      </c>
      <c r="OMM11" s="1429" t="s">
        <v>134</v>
      </c>
      <c r="OMN11" s="1429" t="s">
        <v>134</v>
      </c>
      <c r="OMO11" s="1429" t="s">
        <v>134</v>
      </c>
      <c r="OMP11" s="1429" t="s">
        <v>134</v>
      </c>
      <c r="OMQ11" s="1429" t="s">
        <v>134</v>
      </c>
      <c r="OMR11" s="1429" t="s">
        <v>134</v>
      </c>
      <c r="OMS11" s="1429" t="s">
        <v>134</v>
      </c>
      <c r="OMT11" s="1429" t="s">
        <v>134</v>
      </c>
      <c r="OMU11" s="1429" t="s">
        <v>134</v>
      </c>
      <c r="OMV11" s="1429" t="s">
        <v>134</v>
      </c>
      <c r="OMW11" s="1429" t="s">
        <v>134</v>
      </c>
      <c r="OMX11" s="1429" t="s">
        <v>134</v>
      </c>
      <c r="OMY11" s="1429" t="s">
        <v>134</v>
      </c>
      <c r="OMZ11" s="1429" t="s">
        <v>134</v>
      </c>
      <c r="ONA11" s="1429" t="s">
        <v>134</v>
      </c>
      <c r="ONB11" s="1429" t="s">
        <v>134</v>
      </c>
      <c r="ONC11" s="1429" t="s">
        <v>134</v>
      </c>
      <c r="OND11" s="1429" t="s">
        <v>134</v>
      </c>
      <c r="ONE11" s="1429" t="s">
        <v>134</v>
      </c>
      <c r="ONF11" s="1429" t="s">
        <v>134</v>
      </c>
      <c r="ONG11" s="1429" t="s">
        <v>134</v>
      </c>
      <c r="ONH11" s="1429" t="s">
        <v>134</v>
      </c>
      <c r="ONI11" s="1429" t="s">
        <v>134</v>
      </c>
      <c r="ONJ11" s="1429" t="s">
        <v>134</v>
      </c>
      <c r="ONK11" s="1429" t="s">
        <v>134</v>
      </c>
      <c r="ONL11" s="1429" t="s">
        <v>134</v>
      </c>
      <c r="ONM11" s="1429" t="s">
        <v>134</v>
      </c>
      <c r="ONN11" s="1429" t="s">
        <v>134</v>
      </c>
      <c r="ONO11" s="1429" t="s">
        <v>134</v>
      </c>
      <c r="ONP11" s="1429" t="s">
        <v>134</v>
      </c>
      <c r="ONQ11" s="1429" t="s">
        <v>134</v>
      </c>
      <c r="ONR11" s="1429" t="s">
        <v>134</v>
      </c>
      <c r="ONS11" s="1429" t="s">
        <v>134</v>
      </c>
      <c r="ONT11" s="1429" t="s">
        <v>134</v>
      </c>
      <c r="ONU11" s="1429" t="s">
        <v>134</v>
      </c>
      <c r="ONV11" s="1429" t="s">
        <v>134</v>
      </c>
      <c r="ONW11" s="1429" t="s">
        <v>134</v>
      </c>
      <c r="ONX11" s="1429" t="s">
        <v>134</v>
      </c>
      <c r="ONY11" s="1429" t="s">
        <v>134</v>
      </c>
      <c r="ONZ11" s="1429" t="s">
        <v>134</v>
      </c>
      <c r="OOA11" s="1429" t="s">
        <v>134</v>
      </c>
      <c r="OOB11" s="1429" t="s">
        <v>134</v>
      </c>
      <c r="OOC11" s="1429" t="s">
        <v>134</v>
      </c>
      <c r="OOD11" s="1429" t="s">
        <v>134</v>
      </c>
      <c r="OOE11" s="1429" t="s">
        <v>134</v>
      </c>
      <c r="OOF11" s="1429" t="s">
        <v>134</v>
      </c>
      <c r="OOG11" s="1429" t="s">
        <v>134</v>
      </c>
      <c r="OOH11" s="1429" t="s">
        <v>134</v>
      </c>
      <c r="OOI11" s="1429" t="s">
        <v>134</v>
      </c>
      <c r="OOJ11" s="1429" t="s">
        <v>134</v>
      </c>
      <c r="OOK11" s="1429" t="s">
        <v>134</v>
      </c>
      <c r="OOL11" s="1429" t="s">
        <v>134</v>
      </c>
      <c r="OOM11" s="1429" t="s">
        <v>134</v>
      </c>
      <c r="OON11" s="1429" t="s">
        <v>134</v>
      </c>
      <c r="OOO11" s="1429" t="s">
        <v>134</v>
      </c>
      <c r="OOP11" s="1429" t="s">
        <v>134</v>
      </c>
      <c r="OOQ11" s="1429" t="s">
        <v>134</v>
      </c>
      <c r="OOR11" s="1429" t="s">
        <v>134</v>
      </c>
      <c r="OOS11" s="1429" t="s">
        <v>134</v>
      </c>
      <c r="OOT11" s="1429" t="s">
        <v>134</v>
      </c>
      <c r="OOU11" s="1429" t="s">
        <v>134</v>
      </c>
      <c r="OOV11" s="1429" t="s">
        <v>134</v>
      </c>
      <c r="OOW11" s="1429" t="s">
        <v>134</v>
      </c>
      <c r="OOX11" s="1429" t="s">
        <v>134</v>
      </c>
      <c r="OOY11" s="1429" t="s">
        <v>134</v>
      </c>
      <c r="OOZ11" s="1429" t="s">
        <v>134</v>
      </c>
      <c r="OPA11" s="1429" t="s">
        <v>134</v>
      </c>
      <c r="OPB11" s="1429" t="s">
        <v>134</v>
      </c>
      <c r="OPC11" s="1429" t="s">
        <v>134</v>
      </c>
      <c r="OPD11" s="1429" t="s">
        <v>134</v>
      </c>
      <c r="OPE11" s="1429" t="s">
        <v>134</v>
      </c>
      <c r="OPF11" s="1429" t="s">
        <v>134</v>
      </c>
      <c r="OPG11" s="1429" t="s">
        <v>134</v>
      </c>
      <c r="OPH11" s="1429" t="s">
        <v>134</v>
      </c>
      <c r="OPI11" s="1429" t="s">
        <v>134</v>
      </c>
      <c r="OPJ11" s="1429" t="s">
        <v>134</v>
      </c>
      <c r="OPK11" s="1429" t="s">
        <v>134</v>
      </c>
      <c r="OPL11" s="1429" t="s">
        <v>134</v>
      </c>
      <c r="OPM11" s="1429" t="s">
        <v>134</v>
      </c>
      <c r="OPN11" s="1429" t="s">
        <v>134</v>
      </c>
      <c r="OPO11" s="1429" t="s">
        <v>134</v>
      </c>
      <c r="OPP11" s="1429" t="s">
        <v>134</v>
      </c>
      <c r="OPQ11" s="1429" t="s">
        <v>134</v>
      </c>
      <c r="OPR11" s="1429" t="s">
        <v>134</v>
      </c>
      <c r="OPS11" s="1429" t="s">
        <v>134</v>
      </c>
      <c r="OPT11" s="1429" t="s">
        <v>134</v>
      </c>
      <c r="OPU11" s="1429" t="s">
        <v>134</v>
      </c>
      <c r="OPV11" s="1429" t="s">
        <v>134</v>
      </c>
      <c r="OPW11" s="1429" t="s">
        <v>134</v>
      </c>
      <c r="OPX11" s="1429" t="s">
        <v>134</v>
      </c>
      <c r="OPY11" s="1429" t="s">
        <v>134</v>
      </c>
      <c r="OPZ11" s="1429" t="s">
        <v>134</v>
      </c>
      <c r="OQA11" s="1429" t="s">
        <v>134</v>
      </c>
      <c r="OQB11" s="1429" t="s">
        <v>134</v>
      </c>
      <c r="OQC11" s="1429" t="s">
        <v>134</v>
      </c>
      <c r="OQD11" s="1429" t="s">
        <v>134</v>
      </c>
      <c r="OQE11" s="1429" t="s">
        <v>134</v>
      </c>
      <c r="OQF11" s="1429" t="s">
        <v>134</v>
      </c>
      <c r="OQG11" s="1429" t="s">
        <v>134</v>
      </c>
      <c r="OQH11" s="1429" t="s">
        <v>134</v>
      </c>
      <c r="OQI11" s="1429" t="s">
        <v>134</v>
      </c>
      <c r="OQJ11" s="1429" t="s">
        <v>134</v>
      </c>
      <c r="OQK11" s="1429" t="s">
        <v>134</v>
      </c>
      <c r="OQL11" s="1429" t="s">
        <v>134</v>
      </c>
      <c r="OQM11" s="1429" t="s">
        <v>134</v>
      </c>
      <c r="OQN11" s="1429" t="s">
        <v>134</v>
      </c>
      <c r="OQO11" s="1429" t="s">
        <v>134</v>
      </c>
      <c r="OQP11" s="1429" t="s">
        <v>134</v>
      </c>
      <c r="OQQ11" s="1429" t="s">
        <v>134</v>
      </c>
      <c r="OQR11" s="1429" t="s">
        <v>134</v>
      </c>
      <c r="OQS11" s="1429" t="s">
        <v>134</v>
      </c>
      <c r="OQT11" s="1429" t="s">
        <v>134</v>
      </c>
      <c r="OQU11" s="1429" t="s">
        <v>134</v>
      </c>
      <c r="OQV11" s="1429" t="s">
        <v>134</v>
      </c>
      <c r="OQW11" s="1429" t="s">
        <v>134</v>
      </c>
      <c r="OQX11" s="1429" t="s">
        <v>134</v>
      </c>
      <c r="OQY11" s="1429" t="s">
        <v>134</v>
      </c>
      <c r="OQZ11" s="1429" t="s">
        <v>134</v>
      </c>
      <c r="ORA11" s="1429" t="s">
        <v>134</v>
      </c>
      <c r="ORB11" s="1429" t="s">
        <v>134</v>
      </c>
      <c r="ORC11" s="1429" t="s">
        <v>134</v>
      </c>
      <c r="ORD11" s="1429" t="s">
        <v>134</v>
      </c>
      <c r="ORE11" s="1429" t="s">
        <v>134</v>
      </c>
      <c r="ORF11" s="1429" t="s">
        <v>134</v>
      </c>
      <c r="ORG11" s="1429" t="s">
        <v>134</v>
      </c>
      <c r="ORH11" s="1429" t="s">
        <v>134</v>
      </c>
      <c r="ORI11" s="1429" t="s">
        <v>134</v>
      </c>
      <c r="ORJ11" s="1429" t="s">
        <v>134</v>
      </c>
      <c r="ORK11" s="1429" t="s">
        <v>134</v>
      </c>
      <c r="ORL11" s="1429" t="s">
        <v>134</v>
      </c>
      <c r="ORM11" s="1429" t="s">
        <v>134</v>
      </c>
      <c r="ORN11" s="1429" t="s">
        <v>134</v>
      </c>
      <c r="ORO11" s="1429" t="s">
        <v>134</v>
      </c>
      <c r="ORP11" s="1429" t="s">
        <v>134</v>
      </c>
      <c r="ORQ11" s="1429" t="s">
        <v>134</v>
      </c>
      <c r="ORR11" s="1429" t="s">
        <v>134</v>
      </c>
      <c r="ORS11" s="1429" t="s">
        <v>134</v>
      </c>
      <c r="ORT11" s="1429" t="s">
        <v>134</v>
      </c>
      <c r="ORU11" s="1429" t="s">
        <v>134</v>
      </c>
      <c r="ORV11" s="1429" t="s">
        <v>134</v>
      </c>
      <c r="ORW11" s="1429" t="s">
        <v>134</v>
      </c>
      <c r="ORX11" s="1429" t="s">
        <v>134</v>
      </c>
      <c r="ORY11" s="1429" t="s">
        <v>134</v>
      </c>
      <c r="ORZ11" s="1429" t="s">
        <v>134</v>
      </c>
      <c r="OSA11" s="1429" t="s">
        <v>134</v>
      </c>
      <c r="OSB11" s="1429" t="s">
        <v>134</v>
      </c>
      <c r="OSC11" s="1429" t="s">
        <v>134</v>
      </c>
      <c r="OSD11" s="1429" t="s">
        <v>134</v>
      </c>
      <c r="OSE11" s="1429" t="s">
        <v>134</v>
      </c>
      <c r="OSF11" s="1429" t="s">
        <v>134</v>
      </c>
      <c r="OSG11" s="1429" t="s">
        <v>134</v>
      </c>
      <c r="OSH11" s="1429" t="s">
        <v>134</v>
      </c>
      <c r="OSI11" s="1429" t="s">
        <v>134</v>
      </c>
      <c r="OSJ11" s="1429" t="s">
        <v>134</v>
      </c>
      <c r="OSK11" s="1429" t="s">
        <v>134</v>
      </c>
      <c r="OSL11" s="1429" t="s">
        <v>134</v>
      </c>
      <c r="OSM11" s="1429" t="s">
        <v>134</v>
      </c>
      <c r="OSN11" s="1429" t="s">
        <v>134</v>
      </c>
      <c r="OSO11" s="1429" t="s">
        <v>134</v>
      </c>
      <c r="OSP11" s="1429" t="s">
        <v>134</v>
      </c>
      <c r="OSQ11" s="1429" t="s">
        <v>134</v>
      </c>
      <c r="OSR11" s="1429" t="s">
        <v>134</v>
      </c>
      <c r="OSS11" s="1429" t="s">
        <v>134</v>
      </c>
      <c r="OST11" s="1429" t="s">
        <v>134</v>
      </c>
      <c r="OSU11" s="1429" t="s">
        <v>134</v>
      </c>
      <c r="OSV11" s="1429" t="s">
        <v>134</v>
      </c>
      <c r="OSW11" s="1429" t="s">
        <v>134</v>
      </c>
      <c r="OSX11" s="1429" t="s">
        <v>134</v>
      </c>
      <c r="OSY11" s="1429" t="s">
        <v>134</v>
      </c>
      <c r="OSZ11" s="1429" t="s">
        <v>134</v>
      </c>
      <c r="OTA11" s="1429" t="s">
        <v>134</v>
      </c>
      <c r="OTB11" s="1429" t="s">
        <v>134</v>
      </c>
      <c r="OTC11" s="1429" t="s">
        <v>134</v>
      </c>
      <c r="OTD11" s="1429" t="s">
        <v>134</v>
      </c>
      <c r="OTE11" s="1429" t="s">
        <v>134</v>
      </c>
      <c r="OTF11" s="1429" t="s">
        <v>134</v>
      </c>
      <c r="OTG11" s="1429" t="s">
        <v>134</v>
      </c>
      <c r="OTH11" s="1429" t="s">
        <v>134</v>
      </c>
      <c r="OTI11" s="1429" t="s">
        <v>134</v>
      </c>
      <c r="OTJ11" s="1429" t="s">
        <v>134</v>
      </c>
      <c r="OTK11" s="1429" t="s">
        <v>134</v>
      </c>
      <c r="OTL11" s="1429" t="s">
        <v>134</v>
      </c>
      <c r="OTM11" s="1429" t="s">
        <v>134</v>
      </c>
      <c r="OTN11" s="1429" t="s">
        <v>134</v>
      </c>
      <c r="OTO11" s="1429" t="s">
        <v>134</v>
      </c>
      <c r="OTP11" s="1429" t="s">
        <v>134</v>
      </c>
      <c r="OTQ11" s="1429" t="s">
        <v>134</v>
      </c>
      <c r="OTR11" s="1429" t="s">
        <v>134</v>
      </c>
      <c r="OTS11" s="1429" t="s">
        <v>134</v>
      </c>
      <c r="OTT11" s="1429" t="s">
        <v>134</v>
      </c>
      <c r="OTU11" s="1429" t="s">
        <v>134</v>
      </c>
      <c r="OTV11" s="1429" t="s">
        <v>134</v>
      </c>
      <c r="OTW11" s="1429" t="s">
        <v>134</v>
      </c>
      <c r="OTX11" s="1429" t="s">
        <v>134</v>
      </c>
      <c r="OTY11" s="1429" t="s">
        <v>134</v>
      </c>
      <c r="OTZ11" s="1429" t="s">
        <v>134</v>
      </c>
      <c r="OUA11" s="1429" t="s">
        <v>134</v>
      </c>
      <c r="OUB11" s="1429" t="s">
        <v>134</v>
      </c>
      <c r="OUC11" s="1429" t="s">
        <v>134</v>
      </c>
      <c r="OUD11" s="1429" t="s">
        <v>134</v>
      </c>
      <c r="OUE11" s="1429" t="s">
        <v>134</v>
      </c>
      <c r="OUF11" s="1429" t="s">
        <v>134</v>
      </c>
      <c r="OUG11" s="1429" t="s">
        <v>134</v>
      </c>
      <c r="OUH11" s="1429" t="s">
        <v>134</v>
      </c>
      <c r="OUI11" s="1429" t="s">
        <v>134</v>
      </c>
      <c r="OUJ11" s="1429" t="s">
        <v>134</v>
      </c>
      <c r="OUK11" s="1429" t="s">
        <v>134</v>
      </c>
      <c r="OUL11" s="1429" t="s">
        <v>134</v>
      </c>
      <c r="OUM11" s="1429" t="s">
        <v>134</v>
      </c>
      <c r="OUN11" s="1429" t="s">
        <v>134</v>
      </c>
      <c r="OUO11" s="1429" t="s">
        <v>134</v>
      </c>
      <c r="OUP11" s="1429" t="s">
        <v>134</v>
      </c>
      <c r="OUQ11" s="1429" t="s">
        <v>134</v>
      </c>
      <c r="OUR11" s="1429" t="s">
        <v>134</v>
      </c>
      <c r="OUS11" s="1429" t="s">
        <v>134</v>
      </c>
      <c r="OUT11" s="1429" t="s">
        <v>134</v>
      </c>
      <c r="OUU11" s="1429" t="s">
        <v>134</v>
      </c>
      <c r="OUV11" s="1429" t="s">
        <v>134</v>
      </c>
      <c r="OUW11" s="1429" t="s">
        <v>134</v>
      </c>
      <c r="OUX11" s="1429" t="s">
        <v>134</v>
      </c>
      <c r="OUY11" s="1429" t="s">
        <v>134</v>
      </c>
      <c r="OUZ11" s="1429" t="s">
        <v>134</v>
      </c>
      <c r="OVA11" s="1429" t="s">
        <v>134</v>
      </c>
      <c r="OVB11" s="1429" t="s">
        <v>134</v>
      </c>
      <c r="OVC11" s="1429" t="s">
        <v>134</v>
      </c>
      <c r="OVD11" s="1429" t="s">
        <v>134</v>
      </c>
      <c r="OVE11" s="1429" t="s">
        <v>134</v>
      </c>
      <c r="OVF11" s="1429" t="s">
        <v>134</v>
      </c>
      <c r="OVG11" s="1429" t="s">
        <v>134</v>
      </c>
      <c r="OVH11" s="1429" t="s">
        <v>134</v>
      </c>
      <c r="OVI11" s="1429" t="s">
        <v>134</v>
      </c>
      <c r="OVJ11" s="1429" t="s">
        <v>134</v>
      </c>
      <c r="OVK11" s="1429" t="s">
        <v>134</v>
      </c>
      <c r="OVL11" s="1429" t="s">
        <v>134</v>
      </c>
      <c r="OVM11" s="1429" t="s">
        <v>134</v>
      </c>
      <c r="OVN11" s="1429" t="s">
        <v>134</v>
      </c>
      <c r="OVO11" s="1429" t="s">
        <v>134</v>
      </c>
      <c r="OVP11" s="1429" t="s">
        <v>134</v>
      </c>
      <c r="OVQ11" s="1429" t="s">
        <v>134</v>
      </c>
      <c r="OVR11" s="1429" t="s">
        <v>134</v>
      </c>
      <c r="OVS11" s="1429" t="s">
        <v>134</v>
      </c>
      <c r="OVT11" s="1429" t="s">
        <v>134</v>
      </c>
      <c r="OVU11" s="1429" t="s">
        <v>134</v>
      </c>
      <c r="OVV11" s="1429" t="s">
        <v>134</v>
      </c>
      <c r="OVW11" s="1429" t="s">
        <v>134</v>
      </c>
      <c r="OVX11" s="1429" t="s">
        <v>134</v>
      </c>
      <c r="OVY11" s="1429" t="s">
        <v>134</v>
      </c>
      <c r="OVZ11" s="1429" t="s">
        <v>134</v>
      </c>
      <c r="OWA11" s="1429" t="s">
        <v>134</v>
      </c>
      <c r="OWB11" s="1429" t="s">
        <v>134</v>
      </c>
      <c r="OWC11" s="1429" t="s">
        <v>134</v>
      </c>
      <c r="OWD11" s="1429" t="s">
        <v>134</v>
      </c>
      <c r="OWE11" s="1429" t="s">
        <v>134</v>
      </c>
      <c r="OWF11" s="1429" t="s">
        <v>134</v>
      </c>
      <c r="OWG11" s="1429" t="s">
        <v>134</v>
      </c>
      <c r="OWH11" s="1429" t="s">
        <v>134</v>
      </c>
      <c r="OWI11" s="1429" t="s">
        <v>134</v>
      </c>
      <c r="OWJ11" s="1429" t="s">
        <v>134</v>
      </c>
      <c r="OWK11" s="1429" t="s">
        <v>134</v>
      </c>
      <c r="OWL11" s="1429" t="s">
        <v>134</v>
      </c>
      <c r="OWM11" s="1429" t="s">
        <v>134</v>
      </c>
      <c r="OWN11" s="1429" t="s">
        <v>134</v>
      </c>
      <c r="OWO11" s="1429" t="s">
        <v>134</v>
      </c>
      <c r="OWP11" s="1429" t="s">
        <v>134</v>
      </c>
      <c r="OWQ11" s="1429" t="s">
        <v>134</v>
      </c>
      <c r="OWR11" s="1429" t="s">
        <v>134</v>
      </c>
      <c r="OWS11" s="1429" t="s">
        <v>134</v>
      </c>
      <c r="OWT11" s="1429" t="s">
        <v>134</v>
      </c>
      <c r="OWU11" s="1429" t="s">
        <v>134</v>
      </c>
      <c r="OWV11" s="1429" t="s">
        <v>134</v>
      </c>
      <c r="OWW11" s="1429" t="s">
        <v>134</v>
      </c>
      <c r="OWX11" s="1429" t="s">
        <v>134</v>
      </c>
      <c r="OWY11" s="1429" t="s">
        <v>134</v>
      </c>
      <c r="OWZ11" s="1429" t="s">
        <v>134</v>
      </c>
      <c r="OXA11" s="1429" t="s">
        <v>134</v>
      </c>
      <c r="OXB11" s="1429" t="s">
        <v>134</v>
      </c>
      <c r="OXC11" s="1429" t="s">
        <v>134</v>
      </c>
      <c r="OXD11" s="1429" t="s">
        <v>134</v>
      </c>
      <c r="OXE11" s="1429" t="s">
        <v>134</v>
      </c>
      <c r="OXF11" s="1429" t="s">
        <v>134</v>
      </c>
      <c r="OXG11" s="1429" t="s">
        <v>134</v>
      </c>
      <c r="OXH11" s="1429" t="s">
        <v>134</v>
      </c>
      <c r="OXI11" s="1429" t="s">
        <v>134</v>
      </c>
      <c r="OXJ11" s="1429" t="s">
        <v>134</v>
      </c>
      <c r="OXK11" s="1429" t="s">
        <v>134</v>
      </c>
      <c r="OXL11" s="1429" t="s">
        <v>134</v>
      </c>
      <c r="OXM11" s="1429" t="s">
        <v>134</v>
      </c>
      <c r="OXN11" s="1429" t="s">
        <v>134</v>
      </c>
      <c r="OXO11" s="1429" t="s">
        <v>134</v>
      </c>
      <c r="OXP11" s="1429" t="s">
        <v>134</v>
      </c>
      <c r="OXQ11" s="1429" t="s">
        <v>134</v>
      </c>
      <c r="OXR11" s="1429" t="s">
        <v>134</v>
      </c>
      <c r="OXS11" s="1429" t="s">
        <v>134</v>
      </c>
      <c r="OXT11" s="1429" t="s">
        <v>134</v>
      </c>
      <c r="OXU11" s="1429" t="s">
        <v>134</v>
      </c>
      <c r="OXV11" s="1429" t="s">
        <v>134</v>
      </c>
      <c r="OXW11" s="1429" t="s">
        <v>134</v>
      </c>
      <c r="OXX11" s="1429" t="s">
        <v>134</v>
      </c>
      <c r="OXY11" s="1429" t="s">
        <v>134</v>
      </c>
      <c r="OXZ11" s="1429" t="s">
        <v>134</v>
      </c>
      <c r="OYA11" s="1429" t="s">
        <v>134</v>
      </c>
      <c r="OYB11" s="1429" t="s">
        <v>134</v>
      </c>
      <c r="OYC11" s="1429" t="s">
        <v>134</v>
      </c>
      <c r="OYD11" s="1429" t="s">
        <v>134</v>
      </c>
      <c r="OYE11" s="1429" t="s">
        <v>134</v>
      </c>
      <c r="OYF11" s="1429" t="s">
        <v>134</v>
      </c>
      <c r="OYG11" s="1429" t="s">
        <v>134</v>
      </c>
      <c r="OYH11" s="1429" t="s">
        <v>134</v>
      </c>
      <c r="OYI11" s="1429" t="s">
        <v>134</v>
      </c>
      <c r="OYJ11" s="1429" t="s">
        <v>134</v>
      </c>
      <c r="OYK11" s="1429" t="s">
        <v>134</v>
      </c>
      <c r="OYL11" s="1429" t="s">
        <v>134</v>
      </c>
      <c r="OYM11" s="1429" t="s">
        <v>134</v>
      </c>
      <c r="OYN11" s="1429" t="s">
        <v>134</v>
      </c>
      <c r="OYO11" s="1429" t="s">
        <v>134</v>
      </c>
      <c r="OYP11" s="1429" t="s">
        <v>134</v>
      </c>
      <c r="OYQ11" s="1429" t="s">
        <v>134</v>
      </c>
      <c r="OYR11" s="1429" t="s">
        <v>134</v>
      </c>
      <c r="OYS11" s="1429" t="s">
        <v>134</v>
      </c>
      <c r="OYT11" s="1429" t="s">
        <v>134</v>
      </c>
      <c r="OYU11" s="1429" t="s">
        <v>134</v>
      </c>
      <c r="OYV11" s="1429" t="s">
        <v>134</v>
      </c>
      <c r="OYW11" s="1429" t="s">
        <v>134</v>
      </c>
      <c r="OYX11" s="1429" t="s">
        <v>134</v>
      </c>
      <c r="OYY11" s="1429" t="s">
        <v>134</v>
      </c>
      <c r="OYZ11" s="1429" t="s">
        <v>134</v>
      </c>
      <c r="OZA11" s="1429" t="s">
        <v>134</v>
      </c>
      <c r="OZB11" s="1429" t="s">
        <v>134</v>
      </c>
      <c r="OZC11" s="1429" t="s">
        <v>134</v>
      </c>
      <c r="OZD11" s="1429" t="s">
        <v>134</v>
      </c>
      <c r="OZE11" s="1429" t="s">
        <v>134</v>
      </c>
      <c r="OZF11" s="1429" t="s">
        <v>134</v>
      </c>
      <c r="OZG11" s="1429" t="s">
        <v>134</v>
      </c>
      <c r="OZH11" s="1429" t="s">
        <v>134</v>
      </c>
      <c r="OZI11" s="1429" t="s">
        <v>134</v>
      </c>
      <c r="OZJ11" s="1429" t="s">
        <v>134</v>
      </c>
      <c r="OZK11" s="1429" t="s">
        <v>134</v>
      </c>
      <c r="OZL11" s="1429" t="s">
        <v>134</v>
      </c>
      <c r="OZM11" s="1429" t="s">
        <v>134</v>
      </c>
      <c r="OZN11" s="1429" t="s">
        <v>134</v>
      </c>
      <c r="OZO11" s="1429" t="s">
        <v>134</v>
      </c>
      <c r="OZP11" s="1429" t="s">
        <v>134</v>
      </c>
      <c r="OZQ11" s="1429" t="s">
        <v>134</v>
      </c>
      <c r="OZR11" s="1429" t="s">
        <v>134</v>
      </c>
      <c r="OZS11" s="1429" t="s">
        <v>134</v>
      </c>
      <c r="OZT11" s="1429" t="s">
        <v>134</v>
      </c>
      <c r="OZU11" s="1429" t="s">
        <v>134</v>
      </c>
      <c r="OZV11" s="1429" t="s">
        <v>134</v>
      </c>
      <c r="OZW11" s="1429" t="s">
        <v>134</v>
      </c>
      <c r="OZX11" s="1429" t="s">
        <v>134</v>
      </c>
      <c r="OZY11" s="1429" t="s">
        <v>134</v>
      </c>
      <c r="OZZ11" s="1429" t="s">
        <v>134</v>
      </c>
      <c r="PAA11" s="1429" t="s">
        <v>134</v>
      </c>
      <c r="PAB11" s="1429" t="s">
        <v>134</v>
      </c>
      <c r="PAC11" s="1429" t="s">
        <v>134</v>
      </c>
      <c r="PAD11" s="1429" t="s">
        <v>134</v>
      </c>
      <c r="PAE11" s="1429" t="s">
        <v>134</v>
      </c>
      <c r="PAF11" s="1429" t="s">
        <v>134</v>
      </c>
      <c r="PAG11" s="1429" t="s">
        <v>134</v>
      </c>
      <c r="PAH11" s="1429" t="s">
        <v>134</v>
      </c>
      <c r="PAI11" s="1429" t="s">
        <v>134</v>
      </c>
      <c r="PAJ11" s="1429" t="s">
        <v>134</v>
      </c>
      <c r="PAK11" s="1429" t="s">
        <v>134</v>
      </c>
      <c r="PAL11" s="1429" t="s">
        <v>134</v>
      </c>
      <c r="PAM11" s="1429" t="s">
        <v>134</v>
      </c>
      <c r="PAN11" s="1429" t="s">
        <v>134</v>
      </c>
      <c r="PAO11" s="1429" t="s">
        <v>134</v>
      </c>
      <c r="PAP11" s="1429" t="s">
        <v>134</v>
      </c>
      <c r="PAQ11" s="1429" t="s">
        <v>134</v>
      </c>
      <c r="PAR11" s="1429" t="s">
        <v>134</v>
      </c>
      <c r="PAS11" s="1429" t="s">
        <v>134</v>
      </c>
      <c r="PAT11" s="1429" t="s">
        <v>134</v>
      </c>
      <c r="PAU11" s="1429" t="s">
        <v>134</v>
      </c>
      <c r="PAV11" s="1429" t="s">
        <v>134</v>
      </c>
      <c r="PAW11" s="1429" t="s">
        <v>134</v>
      </c>
      <c r="PAX11" s="1429" t="s">
        <v>134</v>
      </c>
      <c r="PAY11" s="1429" t="s">
        <v>134</v>
      </c>
      <c r="PAZ11" s="1429" t="s">
        <v>134</v>
      </c>
      <c r="PBA11" s="1429" t="s">
        <v>134</v>
      </c>
      <c r="PBB11" s="1429" t="s">
        <v>134</v>
      </c>
      <c r="PBC11" s="1429" t="s">
        <v>134</v>
      </c>
      <c r="PBD11" s="1429" t="s">
        <v>134</v>
      </c>
      <c r="PBE11" s="1429" t="s">
        <v>134</v>
      </c>
      <c r="PBF11" s="1429" t="s">
        <v>134</v>
      </c>
      <c r="PBG11" s="1429" t="s">
        <v>134</v>
      </c>
      <c r="PBH11" s="1429" t="s">
        <v>134</v>
      </c>
      <c r="PBI11" s="1429" t="s">
        <v>134</v>
      </c>
      <c r="PBJ11" s="1429" t="s">
        <v>134</v>
      </c>
      <c r="PBK11" s="1429" t="s">
        <v>134</v>
      </c>
      <c r="PBL11" s="1429" t="s">
        <v>134</v>
      </c>
      <c r="PBM11" s="1429" t="s">
        <v>134</v>
      </c>
      <c r="PBN11" s="1429" t="s">
        <v>134</v>
      </c>
      <c r="PBO11" s="1429" t="s">
        <v>134</v>
      </c>
      <c r="PBP11" s="1429" t="s">
        <v>134</v>
      </c>
      <c r="PBQ11" s="1429" t="s">
        <v>134</v>
      </c>
      <c r="PBR11" s="1429" t="s">
        <v>134</v>
      </c>
      <c r="PBS11" s="1429" t="s">
        <v>134</v>
      </c>
      <c r="PBT11" s="1429" t="s">
        <v>134</v>
      </c>
      <c r="PBU11" s="1429" t="s">
        <v>134</v>
      </c>
      <c r="PBV11" s="1429" t="s">
        <v>134</v>
      </c>
      <c r="PBW11" s="1429" t="s">
        <v>134</v>
      </c>
      <c r="PBX11" s="1429" t="s">
        <v>134</v>
      </c>
      <c r="PBY11" s="1429" t="s">
        <v>134</v>
      </c>
      <c r="PBZ11" s="1429" t="s">
        <v>134</v>
      </c>
      <c r="PCA11" s="1429" t="s">
        <v>134</v>
      </c>
      <c r="PCB11" s="1429" t="s">
        <v>134</v>
      </c>
      <c r="PCC11" s="1429" t="s">
        <v>134</v>
      </c>
      <c r="PCD11" s="1429" t="s">
        <v>134</v>
      </c>
      <c r="PCE11" s="1429" t="s">
        <v>134</v>
      </c>
      <c r="PCF11" s="1429" t="s">
        <v>134</v>
      </c>
      <c r="PCG11" s="1429" t="s">
        <v>134</v>
      </c>
      <c r="PCH11" s="1429" t="s">
        <v>134</v>
      </c>
      <c r="PCI11" s="1429" t="s">
        <v>134</v>
      </c>
      <c r="PCJ11" s="1429" t="s">
        <v>134</v>
      </c>
      <c r="PCK11" s="1429" t="s">
        <v>134</v>
      </c>
      <c r="PCL11" s="1429" t="s">
        <v>134</v>
      </c>
      <c r="PCM11" s="1429" t="s">
        <v>134</v>
      </c>
      <c r="PCN11" s="1429" t="s">
        <v>134</v>
      </c>
      <c r="PCO11" s="1429" t="s">
        <v>134</v>
      </c>
      <c r="PCP11" s="1429" t="s">
        <v>134</v>
      </c>
      <c r="PCQ11" s="1429" t="s">
        <v>134</v>
      </c>
      <c r="PCR11" s="1429" t="s">
        <v>134</v>
      </c>
      <c r="PCS11" s="1429" t="s">
        <v>134</v>
      </c>
      <c r="PCT11" s="1429" t="s">
        <v>134</v>
      </c>
      <c r="PCU11" s="1429" t="s">
        <v>134</v>
      </c>
      <c r="PCV11" s="1429" t="s">
        <v>134</v>
      </c>
      <c r="PCW11" s="1429" t="s">
        <v>134</v>
      </c>
      <c r="PCX11" s="1429" t="s">
        <v>134</v>
      </c>
      <c r="PCY11" s="1429" t="s">
        <v>134</v>
      </c>
      <c r="PCZ11" s="1429" t="s">
        <v>134</v>
      </c>
      <c r="PDA11" s="1429" t="s">
        <v>134</v>
      </c>
      <c r="PDB11" s="1429" t="s">
        <v>134</v>
      </c>
      <c r="PDC11" s="1429" t="s">
        <v>134</v>
      </c>
      <c r="PDD11" s="1429" t="s">
        <v>134</v>
      </c>
      <c r="PDE11" s="1429" t="s">
        <v>134</v>
      </c>
      <c r="PDF11" s="1429" t="s">
        <v>134</v>
      </c>
      <c r="PDG11" s="1429" t="s">
        <v>134</v>
      </c>
      <c r="PDH11" s="1429" t="s">
        <v>134</v>
      </c>
      <c r="PDI11" s="1429" t="s">
        <v>134</v>
      </c>
      <c r="PDJ11" s="1429" t="s">
        <v>134</v>
      </c>
      <c r="PDK11" s="1429" t="s">
        <v>134</v>
      </c>
      <c r="PDL11" s="1429" t="s">
        <v>134</v>
      </c>
      <c r="PDM11" s="1429" t="s">
        <v>134</v>
      </c>
      <c r="PDN11" s="1429" t="s">
        <v>134</v>
      </c>
      <c r="PDO11" s="1429" t="s">
        <v>134</v>
      </c>
      <c r="PDP11" s="1429" t="s">
        <v>134</v>
      </c>
      <c r="PDQ11" s="1429" t="s">
        <v>134</v>
      </c>
      <c r="PDR11" s="1429" t="s">
        <v>134</v>
      </c>
      <c r="PDS11" s="1429" t="s">
        <v>134</v>
      </c>
      <c r="PDT11" s="1429" t="s">
        <v>134</v>
      </c>
      <c r="PDU11" s="1429" t="s">
        <v>134</v>
      </c>
      <c r="PDV11" s="1429" t="s">
        <v>134</v>
      </c>
      <c r="PDW11" s="1429" t="s">
        <v>134</v>
      </c>
      <c r="PDX11" s="1429" t="s">
        <v>134</v>
      </c>
      <c r="PDY11" s="1429" t="s">
        <v>134</v>
      </c>
      <c r="PDZ11" s="1429" t="s">
        <v>134</v>
      </c>
      <c r="PEA11" s="1429" t="s">
        <v>134</v>
      </c>
      <c r="PEB11" s="1429" t="s">
        <v>134</v>
      </c>
      <c r="PEC11" s="1429" t="s">
        <v>134</v>
      </c>
      <c r="PED11" s="1429" t="s">
        <v>134</v>
      </c>
      <c r="PEE11" s="1429" t="s">
        <v>134</v>
      </c>
      <c r="PEF11" s="1429" t="s">
        <v>134</v>
      </c>
      <c r="PEG11" s="1429" t="s">
        <v>134</v>
      </c>
      <c r="PEH11" s="1429" t="s">
        <v>134</v>
      </c>
      <c r="PEI11" s="1429" t="s">
        <v>134</v>
      </c>
      <c r="PEJ11" s="1429" t="s">
        <v>134</v>
      </c>
      <c r="PEK11" s="1429" t="s">
        <v>134</v>
      </c>
      <c r="PEL11" s="1429" t="s">
        <v>134</v>
      </c>
      <c r="PEM11" s="1429" t="s">
        <v>134</v>
      </c>
      <c r="PEN11" s="1429" t="s">
        <v>134</v>
      </c>
      <c r="PEO11" s="1429" t="s">
        <v>134</v>
      </c>
      <c r="PEP11" s="1429" t="s">
        <v>134</v>
      </c>
      <c r="PEQ11" s="1429" t="s">
        <v>134</v>
      </c>
      <c r="PER11" s="1429" t="s">
        <v>134</v>
      </c>
      <c r="PES11" s="1429" t="s">
        <v>134</v>
      </c>
      <c r="PET11" s="1429" t="s">
        <v>134</v>
      </c>
      <c r="PEU11" s="1429" t="s">
        <v>134</v>
      </c>
      <c r="PEV11" s="1429" t="s">
        <v>134</v>
      </c>
      <c r="PEW11" s="1429" t="s">
        <v>134</v>
      </c>
      <c r="PEX11" s="1429" t="s">
        <v>134</v>
      </c>
      <c r="PEY11" s="1429" t="s">
        <v>134</v>
      </c>
      <c r="PEZ11" s="1429" t="s">
        <v>134</v>
      </c>
      <c r="PFA11" s="1429" t="s">
        <v>134</v>
      </c>
      <c r="PFB11" s="1429" t="s">
        <v>134</v>
      </c>
      <c r="PFC11" s="1429" t="s">
        <v>134</v>
      </c>
      <c r="PFD11" s="1429" t="s">
        <v>134</v>
      </c>
      <c r="PFE11" s="1429" t="s">
        <v>134</v>
      </c>
      <c r="PFF11" s="1429" t="s">
        <v>134</v>
      </c>
      <c r="PFG11" s="1429" t="s">
        <v>134</v>
      </c>
      <c r="PFH11" s="1429" t="s">
        <v>134</v>
      </c>
      <c r="PFI11" s="1429" t="s">
        <v>134</v>
      </c>
      <c r="PFJ11" s="1429" t="s">
        <v>134</v>
      </c>
      <c r="PFK11" s="1429" t="s">
        <v>134</v>
      </c>
      <c r="PFL11" s="1429" t="s">
        <v>134</v>
      </c>
      <c r="PFM11" s="1429" t="s">
        <v>134</v>
      </c>
      <c r="PFN11" s="1429" t="s">
        <v>134</v>
      </c>
      <c r="PFO11" s="1429" t="s">
        <v>134</v>
      </c>
      <c r="PFP11" s="1429" t="s">
        <v>134</v>
      </c>
      <c r="PFQ11" s="1429" t="s">
        <v>134</v>
      </c>
      <c r="PFR11" s="1429" t="s">
        <v>134</v>
      </c>
      <c r="PFS11" s="1429" t="s">
        <v>134</v>
      </c>
      <c r="PFT11" s="1429" t="s">
        <v>134</v>
      </c>
      <c r="PFU11" s="1429" t="s">
        <v>134</v>
      </c>
      <c r="PFV11" s="1429" t="s">
        <v>134</v>
      </c>
      <c r="PFW11" s="1429" t="s">
        <v>134</v>
      </c>
      <c r="PFX11" s="1429" t="s">
        <v>134</v>
      </c>
      <c r="PFY11" s="1429" t="s">
        <v>134</v>
      </c>
      <c r="PFZ11" s="1429" t="s">
        <v>134</v>
      </c>
      <c r="PGA11" s="1429" t="s">
        <v>134</v>
      </c>
      <c r="PGB11" s="1429" t="s">
        <v>134</v>
      </c>
      <c r="PGC11" s="1429" t="s">
        <v>134</v>
      </c>
      <c r="PGD11" s="1429" t="s">
        <v>134</v>
      </c>
      <c r="PGE11" s="1429" t="s">
        <v>134</v>
      </c>
      <c r="PGF11" s="1429" t="s">
        <v>134</v>
      </c>
      <c r="PGG11" s="1429" t="s">
        <v>134</v>
      </c>
      <c r="PGH11" s="1429" t="s">
        <v>134</v>
      </c>
      <c r="PGI11" s="1429" t="s">
        <v>134</v>
      </c>
      <c r="PGJ11" s="1429" t="s">
        <v>134</v>
      </c>
      <c r="PGK11" s="1429" t="s">
        <v>134</v>
      </c>
      <c r="PGL11" s="1429" t="s">
        <v>134</v>
      </c>
      <c r="PGM11" s="1429" t="s">
        <v>134</v>
      </c>
      <c r="PGN11" s="1429" t="s">
        <v>134</v>
      </c>
      <c r="PGO11" s="1429" t="s">
        <v>134</v>
      </c>
      <c r="PGP11" s="1429" t="s">
        <v>134</v>
      </c>
      <c r="PGQ11" s="1429" t="s">
        <v>134</v>
      </c>
      <c r="PGR11" s="1429" t="s">
        <v>134</v>
      </c>
      <c r="PGS11" s="1429" t="s">
        <v>134</v>
      </c>
      <c r="PGT11" s="1429" t="s">
        <v>134</v>
      </c>
      <c r="PGU11" s="1429" t="s">
        <v>134</v>
      </c>
      <c r="PGV11" s="1429" t="s">
        <v>134</v>
      </c>
      <c r="PGW11" s="1429" t="s">
        <v>134</v>
      </c>
      <c r="PGX11" s="1429" t="s">
        <v>134</v>
      </c>
      <c r="PGY11" s="1429" t="s">
        <v>134</v>
      </c>
      <c r="PGZ11" s="1429" t="s">
        <v>134</v>
      </c>
      <c r="PHA11" s="1429" t="s">
        <v>134</v>
      </c>
      <c r="PHB11" s="1429" t="s">
        <v>134</v>
      </c>
      <c r="PHC11" s="1429" t="s">
        <v>134</v>
      </c>
      <c r="PHD11" s="1429" t="s">
        <v>134</v>
      </c>
      <c r="PHE11" s="1429" t="s">
        <v>134</v>
      </c>
      <c r="PHF11" s="1429" t="s">
        <v>134</v>
      </c>
      <c r="PHG11" s="1429" t="s">
        <v>134</v>
      </c>
      <c r="PHH11" s="1429" t="s">
        <v>134</v>
      </c>
      <c r="PHI11" s="1429" t="s">
        <v>134</v>
      </c>
      <c r="PHJ11" s="1429" t="s">
        <v>134</v>
      </c>
      <c r="PHK11" s="1429" t="s">
        <v>134</v>
      </c>
      <c r="PHL11" s="1429" t="s">
        <v>134</v>
      </c>
      <c r="PHM11" s="1429" t="s">
        <v>134</v>
      </c>
      <c r="PHN11" s="1429" t="s">
        <v>134</v>
      </c>
      <c r="PHO11" s="1429" t="s">
        <v>134</v>
      </c>
      <c r="PHP11" s="1429" t="s">
        <v>134</v>
      </c>
      <c r="PHQ11" s="1429" t="s">
        <v>134</v>
      </c>
      <c r="PHR11" s="1429" t="s">
        <v>134</v>
      </c>
      <c r="PHS11" s="1429" t="s">
        <v>134</v>
      </c>
      <c r="PHT11" s="1429" t="s">
        <v>134</v>
      </c>
      <c r="PHU11" s="1429" t="s">
        <v>134</v>
      </c>
      <c r="PHV11" s="1429" t="s">
        <v>134</v>
      </c>
      <c r="PHW11" s="1429" t="s">
        <v>134</v>
      </c>
      <c r="PHX11" s="1429" t="s">
        <v>134</v>
      </c>
      <c r="PHY11" s="1429" t="s">
        <v>134</v>
      </c>
      <c r="PHZ11" s="1429" t="s">
        <v>134</v>
      </c>
      <c r="PIA11" s="1429" t="s">
        <v>134</v>
      </c>
      <c r="PIB11" s="1429" t="s">
        <v>134</v>
      </c>
      <c r="PIC11" s="1429" t="s">
        <v>134</v>
      </c>
      <c r="PID11" s="1429" t="s">
        <v>134</v>
      </c>
      <c r="PIE11" s="1429" t="s">
        <v>134</v>
      </c>
      <c r="PIF11" s="1429" t="s">
        <v>134</v>
      </c>
      <c r="PIG11" s="1429" t="s">
        <v>134</v>
      </c>
      <c r="PIH11" s="1429" t="s">
        <v>134</v>
      </c>
      <c r="PII11" s="1429" t="s">
        <v>134</v>
      </c>
      <c r="PIJ11" s="1429" t="s">
        <v>134</v>
      </c>
      <c r="PIK11" s="1429" t="s">
        <v>134</v>
      </c>
      <c r="PIL11" s="1429" t="s">
        <v>134</v>
      </c>
      <c r="PIM11" s="1429" t="s">
        <v>134</v>
      </c>
      <c r="PIN11" s="1429" t="s">
        <v>134</v>
      </c>
      <c r="PIO11" s="1429" t="s">
        <v>134</v>
      </c>
      <c r="PIP11" s="1429" t="s">
        <v>134</v>
      </c>
      <c r="PIQ11" s="1429" t="s">
        <v>134</v>
      </c>
      <c r="PIR11" s="1429" t="s">
        <v>134</v>
      </c>
      <c r="PIS11" s="1429" t="s">
        <v>134</v>
      </c>
      <c r="PIT11" s="1429" t="s">
        <v>134</v>
      </c>
      <c r="PIU11" s="1429" t="s">
        <v>134</v>
      </c>
      <c r="PIV11" s="1429" t="s">
        <v>134</v>
      </c>
      <c r="PIW11" s="1429" t="s">
        <v>134</v>
      </c>
      <c r="PIX11" s="1429" t="s">
        <v>134</v>
      </c>
      <c r="PIY11" s="1429" t="s">
        <v>134</v>
      </c>
      <c r="PIZ11" s="1429" t="s">
        <v>134</v>
      </c>
      <c r="PJA11" s="1429" t="s">
        <v>134</v>
      </c>
      <c r="PJB11" s="1429" t="s">
        <v>134</v>
      </c>
      <c r="PJC11" s="1429" t="s">
        <v>134</v>
      </c>
      <c r="PJD11" s="1429" t="s">
        <v>134</v>
      </c>
      <c r="PJE11" s="1429" t="s">
        <v>134</v>
      </c>
      <c r="PJF11" s="1429" t="s">
        <v>134</v>
      </c>
      <c r="PJG11" s="1429" t="s">
        <v>134</v>
      </c>
      <c r="PJH11" s="1429" t="s">
        <v>134</v>
      </c>
      <c r="PJI11" s="1429" t="s">
        <v>134</v>
      </c>
      <c r="PJJ11" s="1429" t="s">
        <v>134</v>
      </c>
      <c r="PJK11" s="1429" t="s">
        <v>134</v>
      </c>
      <c r="PJL11" s="1429" t="s">
        <v>134</v>
      </c>
      <c r="PJM11" s="1429" t="s">
        <v>134</v>
      </c>
      <c r="PJN11" s="1429" t="s">
        <v>134</v>
      </c>
      <c r="PJO11" s="1429" t="s">
        <v>134</v>
      </c>
      <c r="PJP11" s="1429" t="s">
        <v>134</v>
      </c>
      <c r="PJQ11" s="1429" t="s">
        <v>134</v>
      </c>
      <c r="PJR11" s="1429" t="s">
        <v>134</v>
      </c>
      <c r="PJS11" s="1429" t="s">
        <v>134</v>
      </c>
      <c r="PJT11" s="1429" t="s">
        <v>134</v>
      </c>
      <c r="PJU11" s="1429" t="s">
        <v>134</v>
      </c>
      <c r="PJV11" s="1429" t="s">
        <v>134</v>
      </c>
      <c r="PJW11" s="1429" t="s">
        <v>134</v>
      </c>
      <c r="PJX11" s="1429" t="s">
        <v>134</v>
      </c>
      <c r="PJY11" s="1429" t="s">
        <v>134</v>
      </c>
      <c r="PJZ11" s="1429" t="s">
        <v>134</v>
      </c>
      <c r="PKA11" s="1429" t="s">
        <v>134</v>
      </c>
      <c r="PKB11" s="1429" t="s">
        <v>134</v>
      </c>
      <c r="PKC11" s="1429" t="s">
        <v>134</v>
      </c>
      <c r="PKD11" s="1429" t="s">
        <v>134</v>
      </c>
      <c r="PKE11" s="1429" t="s">
        <v>134</v>
      </c>
      <c r="PKF11" s="1429" t="s">
        <v>134</v>
      </c>
      <c r="PKG11" s="1429" t="s">
        <v>134</v>
      </c>
      <c r="PKH11" s="1429" t="s">
        <v>134</v>
      </c>
      <c r="PKI11" s="1429" t="s">
        <v>134</v>
      </c>
      <c r="PKJ11" s="1429" t="s">
        <v>134</v>
      </c>
      <c r="PKK11" s="1429" t="s">
        <v>134</v>
      </c>
      <c r="PKL11" s="1429" t="s">
        <v>134</v>
      </c>
      <c r="PKM11" s="1429" t="s">
        <v>134</v>
      </c>
      <c r="PKN11" s="1429" t="s">
        <v>134</v>
      </c>
      <c r="PKO11" s="1429" t="s">
        <v>134</v>
      </c>
      <c r="PKP11" s="1429" t="s">
        <v>134</v>
      </c>
      <c r="PKQ11" s="1429" t="s">
        <v>134</v>
      </c>
      <c r="PKR11" s="1429" t="s">
        <v>134</v>
      </c>
      <c r="PKS11" s="1429" t="s">
        <v>134</v>
      </c>
      <c r="PKT11" s="1429" t="s">
        <v>134</v>
      </c>
      <c r="PKU11" s="1429" t="s">
        <v>134</v>
      </c>
      <c r="PKV11" s="1429" t="s">
        <v>134</v>
      </c>
      <c r="PKW11" s="1429" t="s">
        <v>134</v>
      </c>
      <c r="PKX11" s="1429" t="s">
        <v>134</v>
      </c>
      <c r="PKY11" s="1429" t="s">
        <v>134</v>
      </c>
      <c r="PKZ11" s="1429" t="s">
        <v>134</v>
      </c>
      <c r="PLA11" s="1429" t="s">
        <v>134</v>
      </c>
      <c r="PLB11" s="1429" t="s">
        <v>134</v>
      </c>
      <c r="PLC11" s="1429" t="s">
        <v>134</v>
      </c>
      <c r="PLD11" s="1429" t="s">
        <v>134</v>
      </c>
      <c r="PLE11" s="1429" t="s">
        <v>134</v>
      </c>
      <c r="PLF11" s="1429" t="s">
        <v>134</v>
      </c>
      <c r="PLG11" s="1429" t="s">
        <v>134</v>
      </c>
      <c r="PLH11" s="1429" t="s">
        <v>134</v>
      </c>
      <c r="PLI11" s="1429" t="s">
        <v>134</v>
      </c>
      <c r="PLJ11" s="1429" t="s">
        <v>134</v>
      </c>
      <c r="PLK11" s="1429" t="s">
        <v>134</v>
      </c>
      <c r="PLL11" s="1429" t="s">
        <v>134</v>
      </c>
      <c r="PLM11" s="1429" t="s">
        <v>134</v>
      </c>
      <c r="PLN11" s="1429" t="s">
        <v>134</v>
      </c>
      <c r="PLO11" s="1429" t="s">
        <v>134</v>
      </c>
      <c r="PLP11" s="1429" t="s">
        <v>134</v>
      </c>
      <c r="PLQ11" s="1429" t="s">
        <v>134</v>
      </c>
      <c r="PLR11" s="1429" t="s">
        <v>134</v>
      </c>
      <c r="PLS11" s="1429" t="s">
        <v>134</v>
      </c>
      <c r="PLT11" s="1429" t="s">
        <v>134</v>
      </c>
      <c r="PLU11" s="1429" t="s">
        <v>134</v>
      </c>
      <c r="PLV11" s="1429" t="s">
        <v>134</v>
      </c>
      <c r="PLW11" s="1429" t="s">
        <v>134</v>
      </c>
      <c r="PLX11" s="1429" t="s">
        <v>134</v>
      </c>
      <c r="PLY11" s="1429" t="s">
        <v>134</v>
      </c>
      <c r="PLZ11" s="1429" t="s">
        <v>134</v>
      </c>
      <c r="PMA11" s="1429" t="s">
        <v>134</v>
      </c>
      <c r="PMB11" s="1429" t="s">
        <v>134</v>
      </c>
      <c r="PMC11" s="1429" t="s">
        <v>134</v>
      </c>
      <c r="PMD11" s="1429" t="s">
        <v>134</v>
      </c>
      <c r="PME11" s="1429" t="s">
        <v>134</v>
      </c>
      <c r="PMF11" s="1429" t="s">
        <v>134</v>
      </c>
      <c r="PMG11" s="1429" t="s">
        <v>134</v>
      </c>
      <c r="PMH11" s="1429" t="s">
        <v>134</v>
      </c>
      <c r="PMI11" s="1429" t="s">
        <v>134</v>
      </c>
      <c r="PMJ11" s="1429" t="s">
        <v>134</v>
      </c>
      <c r="PMK11" s="1429" t="s">
        <v>134</v>
      </c>
      <c r="PML11" s="1429" t="s">
        <v>134</v>
      </c>
      <c r="PMM11" s="1429" t="s">
        <v>134</v>
      </c>
      <c r="PMN11" s="1429" t="s">
        <v>134</v>
      </c>
      <c r="PMO11" s="1429" t="s">
        <v>134</v>
      </c>
      <c r="PMP11" s="1429" t="s">
        <v>134</v>
      </c>
      <c r="PMQ11" s="1429" t="s">
        <v>134</v>
      </c>
      <c r="PMR11" s="1429" t="s">
        <v>134</v>
      </c>
      <c r="PMS11" s="1429" t="s">
        <v>134</v>
      </c>
      <c r="PMT11" s="1429" t="s">
        <v>134</v>
      </c>
      <c r="PMU11" s="1429" t="s">
        <v>134</v>
      </c>
      <c r="PMV11" s="1429" t="s">
        <v>134</v>
      </c>
      <c r="PMW11" s="1429" t="s">
        <v>134</v>
      </c>
      <c r="PMX11" s="1429" t="s">
        <v>134</v>
      </c>
      <c r="PMY11" s="1429" t="s">
        <v>134</v>
      </c>
      <c r="PMZ11" s="1429" t="s">
        <v>134</v>
      </c>
      <c r="PNA11" s="1429" t="s">
        <v>134</v>
      </c>
      <c r="PNB11" s="1429" t="s">
        <v>134</v>
      </c>
      <c r="PNC11" s="1429" t="s">
        <v>134</v>
      </c>
      <c r="PND11" s="1429" t="s">
        <v>134</v>
      </c>
      <c r="PNE11" s="1429" t="s">
        <v>134</v>
      </c>
      <c r="PNF11" s="1429" t="s">
        <v>134</v>
      </c>
      <c r="PNG11" s="1429" t="s">
        <v>134</v>
      </c>
      <c r="PNH11" s="1429" t="s">
        <v>134</v>
      </c>
      <c r="PNI11" s="1429" t="s">
        <v>134</v>
      </c>
      <c r="PNJ11" s="1429" t="s">
        <v>134</v>
      </c>
      <c r="PNK11" s="1429" t="s">
        <v>134</v>
      </c>
      <c r="PNL11" s="1429" t="s">
        <v>134</v>
      </c>
      <c r="PNM11" s="1429" t="s">
        <v>134</v>
      </c>
      <c r="PNN11" s="1429" t="s">
        <v>134</v>
      </c>
      <c r="PNO11" s="1429" t="s">
        <v>134</v>
      </c>
      <c r="PNP11" s="1429" t="s">
        <v>134</v>
      </c>
      <c r="PNQ11" s="1429" t="s">
        <v>134</v>
      </c>
      <c r="PNR11" s="1429" t="s">
        <v>134</v>
      </c>
      <c r="PNS11" s="1429" t="s">
        <v>134</v>
      </c>
      <c r="PNT11" s="1429" t="s">
        <v>134</v>
      </c>
      <c r="PNU11" s="1429" t="s">
        <v>134</v>
      </c>
      <c r="PNV11" s="1429" t="s">
        <v>134</v>
      </c>
      <c r="PNW11" s="1429" t="s">
        <v>134</v>
      </c>
      <c r="PNX11" s="1429" t="s">
        <v>134</v>
      </c>
      <c r="PNY11" s="1429" t="s">
        <v>134</v>
      </c>
      <c r="PNZ11" s="1429" t="s">
        <v>134</v>
      </c>
      <c r="POA11" s="1429" t="s">
        <v>134</v>
      </c>
      <c r="POB11" s="1429" t="s">
        <v>134</v>
      </c>
      <c r="POC11" s="1429" t="s">
        <v>134</v>
      </c>
      <c r="POD11" s="1429" t="s">
        <v>134</v>
      </c>
      <c r="POE11" s="1429" t="s">
        <v>134</v>
      </c>
      <c r="POF11" s="1429" t="s">
        <v>134</v>
      </c>
      <c r="POG11" s="1429" t="s">
        <v>134</v>
      </c>
      <c r="POH11" s="1429" t="s">
        <v>134</v>
      </c>
      <c r="POI11" s="1429" t="s">
        <v>134</v>
      </c>
      <c r="POJ11" s="1429" t="s">
        <v>134</v>
      </c>
      <c r="POK11" s="1429" t="s">
        <v>134</v>
      </c>
      <c r="POL11" s="1429" t="s">
        <v>134</v>
      </c>
      <c r="POM11" s="1429" t="s">
        <v>134</v>
      </c>
      <c r="PON11" s="1429" t="s">
        <v>134</v>
      </c>
      <c r="POO11" s="1429" t="s">
        <v>134</v>
      </c>
      <c r="POP11" s="1429" t="s">
        <v>134</v>
      </c>
      <c r="POQ11" s="1429" t="s">
        <v>134</v>
      </c>
      <c r="POR11" s="1429" t="s">
        <v>134</v>
      </c>
      <c r="POS11" s="1429" t="s">
        <v>134</v>
      </c>
      <c r="POT11" s="1429" t="s">
        <v>134</v>
      </c>
      <c r="POU11" s="1429" t="s">
        <v>134</v>
      </c>
      <c r="POV11" s="1429" t="s">
        <v>134</v>
      </c>
      <c r="POW11" s="1429" t="s">
        <v>134</v>
      </c>
      <c r="POX11" s="1429" t="s">
        <v>134</v>
      </c>
      <c r="POY11" s="1429" t="s">
        <v>134</v>
      </c>
      <c r="POZ11" s="1429" t="s">
        <v>134</v>
      </c>
      <c r="PPA11" s="1429" t="s">
        <v>134</v>
      </c>
      <c r="PPB11" s="1429" t="s">
        <v>134</v>
      </c>
      <c r="PPC11" s="1429" t="s">
        <v>134</v>
      </c>
      <c r="PPD11" s="1429" t="s">
        <v>134</v>
      </c>
      <c r="PPE11" s="1429" t="s">
        <v>134</v>
      </c>
      <c r="PPF11" s="1429" t="s">
        <v>134</v>
      </c>
      <c r="PPG11" s="1429" t="s">
        <v>134</v>
      </c>
      <c r="PPH11" s="1429" t="s">
        <v>134</v>
      </c>
      <c r="PPI11" s="1429" t="s">
        <v>134</v>
      </c>
      <c r="PPJ11" s="1429" t="s">
        <v>134</v>
      </c>
      <c r="PPK11" s="1429" t="s">
        <v>134</v>
      </c>
      <c r="PPL11" s="1429" t="s">
        <v>134</v>
      </c>
      <c r="PPM11" s="1429" t="s">
        <v>134</v>
      </c>
      <c r="PPN11" s="1429" t="s">
        <v>134</v>
      </c>
      <c r="PPO11" s="1429" t="s">
        <v>134</v>
      </c>
      <c r="PPP11" s="1429" t="s">
        <v>134</v>
      </c>
      <c r="PPQ11" s="1429" t="s">
        <v>134</v>
      </c>
      <c r="PPR11" s="1429" t="s">
        <v>134</v>
      </c>
      <c r="PPS11" s="1429" t="s">
        <v>134</v>
      </c>
      <c r="PPT11" s="1429" t="s">
        <v>134</v>
      </c>
      <c r="PPU11" s="1429" t="s">
        <v>134</v>
      </c>
      <c r="PPV11" s="1429" t="s">
        <v>134</v>
      </c>
      <c r="PPW11" s="1429" t="s">
        <v>134</v>
      </c>
      <c r="PPX11" s="1429" t="s">
        <v>134</v>
      </c>
      <c r="PPY11" s="1429" t="s">
        <v>134</v>
      </c>
      <c r="PPZ11" s="1429" t="s">
        <v>134</v>
      </c>
      <c r="PQA11" s="1429" t="s">
        <v>134</v>
      </c>
      <c r="PQB11" s="1429" t="s">
        <v>134</v>
      </c>
      <c r="PQC11" s="1429" t="s">
        <v>134</v>
      </c>
      <c r="PQD11" s="1429" t="s">
        <v>134</v>
      </c>
      <c r="PQE11" s="1429" t="s">
        <v>134</v>
      </c>
      <c r="PQF11" s="1429" t="s">
        <v>134</v>
      </c>
      <c r="PQG11" s="1429" t="s">
        <v>134</v>
      </c>
      <c r="PQH11" s="1429" t="s">
        <v>134</v>
      </c>
      <c r="PQI11" s="1429" t="s">
        <v>134</v>
      </c>
      <c r="PQJ11" s="1429" t="s">
        <v>134</v>
      </c>
      <c r="PQK11" s="1429" t="s">
        <v>134</v>
      </c>
      <c r="PQL11" s="1429" t="s">
        <v>134</v>
      </c>
      <c r="PQM11" s="1429" t="s">
        <v>134</v>
      </c>
      <c r="PQN11" s="1429" t="s">
        <v>134</v>
      </c>
      <c r="PQO11" s="1429" t="s">
        <v>134</v>
      </c>
      <c r="PQP11" s="1429" t="s">
        <v>134</v>
      </c>
      <c r="PQQ11" s="1429" t="s">
        <v>134</v>
      </c>
      <c r="PQR11" s="1429" t="s">
        <v>134</v>
      </c>
      <c r="PQS11" s="1429" t="s">
        <v>134</v>
      </c>
      <c r="PQT11" s="1429" t="s">
        <v>134</v>
      </c>
      <c r="PQU11" s="1429" t="s">
        <v>134</v>
      </c>
      <c r="PQV11" s="1429" t="s">
        <v>134</v>
      </c>
      <c r="PQW11" s="1429" t="s">
        <v>134</v>
      </c>
      <c r="PQX11" s="1429" t="s">
        <v>134</v>
      </c>
      <c r="PQY11" s="1429" t="s">
        <v>134</v>
      </c>
      <c r="PQZ11" s="1429" t="s">
        <v>134</v>
      </c>
      <c r="PRA11" s="1429" t="s">
        <v>134</v>
      </c>
      <c r="PRB11" s="1429" t="s">
        <v>134</v>
      </c>
      <c r="PRC11" s="1429" t="s">
        <v>134</v>
      </c>
      <c r="PRD11" s="1429" t="s">
        <v>134</v>
      </c>
      <c r="PRE11" s="1429" t="s">
        <v>134</v>
      </c>
      <c r="PRF11" s="1429" t="s">
        <v>134</v>
      </c>
      <c r="PRG11" s="1429" t="s">
        <v>134</v>
      </c>
      <c r="PRH11" s="1429" t="s">
        <v>134</v>
      </c>
      <c r="PRI11" s="1429" t="s">
        <v>134</v>
      </c>
      <c r="PRJ11" s="1429" t="s">
        <v>134</v>
      </c>
      <c r="PRK11" s="1429" t="s">
        <v>134</v>
      </c>
      <c r="PRL11" s="1429" t="s">
        <v>134</v>
      </c>
      <c r="PRM11" s="1429" t="s">
        <v>134</v>
      </c>
      <c r="PRN11" s="1429" t="s">
        <v>134</v>
      </c>
      <c r="PRO11" s="1429" t="s">
        <v>134</v>
      </c>
      <c r="PRP11" s="1429" t="s">
        <v>134</v>
      </c>
      <c r="PRQ11" s="1429" t="s">
        <v>134</v>
      </c>
      <c r="PRR11" s="1429" t="s">
        <v>134</v>
      </c>
      <c r="PRS11" s="1429" t="s">
        <v>134</v>
      </c>
      <c r="PRT11" s="1429" t="s">
        <v>134</v>
      </c>
      <c r="PRU11" s="1429" t="s">
        <v>134</v>
      </c>
      <c r="PRV11" s="1429" t="s">
        <v>134</v>
      </c>
      <c r="PRW11" s="1429" t="s">
        <v>134</v>
      </c>
      <c r="PRX11" s="1429" t="s">
        <v>134</v>
      </c>
      <c r="PRY11" s="1429" t="s">
        <v>134</v>
      </c>
      <c r="PRZ11" s="1429" t="s">
        <v>134</v>
      </c>
      <c r="PSA11" s="1429" t="s">
        <v>134</v>
      </c>
      <c r="PSB11" s="1429" t="s">
        <v>134</v>
      </c>
      <c r="PSC11" s="1429" t="s">
        <v>134</v>
      </c>
      <c r="PSD11" s="1429" t="s">
        <v>134</v>
      </c>
      <c r="PSE11" s="1429" t="s">
        <v>134</v>
      </c>
      <c r="PSF11" s="1429" t="s">
        <v>134</v>
      </c>
      <c r="PSG11" s="1429" t="s">
        <v>134</v>
      </c>
      <c r="PSH11" s="1429" t="s">
        <v>134</v>
      </c>
      <c r="PSI11" s="1429" t="s">
        <v>134</v>
      </c>
      <c r="PSJ11" s="1429" t="s">
        <v>134</v>
      </c>
      <c r="PSK11" s="1429" t="s">
        <v>134</v>
      </c>
      <c r="PSL11" s="1429" t="s">
        <v>134</v>
      </c>
      <c r="PSM11" s="1429" t="s">
        <v>134</v>
      </c>
      <c r="PSN11" s="1429" t="s">
        <v>134</v>
      </c>
      <c r="PSO11" s="1429" t="s">
        <v>134</v>
      </c>
      <c r="PSP11" s="1429" t="s">
        <v>134</v>
      </c>
      <c r="PSQ11" s="1429" t="s">
        <v>134</v>
      </c>
      <c r="PSR11" s="1429" t="s">
        <v>134</v>
      </c>
      <c r="PSS11" s="1429" t="s">
        <v>134</v>
      </c>
      <c r="PST11" s="1429" t="s">
        <v>134</v>
      </c>
      <c r="PSU11" s="1429" t="s">
        <v>134</v>
      </c>
      <c r="PSV11" s="1429" t="s">
        <v>134</v>
      </c>
      <c r="PSW11" s="1429" t="s">
        <v>134</v>
      </c>
      <c r="PSX11" s="1429" t="s">
        <v>134</v>
      </c>
      <c r="PSY11" s="1429" t="s">
        <v>134</v>
      </c>
      <c r="PSZ11" s="1429" t="s">
        <v>134</v>
      </c>
      <c r="PTA11" s="1429" t="s">
        <v>134</v>
      </c>
      <c r="PTB11" s="1429" t="s">
        <v>134</v>
      </c>
      <c r="PTC11" s="1429" t="s">
        <v>134</v>
      </c>
      <c r="PTD11" s="1429" t="s">
        <v>134</v>
      </c>
      <c r="PTE11" s="1429" t="s">
        <v>134</v>
      </c>
      <c r="PTF11" s="1429" t="s">
        <v>134</v>
      </c>
      <c r="PTG11" s="1429" t="s">
        <v>134</v>
      </c>
      <c r="PTH11" s="1429" t="s">
        <v>134</v>
      </c>
      <c r="PTI11" s="1429" t="s">
        <v>134</v>
      </c>
      <c r="PTJ11" s="1429" t="s">
        <v>134</v>
      </c>
      <c r="PTK11" s="1429" t="s">
        <v>134</v>
      </c>
      <c r="PTL11" s="1429" t="s">
        <v>134</v>
      </c>
      <c r="PTM11" s="1429" t="s">
        <v>134</v>
      </c>
      <c r="PTN11" s="1429" t="s">
        <v>134</v>
      </c>
      <c r="PTO11" s="1429" t="s">
        <v>134</v>
      </c>
      <c r="PTP11" s="1429" t="s">
        <v>134</v>
      </c>
      <c r="PTQ11" s="1429" t="s">
        <v>134</v>
      </c>
      <c r="PTR11" s="1429" t="s">
        <v>134</v>
      </c>
      <c r="PTS11" s="1429" t="s">
        <v>134</v>
      </c>
      <c r="PTT11" s="1429" t="s">
        <v>134</v>
      </c>
      <c r="PTU11" s="1429" t="s">
        <v>134</v>
      </c>
      <c r="PTV11" s="1429" t="s">
        <v>134</v>
      </c>
      <c r="PTW11" s="1429" t="s">
        <v>134</v>
      </c>
      <c r="PTX11" s="1429" t="s">
        <v>134</v>
      </c>
      <c r="PTY11" s="1429" t="s">
        <v>134</v>
      </c>
      <c r="PTZ11" s="1429" t="s">
        <v>134</v>
      </c>
      <c r="PUA11" s="1429" t="s">
        <v>134</v>
      </c>
      <c r="PUB11" s="1429" t="s">
        <v>134</v>
      </c>
      <c r="PUC11" s="1429" t="s">
        <v>134</v>
      </c>
      <c r="PUD11" s="1429" t="s">
        <v>134</v>
      </c>
      <c r="PUE11" s="1429" t="s">
        <v>134</v>
      </c>
      <c r="PUF11" s="1429" t="s">
        <v>134</v>
      </c>
      <c r="PUG11" s="1429" t="s">
        <v>134</v>
      </c>
      <c r="PUH11" s="1429" t="s">
        <v>134</v>
      </c>
      <c r="PUI11" s="1429" t="s">
        <v>134</v>
      </c>
      <c r="PUJ11" s="1429" t="s">
        <v>134</v>
      </c>
      <c r="PUK11" s="1429" t="s">
        <v>134</v>
      </c>
      <c r="PUL11" s="1429" t="s">
        <v>134</v>
      </c>
      <c r="PUM11" s="1429" t="s">
        <v>134</v>
      </c>
      <c r="PUN11" s="1429" t="s">
        <v>134</v>
      </c>
      <c r="PUO11" s="1429" t="s">
        <v>134</v>
      </c>
      <c r="PUP11" s="1429" t="s">
        <v>134</v>
      </c>
      <c r="PUQ11" s="1429" t="s">
        <v>134</v>
      </c>
      <c r="PUR11" s="1429" t="s">
        <v>134</v>
      </c>
      <c r="PUS11" s="1429" t="s">
        <v>134</v>
      </c>
      <c r="PUT11" s="1429" t="s">
        <v>134</v>
      </c>
      <c r="PUU11" s="1429" t="s">
        <v>134</v>
      </c>
      <c r="PUV11" s="1429" t="s">
        <v>134</v>
      </c>
      <c r="PUW11" s="1429" t="s">
        <v>134</v>
      </c>
      <c r="PUX11" s="1429" t="s">
        <v>134</v>
      </c>
      <c r="PUY11" s="1429" t="s">
        <v>134</v>
      </c>
      <c r="PUZ11" s="1429" t="s">
        <v>134</v>
      </c>
      <c r="PVA11" s="1429" t="s">
        <v>134</v>
      </c>
      <c r="PVB11" s="1429" t="s">
        <v>134</v>
      </c>
      <c r="PVC11" s="1429" t="s">
        <v>134</v>
      </c>
      <c r="PVD11" s="1429" t="s">
        <v>134</v>
      </c>
      <c r="PVE11" s="1429" t="s">
        <v>134</v>
      </c>
      <c r="PVF11" s="1429" t="s">
        <v>134</v>
      </c>
      <c r="PVG11" s="1429" t="s">
        <v>134</v>
      </c>
      <c r="PVH11" s="1429" t="s">
        <v>134</v>
      </c>
      <c r="PVI11" s="1429" t="s">
        <v>134</v>
      </c>
      <c r="PVJ11" s="1429" t="s">
        <v>134</v>
      </c>
      <c r="PVK11" s="1429" t="s">
        <v>134</v>
      </c>
      <c r="PVL11" s="1429" t="s">
        <v>134</v>
      </c>
      <c r="PVM11" s="1429" t="s">
        <v>134</v>
      </c>
      <c r="PVN11" s="1429" t="s">
        <v>134</v>
      </c>
      <c r="PVO11" s="1429" t="s">
        <v>134</v>
      </c>
      <c r="PVP11" s="1429" t="s">
        <v>134</v>
      </c>
      <c r="PVQ11" s="1429" t="s">
        <v>134</v>
      </c>
      <c r="PVR11" s="1429" t="s">
        <v>134</v>
      </c>
      <c r="PVS11" s="1429" t="s">
        <v>134</v>
      </c>
      <c r="PVT11" s="1429" t="s">
        <v>134</v>
      </c>
      <c r="PVU11" s="1429" t="s">
        <v>134</v>
      </c>
      <c r="PVV11" s="1429" t="s">
        <v>134</v>
      </c>
      <c r="PVW11" s="1429" t="s">
        <v>134</v>
      </c>
      <c r="PVX11" s="1429" t="s">
        <v>134</v>
      </c>
      <c r="PVY11" s="1429" t="s">
        <v>134</v>
      </c>
      <c r="PVZ11" s="1429" t="s">
        <v>134</v>
      </c>
      <c r="PWA11" s="1429" t="s">
        <v>134</v>
      </c>
      <c r="PWB11" s="1429" t="s">
        <v>134</v>
      </c>
      <c r="PWC11" s="1429" t="s">
        <v>134</v>
      </c>
      <c r="PWD11" s="1429" t="s">
        <v>134</v>
      </c>
      <c r="PWE11" s="1429" t="s">
        <v>134</v>
      </c>
      <c r="PWF11" s="1429" t="s">
        <v>134</v>
      </c>
      <c r="PWG11" s="1429" t="s">
        <v>134</v>
      </c>
      <c r="PWH11" s="1429" t="s">
        <v>134</v>
      </c>
      <c r="PWI11" s="1429" t="s">
        <v>134</v>
      </c>
      <c r="PWJ11" s="1429" t="s">
        <v>134</v>
      </c>
      <c r="PWK11" s="1429" t="s">
        <v>134</v>
      </c>
      <c r="PWL11" s="1429" t="s">
        <v>134</v>
      </c>
      <c r="PWM11" s="1429" t="s">
        <v>134</v>
      </c>
      <c r="PWN11" s="1429" t="s">
        <v>134</v>
      </c>
      <c r="PWO11" s="1429" t="s">
        <v>134</v>
      </c>
      <c r="PWP11" s="1429" t="s">
        <v>134</v>
      </c>
      <c r="PWQ11" s="1429" t="s">
        <v>134</v>
      </c>
      <c r="PWR11" s="1429" t="s">
        <v>134</v>
      </c>
      <c r="PWS11" s="1429" t="s">
        <v>134</v>
      </c>
      <c r="PWT11" s="1429" t="s">
        <v>134</v>
      </c>
      <c r="PWU11" s="1429" t="s">
        <v>134</v>
      </c>
      <c r="PWV11" s="1429" t="s">
        <v>134</v>
      </c>
      <c r="PWW11" s="1429" t="s">
        <v>134</v>
      </c>
      <c r="PWX11" s="1429" t="s">
        <v>134</v>
      </c>
      <c r="PWY11" s="1429" t="s">
        <v>134</v>
      </c>
      <c r="PWZ11" s="1429" t="s">
        <v>134</v>
      </c>
      <c r="PXA11" s="1429" t="s">
        <v>134</v>
      </c>
      <c r="PXB11" s="1429" t="s">
        <v>134</v>
      </c>
      <c r="PXC11" s="1429" t="s">
        <v>134</v>
      </c>
      <c r="PXD11" s="1429" t="s">
        <v>134</v>
      </c>
      <c r="PXE11" s="1429" t="s">
        <v>134</v>
      </c>
      <c r="PXF11" s="1429" t="s">
        <v>134</v>
      </c>
      <c r="PXG11" s="1429" t="s">
        <v>134</v>
      </c>
      <c r="PXH11" s="1429" t="s">
        <v>134</v>
      </c>
      <c r="PXI11" s="1429" t="s">
        <v>134</v>
      </c>
      <c r="PXJ11" s="1429" t="s">
        <v>134</v>
      </c>
      <c r="PXK11" s="1429" t="s">
        <v>134</v>
      </c>
      <c r="PXL11" s="1429" t="s">
        <v>134</v>
      </c>
      <c r="PXM11" s="1429" t="s">
        <v>134</v>
      </c>
      <c r="PXN11" s="1429" t="s">
        <v>134</v>
      </c>
      <c r="PXO11" s="1429" t="s">
        <v>134</v>
      </c>
      <c r="PXP11" s="1429" t="s">
        <v>134</v>
      </c>
      <c r="PXQ11" s="1429" t="s">
        <v>134</v>
      </c>
      <c r="PXR11" s="1429" t="s">
        <v>134</v>
      </c>
      <c r="PXS11" s="1429" t="s">
        <v>134</v>
      </c>
      <c r="PXT11" s="1429" t="s">
        <v>134</v>
      </c>
      <c r="PXU11" s="1429" t="s">
        <v>134</v>
      </c>
      <c r="PXV11" s="1429" t="s">
        <v>134</v>
      </c>
      <c r="PXW11" s="1429" t="s">
        <v>134</v>
      </c>
      <c r="PXX11" s="1429" t="s">
        <v>134</v>
      </c>
      <c r="PXY11" s="1429" t="s">
        <v>134</v>
      </c>
      <c r="PXZ11" s="1429" t="s">
        <v>134</v>
      </c>
      <c r="PYA11" s="1429" t="s">
        <v>134</v>
      </c>
      <c r="PYB11" s="1429" t="s">
        <v>134</v>
      </c>
      <c r="PYC11" s="1429" t="s">
        <v>134</v>
      </c>
      <c r="PYD11" s="1429" t="s">
        <v>134</v>
      </c>
      <c r="PYE11" s="1429" t="s">
        <v>134</v>
      </c>
      <c r="PYF11" s="1429" t="s">
        <v>134</v>
      </c>
      <c r="PYG11" s="1429" t="s">
        <v>134</v>
      </c>
      <c r="PYH11" s="1429" t="s">
        <v>134</v>
      </c>
      <c r="PYI11" s="1429" t="s">
        <v>134</v>
      </c>
      <c r="PYJ11" s="1429" t="s">
        <v>134</v>
      </c>
      <c r="PYK11" s="1429" t="s">
        <v>134</v>
      </c>
      <c r="PYL11" s="1429" t="s">
        <v>134</v>
      </c>
      <c r="PYM11" s="1429" t="s">
        <v>134</v>
      </c>
      <c r="PYN11" s="1429" t="s">
        <v>134</v>
      </c>
      <c r="PYO11" s="1429" t="s">
        <v>134</v>
      </c>
      <c r="PYP11" s="1429" t="s">
        <v>134</v>
      </c>
      <c r="PYQ11" s="1429" t="s">
        <v>134</v>
      </c>
      <c r="PYR11" s="1429" t="s">
        <v>134</v>
      </c>
      <c r="PYS11" s="1429" t="s">
        <v>134</v>
      </c>
      <c r="PYT11" s="1429" t="s">
        <v>134</v>
      </c>
      <c r="PYU11" s="1429" t="s">
        <v>134</v>
      </c>
      <c r="PYV11" s="1429" t="s">
        <v>134</v>
      </c>
      <c r="PYW11" s="1429" t="s">
        <v>134</v>
      </c>
      <c r="PYX11" s="1429" t="s">
        <v>134</v>
      </c>
      <c r="PYY11" s="1429" t="s">
        <v>134</v>
      </c>
      <c r="PYZ11" s="1429" t="s">
        <v>134</v>
      </c>
      <c r="PZA11" s="1429" t="s">
        <v>134</v>
      </c>
      <c r="PZB11" s="1429" t="s">
        <v>134</v>
      </c>
      <c r="PZC11" s="1429" t="s">
        <v>134</v>
      </c>
      <c r="PZD11" s="1429" t="s">
        <v>134</v>
      </c>
      <c r="PZE11" s="1429" t="s">
        <v>134</v>
      </c>
      <c r="PZF11" s="1429" t="s">
        <v>134</v>
      </c>
      <c r="PZG11" s="1429" t="s">
        <v>134</v>
      </c>
      <c r="PZH11" s="1429" t="s">
        <v>134</v>
      </c>
      <c r="PZI11" s="1429" t="s">
        <v>134</v>
      </c>
      <c r="PZJ11" s="1429" t="s">
        <v>134</v>
      </c>
      <c r="PZK11" s="1429" t="s">
        <v>134</v>
      </c>
      <c r="PZL11" s="1429" t="s">
        <v>134</v>
      </c>
      <c r="PZM11" s="1429" t="s">
        <v>134</v>
      </c>
      <c r="PZN11" s="1429" t="s">
        <v>134</v>
      </c>
      <c r="PZO11" s="1429" t="s">
        <v>134</v>
      </c>
      <c r="PZP11" s="1429" t="s">
        <v>134</v>
      </c>
      <c r="PZQ11" s="1429" t="s">
        <v>134</v>
      </c>
      <c r="PZR11" s="1429" t="s">
        <v>134</v>
      </c>
      <c r="PZS11" s="1429" t="s">
        <v>134</v>
      </c>
      <c r="PZT11" s="1429" t="s">
        <v>134</v>
      </c>
      <c r="PZU11" s="1429" t="s">
        <v>134</v>
      </c>
      <c r="PZV11" s="1429" t="s">
        <v>134</v>
      </c>
      <c r="PZW11" s="1429" t="s">
        <v>134</v>
      </c>
      <c r="PZX11" s="1429" t="s">
        <v>134</v>
      </c>
      <c r="PZY11" s="1429" t="s">
        <v>134</v>
      </c>
      <c r="PZZ11" s="1429" t="s">
        <v>134</v>
      </c>
      <c r="QAA11" s="1429" t="s">
        <v>134</v>
      </c>
      <c r="QAB11" s="1429" t="s">
        <v>134</v>
      </c>
      <c r="QAC11" s="1429" t="s">
        <v>134</v>
      </c>
      <c r="QAD11" s="1429" t="s">
        <v>134</v>
      </c>
      <c r="QAE11" s="1429" t="s">
        <v>134</v>
      </c>
      <c r="QAF11" s="1429" t="s">
        <v>134</v>
      </c>
      <c r="QAG11" s="1429" t="s">
        <v>134</v>
      </c>
      <c r="QAH11" s="1429" t="s">
        <v>134</v>
      </c>
      <c r="QAI11" s="1429" t="s">
        <v>134</v>
      </c>
      <c r="QAJ11" s="1429" t="s">
        <v>134</v>
      </c>
      <c r="QAK11" s="1429" t="s">
        <v>134</v>
      </c>
      <c r="QAL11" s="1429" t="s">
        <v>134</v>
      </c>
      <c r="QAM11" s="1429" t="s">
        <v>134</v>
      </c>
      <c r="QAN11" s="1429" t="s">
        <v>134</v>
      </c>
      <c r="QAO11" s="1429" t="s">
        <v>134</v>
      </c>
      <c r="QAP11" s="1429" t="s">
        <v>134</v>
      </c>
      <c r="QAQ11" s="1429" t="s">
        <v>134</v>
      </c>
      <c r="QAR11" s="1429" t="s">
        <v>134</v>
      </c>
      <c r="QAS11" s="1429" t="s">
        <v>134</v>
      </c>
      <c r="QAT11" s="1429" t="s">
        <v>134</v>
      </c>
      <c r="QAU11" s="1429" t="s">
        <v>134</v>
      </c>
      <c r="QAV11" s="1429" t="s">
        <v>134</v>
      </c>
      <c r="QAW11" s="1429" t="s">
        <v>134</v>
      </c>
      <c r="QAX11" s="1429" t="s">
        <v>134</v>
      </c>
      <c r="QAY11" s="1429" t="s">
        <v>134</v>
      </c>
      <c r="QAZ11" s="1429" t="s">
        <v>134</v>
      </c>
      <c r="QBA11" s="1429" t="s">
        <v>134</v>
      </c>
      <c r="QBB11" s="1429" t="s">
        <v>134</v>
      </c>
      <c r="QBC11" s="1429" t="s">
        <v>134</v>
      </c>
      <c r="QBD11" s="1429" t="s">
        <v>134</v>
      </c>
      <c r="QBE11" s="1429" t="s">
        <v>134</v>
      </c>
      <c r="QBF11" s="1429" t="s">
        <v>134</v>
      </c>
      <c r="QBG11" s="1429" t="s">
        <v>134</v>
      </c>
      <c r="QBH11" s="1429" t="s">
        <v>134</v>
      </c>
      <c r="QBI11" s="1429" t="s">
        <v>134</v>
      </c>
      <c r="QBJ11" s="1429" t="s">
        <v>134</v>
      </c>
      <c r="QBK11" s="1429" t="s">
        <v>134</v>
      </c>
      <c r="QBL11" s="1429" t="s">
        <v>134</v>
      </c>
      <c r="QBM11" s="1429" t="s">
        <v>134</v>
      </c>
      <c r="QBN11" s="1429" t="s">
        <v>134</v>
      </c>
      <c r="QBO11" s="1429" t="s">
        <v>134</v>
      </c>
      <c r="QBP11" s="1429" t="s">
        <v>134</v>
      </c>
      <c r="QBQ11" s="1429" t="s">
        <v>134</v>
      </c>
      <c r="QBR11" s="1429" t="s">
        <v>134</v>
      </c>
      <c r="QBS11" s="1429" t="s">
        <v>134</v>
      </c>
      <c r="QBT11" s="1429" t="s">
        <v>134</v>
      </c>
      <c r="QBU11" s="1429" t="s">
        <v>134</v>
      </c>
      <c r="QBV11" s="1429" t="s">
        <v>134</v>
      </c>
      <c r="QBW11" s="1429" t="s">
        <v>134</v>
      </c>
      <c r="QBX11" s="1429" t="s">
        <v>134</v>
      </c>
      <c r="QBY11" s="1429" t="s">
        <v>134</v>
      </c>
      <c r="QBZ11" s="1429" t="s">
        <v>134</v>
      </c>
      <c r="QCA11" s="1429" t="s">
        <v>134</v>
      </c>
      <c r="QCB11" s="1429" t="s">
        <v>134</v>
      </c>
      <c r="QCC11" s="1429" t="s">
        <v>134</v>
      </c>
      <c r="QCD11" s="1429" t="s">
        <v>134</v>
      </c>
      <c r="QCE11" s="1429" t="s">
        <v>134</v>
      </c>
      <c r="QCF11" s="1429" t="s">
        <v>134</v>
      </c>
      <c r="QCG11" s="1429" t="s">
        <v>134</v>
      </c>
      <c r="QCH11" s="1429" t="s">
        <v>134</v>
      </c>
      <c r="QCI11" s="1429" t="s">
        <v>134</v>
      </c>
      <c r="QCJ11" s="1429" t="s">
        <v>134</v>
      </c>
      <c r="QCK11" s="1429" t="s">
        <v>134</v>
      </c>
      <c r="QCL11" s="1429" t="s">
        <v>134</v>
      </c>
      <c r="QCM11" s="1429" t="s">
        <v>134</v>
      </c>
      <c r="QCN11" s="1429" t="s">
        <v>134</v>
      </c>
      <c r="QCO11" s="1429" t="s">
        <v>134</v>
      </c>
      <c r="QCP11" s="1429" t="s">
        <v>134</v>
      </c>
      <c r="QCQ11" s="1429" t="s">
        <v>134</v>
      </c>
      <c r="QCR11" s="1429" t="s">
        <v>134</v>
      </c>
      <c r="QCS11" s="1429" t="s">
        <v>134</v>
      </c>
      <c r="QCT11" s="1429" t="s">
        <v>134</v>
      </c>
      <c r="QCU11" s="1429" t="s">
        <v>134</v>
      </c>
      <c r="QCV11" s="1429" t="s">
        <v>134</v>
      </c>
      <c r="QCW11" s="1429" t="s">
        <v>134</v>
      </c>
      <c r="QCX11" s="1429" t="s">
        <v>134</v>
      </c>
      <c r="QCY11" s="1429" t="s">
        <v>134</v>
      </c>
      <c r="QCZ11" s="1429" t="s">
        <v>134</v>
      </c>
      <c r="QDA11" s="1429" t="s">
        <v>134</v>
      </c>
      <c r="QDB11" s="1429" t="s">
        <v>134</v>
      </c>
      <c r="QDC11" s="1429" t="s">
        <v>134</v>
      </c>
      <c r="QDD11" s="1429" t="s">
        <v>134</v>
      </c>
      <c r="QDE11" s="1429" t="s">
        <v>134</v>
      </c>
      <c r="QDF11" s="1429" t="s">
        <v>134</v>
      </c>
      <c r="QDG11" s="1429" t="s">
        <v>134</v>
      </c>
      <c r="QDH11" s="1429" t="s">
        <v>134</v>
      </c>
      <c r="QDI11" s="1429" t="s">
        <v>134</v>
      </c>
      <c r="QDJ11" s="1429" t="s">
        <v>134</v>
      </c>
      <c r="QDK11" s="1429" t="s">
        <v>134</v>
      </c>
      <c r="QDL11" s="1429" t="s">
        <v>134</v>
      </c>
      <c r="QDM11" s="1429" t="s">
        <v>134</v>
      </c>
      <c r="QDN11" s="1429" t="s">
        <v>134</v>
      </c>
      <c r="QDO11" s="1429" t="s">
        <v>134</v>
      </c>
      <c r="QDP11" s="1429" t="s">
        <v>134</v>
      </c>
      <c r="QDQ11" s="1429" t="s">
        <v>134</v>
      </c>
      <c r="QDR11" s="1429" t="s">
        <v>134</v>
      </c>
      <c r="QDS11" s="1429" t="s">
        <v>134</v>
      </c>
      <c r="QDT11" s="1429" t="s">
        <v>134</v>
      </c>
      <c r="QDU11" s="1429" t="s">
        <v>134</v>
      </c>
      <c r="QDV11" s="1429" t="s">
        <v>134</v>
      </c>
      <c r="QDW11" s="1429" t="s">
        <v>134</v>
      </c>
      <c r="QDX11" s="1429" t="s">
        <v>134</v>
      </c>
      <c r="QDY11" s="1429" t="s">
        <v>134</v>
      </c>
      <c r="QDZ11" s="1429" t="s">
        <v>134</v>
      </c>
      <c r="QEA11" s="1429" t="s">
        <v>134</v>
      </c>
      <c r="QEB11" s="1429" t="s">
        <v>134</v>
      </c>
      <c r="QEC11" s="1429" t="s">
        <v>134</v>
      </c>
      <c r="QED11" s="1429" t="s">
        <v>134</v>
      </c>
      <c r="QEE11" s="1429" t="s">
        <v>134</v>
      </c>
      <c r="QEF11" s="1429" t="s">
        <v>134</v>
      </c>
      <c r="QEG11" s="1429" t="s">
        <v>134</v>
      </c>
      <c r="QEH11" s="1429" t="s">
        <v>134</v>
      </c>
      <c r="QEI11" s="1429" t="s">
        <v>134</v>
      </c>
      <c r="QEJ11" s="1429" t="s">
        <v>134</v>
      </c>
      <c r="QEK11" s="1429" t="s">
        <v>134</v>
      </c>
      <c r="QEL11" s="1429" t="s">
        <v>134</v>
      </c>
      <c r="QEM11" s="1429" t="s">
        <v>134</v>
      </c>
      <c r="QEN11" s="1429" t="s">
        <v>134</v>
      </c>
      <c r="QEO11" s="1429" t="s">
        <v>134</v>
      </c>
      <c r="QEP11" s="1429" t="s">
        <v>134</v>
      </c>
      <c r="QEQ11" s="1429" t="s">
        <v>134</v>
      </c>
      <c r="QER11" s="1429" t="s">
        <v>134</v>
      </c>
      <c r="QES11" s="1429" t="s">
        <v>134</v>
      </c>
      <c r="QET11" s="1429" t="s">
        <v>134</v>
      </c>
      <c r="QEU11" s="1429" t="s">
        <v>134</v>
      </c>
      <c r="QEV11" s="1429" t="s">
        <v>134</v>
      </c>
      <c r="QEW11" s="1429" t="s">
        <v>134</v>
      </c>
      <c r="QEX11" s="1429" t="s">
        <v>134</v>
      </c>
      <c r="QEY11" s="1429" t="s">
        <v>134</v>
      </c>
      <c r="QEZ11" s="1429" t="s">
        <v>134</v>
      </c>
      <c r="QFA11" s="1429" t="s">
        <v>134</v>
      </c>
      <c r="QFB11" s="1429" t="s">
        <v>134</v>
      </c>
      <c r="QFC11" s="1429" t="s">
        <v>134</v>
      </c>
      <c r="QFD11" s="1429" t="s">
        <v>134</v>
      </c>
      <c r="QFE11" s="1429" t="s">
        <v>134</v>
      </c>
      <c r="QFF11" s="1429" t="s">
        <v>134</v>
      </c>
      <c r="QFG11" s="1429" t="s">
        <v>134</v>
      </c>
      <c r="QFH11" s="1429" t="s">
        <v>134</v>
      </c>
      <c r="QFI11" s="1429" t="s">
        <v>134</v>
      </c>
      <c r="QFJ11" s="1429" t="s">
        <v>134</v>
      </c>
      <c r="QFK11" s="1429" t="s">
        <v>134</v>
      </c>
      <c r="QFL11" s="1429" t="s">
        <v>134</v>
      </c>
      <c r="QFM11" s="1429" t="s">
        <v>134</v>
      </c>
      <c r="QFN11" s="1429" t="s">
        <v>134</v>
      </c>
      <c r="QFO11" s="1429" t="s">
        <v>134</v>
      </c>
      <c r="QFP11" s="1429" t="s">
        <v>134</v>
      </c>
      <c r="QFQ11" s="1429" t="s">
        <v>134</v>
      </c>
      <c r="QFR11" s="1429" t="s">
        <v>134</v>
      </c>
      <c r="QFS11" s="1429" t="s">
        <v>134</v>
      </c>
      <c r="QFT11" s="1429" t="s">
        <v>134</v>
      </c>
      <c r="QFU11" s="1429" t="s">
        <v>134</v>
      </c>
      <c r="QFV11" s="1429" t="s">
        <v>134</v>
      </c>
      <c r="QFW11" s="1429" t="s">
        <v>134</v>
      </c>
      <c r="QFX11" s="1429" t="s">
        <v>134</v>
      </c>
      <c r="QFY11" s="1429" t="s">
        <v>134</v>
      </c>
      <c r="QFZ11" s="1429" t="s">
        <v>134</v>
      </c>
      <c r="QGA11" s="1429" t="s">
        <v>134</v>
      </c>
      <c r="QGB11" s="1429" t="s">
        <v>134</v>
      </c>
      <c r="QGC11" s="1429" t="s">
        <v>134</v>
      </c>
      <c r="QGD11" s="1429" t="s">
        <v>134</v>
      </c>
      <c r="QGE11" s="1429" t="s">
        <v>134</v>
      </c>
      <c r="QGF11" s="1429" t="s">
        <v>134</v>
      </c>
      <c r="QGG11" s="1429" t="s">
        <v>134</v>
      </c>
      <c r="QGH11" s="1429" t="s">
        <v>134</v>
      </c>
      <c r="QGI11" s="1429" t="s">
        <v>134</v>
      </c>
      <c r="QGJ11" s="1429" t="s">
        <v>134</v>
      </c>
      <c r="QGK11" s="1429" t="s">
        <v>134</v>
      </c>
      <c r="QGL11" s="1429" t="s">
        <v>134</v>
      </c>
      <c r="QGM11" s="1429" t="s">
        <v>134</v>
      </c>
      <c r="QGN11" s="1429" t="s">
        <v>134</v>
      </c>
      <c r="QGO11" s="1429" t="s">
        <v>134</v>
      </c>
      <c r="QGP11" s="1429" t="s">
        <v>134</v>
      </c>
      <c r="QGQ11" s="1429" t="s">
        <v>134</v>
      </c>
      <c r="QGR11" s="1429" t="s">
        <v>134</v>
      </c>
      <c r="QGS11" s="1429" t="s">
        <v>134</v>
      </c>
      <c r="QGT11" s="1429" t="s">
        <v>134</v>
      </c>
      <c r="QGU11" s="1429" t="s">
        <v>134</v>
      </c>
      <c r="QGV11" s="1429" t="s">
        <v>134</v>
      </c>
      <c r="QGW11" s="1429" t="s">
        <v>134</v>
      </c>
      <c r="QGX11" s="1429" t="s">
        <v>134</v>
      </c>
      <c r="QGY11" s="1429" t="s">
        <v>134</v>
      </c>
      <c r="QGZ11" s="1429" t="s">
        <v>134</v>
      </c>
      <c r="QHA11" s="1429" t="s">
        <v>134</v>
      </c>
      <c r="QHB11" s="1429" t="s">
        <v>134</v>
      </c>
      <c r="QHC11" s="1429" t="s">
        <v>134</v>
      </c>
      <c r="QHD11" s="1429" t="s">
        <v>134</v>
      </c>
      <c r="QHE11" s="1429" t="s">
        <v>134</v>
      </c>
      <c r="QHF11" s="1429" t="s">
        <v>134</v>
      </c>
      <c r="QHG11" s="1429" t="s">
        <v>134</v>
      </c>
      <c r="QHH11" s="1429" t="s">
        <v>134</v>
      </c>
      <c r="QHI11" s="1429" t="s">
        <v>134</v>
      </c>
      <c r="QHJ11" s="1429" t="s">
        <v>134</v>
      </c>
      <c r="QHK11" s="1429" t="s">
        <v>134</v>
      </c>
      <c r="QHL11" s="1429" t="s">
        <v>134</v>
      </c>
      <c r="QHM11" s="1429" t="s">
        <v>134</v>
      </c>
      <c r="QHN11" s="1429" t="s">
        <v>134</v>
      </c>
      <c r="QHO11" s="1429" t="s">
        <v>134</v>
      </c>
      <c r="QHP11" s="1429" t="s">
        <v>134</v>
      </c>
      <c r="QHQ11" s="1429" t="s">
        <v>134</v>
      </c>
      <c r="QHR11" s="1429" t="s">
        <v>134</v>
      </c>
      <c r="QHS11" s="1429" t="s">
        <v>134</v>
      </c>
      <c r="QHT11" s="1429" t="s">
        <v>134</v>
      </c>
      <c r="QHU11" s="1429" t="s">
        <v>134</v>
      </c>
      <c r="QHV11" s="1429" t="s">
        <v>134</v>
      </c>
      <c r="QHW11" s="1429" t="s">
        <v>134</v>
      </c>
      <c r="QHX11" s="1429" t="s">
        <v>134</v>
      </c>
      <c r="QHY11" s="1429" t="s">
        <v>134</v>
      </c>
      <c r="QHZ11" s="1429" t="s">
        <v>134</v>
      </c>
      <c r="QIA11" s="1429" t="s">
        <v>134</v>
      </c>
      <c r="QIB11" s="1429" t="s">
        <v>134</v>
      </c>
      <c r="QIC11" s="1429" t="s">
        <v>134</v>
      </c>
      <c r="QID11" s="1429" t="s">
        <v>134</v>
      </c>
      <c r="QIE11" s="1429" t="s">
        <v>134</v>
      </c>
      <c r="QIF11" s="1429" t="s">
        <v>134</v>
      </c>
      <c r="QIG11" s="1429" t="s">
        <v>134</v>
      </c>
      <c r="QIH11" s="1429" t="s">
        <v>134</v>
      </c>
      <c r="QII11" s="1429" t="s">
        <v>134</v>
      </c>
      <c r="QIJ11" s="1429" t="s">
        <v>134</v>
      </c>
      <c r="QIK11" s="1429" t="s">
        <v>134</v>
      </c>
      <c r="QIL11" s="1429" t="s">
        <v>134</v>
      </c>
      <c r="QIM11" s="1429" t="s">
        <v>134</v>
      </c>
      <c r="QIN11" s="1429" t="s">
        <v>134</v>
      </c>
      <c r="QIO11" s="1429" t="s">
        <v>134</v>
      </c>
      <c r="QIP11" s="1429" t="s">
        <v>134</v>
      </c>
      <c r="QIQ11" s="1429" t="s">
        <v>134</v>
      </c>
      <c r="QIR11" s="1429" t="s">
        <v>134</v>
      </c>
      <c r="QIS11" s="1429" t="s">
        <v>134</v>
      </c>
      <c r="QIT11" s="1429" t="s">
        <v>134</v>
      </c>
      <c r="QIU11" s="1429" t="s">
        <v>134</v>
      </c>
      <c r="QIV11" s="1429" t="s">
        <v>134</v>
      </c>
      <c r="QIW11" s="1429" t="s">
        <v>134</v>
      </c>
      <c r="QIX11" s="1429" t="s">
        <v>134</v>
      </c>
      <c r="QIY11" s="1429" t="s">
        <v>134</v>
      </c>
      <c r="QIZ11" s="1429" t="s">
        <v>134</v>
      </c>
      <c r="QJA11" s="1429" t="s">
        <v>134</v>
      </c>
      <c r="QJB11" s="1429" t="s">
        <v>134</v>
      </c>
      <c r="QJC11" s="1429" t="s">
        <v>134</v>
      </c>
      <c r="QJD11" s="1429" t="s">
        <v>134</v>
      </c>
      <c r="QJE11" s="1429" t="s">
        <v>134</v>
      </c>
      <c r="QJF11" s="1429" t="s">
        <v>134</v>
      </c>
      <c r="QJG11" s="1429" t="s">
        <v>134</v>
      </c>
      <c r="QJH11" s="1429" t="s">
        <v>134</v>
      </c>
      <c r="QJI11" s="1429" t="s">
        <v>134</v>
      </c>
      <c r="QJJ11" s="1429" t="s">
        <v>134</v>
      </c>
      <c r="QJK11" s="1429" t="s">
        <v>134</v>
      </c>
      <c r="QJL11" s="1429" t="s">
        <v>134</v>
      </c>
      <c r="QJM11" s="1429" t="s">
        <v>134</v>
      </c>
      <c r="QJN11" s="1429" t="s">
        <v>134</v>
      </c>
      <c r="QJO11" s="1429" t="s">
        <v>134</v>
      </c>
      <c r="QJP11" s="1429" t="s">
        <v>134</v>
      </c>
      <c r="QJQ11" s="1429" t="s">
        <v>134</v>
      </c>
      <c r="QJR11" s="1429" t="s">
        <v>134</v>
      </c>
      <c r="QJS11" s="1429" t="s">
        <v>134</v>
      </c>
      <c r="QJT11" s="1429" t="s">
        <v>134</v>
      </c>
      <c r="QJU11" s="1429" t="s">
        <v>134</v>
      </c>
      <c r="QJV11" s="1429" t="s">
        <v>134</v>
      </c>
      <c r="QJW11" s="1429" t="s">
        <v>134</v>
      </c>
      <c r="QJX11" s="1429" t="s">
        <v>134</v>
      </c>
      <c r="QJY11" s="1429" t="s">
        <v>134</v>
      </c>
      <c r="QJZ11" s="1429" t="s">
        <v>134</v>
      </c>
      <c r="QKA11" s="1429" t="s">
        <v>134</v>
      </c>
      <c r="QKB11" s="1429" t="s">
        <v>134</v>
      </c>
      <c r="QKC11" s="1429" t="s">
        <v>134</v>
      </c>
      <c r="QKD11" s="1429" t="s">
        <v>134</v>
      </c>
      <c r="QKE11" s="1429" t="s">
        <v>134</v>
      </c>
      <c r="QKF11" s="1429" t="s">
        <v>134</v>
      </c>
      <c r="QKG11" s="1429" t="s">
        <v>134</v>
      </c>
      <c r="QKH11" s="1429" t="s">
        <v>134</v>
      </c>
      <c r="QKI11" s="1429" t="s">
        <v>134</v>
      </c>
      <c r="QKJ11" s="1429" t="s">
        <v>134</v>
      </c>
      <c r="QKK11" s="1429" t="s">
        <v>134</v>
      </c>
      <c r="QKL11" s="1429" t="s">
        <v>134</v>
      </c>
      <c r="QKM11" s="1429" t="s">
        <v>134</v>
      </c>
      <c r="QKN11" s="1429" t="s">
        <v>134</v>
      </c>
      <c r="QKO11" s="1429" t="s">
        <v>134</v>
      </c>
      <c r="QKP11" s="1429" t="s">
        <v>134</v>
      </c>
      <c r="QKQ11" s="1429" t="s">
        <v>134</v>
      </c>
      <c r="QKR11" s="1429" t="s">
        <v>134</v>
      </c>
      <c r="QKS11" s="1429" t="s">
        <v>134</v>
      </c>
      <c r="QKT11" s="1429" t="s">
        <v>134</v>
      </c>
      <c r="QKU11" s="1429" t="s">
        <v>134</v>
      </c>
      <c r="QKV11" s="1429" t="s">
        <v>134</v>
      </c>
      <c r="QKW11" s="1429" t="s">
        <v>134</v>
      </c>
      <c r="QKX11" s="1429" t="s">
        <v>134</v>
      </c>
      <c r="QKY11" s="1429" t="s">
        <v>134</v>
      </c>
      <c r="QKZ11" s="1429" t="s">
        <v>134</v>
      </c>
      <c r="QLA11" s="1429" t="s">
        <v>134</v>
      </c>
      <c r="QLB11" s="1429" t="s">
        <v>134</v>
      </c>
      <c r="QLC11" s="1429" t="s">
        <v>134</v>
      </c>
      <c r="QLD11" s="1429" t="s">
        <v>134</v>
      </c>
      <c r="QLE11" s="1429" t="s">
        <v>134</v>
      </c>
      <c r="QLF11" s="1429" t="s">
        <v>134</v>
      </c>
      <c r="QLG11" s="1429" t="s">
        <v>134</v>
      </c>
      <c r="QLH11" s="1429" t="s">
        <v>134</v>
      </c>
      <c r="QLI11" s="1429" t="s">
        <v>134</v>
      </c>
      <c r="QLJ11" s="1429" t="s">
        <v>134</v>
      </c>
      <c r="QLK11" s="1429" t="s">
        <v>134</v>
      </c>
      <c r="QLL11" s="1429" t="s">
        <v>134</v>
      </c>
      <c r="QLM11" s="1429" t="s">
        <v>134</v>
      </c>
      <c r="QLN11" s="1429" t="s">
        <v>134</v>
      </c>
      <c r="QLO11" s="1429" t="s">
        <v>134</v>
      </c>
      <c r="QLP11" s="1429" t="s">
        <v>134</v>
      </c>
      <c r="QLQ11" s="1429" t="s">
        <v>134</v>
      </c>
      <c r="QLR11" s="1429" t="s">
        <v>134</v>
      </c>
      <c r="QLS11" s="1429" t="s">
        <v>134</v>
      </c>
      <c r="QLT11" s="1429" t="s">
        <v>134</v>
      </c>
      <c r="QLU11" s="1429" t="s">
        <v>134</v>
      </c>
      <c r="QLV11" s="1429" t="s">
        <v>134</v>
      </c>
      <c r="QLW11" s="1429" t="s">
        <v>134</v>
      </c>
      <c r="QLX11" s="1429" t="s">
        <v>134</v>
      </c>
      <c r="QLY11" s="1429" t="s">
        <v>134</v>
      </c>
      <c r="QLZ11" s="1429" t="s">
        <v>134</v>
      </c>
      <c r="QMA11" s="1429" t="s">
        <v>134</v>
      </c>
      <c r="QMB11" s="1429" t="s">
        <v>134</v>
      </c>
      <c r="QMC11" s="1429" t="s">
        <v>134</v>
      </c>
      <c r="QMD11" s="1429" t="s">
        <v>134</v>
      </c>
      <c r="QME11" s="1429" t="s">
        <v>134</v>
      </c>
      <c r="QMF11" s="1429" t="s">
        <v>134</v>
      </c>
      <c r="QMG11" s="1429" t="s">
        <v>134</v>
      </c>
      <c r="QMH11" s="1429" t="s">
        <v>134</v>
      </c>
      <c r="QMI11" s="1429" t="s">
        <v>134</v>
      </c>
      <c r="QMJ11" s="1429" t="s">
        <v>134</v>
      </c>
      <c r="QMK11" s="1429" t="s">
        <v>134</v>
      </c>
      <c r="QML11" s="1429" t="s">
        <v>134</v>
      </c>
      <c r="QMM11" s="1429" t="s">
        <v>134</v>
      </c>
      <c r="QMN11" s="1429" t="s">
        <v>134</v>
      </c>
      <c r="QMO11" s="1429" t="s">
        <v>134</v>
      </c>
      <c r="QMP11" s="1429" t="s">
        <v>134</v>
      </c>
      <c r="QMQ11" s="1429" t="s">
        <v>134</v>
      </c>
      <c r="QMR11" s="1429" t="s">
        <v>134</v>
      </c>
      <c r="QMS11" s="1429" t="s">
        <v>134</v>
      </c>
      <c r="QMT11" s="1429" t="s">
        <v>134</v>
      </c>
      <c r="QMU11" s="1429" t="s">
        <v>134</v>
      </c>
      <c r="QMV11" s="1429" t="s">
        <v>134</v>
      </c>
      <c r="QMW11" s="1429" t="s">
        <v>134</v>
      </c>
      <c r="QMX11" s="1429" t="s">
        <v>134</v>
      </c>
      <c r="QMY11" s="1429" t="s">
        <v>134</v>
      </c>
      <c r="QMZ11" s="1429" t="s">
        <v>134</v>
      </c>
      <c r="QNA11" s="1429" t="s">
        <v>134</v>
      </c>
      <c r="QNB11" s="1429" t="s">
        <v>134</v>
      </c>
      <c r="QNC11" s="1429" t="s">
        <v>134</v>
      </c>
      <c r="QND11" s="1429" t="s">
        <v>134</v>
      </c>
      <c r="QNE11" s="1429" t="s">
        <v>134</v>
      </c>
      <c r="QNF11" s="1429" t="s">
        <v>134</v>
      </c>
      <c r="QNG11" s="1429" t="s">
        <v>134</v>
      </c>
      <c r="QNH11" s="1429" t="s">
        <v>134</v>
      </c>
      <c r="QNI11" s="1429" t="s">
        <v>134</v>
      </c>
      <c r="QNJ11" s="1429" t="s">
        <v>134</v>
      </c>
      <c r="QNK11" s="1429" t="s">
        <v>134</v>
      </c>
      <c r="QNL11" s="1429" t="s">
        <v>134</v>
      </c>
      <c r="QNM11" s="1429" t="s">
        <v>134</v>
      </c>
      <c r="QNN11" s="1429" t="s">
        <v>134</v>
      </c>
      <c r="QNO11" s="1429" t="s">
        <v>134</v>
      </c>
      <c r="QNP11" s="1429" t="s">
        <v>134</v>
      </c>
      <c r="QNQ11" s="1429" t="s">
        <v>134</v>
      </c>
      <c r="QNR11" s="1429" t="s">
        <v>134</v>
      </c>
      <c r="QNS11" s="1429" t="s">
        <v>134</v>
      </c>
      <c r="QNT11" s="1429" t="s">
        <v>134</v>
      </c>
      <c r="QNU11" s="1429" t="s">
        <v>134</v>
      </c>
      <c r="QNV11" s="1429" t="s">
        <v>134</v>
      </c>
      <c r="QNW11" s="1429" t="s">
        <v>134</v>
      </c>
      <c r="QNX11" s="1429" t="s">
        <v>134</v>
      </c>
      <c r="QNY11" s="1429" t="s">
        <v>134</v>
      </c>
      <c r="QNZ11" s="1429" t="s">
        <v>134</v>
      </c>
      <c r="QOA11" s="1429" t="s">
        <v>134</v>
      </c>
      <c r="QOB11" s="1429" t="s">
        <v>134</v>
      </c>
      <c r="QOC11" s="1429" t="s">
        <v>134</v>
      </c>
      <c r="QOD11" s="1429" t="s">
        <v>134</v>
      </c>
      <c r="QOE11" s="1429" t="s">
        <v>134</v>
      </c>
      <c r="QOF11" s="1429" t="s">
        <v>134</v>
      </c>
      <c r="QOG11" s="1429" t="s">
        <v>134</v>
      </c>
      <c r="QOH11" s="1429" t="s">
        <v>134</v>
      </c>
      <c r="QOI11" s="1429" t="s">
        <v>134</v>
      </c>
      <c r="QOJ11" s="1429" t="s">
        <v>134</v>
      </c>
      <c r="QOK11" s="1429" t="s">
        <v>134</v>
      </c>
      <c r="QOL11" s="1429" t="s">
        <v>134</v>
      </c>
      <c r="QOM11" s="1429" t="s">
        <v>134</v>
      </c>
      <c r="QON11" s="1429" t="s">
        <v>134</v>
      </c>
      <c r="QOO11" s="1429" t="s">
        <v>134</v>
      </c>
      <c r="QOP11" s="1429" t="s">
        <v>134</v>
      </c>
      <c r="QOQ11" s="1429" t="s">
        <v>134</v>
      </c>
      <c r="QOR11" s="1429" t="s">
        <v>134</v>
      </c>
      <c r="QOS11" s="1429" t="s">
        <v>134</v>
      </c>
      <c r="QOT11" s="1429" t="s">
        <v>134</v>
      </c>
      <c r="QOU11" s="1429" t="s">
        <v>134</v>
      </c>
      <c r="QOV11" s="1429" t="s">
        <v>134</v>
      </c>
      <c r="QOW11" s="1429" t="s">
        <v>134</v>
      </c>
      <c r="QOX11" s="1429" t="s">
        <v>134</v>
      </c>
      <c r="QOY11" s="1429" t="s">
        <v>134</v>
      </c>
      <c r="QOZ11" s="1429" t="s">
        <v>134</v>
      </c>
      <c r="QPA11" s="1429" t="s">
        <v>134</v>
      </c>
      <c r="QPB11" s="1429" t="s">
        <v>134</v>
      </c>
      <c r="QPC11" s="1429" t="s">
        <v>134</v>
      </c>
      <c r="QPD11" s="1429" t="s">
        <v>134</v>
      </c>
      <c r="QPE11" s="1429" t="s">
        <v>134</v>
      </c>
      <c r="QPF11" s="1429" t="s">
        <v>134</v>
      </c>
      <c r="QPG11" s="1429" t="s">
        <v>134</v>
      </c>
      <c r="QPH11" s="1429" t="s">
        <v>134</v>
      </c>
      <c r="QPI11" s="1429" t="s">
        <v>134</v>
      </c>
      <c r="QPJ11" s="1429" t="s">
        <v>134</v>
      </c>
      <c r="QPK11" s="1429" t="s">
        <v>134</v>
      </c>
      <c r="QPL11" s="1429" t="s">
        <v>134</v>
      </c>
      <c r="QPM11" s="1429" t="s">
        <v>134</v>
      </c>
      <c r="QPN11" s="1429" t="s">
        <v>134</v>
      </c>
      <c r="QPO11" s="1429" t="s">
        <v>134</v>
      </c>
      <c r="QPP11" s="1429" t="s">
        <v>134</v>
      </c>
      <c r="QPQ11" s="1429" t="s">
        <v>134</v>
      </c>
      <c r="QPR11" s="1429" t="s">
        <v>134</v>
      </c>
      <c r="QPS11" s="1429" t="s">
        <v>134</v>
      </c>
      <c r="QPT11" s="1429" t="s">
        <v>134</v>
      </c>
      <c r="QPU11" s="1429" t="s">
        <v>134</v>
      </c>
      <c r="QPV11" s="1429" t="s">
        <v>134</v>
      </c>
      <c r="QPW11" s="1429" t="s">
        <v>134</v>
      </c>
      <c r="QPX11" s="1429" t="s">
        <v>134</v>
      </c>
      <c r="QPY11" s="1429" t="s">
        <v>134</v>
      </c>
      <c r="QPZ11" s="1429" t="s">
        <v>134</v>
      </c>
      <c r="QQA11" s="1429" t="s">
        <v>134</v>
      </c>
      <c r="QQB11" s="1429" t="s">
        <v>134</v>
      </c>
      <c r="QQC11" s="1429" t="s">
        <v>134</v>
      </c>
      <c r="QQD11" s="1429" t="s">
        <v>134</v>
      </c>
      <c r="QQE11" s="1429" t="s">
        <v>134</v>
      </c>
      <c r="QQF11" s="1429" t="s">
        <v>134</v>
      </c>
      <c r="QQG11" s="1429" t="s">
        <v>134</v>
      </c>
      <c r="QQH11" s="1429" t="s">
        <v>134</v>
      </c>
      <c r="QQI11" s="1429" t="s">
        <v>134</v>
      </c>
      <c r="QQJ11" s="1429" t="s">
        <v>134</v>
      </c>
      <c r="QQK11" s="1429" t="s">
        <v>134</v>
      </c>
      <c r="QQL11" s="1429" t="s">
        <v>134</v>
      </c>
      <c r="QQM11" s="1429" t="s">
        <v>134</v>
      </c>
      <c r="QQN11" s="1429" t="s">
        <v>134</v>
      </c>
      <c r="QQO11" s="1429" t="s">
        <v>134</v>
      </c>
      <c r="QQP11" s="1429" t="s">
        <v>134</v>
      </c>
      <c r="QQQ11" s="1429" t="s">
        <v>134</v>
      </c>
      <c r="QQR11" s="1429" t="s">
        <v>134</v>
      </c>
      <c r="QQS11" s="1429" t="s">
        <v>134</v>
      </c>
      <c r="QQT11" s="1429" t="s">
        <v>134</v>
      </c>
      <c r="QQU11" s="1429" t="s">
        <v>134</v>
      </c>
      <c r="QQV11" s="1429" t="s">
        <v>134</v>
      </c>
      <c r="QQW11" s="1429" t="s">
        <v>134</v>
      </c>
      <c r="QQX11" s="1429" t="s">
        <v>134</v>
      </c>
      <c r="QQY11" s="1429" t="s">
        <v>134</v>
      </c>
      <c r="QQZ11" s="1429" t="s">
        <v>134</v>
      </c>
      <c r="QRA11" s="1429" t="s">
        <v>134</v>
      </c>
      <c r="QRB11" s="1429" t="s">
        <v>134</v>
      </c>
      <c r="QRC11" s="1429" t="s">
        <v>134</v>
      </c>
      <c r="QRD11" s="1429" t="s">
        <v>134</v>
      </c>
      <c r="QRE11" s="1429" t="s">
        <v>134</v>
      </c>
      <c r="QRF11" s="1429" t="s">
        <v>134</v>
      </c>
      <c r="QRG11" s="1429" t="s">
        <v>134</v>
      </c>
      <c r="QRH11" s="1429" t="s">
        <v>134</v>
      </c>
      <c r="QRI11" s="1429" t="s">
        <v>134</v>
      </c>
      <c r="QRJ11" s="1429" t="s">
        <v>134</v>
      </c>
      <c r="QRK11" s="1429" t="s">
        <v>134</v>
      </c>
      <c r="QRL11" s="1429" t="s">
        <v>134</v>
      </c>
      <c r="QRM11" s="1429" t="s">
        <v>134</v>
      </c>
      <c r="QRN11" s="1429" t="s">
        <v>134</v>
      </c>
      <c r="QRO11" s="1429" t="s">
        <v>134</v>
      </c>
      <c r="QRP11" s="1429" t="s">
        <v>134</v>
      </c>
      <c r="QRQ11" s="1429" t="s">
        <v>134</v>
      </c>
      <c r="QRR11" s="1429" t="s">
        <v>134</v>
      </c>
      <c r="QRS11" s="1429" t="s">
        <v>134</v>
      </c>
      <c r="QRT11" s="1429" t="s">
        <v>134</v>
      </c>
      <c r="QRU11" s="1429" t="s">
        <v>134</v>
      </c>
      <c r="QRV11" s="1429" t="s">
        <v>134</v>
      </c>
      <c r="QRW11" s="1429" t="s">
        <v>134</v>
      </c>
      <c r="QRX11" s="1429" t="s">
        <v>134</v>
      </c>
      <c r="QRY11" s="1429" t="s">
        <v>134</v>
      </c>
      <c r="QRZ11" s="1429" t="s">
        <v>134</v>
      </c>
      <c r="QSA11" s="1429" t="s">
        <v>134</v>
      </c>
      <c r="QSB11" s="1429" t="s">
        <v>134</v>
      </c>
      <c r="QSC11" s="1429" t="s">
        <v>134</v>
      </c>
      <c r="QSD11" s="1429" t="s">
        <v>134</v>
      </c>
      <c r="QSE11" s="1429" t="s">
        <v>134</v>
      </c>
      <c r="QSF11" s="1429" t="s">
        <v>134</v>
      </c>
      <c r="QSG11" s="1429" t="s">
        <v>134</v>
      </c>
      <c r="QSH11" s="1429" t="s">
        <v>134</v>
      </c>
      <c r="QSI11" s="1429" t="s">
        <v>134</v>
      </c>
      <c r="QSJ11" s="1429" t="s">
        <v>134</v>
      </c>
      <c r="QSK11" s="1429" t="s">
        <v>134</v>
      </c>
      <c r="QSL11" s="1429" t="s">
        <v>134</v>
      </c>
      <c r="QSM11" s="1429" t="s">
        <v>134</v>
      </c>
      <c r="QSN11" s="1429" t="s">
        <v>134</v>
      </c>
      <c r="QSO11" s="1429" t="s">
        <v>134</v>
      </c>
      <c r="QSP11" s="1429" t="s">
        <v>134</v>
      </c>
      <c r="QSQ11" s="1429" t="s">
        <v>134</v>
      </c>
      <c r="QSR11" s="1429" t="s">
        <v>134</v>
      </c>
      <c r="QSS11" s="1429" t="s">
        <v>134</v>
      </c>
      <c r="QST11" s="1429" t="s">
        <v>134</v>
      </c>
      <c r="QSU11" s="1429" t="s">
        <v>134</v>
      </c>
      <c r="QSV11" s="1429" t="s">
        <v>134</v>
      </c>
      <c r="QSW11" s="1429" t="s">
        <v>134</v>
      </c>
      <c r="QSX11" s="1429" t="s">
        <v>134</v>
      </c>
      <c r="QSY11" s="1429" t="s">
        <v>134</v>
      </c>
      <c r="QSZ11" s="1429" t="s">
        <v>134</v>
      </c>
      <c r="QTA11" s="1429" t="s">
        <v>134</v>
      </c>
      <c r="QTB11" s="1429" t="s">
        <v>134</v>
      </c>
      <c r="QTC11" s="1429" t="s">
        <v>134</v>
      </c>
      <c r="QTD11" s="1429" t="s">
        <v>134</v>
      </c>
      <c r="QTE11" s="1429" t="s">
        <v>134</v>
      </c>
      <c r="QTF11" s="1429" t="s">
        <v>134</v>
      </c>
      <c r="QTG11" s="1429" t="s">
        <v>134</v>
      </c>
      <c r="QTH11" s="1429" t="s">
        <v>134</v>
      </c>
      <c r="QTI11" s="1429" t="s">
        <v>134</v>
      </c>
      <c r="QTJ11" s="1429" t="s">
        <v>134</v>
      </c>
      <c r="QTK11" s="1429" t="s">
        <v>134</v>
      </c>
      <c r="QTL11" s="1429" t="s">
        <v>134</v>
      </c>
      <c r="QTM11" s="1429" t="s">
        <v>134</v>
      </c>
      <c r="QTN11" s="1429" t="s">
        <v>134</v>
      </c>
      <c r="QTO11" s="1429" t="s">
        <v>134</v>
      </c>
      <c r="QTP11" s="1429" t="s">
        <v>134</v>
      </c>
      <c r="QTQ11" s="1429" t="s">
        <v>134</v>
      </c>
      <c r="QTR11" s="1429" t="s">
        <v>134</v>
      </c>
      <c r="QTS11" s="1429" t="s">
        <v>134</v>
      </c>
      <c r="QTT11" s="1429" t="s">
        <v>134</v>
      </c>
      <c r="QTU11" s="1429" t="s">
        <v>134</v>
      </c>
      <c r="QTV11" s="1429" t="s">
        <v>134</v>
      </c>
      <c r="QTW11" s="1429" t="s">
        <v>134</v>
      </c>
      <c r="QTX11" s="1429" t="s">
        <v>134</v>
      </c>
      <c r="QTY11" s="1429" t="s">
        <v>134</v>
      </c>
      <c r="QTZ11" s="1429" t="s">
        <v>134</v>
      </c>
      <c r="QUA11" s="1429" t="s">
        <v>134</v>
      </c>
      <c r="QUB11" s="1429" t="s">
        <v>134</v>
      </c>
      <c r="QUC11" s="1429" t="s">
        <v>134</v>
      </c>
      <c r="QUD11" s="1429" t="s">
        <v>134</v>
      </c>
      <c r="QUE11" s="1429" t="s">
        <v>134</v>
      </c>
      <c r="QUF11" s="1429" t="s">
        <v>134</v>
      </c>
      <c r="QUG11" s="1429" t="s">
        <v>134</v>
      </c>
      <c r="QUH11" s="1429" t="s">
        <v>134</v>
      </c>
      <c r="QUI11" s="1429" t="s">
        <v>134</v>
      </c>
      <c r="QUJ11" s="1429" t="s">
        <v>134</v>
      </c>
      <c r="QUK11" s="1429" t="s">
        <v>134</v>
      </c>
      <c r="QUL11" s="1429" t="s">
        <v>134</v>
      </c>
      <c r="QUM11" s="1429" t="s">
        <v>134</v>
      </c>
      <c r="QUN11" s="1429" t="s">
        <v>134</v>
      </c>
      <c r="QUO11" s="1429" t="s">
        <v>134</v>
      </c>
      <c r="QUP11" s="1429" t="s">
        <v>134</v>
      </c>
      <c r="QUQ11" s="1429" t="s">
        <v>134</v>
      </c>
      <c r="QUR11" s="1429" t="s">
        <v>134</v>
      </c>
      <c r="QUS11" s="1429" t="s">
        <v>134</v>
      </c>
      <c r="QUT11" s="1429" t="s">
        <v>134</v>
      </c>
      <c r="QUU11" s="1429" t="s">
        <v>134</v>
      </c>
      <c r="QUV11" s="1429" t="s">
        <v>134</v>
      </c>
      <c r="QUW11" s="1429" t="s">
        <v>134</v>
      </c>
      <c r="QUX11" s="1429" t="s">
        <v>134</v>
      </c>
      <c r="QUY11" s="1429" t="s">
        <v>134</v>
      </c>
      <c r="QUZ11" s="1429" t="s">
        <v>134</v>
      </c>
      <c r="QVA11" s="1429" t="s">
        <v>134</v>
      </c>
      <c r="QVB11" s="1429" t="s">
        <v>134</v>
      </c>
      <c r="QVC11" s="1429" t="s">
        <v>134</v>
      </c>
      <c r="QVD11" s="1429" t="s">
        <v>134</v>
      </c>
      <c r="QVE11" s="1429" t="s">
        <v>134</v>
      </c>
      <c r="QVF11" s="1429" t="s">
        <v>134</v>
      </c>
      <c r="QVG11" s="1429" t="s">
        <v>134</v>
      </c>
      <c r="QVH11" s="1429" t="s">
        <v>134</v>
      </c>
      <c r="QVI11" s="1429" t="s">
        <v>134</v>
      </c>
      <c r="QVJ11" s="1429" t="s">
        <v>134</v>
      </c>
      <c r="QVK11" s="1429" t="s">
        <v>134</v>
      </c>
      <c r="QVL11" s="1429" t="s">
        <v>134</v>
      </c>
      <c r="QVM11" s="1429" t="s">
        <v>134</v>
      </c>
      <c r="QVN11" s="1429" t="s">
        <v>134</v>
      </c>
      <c r="QVO11" s="1429" t="s">
        <v>134</v>
      </c>
      <c r="QVP11" s="1429" t="s">
        <v>134</v>
      </c>
      <c r="QVQ11" s="1429" t="s">
        <v>134</v>
      </c>
      <c r="QVR11" s="1429" t="s">
        <v>134</v>
      </c>
      <c r="QVS11" s="1429" t="s">
        <v>134</v>
      </c>
      <c r="QVT11" s="1429" t="s">
        <v>134</v>
      </c>
      <c r="QVU11" s="1429" t="s">
        <v>134</v>
      </c>
      <c r="QVV11" s="1429" t="s">
        <v>134</v>
      </c>
      <c r="QVW11" s="1429" t="s">
        <v>134</v>
      </c>
      <c r="QVX11" s="1429" t="s">
        <v>134</v>
      </c>
      <c r="QVY11" s="1429" t="s">
        <v>134</v>
      </c>
      <c r="QVZ11" s="1429" t="s">
        <v>134</v>
      </c>
      <c r="QWA11" s="1429" t="s">
        <v>134</v>
      </c>
      <c r="QWB11" s="1429" t="s">
        <v>134</v>
      </c>
      <c r="QWC11" s="1429" t="s">
        <v>134</v>
      </c>
      <c r="QWD11" s="1429" t="s">
        <v>134</v>
      </c>
      <c r="QWE11" s="1429" t="s">
        <v>134</v>
      </c>
      <c r="QWF11" s="1429" t="s">
        <v>134</v>
      </c>
      <c r="QWG11" s="1429" t="s">
        <v>134</v>
      </c>
      <c r="QWH11" s="1429" t="s">
        <v>134</v>
      </c>
      <c r="QWI11" s="1429" t="s">
        <v>134</v>
      </c>
      <c r="QWJ11" s="1429" t="s">
        <v>134</v>
      </c>
      <c r="QWK11" s="1429" t="s">
        <v>134</v>
      </c>
      <c r="QWL11" s="1429" t="s">
        <v>134</v>
      </c>
      <c r="QWM11" s="1429" t="s">
        <v>134</v>
      </c>
      <c r="QWN11" s="1429" t="s">
        <v>134</v>
      </c>
      <c r="QWO11" s="1429" t="s">
        <v>134</v>
      </c>
      <c r="QWP11" s="1429" t="s">
        <v>134</v>
      </c>
      <c r="QWQ11" s="1429" t="s">
        <v>134</v>
      </c>
      <c r="QWR11" s="1429" t="s">
        <v>134</v>
      </c>
      <c r="QWS11" s="1429" t="s">
        <v>134</v>
      </c>
      <c r="QWT11" s="1429" t="s">
        <v>134</v>
      </c>
      <c r="QWU11" s="1429" t="s">
        <v>134</v>
      </c>
      <c r="QWV11" s="1429" t="s">
        <v>134</v>
      </c>
      <c r="QWW11" s="1429" t="s">
        <v>134</v>
      </c>
      <c r="QWX11" s="1429" t="s">
        <v>134</v>
      </c>
      <c r="QWY11" s="1429" t="s">
        <v>134</v>
      </c>
      <c r="QWZ11" s="1429" t="s">
        <v>134</v>
      </c>
      <c r="QXA11" s="1429" t="s">
        <v>134</v>
      </c>
      <c r="QXB11" s="1429" t="s">
        <v>134</v>
      </c>
      <c r="QXC11" s="1429" t="s">
        <v>134</v>
      </c>
      <c r="QXD11" s="1429" t="s">
        <v>134</v>
      </c>
      <c r="QXE11" s="1429" t="s">
        <v>134</v>
      </c>
      <c r="QXF11" s="1429" t="s">
        <v>134</v>
      </c>
      <c r="QXG11" s="1429" t="s">
        <v>134</v>
      </c>
      <c r="QXH11" s="1429" t="s">
        <v>134</v>
      </c>
      <c r="QXI11" s="1429" t="s">
        <v>134</v>
      </c>
      <c r="QXJ11" s="1429" t="s">
        <v>134</v>
      </c>
      <c r="QXK11" s="1429" t="s">
        <v>134</v>
      </c>
      <c r="QXL11" s="1429" t="s">
        <v>134</v>
      </c>
      <c r="QXM11" s="1429" t="s">
        <v>134</v>
      </c>
      <c r="QXN11" s="1429" t="s">
        <v>134</v>
      </c>
      <c r="QXO11" s="1429" t="s">
        <v>134</v>
      </c>
      <c r="QXP11" s="1429" t="s">
        <v>134</v>
      </c>
      <c r="QXQ11" s="1429" t="s">
        <v>134</v>
      </c>
      <c r="QXR11" s="1429" t="s">
        <v>134</v>
      </c>
      <c r="QXS11" s="1429" t="s">
        <v>134</v>
      </c>
      <c r="QXT11" s="1429" t="s">
        <v>134</v>
      </c>
      <c r="QXU11" s="1429" t="s">
        <v>134</v>
      </c>
      <c r="QXV11" s="1429" t="s">
        <v>134</v>
      </c>
      <c r="QXW11" s="1429" t="s">
        <v>134</v>
      </c>
      <c r="QXX11" s="1429" t="s">
        <v>134</v>
      </c>
      <c r="QXY11" s="1429" t="s">
        <v>134</v>
      </c>
      <c r="QXZ11" s="1429" t="s">
        <v>134</v>
      </c>
      <c r="QYA11" s="1429" t="s">
        <v>134</v>
      </c>
      <c r="QYB11" s="1429" t="s">
        <v>134</v>
      </c>
      <c r="QYC11" s="1429" t="s">
        <v>134</v>
      </c>
      <c r="QYD11" s="1429" t="s">
        <v>134</v>
      </c>
      <c r="QYE11" s="1429" t="s">
        <v>134</v>
      </c>
      <c r="QYF11" s="1429" t="s">
        <v>134</v>
      </c>
      <c r="QYG11" s="1429" t="s">
        <v>134</v>
      </c>
      <c r="QYH11" s="1429" t="s">
        <v>134</v>
      </c>
      <c r="QYI11" s="1429" t="s">
        <v>134</v>
      </c>
      <c r="QYJ11" s="1429" t="s">
        <v>134</v>
      </c>
      <c r="QYK11" s="1429" t="s">
        <v>134</v>
      </c>
      <c r="QYL11" s="1429" t="s">
        <v>134</v>
      </c>
      <c r="QYM11" s="1429" t="s">
        <v>134</v>
      </c>
      <c r="QYN11" s="1429" t="s">
        <v>134</v>
      </c>
      <c r="QYO11" s="1429" t="s">
        <v>134</v>
      </c>
      <c r="QYP11" s="1429" t="s">
        <v>134</v>
      </c>
      <c r="QYQ11" s="1429" t="s">
        <v>134</v>
      </c>
      <c r="QYR11" s="1429" t="s">
        <v>134</v>
      </c>
      <c r="QYS11" s="1429" t="s">
        <v>134</v>
      </c>
      <c r="QYT11" s="1429" t="s">
        <v>134</v>
      </c>
      <c r="QYU11" s="1429" t="s">
        <v>134</v>
      </c>
      <c r="QYV11" s="1429" t="s">
        <v>134</v>
      </c>
      <c r="QYW11" s="1429" t="s">
        <v>134</v>
      </c>
      <c r="QYX11" s="1429" t="s">
        <v>134</v>
      </c>
      <c r="QYY11" s="1429" t="s">
        <v>134</v>
      </c>
      <c r="QYZ11" s="1429" t="s">
        <v>134</v>
      </c>
      <c r="QZA11" s="1429" t="s">
        <v>134</v>
      </c>
      <c r="QZB11" s="1429" t="s">
        <v>134</v>
      </c>
      <c r="QZC11" s="1429" t="s">
        <v>134</v>
      </c>
      <c r="QZD11" s="1429" t="s">
        <v>134</v>
      </c>
      <c r="QZE11" s="1429" t="s">
        <v>134</v>
      </c>
      <c r="QZF11" s="1429" t="s">
        <v>134</v>
      </c>
      <c r="QZG11" s="1429" t="s">
        <v>134</v>
      </c>
      <c r="QZH11" s="1429" t="s">
        <v>134</v>
      </c>
      <c r="QZI11" s="1429" t="s">
        <v>134</v>
      </c>
      <c r="QZJ11" s="1429" t="s">
        <v>134</v>
      </c>
      <c r="QZK11" s="1429" t="s">
        <v>134</v>
      </c>
      <c r="QZL11" s="1429" t="s">
        <v>134</v>
      </c>
      <c r="QZM11" s="1429" t="s">
        <v>134</v>
      </c>
      <c r="QZN11" s="1429" t="s">
        <v>134</v>
      </c>
      <c r="QZO11" s="1429" t="s">
        <v>134</v>
      </c>
      <c r="QZP11" s="1429" t="s">
        <v>134</v>
      </c>
      <c r="QZQ11" s="1429" t="s">
        <v>134</v>
      </c>
      <c r="QZR11" s="1429" t="s">
        <v>134</v>
      </c>
      <c r="QZS11" s="1429" t="s">
        <v>134</v>
      </c>
      <c r="QZT11" s="1429" t="s">
        <v>134</v>
      </c>
      <c r="QZU11" s="1429" t="s">
        <v>134</v>
      </c>
      <c r="QZV11" s="1429" t="s">
        <v>134</v>
      </c>
      <c r="QZW11" s="1429" t="s">
        <v>134</v>
      </c>
      <c r="QZX11" s="1429" t="s">
        <v>134</v>
      </c>
      <c r="QZY11" s="1429" t="s">
        <v>134</v>
      </c>
      <c r="QZZ11" s="1429" t="s">
        <v>134</v>
      </c>
      <c r="RAA11" s="1429" t="s">
        <v>134</v>
      </c>
      <c r="RAB11" s="1429" t="s">
        <v>134</v>
      </c>
      <c r="RAC11" s="1429" t="s">
        <v>134</v>
      </c>
      <c r="RAD11" s="1429" t="s">
        <v>134</v>
      </c>
      <c r="RAE11" s="1429" t="s">
        <v>134</v>
      </c>
      <c r="RAF11" s="1429" t="s">
        <v>134</v>
      </c>
      <c r="RAG11" s="1429" t="s">
        <v>134</v>
      </c>
      <c r="RAH11" s="1429" t="s">
        <v>134</v>
      </c>
      <c r="RAI11" s="1429" t="s">
        <v>134</v>
      </c>
      <c r="RAJ11" s="1429" t="s">
        <v>134</v>
      </c>
      <c r="RAK11" s="1429" t="s">
        <v>134</v>
      </c>
      <c r="RAL11" s="1429" t="s">
        <v>134</v>
      </c>
      <c r="RAM11" s="1429" t="s">
        <v>134</v>
      </c>
      <c r="RAN11" s="1429" t="s">
        <v>134</v>
      </c>
      <c r="RAO11" s="1429" t="s">
        <v>134</v>
      </c>
      <c r="RAP11" s="1429" t="s">
        <v>134</v>
      </c>
      <c r="RAQ11" s="1429" t="s">
        <v>134</v>
      </c>
      <c r="RAR11" s="1429" t="s">
        <v>134</v>
      </c>
      <c r="RAS11" s="1429" t="s">
        <v>134</v>
      </c>
      <c r="RAT11" s="1429" t="s">
        <v>134</v>
      </c>
      <c r="RAU11" s="1429" t="s">
        <v>134</v>
      </c>
      <c r="RAV11" s="1429" t="s">
        <v>134</v>
      </c>
      <c r="RAW11" s="1429" t="s">
        <v>134</v>
      </c>
      <c r="RAX11" s="1429" t="s">
        <v>134</v>
      </c>
      <c r="RAY11" s="1429" t="s">
        <v>134</v>
      </c>
      <c r="RAZ11" s="1429" t="s">
        <v>134</v>
      </c>
      <c r="RBA11" s="1429" t="s">
        <v>134</v>
      </c>
      <c r="RBB11" s="1429" t="s">
        <v>134</v>
      </c>
      <c r="RBC11" s="1429" t="s">
        <v>134</v>
      </c>
      <c r="RBD11" s="1429" t="s">
        <v>134</v>
      </c>
      <c r="RBE11" s="1429" t="s">
        <v>134</v>
      </c>
      <c r="RBF11" s="1429" t="s">
        <v>134</v>
      </c>
      <c r="RBG11" s="1429" t="s">
        <v>134</v>
      </c>
      <c r="RBH11" s="1429" t="s">
        <v>134</v>
      </c>
      <c r="RBI11" s="1429" t="s">
        <v>134</v>
      </c>
      <c r="RBJ11" s="1429" t="s">
        <v>134</v>
      </c>
      <c r="RBK11" s="1429" t="s">
        <v>134</v>
      </c>
      <c r="RBL11" s="1429" t="s">
        <v>134</v>
      </c>
      <c r="RBM11" s="1429" t="s">
        <v>134</v>
      </c>
      <c r="RBN11" s="1429" t="s">
        <v>134</v>
      </c>
      <c r="RBO11" s="1429" t="s">
        <v>134</v>
      </c>
      <c r="RBP11" s="1429" t="s">
        <v>134</v>
      </c>
      <c r="RBQ11" s="1429" t="s">
        <v>134</v>
      </c>
      <c r="RBR11" s="1429" t="s">
        <v>134</v>
      </c>
      <c r="RBS11" s="1429" t="s">
        <v>134</v>
      </c>
      <c r="RBT11" s="1429" t="s">
        <v>134</v>
      </c>
      <c r="RBU11" s="1429" t="s">
        <v>134</v>
      </c>
      <c r="RBV11" s="1429" t="s">
        <v>134</v>
      </c>
      <c r="RBW11" s="1429" t="s">
        <v>134</v>
      </c>
      <c r="RBX11" s="1429" t="s">
        <v>134</v>
      </c>
      <c r="RBY11" s="1429" t="s">
        <v>134</v>
      </c>
      <c r="RBZ11" s="1429" t="s">
        <v>134</v>
      </c>
      <c r="RCA11" s="1429" t="s">
        <v>134</v>
      </c>
      <c r="RCB11" s="1429" t="s">
        <v>134</v>
      </c>
      <c r="RCC11" s="1429" t="s">
        <v>134</v>
      </c>
      <c r="RCD11" s="1429" t="s">
        <v>134</v>
      </c>
      <c r="RCE11" s="1429" t="s">
        <v>134</v>
      </c>
      <c r="RCF11" s="1429" t="s">
        <v>134</v>
      </c>
      <c r="RCG11" s="1429" t="s">
        <v>134</v>
      </c>
      <c r="RCH11" s="1429" t="s">
        <v>134</v>
      </c>
      <c r="RCI11" s="1429" t="s">
        <v>134</v>
      </c>
      <c r="RCJ11" s="1429" t="s">
        <v>134</v>
      </c>
      <c r="RCK11" s="1429" t="s">
        <v>134</v>
      </c>
      <c r="RCL11" s="1429" t="s">
        <v>134</v>
      </c>
      <c r="RCM11" s="1429" t="s">
        <v>134</v>
      </c>
      <c r="RCN11" s="1429" t="s">
        <v>134</v>
      </c>
      <c r="RCO11" s="1429" t="s">
        <v>134</v>
      </c>
      <c r="RCP11" s="1429" t="s">
        <v>134</v>
      </c>
      <c r="RCQ11" s="1429" t="s">
        <v>134</v>
      </c>
      <c r="RCR11" s="1429" t="s">
        <v>134</v>
      </c>
      <c r="RCS11" s="1429" t="s">
        <v>134</v>
      </c>
      <c r="RCT11" s="1429" t="s">
        <v>134</v>
      </c>
      <c r="RCU11" s="1429" t="s">
        <v>134</v>
      </c>
      <c r="RCV11" s="1429" t="s">
        <v>134</v>
      </c>
      <c r="RCW11" s="1429" t="s">
        <v>134</v>
      </c>
      <c r="RCX11" s="1429" t="s">
        <v>134</v>
      </c>
      <c r="RCY11" s="1429" t="s">
        <v>134</v>
      </c>
      <c r="RCZ11" s="1429" t="s">
        <v>134</v>
      </c>
      <c r="RDA11" s="1429" t="s">
        <v>134</v>
      </c>
      <c r="RDB11" s="1429" t="s">
        <v>134</v>
      </c>
      <c r="RDC11" s="1429" t="s">
        <v>134</v>
      </c>
      <c r="RDD11" s="1429" t="s">
        <v>134</v>
      </c>
      <c r="RDE11" s="1429" t="s">
        <v>134</v>
      </c>
      <c r="RDF11" s="1429" t="s">
        <v>134</v>
      </c>
      <c r="RDG11" s="1429" t="s">
        <v>134</v>
      </c>
      <c r="RDH11" s="1429" t="s">
        <v>134</v>
      </c>
      <c r="RDI11" s="1429" t="s">
        <v>134</v>
      </c>
      <c r="RDJ11" s="1429" t="s">
        <v>134</v>
      </c>
      <c r="RDK11" s="1429" t="s">
        <v>134</v>
      </c>
      <c r="RDL11" s="1429" t="s">
        <v>134</v>
      </c>
      <c r="RDM11" s="1429" t="s">
        <v>134</v>
      </c>
      <c r="RDN11" s="1429" t="s">
        <v>134</v>
      </c>
      <c r="RDO11" s="1429" t="s">
        <v>134</v>
      </c>
      <c r="RDP11" s="1429" t="s">
        <v>134</v>
      </c>
      <c r="RDQ11" s="1429" t="s">
        <v>134</v>
      </c>
      <c r="RDR11" s="1429" t="s">
        <v>134</v>
      </c>
      <c r="RDS11" s="1429" t="s">
        <v>134</v>
      </c>
      <c r="RDT11" s="1429" t="s">
        <v>134</v>
      </c>
      <c r="RDU11" s="1429" t="s">
        <v>134</v>
      </c>
      <c r="RDV11" s="1429" t="s">
        <v>134</v>
      </c>
      <c r="RDW11" s="1429" t="s">
        <v>134</v>
      </c>
      <c r="RDX11" s="1429" t="s">
        <v>134</v>
      </c>
      <c r="RDY11" s="1429" t="s">
        <v>134</v>
      </c>
      <c r="RDZ11" s="1429" t="s">
        <v>134</v>
      </c>
      <c r="REA11" s="1429" t="s">
        <v>134</v>
      </c>
      <c r="REB11" s="1429" t="s">
        <v>134</v>
      </c>
      <c r="REC11" s="1429" t="s">
        <v>134</v>
      </c>
      <c r="RED11" s="1429" t="s">
        <v>134</v>
      </c>
      <c r="REE11" s="1429" t="s">
        <v>134</v>
      </c>
      <c r="REF11" s="1429" t="s">
        <v>134</v>
      </c>
      <c r="REG11" s="1429" t="s">
        <v>134</v>
      </c>
      <c r="REH11" s="1429" t="s">
        <v>134</v>
      </c>
      <c r="REI11" s="1429" t="s">
        <v>134</v>
      </c>
      <c r="REJ11" s="1429" t="s">
        <v>134</v>
      </c>
      <c r="REK11" s="1429" t="s">
        <v>134</v>
      </c>
      <c r="REL11" s="1429" t="s">
        <v>134</v>
      </c>
      <c r="REM11" s="1429" t="s">
        <v>134</v>
      </c>
      <c r="REN11" s="1429" t="s">
        <v>134</v>
      </c>
      <c r="REO11" s="1429" t="s">
        <v>134</v>
      </c>
      <c r="REP11" s="1429" t="s">
        <v>134</v>
      </c>
      <c r="REQ11" s="1429" t="s">
        <v>134</v>
      </c>
      <c r="RER11" s="1429" t="s">
        <v>134</v>
      </c>
      <c r="RES11" s="1429" t="s">
        <v>134</v>
      </c>
      <c r="RET11" s="1429" t="s">
        <v>134</v>
      </c>
      <c r="REU11" s="1429" t="s">
        <v>134</v>
      </c>
      <c r="REV11" s="1429" t="s">
        <v>134</v>
      </c>
      <c r="REW11" s="1429" t="s">
        <v>134</v>
      </c>
      <c r="REX11" s="1429" t="s">
        <v>134</v>
      </c>
      <c r="REY11" s="1429" t="s">
        <v>134</v>
      </c>
      <c r="REZ11" s="1429" t="s">
        <v>134</v>
      </c>
      <c r="RFA11" s="1429" t="s">
        <v>134</v>
      </c>
      <c r="RFB11" s="1429" t="s">
        <v>134</v>
      </c>
      <c r="RFC11" s="1429" t="s">
        <v>134</v>
      </c>
      <c r="RFD11" s="1429" t="s">
        <v>134</v>
      </c>
      <c r="RFE11" s="1429" t="s">
        <v>134</v>
      </c>
      <c r="RFF11" s="1429" t="s">
        <v>134</v>
      </c>
      <c r="RFG11" s="1429" t="s">
        <v>134</v>
      </c>
      <c r="RFH11" s="1429" t="s">
        <v>134</v>
      </c>
      <c r="RFI11" s="1429" t="s">
        <v>134</v>
      </c>
      <c r="RFJ11" s="1429" t="s">
        <v>134</v>
      </c>
      <c r="RFK11" s="1429" t="s">
        <v>134</v>
      </c>
      <c r="RFL11" s="1429" t="s">
        <v>134</v>
      </c>
      <c r="RFM11" s="1429" t="s">
        <v>134</v>
      </c>
      <c r="RFN11" s="1429" t="s">
        <v>134</v>
      </c>
      <c r="RFO11" s="1429" t="s">
        <v>134</v>
      </c>
      <c r="RFP11" s="1429" t="s">
        <v>134</v>
      </c>
      <c r="RFQ11" s="1429" t="s">
        <v>134</v>
      </c>
      <c r="RFR11" s="1429" t="s">
        <v>134</v>
      </c>
      <c r="RFS11" s="1429" t="s">
        <v>134</v>
      </c>
      <c r="RFT11" s="1429" t="s">
        <v>134</v>
      </c>
      <c r="RFU11" s="1429" t="s">
        <v>134</v>
      </c>
      <c r="RFV11" s="1429" t="s">
        <v>134</v>
      </c>
      <c r="RFW11" s="1429" t="s">
        <v>134</v>
      </c>
      <c r="RFX11" s="1429" t="s">
        <v>134</v>
      </c>
      <c r="RFY11" s="1429" t="s">
        <v>134</v>
      </c>
      <c r="RFZ11" s="1429" t="s">
        <v>134</v>
      </c>
      <c r="RGA11" s="1429" t="s">
        <v>134</v>
      </c>
      <c r="RGB11" s="1429" t="s">
        <v>134</v>
      </c>
      <c r="RGC11" s="1429" t="s">
        <v>134</v>
      </c>
      <c r="RGD11" s="1429" t="s">
        <v>134</v>
      </c>
      <c r="RGE11" s="1429" t="s">
        <v>134</v>
      </c>
      <c r="RGF11" s="1429" t="s">
        <v>134</v>
      </c>
      <c r="RGG11" s="1429" t="s">
        <v>134</v>
      </c>
      <c r="RGH11" s="1429" t="s">
        <v>134</v>
      </c>
      <c r="RGI11" s="1429" t="s">
        <v>134</v>
      </c>
      <c r="RGJ11" s="1429" t="s">
        <v>134</v>
      </c>
      <c r="RGK11" s="1429" t="s">
        <v>134</v>
      </c>
      <c r="RGL11" s="1429" t="s">
        <v>134</v>
      </c>
      <c r="RGM11" s="1429" t="s">
        <v>134</v>
      </c>
      <c r="RGN11" s="1429" t="s">
        <v>134</v>
      </c>
      <c r="RGO11" s="1429" t="s">
        <v>134</v>
      </c>
      <c r="RGP11" s="1429" t="s">
        <v>134</v>
      </c>
      <c r="RGQ11" s="1429" t="s">
        <v>134</v>
      </c>
      <c r="RGR11" s="1429" t="s">
        <v>134</v>
      </c>
      <c r="RGS11" s="1429" t="s">
        <v>134</v>
      </c>
      <c r="RGT11" s="1429" t="s">
        <v>134</v>
      </c>
      <c r="RGU11" s="1429" t="s">
        <v>134</v>
      </c>
      <c r="RGV11" s="1429" t="s">
        <v>134</v>
      </c>
      <c r="RGW11" s="1429" t="s">
        <v>134</v>
      </c>
      <c r="RGX11" s="1429" t="s">
        <v>134</v>
      </c>
      <c r="RGY11" s="1429" t="s">
        <v>134</v>
      </c>
      <c r="RGZ11" s="1429" t="s">
        <v>134</v>
      </c>
      <c r="RHA11" s="1429" t="s">
        <v>134</v>
      </c>
      <c r="RHB11" s="1429" t="s">
        <v>134</v>
      </c>
      <c r="RHC11" s="1429" t="s">
        <v>134</v>
      </c>
      <c r="RHD11" s="1429" t="s">
        <v>134</v>
      </c>
      <c r="RHE11" s="1429" t="s">
        <v>134</v>
      </c>
      <c r="RHF11" s="1429" t="s">
        <v>134</v>
      </c>
      <c r="RHG11" s="1429" t="s">
        <v>134</v>
      </c>
      <c r="RHH11" s="1429" t="s">
        <v>134</v>
      </c>
      <c r="RHI11" s="1429" t="s">
        <v>134</v>
      </c>
      <c r="RHJ11" s="1429" t="s">
        <v>134</v>
      </c>
      <c r="RHK11" s="1429" t="s">
        <v>134</v>
      </c>
      <c r="RHL11" s="1429" t="s">
        <v>134</v>
      </c>
      <c r="RHM11" s="1429" t="s">
        <v>134</v>
      </c>
      <c r="RHN11" s="1429" t="s">
        <v>134</v>
      </c>
      <c r="RHO11" s="1429" t="s">
        <v>134</v>
      </c>
      <c r="RHP11" s="1429" t="s">
        <v>134</v>
      </c>
      <c r="RHQ11" s="1429" t="s">
        <v>134</v>
      </c>
      <c r="RHR11" s="1429" t="s">
        <v>134</v>
      </c>
      <c r="RHS11" s="1429" t="s">
        <v>134</v>
      </c>
      <c r="RHT11" s="1429" t="s">
        <v>134</v>
      </c>
      <c r="RHU11" s="1429" t="s">
        <v>134</v>
      </c>
      <c r="RHV11" s="1429" t="s">
        <v>134</v>
      </c>
      <c r="RHW11" s="1429" t="s">
        <v>134</v>
      </c>
      <c r="RHX11" s="1429" t="s">
        <v>134</v>
      </c>
      <c r="RHY11" s="1429" t="s">
        <v>134</v>
      </c>
      <c r="RHZ11" s="1429" t="s">
        <v>134</v>
      </c>
      <c r="RIA11" s="1429" t="s">
        <v>134</v>
      </c>
      <c r="RIB11" s="1429" t="s">
        <v>134</v>
      </c>
      <c r="RIC11" s="1429" t="s">
        <v>134</v>
      </c>
      <c r="RID11" s="1429" t="s">
        <v>134</v>
      </c>
      <c r="RIE11" s="1429" t="s">
        <v>134</v>
      </c>
      <c r="RIF11" s="1429" t="s">
        <v>134</v>
      </c>
      <c r="RIG11" s="1429" t="s">
        <v>134</v>
      </c>
      <c r="RIH11" s="1429" t="s">
        <v>134</v>
      </c>
      <c r="RII11" s="1429" t="s">
        <v>134</v>
      </c>
      <c r="RIJ11" s="1429" t="s">
        <v>134</v>
      </c>
      <c r="RIK11" s="1429" t="s">
        <v>134</v>
      </c>
      <c r="RIL11" s="1429" t="s">
        <v>134</v>
      </c>
      <c r="RIM11" s="1429" t="s">
        <v>134</v>
      </c>
      <c r="RIN11" s="1429" t="s">
        <v>134</v>
      </c>
      <c r="RIO11" s="1429" t="s">
        <v>134</v>
      </c>
      <c r="RIP11" s="1429" t="s">
        <v>134</v>
      </c>
      <c r="RIQ11" s="1429" t="s">
        <v>134</v>
      </c>
      <c r="RIR11" s="1429" t="s">
        <v>134</v>
      </c>
      <c r="RIS11" s="1429" t="s">
        <v>134</v>
      </c>
      <c r="RIT11" s="1429" t="s">
        <v>134</v>
      </c>
      <c r="RIU11" s="1429" t="s">
        <v>134</v>
      </c>
      <c r="RIV11" s="1429" t="s">
        <v>134</v>
      </c>
      <c r="RIW11" s="1429" t="s">
        <v>134</v>
      </c>
      <c r="RIX11" s="1429" t="s">
        <v>134</v>
      </c>
      <c r="RIY11" s="1429" t="s">
        <v>134</v>
      </c>
      <c r="RIZ11" s="1429" t="s">
        <v>134</v>
      </c>
      <c r="RJA11" s="1429" t="s">
        <v>134</v>
      </c>
      <c r="RJB11" s="1429" t="s">
        <v>134</v>
      </c>
      <c r="RJC11" s="1429" t="s">
        <v>134</v>
      </c>
      <c r="RJD11" s="1429" t="s">
        <v>134</v>
      </c>
      <c r="RJE11" s="1429" t="s">
        <v>134</v>
      </c>
      <c r="RJF11" s="1429" t="s">
        <v>134</v>
      </c>
      <c r="RJG11" s="1429" t="s">
        <v>134</v>
      </c>
      <c r="RJH11" s="1429" t="s">
        <v>134</v>
      </c>
      <c r="RJI11" s="1429" t="s">
        <v>134</v>
      </c>
      <c r="RJJ11" s="1429" t="s">
        <v>134</v>
      </c>
      <c r="RJK11" s="1429" t="s">
        <v>134</v>
      </c>
      <c r="RJL11" s="1429" t="s">
        <v>134</v>
      </c>
      <c r="RJM11" s="1429" t="s">
        <v>134</v>
      </c>
      <c r="RJN11" s="1429" t="s">
        <v>134</v>
      </c>
      <c r="RJO11" s="1429" t="s">
        <v>134</v>
      </c>
      <c r="RJP11" s="1429" t="s">
        <v>134</v>
      </c>
      <c r="RJQ11" s="1429" t="s">
        <v>134</v>
      </c>
      <c r="RJR11" s="1429" t="s">
        <v>134</v>
      </c>
      <c r="RJS11" s="1429" t="s">
        <v>134</v>
      </c>
      <c r="RJT11" s="1429" t="s">
        <v>134</v>
      </c>
      <c r="RJU11" s="1429" t="s">
        <v>134</v>
      </c>
      <c r="RJV11" s="1429" t="s">
        <v>134</v>
      </c>
      <c r="RJW11" s="1429" t="s">
        <v>134</v>
      </c>
      <c r="RJX11" s="1429" t="s">
        <v>134</v>
      </c>
      <c r="RJY11" s="1429" t="s">
        <v>134</v>
      </c>
      <c r="RJZ11" s="1429" t="s">
        <v>134</v>
      </c>
      <c r="RKA11" s="1429" t="s">
        <v>134</v>
      </c>
      <c r="RKB11" s="1429" t="s">
        <v>134</v>
      </c>
      <c r="RKC11" s="1429" t="s">
        <v>134</v>
      </c>
      <c r="RKD11" s="1429" t="s">
        <v>134</v>
      </c>
      <c r="RKE11" s="1429" t="s">
        <v>134</v>
      </c>
      <c r="RKF11" s="1429" t="s">
        <v>134</v>
      </c>
      <c r="RKG11" s="1429" t="s">
        <v>134</v>
      </c>
      <c r="RKH11" s="1429" t="s">
        <v>134</v>
      </c>
      <c r="RKI11" s="1429" t="s">
        <v>134</v>
      </c>
      <c r="RKJ11" s="1429" t="s">
        <v>134</v>
      </c>
      <c r="RKK11" s="1429" t="s">
        <v>134</v>
      </c>
      <c r="RKL11" s="1429" t="s">
        <v>134</v>
      </c>
      <c r="RKM11" s="1429" t="s">
        <v>134</v>
      </c>
      <c r="RKN11" s="1429" t="s">
        <v>134</v>
      </c>
      <c r="RKO11" s="1429" t="s">
        <v>134</v>
      </c>
      <c r="RKP11" s="1429" t="s">
        <v>134</v>
      </c>
      <c r="RKQ11" s="1429" t="s">
        <v>134</v>
      </c>
      <c r="RKR11" s="1429" t="s">
        <v>134</v>
      </c>
      <c r="RKS11" s="1429" t="s">
        <v>134</v>
      </c>
      <c r="RKT11" s="1429" t="s">
        <v>134</v>
      </c>
      <c r="RKU11" s="1429" t="s">
        <v>134</v>
      </c>
      <c r="RKV11" s="1429" t="s">
        <v>134</v>
      </c>
      <c r="RKW11" s="1429" t="s">
        <v>134</v>
      </c>
      <c r="RKX11" s="1429" t="s">
        <v>134</v>
      </c>
      <c r="RKY11" s="1429" t="s">
        <v>134</v>
      </c>
      <c r="RKZ11" s="1429" t="s">
        <v>134</v>
      </c>
      <c r="RLA11" s="1429" t="s">
        <v>134</v>
      </c>
      <c r="RLB11" s="1429" t="s">
        <v>134</v>
      </c>
      <c r="RLC11" s="1429" t="s">
        <v>134</v>
      </c>
      <c r="RLD11" s="1429" t="s">
        <v>134</v>
      </c>
      <c r="RLE11" s="1429" t="s">
        <v>134</v>
      </c>
      <c r="RLF11" s="1429" t="s">
        <v>134</v>
      </c>
      <c r="RLG11" s="1429" t="s">
        <v>134</v>
      </c>
      <c r="RLH11" s="1429" t="s">
        <v>134</v>
      </c>
      <c r="RLI11" s="1429" t="s">
        <v>134</v>
      </c>
      <c r="RLJ11" s="1429" t="s">
        <v>134</v>
      </c>
      <c r="RLK11" s="1429" t="s">
        <v>134</v>
      </c>
      <c r="RLL11" s="1429" t="s">
        <v>134</v>
      </c>
      <c r="RLM11" s="1429" t="s">
        <v>134</v>
      </c>
      <c r="RLN11" s="1429" t="s">
        <v>134</v>
      </c>
      <c r="RLO11" s="1429" t="s">
        <v>134</v>
      </c>
      <c r="RLP11" s="1429" t="s">
        <v>134</v>
      </c>
      <c r="RLQ11" s="1429" t="s">
        <v>134</v>
      </c>
      <c r="RLR11" s="1429" t="s">
        <v>134</v>
      </c>
      <c r="RLS11" s="1429" t="s">
        <v>134</v>
      </c>
      <c r="RLT11" s="1429" t="s">
        <v>134</v>
      </c>
      <c r="RLU11" s="1429" t="s">
        <v>134</v>
      </c>
      <c r="RLV11" s="1429" t="s">
        <v>134</v>
      </c>
      <c r="RLW11" s="1429" t="s">
        <v>134</v>
      </c>
      <c r="RLX11" s="1429" t="s">
        <v>134</v>
      </c>
      <c r="RLY11" s="1429" t="s">
        <v>134</v>
      </c>
      <c r="RLZ11" s="1429" t="s">
        <v>134</v>
      </c>
      <c r="RMA11" s="1429" t="s">
        <v>134</v>
      </c>
      <c r="RMB11" s="1429" t="s">
        <v>134</v>
      </c>
      <c r="RMC11" s="1429" t="s">
        <v>134</v>
      </c>
      <c r="RMD11" s="1429" t="s">
        <v>134</v>
      </c>
      <c r="RME11" s="1429" t="s">
        <v>134</v>
      </c>
      <c r="RMF11" s="1429" t="s">
        <v>134</v>
      </c>
      <c r="RMG11" s="1429" t="s">
        <v>134</v>
      </c>
      <c r="RMH11" s="1429" t="s">
        <v>134</v>
      </c>
      <c r="RMI11" s="1429" t="s">
        <v>134</v>
      </c>
      <c r="RMJ11" s="1429" t="s">
        <v>134</v>
      </c>
      <c r="RMK11" s="1429" t="s">
        <v>134</v>
      </c>
      <c r="RML11" s="1429" t="s">
        <v>134</v>
      </c>
      <c r="RMM11" s="1429" t="s">
        <v>134</v>
      </c>
      <c r="RMN11" s="1429" t="s">
        <v>134</v>
      </c>
      <c r="RMO11" s="1429" t="s">
        <v>134</v>
      </c>
      <c r="RMP11" s="1429" t="s">
        <v>134</v>
      </c>
      <c r="RMQ11" s="1429" t="s">
        <v>134</v>
      </c>
      <c r="RMR11" s="1429" t="s">
        <v>134</v>
      </c>
      <c r="RMS11" s="1429" t="s">
        <v>134</v>
      </c>
      <c r="RMT11" s="1429" t="s">
        <v>134</v>
      </c>
      <c r="RMU11" s="1429" t="s">
        <v>134</v>
      </c>
      <c r="RMV11" s="1429" t="s">
        <v>134</v>
      </c>
      <c r="RMW11" s="1429" t="s">
        <v>134</v>
      </c>
      <c r="RMX11" s="1429" t="s">
        <v>134</v>
      </c>
      <c r="RMY11" s="1429" t="s">
        <v>134</v>
      </c>
      <c r="RMZ11" s="1429" t="s">
        <v>134</v>
      </c>
      <c r="RNA11" s="1429" t="s">
        <v>134</v>
      </c>
      <c r="RNB11" s="1429" t="s">
        <v>134</v>
      </c>
      <c r="RNC11" s="1429" t="s">
        <v>134</v>
      </c>
      <c r="RND11" s="1429" t="s">
        <v>134</v>
      </c>
      <c r="RNE11" s="1429" t="s">
        <v>134</v>
      </c>
      <c r="RNF11" s="1429" t="s">
        <v>134</v>
      </c>
      <c r="RNG11" s="1429" t="s">
        <v>134</v>
      </c>
      <c r="RNH11" s="1429" t="s">
        <v>134</v>
      </c>
      <c r="RNI11" s="1429" t="s">
        <v>134</v>
      </c>
      <c r="RNJ11" s="1429" t="s">
        <v>134</v>
      </c>
      <c r="RNK11" s="1429" t="s">
        <v>134</v>
      </c>
      <c r="RNL11" s="1429" t="s">
        <v>134</v>
      </c>
      <c r="RNM11" s="1429" t="s">
        <v>134</v>
      </c>
      <c r="RNN11" s="1429" t="s">
        <v>134</v>
      </c>
      <c r="RNO11" s="1429" t="s">
        <v>134</v>
      </c>
      <c r="RNP11" s="1429" t="s">
        <v>134</v>
      </c>
      <c r="RNQ11" s="1429" t="s">
        <v>134</v>
      </c>
      <c r="RNR11" s="1429" t="s">
        <v>134</v>
      </c>
      <c r="RNS11" s="1429" t="s">
        <v>134</v>
      </c>
      <c r="RNT11" s="1429" t="s">
        <v>134</v>
      </c>
      <c r="RNU11" s="1429" t="s">
        <v>134</v>
      </c>
      <c r="RNV11" s="1429" t="s">
        <v>134</v>
      </c>
      <c r="RNW11" s="1429" t="s">
        <v>134</v>
      </c>
      <c r="RNX11" s="1429" t="s">
        <v>134</v>
      </c>
      <c r="RNY11" s="1429" t="s">
        <v>134</v>
      </c>
      <c r="RNZ11" s="1429" t="s">
        <v>134</v>
      </c>
      <c r="ROA11" s="1429" t="s">
        <v>134</v>
      </c>
      <c r="ROB11" s="1429" t="s">
        <v>134</v>
      </c>
      <c r="ROC11" s="1429" t="s">
        <v>134</v>
      </c>
      <c r="ROD11" s="1429" t="s">
        <v>134</v>
      </c>
      <c r="ROE11" s="1429" t="s">
        <v>134</v>
      </c>
      <c r="ROF11" s="1429" t="s">
        <v>134</v>
      </c>
      <c r="ROG11" s="1429" t="s">
        <v>134</v>
      </c>
      <c r="ROH11" s="1429" t="s">
        <v>134</v>
      </c>
      <c r="ROI11" s="1429" t="s">
        <v>134</v>
      </c>
      <c r="ROJ11" s="1429" t="s">
        <v>134</v>
      </c>
      <c r="ROK11" s="1429" t="s">
        <v>134</v>
      </c>
      <c r="ROL11" s="1429" t="s">
        <v>134</v>
      </c>
      <c r="ROM11" s="1429" t="s">
        <v>134</v>
      </c>
      <c r="RON11" s="1429" t="s">
        <v>134</v>
      </c>
      <c r="ROO11" s="1429" t="s">
        <v>134</v>
      </c>
      <c r="ROP11" s="1429" t="s">
        <v>134</v>
      </c>
      <c r="ROQ11" s="1429" t="s">
        <v>134</v>
      </c>
      <c r="ROR11" s="1429" t="s">
        <v>134</v>
      </c>
      <c r="ROS11" s="1429" t="s">
        <v>134</v>
      </c>
      <c r="ROT11" s="1429" t="s">
        <v>134</v>
      </c>
      <c r="ROU11" s="1429" t="s">
        <v>134</v>
      </c>
      <c r="ROV11" s="1429" t="s">
        <v>134</v>
      </c>
      <c r="ROW11" s="1429" t="s">
        <v>134</v>
      </c>
      <c r="ROX11" s="1429" t="s">
        <v>134</v>
      </c>
      <c r="ROY11" s="1429" t="s">
        <v>134</v>
      </c>
      <c r="ROZ11" s="1429" t="s">
        <v>134</v>
      </c>
      <c r="RPA11" s="1429" t="s">
        <v>134</v>
      </c>
      <c r="RPB11" s="1429" t="s">
        <v>134</v>
      </c>
      <c r="RPC11" s="1429" t="s">
        <v>134</v>
      </c>
      <c r="RPD11" s="1429" t="s">
        <v>134</v>
      </c>
      <c r="RPE11" s="1429" t="s">
        <v>134</v>
      </c>
      <c r="RPF11" s="1429" t="s">
        <v>134</v>
      </c>
      <c r="RPG11" s="1429" t="s">
        <v>134</v>
      </c>
      <c r="RPH11" s="1429" t="s">
        <v>134</v>
      </c>
      <c r="RPI11" s="1429" t="s">
        <v>134</v>
      </c>
      <c r="RPJ11" s="1429" t="s">
        <v>134</v>
      </c>
      <c r="RPK11" s="1429" t="s">
        <v>134</v>
      </c>
      <c r="RPL11" s="1429" t="s">
        <v>134</v>
      </c>
      <c r="RPM11" s="1429" t="s">
        <v>134</v>
      </c>
      <c r="RPN11" s="1429" t="s">
        <v>134</v>
      </c>
      <c r="RPO11" s="1429" t="s">
        <v>134</v>
      </c>
      <c r="RPP11" s="1429" t="s">
        <v>134</v>
      </c>
      <c r="RPQ11" s="1429" t="s">
        <v>134</v>
      </c>
      <c r="RPR11" s="1429" t="s">
        <v>134</v>
      </c>
      <c r="RPS11" s="1429" t="s">
        <v>134</v>
      </c>
      <c r="RPT11" s="1429" t="s">
        <v>134</v>
      </c>
      <c r="RPU11" s="1429" t="s">
        <v>134</v>
      </c>
      <c r="RPV11" s="1429" t="s">
        <v>134</v>
      </c>
      <c r="RPW11" s="1429" t="s">
        <v>134</v>
      </c>
      <c r="RPX11" s="1429" t="s">
        <v>134</v>
      </c>
      <c r="RPY11" s="1429" t="s">
        <v>134</v>
      </c>
      <c r="RPZ11" s="1429" t="s">
        <v>134</v>
      </c>
      <c r="RQA11" s="1429" t="s">
        <v>134</v>
      </c>
      <c r="RQB11" s="1429" t="s">
        <v>134</v>
      </c>
      <c r="RQC11" s="1429" t="s">
        <v>134</v>
      </c>
      <c r="RQD11" s="1429" t="s">
        <v>134</v>
      </c>
      <c r="RQE11" s="1429" t="s">
        <v>134</v>
      </c>
      <c r="RQF11" s="1429" t="s">
        <v>134</v>
      </c>
      <c r="RQG11" s="1429" t="s">
        <v>134</v>
      </c>
      <c r="RQH11" s="1429" t="s">
        <v>134</v>
      </c>
      <c r="RQI11" s="1429" t="s">
        <v>134</v>
      </c>
      <c r="RQJ11" s="1429" t="s">
        <v>134</v>
      </c>
      <c r="RQK11" s="1429" t="s">
        <v>134</v>
      </c>
      <c r="RQL11" s="1429" t="s">
        <v>134</v>
      </c>
      <c r="RQM11" s="1429" t="s">
        <v>134</v>
      </c>
      <c r="RQN11" s="1429" t="s">
        <v>134</v>
      </c>
      <c r="RQO11" s="1429" t="s">
        <v>134</v>
      </c>
      <c r="RQP11" s="1429" t="s">
        <v>134</v>
      </c>
      <c r="RQQ11" s="1429" t="s">
        <v>134</v>
      </c>
      <c r="RQR11" s="1429" t="s">
        <v>134</v>
      </c>
      <c r="RQS11" s="1429" t="s">
        <v>134</v>
      </c>
      <c r="RQT11" s="1429" t="s">
        <v>134</v>
      </c>
      <c r="RQU11" s="1429" t="s">
        <v>134</v>
      </c>
      <c r="RQV11" s="1429" t="s">
        <v>134</v>
      </c>
      <c r="RQW11" s="1429" t="s">
        <v>134</v>
      </c>
      <c r="RQX11" s="1429" t="s">
        <v>134</v>
      </c>
      <c r="RQY11" s="1429" t="s">
        <v>134</v>
      </c>
      <c r="RQZ11" s="1429" t="s">
        <v>134</v>
      </c>
      <c r="RRA11" s="1429" t="s">
        <v>134</v>
      </c>
      <c r="RRB11" s="1429" t="s">
        <v>134</v>
      </c>
      <c r="RRC11" s="1429" t="s">
        <v>134</v>
      </c>
      <c r="RRD11" s="1429" t="s">
        <v>134</v>
      </c>
      <c r="RRE11" s="1429" t="s">
        <v>134</v>
      </c>
      <c r="RRF11" s="1429" t="s">
        <v>134</v>
      </c>
      <c r="RRG11" s="1429" t="s">
        <v>134</v>
      </c>
      <c r="RRH11" s="1429" t="s">
        <v>134</v>
      </c>
      <c r="RRI11" s="1429" t="s">
        <v>134</v>
      </c>
      <c r="RRJ11" s="1429" t="s">
        <v>134</v>
      </c>
      <c r="RRK11" s="1429" t="s">
        <v>134</v>
      </c>
      <c r="RRL11" s="1429" t="s">
        <v>134</v>
      </c>
      <c r="RRM11" s="1429" t="s">
        <v>134</v>
      </c>
      <c r="RRN11" s="1429" t="s">
        <v>134</v>
      </c>
      <c r="RRO11" s="1429" t="s">
        <v>134</v>
      </c>
      <c r="RRP11" s="1429" t="s">
        <v>134</v>
      </c>
      <c r="RRQ11" s="1429" t="s">
        <v>134</v>
      </c>
      <c r="RRR11" s="1429" t="s">
        <v>134</v>
      </c>
      <c r="RRS11" s="1429" t="s">
        <v>134</v>
      </c>
      <c r="RRT11" s="1429" t="s">
        <v>134</v>
      </c>
      <c r="RRU11" s="1429" t="s">
        <v>134</v>
      </c>
      <c r="RRV11" s="1429" t="s">
        <v>134</v>
      </c>
      <c r="RRW11" s="1429" t="s">
        <v>134</v>
      </c>
      <c r="RRX11" s="1429" t="s">
        <v>134</v>
      </c>
      <c r="RRY11" s="1429" t="s">
        <v>134</v>
      </c>
      <c r="RRZ11" s="1429" t="s">
        <v>134</v>
      </c>
      <c r="RSA11" s="1429" t="s">
        <v>134</v>
      </c>
      <c r="RSB11" s="1429" t="s">
        <v>134</v>
      </c>
      <c r="RSC11" s="1429" t="s">
        <v>134</v>
      </c>
      <c r="RSD11" s="1429" t="s">
        <v>134</v>
      </c>
      <c r="RSE11" s="1429" t="s">
        <v>134</v>
      </c>
      <c r="RSF11" s="1429" t="s">
        <v>134</v>
      </c>
      <c r="RSG11" s="1429" t="s">
        <v>134</v>
      </c>
      <c r="RSH11" s="1429" t="s">
        <v>134</v>
      </c>
      <c r="RSI11" s="1429" t="s">
        <v>134</v>
      </c>
      <c r="RSJ11" s="1429" t="s">
        <v>134</v>
      </c>
      <c r="RSK11" s="1429" t="s">
        <v>134</v>
      </c>
      <c r="RSL11" s="1429" t="s">
        <v>134</v>
      </c>
      <c r="RSM11" s="1429" t="s">
        <v>134</v>
      </c>
      <c r="RSN11" s="1429" t="s">
        <v>134</v>
      </c>
      <c r="RSO11" s="1429" t="s">
        <v>134</v>
      </c>
      <c r="RSP11" s="1429" t="s">
        <v>134</v>
      </c>
      <c r="RSQ11" s="1429" t="s">
        <v>134</v>
      </c>
      <c r="RSR11" s="1429" t="s">
        <v>134</v>
      </c>
      <c r="RSS11" s="1429" t="s">
        <v>134</v>
      </c>
      <c r="RST11" s="1429" t="s">
        <v>134</v>
      </c>
      <c r="RSU11" s="1429" t="s">
        <v>134</v>
      </c>
      <c r="RSV11" s="1429" t="s">
        <v>134</v>
      </c>
      <c r="RSW11" s="1429" t="s">
        <v>134</v>
      </c>
      <c r="RSX11" s="1429" t="s">
        <v>134</v>
      </c>
      <c r="RSY11" s="1429" t="s">
        <v>134</v>
      </c>
      <c r="RSZ11" s="1429" t="s">
        <v>134</v>
      </c>
      <c r="RTA11" s="1429" t="s">
        <v>134</v>
      </c>
      <c r="RTB11" s="1429" t="s">
        <v>134</v>
      </c>
      <c r="RTC11" s="1429" t="s">
        <v>134</v>
      </c>
      <c r="RTD11" s="1429" t="s">
        <v>134</v>
      </c>
      <c r="RTE11" s="1429" t="s">
        <v>134</v>
      </c>
      <c r="RTF11" s="1429" t="s">
        <v>134</v>
      </c>
      <c r="RTG11" s="1429" t="s">
        <v>134</v>
      </c>
      <c r="RTH11" s="1429" t="s">
        <v>134</v>
      </c>
      <c r="RTI11" s="1429" t="s">
        <v>134</v>
      </c>
      <c r="RTJ11" s="1429" t="s">
        <v>134</v>
      </c>
      <c r="RTK11" s="1429" t="s">
        <v>134</v>
      </c>
      <c r="RTL11" s="1429" t="s">
        <v>134</v>
      </c>
      <c r="RTM11" s="1429" t="s">
        <v>134</v>
      </c>
      <c r="RTN11" s="1429" t="s">
        <v>134</v>
      </c>
      <c r="RTO11" s="1429" t="s">
        <v>134</v>
      </c>
      <c r="RTP11" s="1429" t="s">
        <v>134</v>
      </c>
      <c r="RTQ11" s="1429" t="s">
        <v>134</v>
      </c>
      <c r="RTR11" s="1429" t="s">
        <v>134</v>
      </c>
      <c r="RTS11" s="1429" t="s">
        <v>134</v>
      </c>
      <c r="RTT11" s="1429" t="s">
        <v>134</v>
      </c>
      <c r="RTU11" s="1429" t="s">
        <v>134</v>
      </c>
      <c r="RTV11" s="1429" t="s">
        <v>134</v>
      </c>
      <c r="RTW11" s="1429" t="s">
        <v>134</v>
      </c>
      <c r="RTX11" s="1429" t="s">
        <v>134</v>
      </c>
      <c r="RTY11" s="1429" t="s">
        <v>134</v>
      </c>
      <c r="RTZ11" s="1429" t="s">
        <v>134</v>
      </c>
      <c r="RUA11" s="1429" t="s">
        <v>134</v>
      </c>
      <c r="RUB11" s="1429" t="s">
        <v>134</v>
      </c>
      <c r="RUC11" s="1429" t="s">
        <v>134</v>
      </c>
      <c r="RUD11" s="1429" t="s">
        <v>134</v>
      </c>
      <c r="RUE11" s="1429" t="s">
        <v>134</v>
      </c>
      <c r="RUF11" s="1429" t="s">
        <v>134</v>
      </c>
      <c r="RUG11" s="1429" t="s">
        <v>134</v>
      </c>
      <c r="RUH11" s="1429" t="s">
        <v>134</v>
      </c>
      <c r="RUI11" s="1429" t="s">
        <v>134</v>
      </c>
      <c r="RUJ11" s="1429" t="s">
        <v>134</v>
      </c>
      <c r="RUK11" s="1429" t="s">
        <v>134</v>
      </c>
      <c r="RUL11" s="1429" t="s">
        <v>134</v>
      </c>
      <c r="RUM11" s="1429" t="s">
        <v>134</v>
      </c>
      <c r="RUN11" s="1429" t="s">
        <v>134</v>
      </c>
      <c r="RUO11" s="1429" t="s">
        <v>134</v>
      </c>
      <c r="RUP11" s="1429" t="s">
        <v>134</v>
      </c>
      <c r="RUQ11" s="1429" t="s">
        <v>134</v>
      </c>
      <c r="RUR11" s="1429" t="s">
        <v>134</v>
      </c>
      <c r="RUS11" s="1429" t="s">
        <v>134</v>
      </c>
      <c r="RUT11" s="1429" t="s">
        <v>134</v>
      </c>
      <c r="RUU11" s="1429" t="s">
        <v>134</v>
      </c>
      <c r="RUV11" s="1429" t="s">
        <v>134</v>
      </c>
      <c r="RUW11" s="1429" t="s">
        <v>134</v>
      </c>
      <c r="RUX11" s="1429" t="s">
        <v>134</v>
      </c>
      <c r="RUY11" s="1429" t="s">
        <v>134</v>
      </c>
      <c r="RUZ11" s="1429" t="s">
        <v>134</v>
      </c>
      <c r="RVA11" s="1429" t="s">
        <v>134</v>
      </c>
      <c r="RVB11" s="1429" t="s">
        <v>134</v>
      </c>
      <c r="RVC11" s="1429" t="s">
        <v>134</v>
      </c>
      <c r="RVD11" s="1429" t="s">
        <v>134</v>
      </c>
      <c r="RVE11" s="1429" t="s">
        <v>134</v>
      </c>
      <c r="RVF11" s="1429" t="s">
        <v>134</v>
      </c>
      <c r="RVG11" s="1429" t="s">
        <v>134</v>
      </c>
      <c r="RVH11" s="1429" t="s">
        <v>134</v>
      </c>
      <c r="RVI11" s="1429" t="s">
        <v>134</v>
      </c>
      <c r="RVJ11" s="1429" t="s">
        <v>134</v>
      </c>
      <c r="RVK11" s="1429" t="s">
        <v>134</v>
      </c>
      <c r="RVL11" s="1429" t="s">
        <v>134</v>
      </c>
      <c r="RVM11" s="1429" t="s">
        <v>134</v>
      </c>
      <c r="RVN11" s="1429" t="s">
        <v>134</v>
      </c>
      <c r="RVO11" s="1429" t="s">
        <v>134</v>
      </c>
      <c r="RVP11" s="1429" t="s">
        <v>134</v>
      </c>
      <c r="RVQ11" s="1429" t="s">
        <v>134</v>
      </c>
      <c r="RVR11" s="1429" t="s">
        <v>134</v>
      </c>
      <c r="RVS11" s="1429" t="s">
        <v>134</v>
      </c>
      <c r="RVT11" s="1429" t="s">
        <v>134</v>
      </c>
      <c r="RVU11" s="1429" t="s">
        <v>134</v>
      </c>
      <c r="RVV11" s="1429" t="s">
        <v>134</v>
      </c>
      <c r="RVW11" s="1429" t="s">
        <v>134</v>
      </c>
      <c r="RVX11" s="1429" t="s">
        <v>134</v>
      </c>
      <c r="RVY11" s="1429" t="s">
        <v>134</v>
      </c>
      <c r="RVZ11" s="1429" t="s">
        <v>134</v>
      </c>
      <c r="RWA11" s="1429" t="s">
        <v>134</v>
      </c>
      <c r="RWB11" s="1429" t="s">
        <v>134</v>
      </c>
      <c r="RWC11" s="1429" t="s">
        <v>134</v>
      </c>
      <c r="RWD11" s="1429" t="s">
        <v>134</v>
      </c>
      <c r="RWE11" s="1429" t="s">
        <v>134</v>
      </c>
      <c r="RWF11" s="1429" t="s">
        <v>134</v>
      </c>
      <c r="RWG11" s="1429" t="s">
        <v>134</v>
      </c>
      <c r="RWH11" s="1429" t="s">
        <v>134</v>
      </c>
      <c r="RWI11" s="1429" t="s">
        <v>134</v>
      </c>
      <c r="RWJ11" s="1429" t="s">
        <v>134</v>
      </c>
      <c r="RWK11" s="1429" t="s">
        <v>134</v>
      </c>
      <c r="RWL11" s="1429" t="s">
        <v>134</v>
      </c>
      <c r="RWM11" s="1429" t="s">
        <v>134</v>
      </c>
      <c r="RWN11" s="1429" t="s">
        <v>134</v>
      </c>
      <c r="RWO11" s="1429" t="s">
        <v>134</v>
      </c>
      <c r="RWP11" s="1429" t="s">
        <v>134</v>
      </c>
      <c r="RWQ11" s="1429" t="s">
        <v>134</v>
      </c>
      <c r="RWR11" s="1429" t="s">
        <v>134</v>
      </c>
      <c r="RWS11" s="1429" t="s">
        <v>134</v>
      </c>
      <c r="RWT11" s="1429" t="s">
        <v>134</v>
      </c>
      <c r="RWU11" s="1429" t="s">
        <v>134</v>
      </c>
      <c r="RWV11" s="1429" t="s">
        <v>134</v>
      </c>
      <c r="RWW11" s="1429" t="s">
        <v>134</v>
      </c>
      <c r="RWX11" s="1429" t="s">
        <v>134</v>
      </c>
      <c r="RWY11" s="1429" t="s">
        <v>134</v>
      </c>
      <c r="RWZ11" s="1429" t="s">
        <v>134</v>
      </c>
      <c r="RXA11" s="1429" t="s">
        <v>134</v>
      </c>
      <c r="RXB11" s="1429" t="s">
        <v>134</v>
      </c>
      <c r="RXC11" s="1429" t="s">
        <v>134</v>
      </c>
      <c r="RXD11" s="1429" t="s">
        <v>134</v>
      </c>
      <c r="RXE11" s="1429" t="s">
        <v>134</v>
      </c>
      <c r="RXF11" s="1429" t="s">
        <v>134</v>
      </c>
      <c r="RXG11" s="1429" t="s">
        <v>134</v>
      </c>
      <c r="RXH11" s="1429" t="s">
        <v>134</v>
      </c>
      <c r="RXI11" s="1429" t="s">
        <v>134</v>
      </c>
      <c r="RXJ11" s="1429" t="s">
        <v>134</v>
      </c>
      <c r="RXK11" s="1429" t="s">
        <v>134</v>
      </c>
      <c r="RXL11" s="1429" t="s">
        <v>134</v>
      </c>
      <c r="RXM11" s="1429" t="s">
        <v>134</v>
      </c>
      <c r="RXN11" s="1429" t="s">
        <v>134</v>
      </c>
      <c r="RXO11" s="1429" t="s">
        <v>134</v>
      </c>
      <c r="RXP11" s="1429" t="s">
        <v>134</v>
      </c>
      <c r="RXQ11" s="1429" t="s">
        <v>134</v>
      </c>
      <c r="RXR11" s="1429" t="s">
        <v>134</v>
      </c>
      <c r="RXS11" s="1429" t="s">
        <v>134</v>
      </c>
      <c r="RXT11" s="1429" t="s">
        <v>134</v>
      </c>
      <c r="RXU11" s="1429" t="s">
        <v>134</v>
      </c>
      <c r="RXV11" s="1429" t="s">
        <v>134</v>
      </c>
      <c r="RXW11" s="1429" t="s">
        <v>134</v>
      </c>
      <c r="RXX11" s="1429" t="s">
        <v>134</v>
      </c>
      <c r="RXY11" s="1429" t="s">
        <v>134</v>
      </c>
      <c r="RXZ11" s="1429" t="s">
        <v>134</v>
      </c>
      <c r="RYA11" s="1429" t="s">
        <v>134</v>
      </c>
      <c r="RYB11" s="1429" t="s">
        <v>134</v>
      </c>
      <c r="RYC11" s="1429" t="s">
        <v>134</v>
      </c>
      <c r="RYD11" s="1429" t="s">
        <v>134</v>
      </c>
      <c r="RYE11" s="1429" t="s">
        <v>134</v>
      </c>
      <c r="RYF11" s="1429" t="s">
        <v>134</v>
      </c>
      <c r="RYG11" s="1429" t="s">
        <v>134</v>
      </c>
      <c r="RYH11" s="1429" t="s">
        <v>134</v>
      </c>
      <c r="RYI11" s="1429" t="s">
        <v>134</v>
      </c>
      <c r="RYJ11" s="1429" t="s">
        <v>134</v>
      </c>
      <c r="RYK11" s="1429" t="s">
        <v>134</v>
      </c>
      <c r="RYL11" s="1429" t="s">
        <v>134</v>
      </c>
      <c r="RYM11" s="1429" t="s">
        <v>134</v>
      </c>
      <c r="RYN11" s="1429" t="s">
        <v>134</v>
      </c>
      <c r="RYO11" s="1429" t="s">
        <v>134</v>
      </c>
      <c r="RYP11" s="1429" t="s">
        <v>134</v>
      </c>
      <c r="RYQ11" s="1429" t="s">
        <v>134</v>
      </c>
      <c r="RYR11" s="1429" t="s">
        <v>134</v>
      </c>
      <c r="RYS11" s="1429" t="s">
        <v>134</v>
      </c>
      <c r="RYT11" s="1429" t="s">
        <v>134</v>
      </c>
      <c r="RYU11" s="1429" t="s">
        <v>134</v>
      </c>
      <c r="RYV11" s="1429" t="s">
        <v>134</v>
      </c>
      <c r="RYW11" s="1429" t="s">
        <v>134</v>
      </c>
      <c r="RYX11" s="1429" t="s">
        <v>134</v>
      </c>
      <c r="RYY11" s="1429" t="s">
        <v>134</v>
      </c>
      <c r="RYZ11" s="1429" t="s">
        <v>134</v>
      </c>
      <c r="RZA11" s="1429" t="s">
        <v>134</v>
      </c>
      <c r="RZB11" s="1429" t="s">
        <v>134</v>
      </c>
      <c r="RZC11" s="1429" t="s">
        <v>134</v>
      </c>
      <c r="RZD11" s="1429" t="s">
        <v>134</v>
      </c>
      <c r="RZE11" s="1429" t="s">
        <v>134</v>
      </c>
      <c r="RZF11" s="1429" t="s">
        <v>134</v>
      </c>
      <c r="RZG11" s="1429" t="s">
        <v>134</v>
      </c>
      <c r="RZH11" s="1429" t="s">
        <v>134</v>
      </c>
      <c r="RZI11" s="1429" t="s">
        <v>134</v>
      </c>
      <c r="RZJ11" s="1429" t="s">
        <v>134</v>
      </c>
      <c r="RZK11" s="1429" t="s">
        <v>134</v>
      </c>
      <c r="RZL11" s="1429" t="s">
        <v>134</v>
      </c>
      <c r="RZM11" s="1429" t="s">
        <v>134</v>
      </c>
      <c r="RZN11" s="1429" t="s">
        <v>134</v>
      </c>
      <c r="RZO11" s="1429" t="s">
        <v>134</v>
      </c>
      <c r="RZP11" s="1429" t="s">
        <v>134</v>
      </c>
      <c r="RZQ11" s="1429" t="s">
        <v>134</v>
      </c>
      <c r="RZR11" s="1429" t="s">
        <v>134</v>
      </c>
      <c r="RZS11" s="1429" t="s">
        <v>134</v>
      </c>
      <c r="RZT11" s="1429" t="s">
        <v>134</v>
      </c>
      <c r="RZU11" s="1429" t="s">
        <v>134</v>
      </c>
      <c r="RZV11" s="1429" t="s">
        <v>134</v>
      </c>
      <c r="RZW11" s="1429" t="s">
        <v>134</v>
      </c>
      <c r="RZX11" s="1429" t="s">
        <v>134</v>
      </c>
      <c r="RZY11" s="1429" t="s">
        <v>134</v>
      </c>
      <c r="RZZ11" s="1429" t="s">
        <v>134</v>
      </c>
      <c r="SAA11" s="1429" t="s">
        <v>134</v>
      </c>
      <c r="SAB11" s="1429" t="s">
        <v>134</v>
      </c>
      <c r="SAC11" s="1429" t="s">
        <v>134</v>
      </c>
      <c r="SAD11" s="1429" t="s">
        <v>134</v>
      </c>
      <c r="SAE11" s="1429" t="s">
        <v>134</v>
      </c>
      <c r="SAF11" s="1429" t="s">
        <v>134</v>
      </c>
      <c r="SAG11" s="1429" t="s">
        <v>134</v>
      </c>
      <c r="SAH11" s="1429" t="s">
        <v>134</v>
      </c>
      <c r="SAI11" s="1429" t="s">
        <v>134</v>
      </c>
      <c r="SAJ11" s="1429" t="s">
        <v>134</v>
      </c>
      <c r="SAK11" s="1429" t="s">
        <v>134</v>
      </c>
      <c r="SAL11" s="1429" t="s">
        <v>134</v>
      </c>
      <c r="SAM11" s="1429" t="s">
        <v>134</v>
      </c>
      <c r="SAN11" s="1429" t="s">
        <v>134</v>
      </c>
      <c r="SAO11" s="1429" t="s">
        <v>134</v>
      </c>
      <c r="SAP11" s="1429" t="s">
        <v>134</v>
      </c>
      <c r="SAQ11" s="1429" t="s">
        <v>134</v>
      </c>
      <c r="SAR11" s="1429" t="s">
        <v>134</v>
      </c>
      <c r="SAS11" s="1429" t="s">
        <v>134</v>
      </c>
      <c r="SAT11" s="1429" t="s">
        <v>134</v>
      </c>
      <c r="SAU11" s="1429" t="s">
        <v>134</v>
      </c>
      <c r="SAV11" s="1429" t="s">
        <v>134</v>
      </c>
      <c r="SAW11" s="1429" t="s">
        <v>134</v>
      </c>
      <c r="SAX11" s="1429" t="s">
        <v>134</v>
      </c>
      <c r="SAY11" s="1429" t="s">
        <v>134</v>
      </c>
      <c r="SAZ11" s="1429" t="s">
        <v>134</v>
      </c>
      <c r="SBA11" s="1429" t="s">
        <v>134</v>
      </c>
      <c r="SBB11" s="1429" t="s">
        <v>134</v>
      </c>
      <c r="SBC11" s="1429" t="s">
        <v>134</v>
      </c>
      <c r="SBD11" s="1429" t="s">
        <v>134</v>
      </c>
      <c r="SBE11" s="1429" t="s">
        <v>134</v>
      </c>
      <c r="SBF11" s="1429" t="s">
        <v>134</v>
      </c>
      <c r="SBG11" s="1429" t="s">
        <v>134</v>
      </c>
      <c r="SBH11" s="1429" t="s">
        <v>134</v>
      </c>
      <c r="SBI11" s="1429" t="s">
        <v>134</v>
      </c>
      <c r="SBJ11" s="1429" t="s">
        <v>134</v>
      </c>
      <c r="SBK11" s="1429" t="s">
        <v>134</v>
      </c>
      <c r="SBL11" s="1429" t="s">
        <v>134</v>
      </c>
      <c r="SBM11" s="1429" t="s">
        <v>134</v>
      </c>
      <c r="SBN11" s="1429" t="s">
        <v>134</v>
      </c>
      <c r="SBO11" s="1429" t="s">
        <v>134</v>
      </c>
      <c r="SBP11" s="1429" t="s">
        <v>134</v>
      </c>
      <c r="SBQ11" s="1429" t="s">
        <v>134</v>
      </c>
      <c r="SBR11" s="1429" t="s">
        <v>134</v>
      </c>
      <c r="SBS11" s="1429" t="s">
        <v>134</v>
      </c>
      <c r="SBT11" s="1429" t="s">
        <v>134</v>
      </c>
      <c r="SBU11" s="1429" t="s">
        <v>134</v>
      </c>
      <c r="SBV11" s="1429" t="s">
        <v>134</v>
      </c>
      <c r="SBW11" s="1429" t="s">
        <v>134</v>
      </c>
      <c r="SBX11" s="1429" t="s">
        <v>134</v>
      </c>
      <c r="SBY11" s="1429" t="s">
        <v>134</v>
      </c>
      <c r="SBZ11" s="1429" t="s">
        <v>134</v>
      </c>
      <c r="SCA11" s="1429" t="s">
        <v>134</v>
      </c>
      <c r="SCB11" s="1429" t="s">
        <v>134</v>
      </c>
      <c r="SCC11" s="1429" t="s">
        <v>134</v>
      </c>
      <c r="SCD11" s="1429" t="s">
        <v>134</v>
      </c>
      <c r="SCE11" s="1429" t="s">
        <v>134</v>
      </c>
      <c r="SCF11" s="1429" t="s">
        <v>134</v>
      </c>
      <c r="SCG11" s="1429" t="s">
        <v>134</v>
      </c>
      <c r="SCH11" s="1429" t="s">
        <v>134</v>
      </c>
      <c r="SCI11" s="1429" t="s">
        <v>134</v>
      </c>
      <c r="SCJ11" s="1429" t="s">
        <v>134</v>
      </c>
      <c r="SCK11" s="1429" t="s">
        <v>134</v>
      </c>
      <c r="SCL11" s="1429" t="s">
        <v>134</v>
      </c>
      <c r="SCM11" s="1429" t="s">
        <v>134</v>
      </c>
      <c r="SCN11" s="1429" t="s">
        <v>134</v>
      </c>
      <c r="SCO11" s="1429" t="s">
        <v>134</v>
      </c>
      <c r="SCP11" s="1429" t="s">
        <v>134</v>
      </c>
      <c r="SCQ11" s="1429" t="s">
        <v>134</v>
      </c>
      <c r="SCR11" s="1429" t="s">
        <v>134</v>
      </c>
      <c r="SCS11" s="1429" t="s">
        <v>134</v>
      </c>
      <c r="SCT11" s="1429" t="s">
        <v>134</v>
      </c>
      <c r="SCU11" s="1429" t="s">
        <v>134</v>
      </c>
      <c r="SCV11" s="1429" t="s">
        <v>134</v>
      </c>
      <c r="SCW11" s="1429" t="s">
        <v>134</v>
      </c>
      <c r="SCX11" s="1429" t="s">
        <v>134</v>
      </c>
      <c r="SCY11" s="1429" t="s">
        <v>134</v>
      </c>
      <c r="SCZ11" s="1429" t="s">
        <v>134</v>
      </c>
      <c r="SDA11" s="1429" t="s">
        <v>134</v>
      </c>
      <c r="SDB11" s="1429" t="s">
        <v>134</v>
      </c>
      <c r="SDC11" s="1429" t="s">
        <v>134</v>
      </c>
      <c r="SDD11" s="1429" t="s">
        <v>134</v>
      </c>
      <c r="SDE11" s="1429" t="s">
        <v>134</v>
      </c>
      <c r="SDF11" s="1429" t="s">
        <v>134</v>
      </c>
      <c r="SDG11" s="1429" t="s">
        <v>134</v>
      </c>
      <c r="SDH11" s="1429" t="s">
        <v>134</v>
      </c>
      <c r="SDI11" s="1429" t="s">
        <v>134</v>
      </c>
      <c r="SDJ11" s="1429" t="s">
        <v>134</v>
      </c>
      <c r="SDK11" s="1429" t="s">
        <v>134</v>
      </c>
      <c r="SDL11" s="1429" t="s">
        <v>134</v>
      </c>
      <c r="SDM11" s="1429" t="s">
        <v>134</v>
      </c>
      <c r="SDN11" s="1429" t="s">
        <v>134</v>
      </c>
      <c r="SDO11" s="1429" t="s">
        <v>134</v>
      </c>
      <c r="SDP11" s="1429" t="s">
        <v>134</v>
      </c>
      <c r="SDQ11" s="1429" t="s">
        <v>134</v>
      </c>
      <c r="SDR11" s="1429" t="s">
        <v>134</v>
      </c>
      <c r="SDS11" s="1429" t="s">
        <v>134</v>
      </c>
      <c r="SDT11" s="1429" t="s">
        <v>134</v>
      </c>
      <c r="SDU11" s="1429" t="s">
        <v>134</v>
      </c>
      <c r="SDV11" s="1429" t="s">
        <v>134</v>
      </c>
      <c r="SDW11" s="1429" t="s">
        <v>134</v>
      </c>
      <c r="SDX11" s="1429" t="s">
        <v>134</v>
      </c>
      <c r="SDY11" s="1429" t="s">
        <v>134</v>
      </c>
      <c r="SDZ11" s="1429" t="s">
        <v>134</v>
      </c>
      <c r="SEA11" s="1429" t="s">
        <v>134</v>
      </c>
      <c r="SEB11" s="1429" t="s">
        <v>134</v>
      </c>
      <c r="SEC11" s="1429" t="s">
        <v>134</v>
      </c>
      <c r="SED11" s="1429" t="s">
        <v>134</v>
      </c>
      <c r="SEE11" s="1429" t="s">
        <v>134</v>
      </c>
      <c r="SEF11" s="1429" t="s">
        <v>134</v>
      </c>
      <c r="SEG11" s="1429" t="s">
        <v>134</v>
      </c>
      <c r="SEH11" s="1429" t="s">
        <v>134</v>
      </c>
      <c r="SEI11" s="1429" t="s">
        <v>134</v>
      </c>
      <c r="SEJ11" s="1429" t="s">
        <v>134</v>
      </c>
      <c r="SEK11" s="1429" t="s">
        <v>134</v>
      </c>
      <c r="SEL11" s="1429" t="s">
        <v>134</v>
      </c>
      <c r="SEM11" s="1429" t="s">
        <v>134</v>
      </c>
      <c r="SEN11" s="1429" t="s">
        <v>134</v>
      </c>
      <c r="SEO11" s="1429" t="s">
        <v>134</v>
      </c>
      <c r="SEP11" s="1429" t="s">
        <v>134</v>
      </c>
      <c r="SEQ11" s="1429" t="s">
        <v>134</v>
      </c>
      <c r="SER11" s="1429" t="s">
        <v>134</v>
      </c>
      <c r="SES11" s="1429" t="s">
        <v>134</v>
      </c>
      <c r="SET11" s="1429" t="s">
        <v>134</v>
      </c>
      <c r="SEU11" s="1429" t="s">
        <v>134</v>
      </c>
      <c r="SEV11" s="1429" t="s">
        <v>134</v>
      </c>
      <c r="SEW11" s="1429" t="s">
        <v>134</v>
      </c>
      <c r="SEX11" s="1429" t="s">
        <v>134</v>
      </c>
      <c r="SEY11" s="1429" t="s">
        <v>134</v>
      </c>
      <c r="SEZ11" s="1429" t="s">
        <v>134</v>
      </c>
      <c r="SFA11" s="1429" t="s">
        <v>134</v>
      </c>
      <c r="SFB11" s="1429" t="s">
        <v>134</v>
      </c>
      <c r="SFC11" s="1429" t="s">
        <v>134</v>
      </c>
      <c r="SFD11" s="1429" t="s">
        <v>134</v>
      </c>
      <c r="SFE11" s="1429" t="s">
        <v>134</v>
      </c>
      <c r="SFF11" s="1429" t="s">
        <v>134</v>
      </c>
      <c r="SFG11" s="1429" t="s">
        <v>134</v>
      </c>
      <c r="SFH11" s="1429" t="s">
        <v>134</v>
      </c>
      <c r="SFI11" s="1429" t="s">
        <v>134</v>
      </c>
      <c r="SFJ11" s="1429" t="s">
        <v>134</v>
      </c>
      <c r="SFK11" s="1429" t="s">
        <v>134</v>
      </c>
      <c r="SFL11" s="1429" t="s">
        <v>134</v>
      </c>
      <c r="SFM11" s="1429" t="s">
        <v>134</v>
      </c>
      <c r="SFN11" s="1429" t="s">
        <v>134</v>
      </c>
      <c r="SFO11" s="1429" t="s">
        <v>134</v>
      </c>
      <c r="SFP11" s="1429" t="s">
        <v>134</v>
      </c>
      <c r="SFQ11" s="1429" t="s">
        <v>134</v>
      </c>
      <c r="SFR11" s="1429" t="s">
        <v>134</v>
      </c>
      <c r="SFS11" s="1429" t="s">
        <v>134</v>
      </c>
      <c r="SFT11" s="1429" t="s">
        <v>134</v>
      </c>
      <c r="SFU11" s="1429" t="s">
        <v>134</v>
      </c>
      <c r="SFV11" s="1429" t="s">
        <v>134</v>
      </c>
      <c r="SFW11" s="1429" t="s">
        <v>134</v>
      </c>
      <c r="SFX11" s="1429" t="s">
        <v>134</v>
      </c>
      <c r="SFY11" s="1429" t="s">
        <v>134</v>
      </c>
      <c r="SFZ11" s="1429" t="s">
        <v>134</v>
      </c>
      <c r="SGA11" s="1429" t="s">
        <v>134</v>
      </c>
      <c r="SGB11" s="1429" t="s">
        <v>134</v>
      </c>
      <c r="SGC11" s="1429" t="s">
        <v>134</v>
      </c>
      <c r="SGD11" s="1429" t="s">
        <v>134</v>
      </c>
      <c r="SGE11" s="1429" t="s">
        <v>134</v>
      </c>
      <c r="SGF11" s="1429" t="s">
        <v>134</v>
      </c>
      <c r="SGG11" s="1429" t="s">
        <v>134</v>
      </c>
      <c r="SGH11" s="1429" t="s">
        <v>134</v>
      </c>
      <c r="SGI11" s="1429" t="s">
        <v>134</v>
      </c>
      <c r="SGJ11" s="1429" t="s">
        <v>134</v>
      </c>
      <c r="SGK11" s="1429" t="s">
        <v>134</v>
      </c>
      <c r="SGL11" s="1429" t="s">
        <v>134</v>
      </c>
      <c r="SGM11" s="1429" t="s">
        <v>134</v>
      </c>
      <c r="SGN11" s="1429" t="s">
        <v>134</v>
      </c>
      <c r="SGO11" s="1429" t="s">
        <v>134</v>
      </c>
      <c r="SGP11" s="1429" t="s">
        <v>134</v>
      </c>
      <c r="SGQ11" s="1429" t="s">
        <v>134</v>
      </c>
      <c r="SGR11" s="1429" t="s">
        <v>134</v>
      </c>
      <c r="SGS11" s="1429" t="s">
        <v>134</v>
      </c>
      <c r="SGT11" s="1429" t="s">
        <v>134</v>
      </c>
      <c r="SGU11" s="1429" t="s">
        <v>134</v>
      </c>
      <c r="SGV11" s="1429" t="s">
        <v>134</v>
      </c>
      <c r="SGW11" s="1429" t="s">
        <v>134</v>
      </c>
      <c r="SGX11" s="1429" t="s">
        <v>134</v>
      </c>
      <c r="SGY11" s="1429" t="s">
        <v>134</v>
      </c>
      <c r="SGZ11" s="1429" t="s">
        <v>134</v>
      </c>
      <c r="SHA11" s="1429" t="s">
        <v>134</v>
      </c>
      <c r="SHB11" s="1429" t="s">
        <v>134</v>
      </c>
      <c r="SHC11" s="1429" t="s">
        <v>134</v>
      </c>
      <c r="SHD11" s="1429" t="s">
        <v>134</v>
      </c>
      <c r="SHE11" s="1429" t="s">
        <v>134</v>
      </c>
      <c r="SHF11" s="1429" t="s">
        <v>134</v>
      </c>
      <c r="SHG11" s="1429" t="s">
        <v>134</v>
      </c>
      <c r="SHH11" s="1429" t="s">
        <v>134</v>
      </c>
      <c r="SHI11" s="1429" t="s">
        <v>134</v>
      </c>
      <c r="SHJ11" s="1429" t="s">
        <v>134</v>
      </c>
      <c r="SHK11" s="1429" t="s">
        <v>134</v>
      </c>
      <c r="SHL11" s="1429" t="s">
        <v>134</v>
      </c>
      <c r="SHM11" s="1429" t="s">
        <v>134</v>
      </c>
      <c r="SHN11" s="1429" t="s">
        <v>134</v>
      </c>
      <c r="SHO11" s="1429" t="s">
        <v>134</v>
      </c>
      <c r="SHP11" s="1429" t="s">
        <v>134</v>
      </c>
      <c r="SHQ11" s="1429" t="s">
        <v>134</v>
      </c>
      <c r="SHR11" s="1429" t="s">
        <v>134</v>
      </c>
      <c r="SHS11" s="1429" t="s">
        <v>134</v>
      </c>
      <c r="SHT11" s="1429" t="s">
        <v>134</v>
      </c>
      <c r="SHU11" s="1429" t="s">
        <v>134</v>
      </c>
      <c r="SHV11" s="1429" t="s">
        <v>134</v>
      </c>
      <c r="SHW11" s="1429" t="s">
        <v>134</v>
      </c>
      <c r="SHX11" s="1429" t="s">
        <v>134</v>
      </c>
      <c r="SHY11" s="1429" t="s">
        <v>134</v>
      </c>
      <c r="SHZ11" s="1429" t="s">
        <v>134</v>
      </c>
      <c r="SIA11" s="1429" t="s">
        <v>134</v>
      </c>
      <c r="SIB11" s="1429" t="s">
        <v>134</v>
      </c>
      <c r="SIC11" s="1429" t="s">
        <v>134</v>
      </c>
      <c r="SID11" s="1429" t="s">
        <v>134</v>
      </c>
      <c r="SIE11" s="1429" t="s">
        <v>134</v>
      </c>
      <c r="SIF11" s="1429" t="s">
        <v>134</v>
      </c>
      <c r="SIG11" s="1429" t="s">
        <v>134</v>
      </c>
      <c r="SIH11" s="1429" t="s">
        <v>134</v>
      </c>
      <c r="SII11" s="1429" t="s">
        <v>134</v>
      </c>
      <c r="SIJ11" s="1429" t="s">
        <v>134</v>
      </c>
      <c r="SIK11" s="1429" t="s">
        <v>134</v>
      </c>
      <c r="SIL11" s="1429" t="s">
        <v>134</v>
      </c>
      <c r="SIM11" s="1429" t="s">
        <v>134</v>
      </c>
      <c r="SIN11" s="1429" t="s">
        <v>134</v>
      </c>
      <c r="SIO11" s="1429" t="s">
        <v>134</v>
      </c>
      <c r="SIP11" s="1429" t="s">
        <v>134</v>
      </c>
      <c r="SIQ11" s="1429" t="s">
        <v>134</v>
      </c>
      <c r="SIR11" s="1429" t="s">
        <v>134</v>
      </c>
      <c r="SIS11" s="1429" t="s">
        <v>134</v>
      </c>
      <c r="SIT11" s="1429" t="s">
        <v>134</v>
      </c>
      <c r="SIU11" s="1429" t="s">
        <v>134</v>
      </c>
      <c r="SIV11" s="1429" t="s">
        <v>134</v>
      </c>
      <c r="SIW11" s="1429" t="s">
        <v>134</v>
      </c>
      <c r="SIX11" s="1429" t="s">
        <v>134</v>
      </c>
      <c r="SIY11" s="1429" t="s">
        <v>134</v>
      </c>
      <c r="SIZ11" s="1429" t="s">
        <v>134</v>
      </c>
      <c r="SJA11" s="1429" t="s">
        <v>134</v>
      </c>
      <c r="SJB11" s="1429" t="s">
        <v>134</v>
      </c>
      <c r="SJC11" s="1429" t="s">
        <v>134</v>
      </c>
      <c r="SJD11" s="1429" t="s">
        <v>134</v>
      </c>
      <c r="SJE11" s="1429" t="s">
        <v>134</v>
      </c>
      <c r="SJF11" s="1429" t="s">
        <v>134</v>
      </c>
      <c r="SJG11" s="1429" t="s">
        <v>134</v>
      </c>
      <c r="SJH11" s="1429" t="s">
        <v>134</v>
      </c>
      <c r="SJI11" s="1429" t="s">
        <v>134</v>
      </c>
      <c r="SJJ11" s="1429" t="s">
        <v>134</v>
      </c>
      <c r="SJK11" s="1429" t="s">
        <v>134</v>
      </c>
      <c r="SJL11" s="1429" t="s">
        <v>134</v>
      </c>
      <c r="SJM11" s="1429" t="s">
        <v>134</v>
      </c>
      <c r="SJN11" s="1429" t="s">
        <v>134</v>
      </c>
      <c r="SJO11" s="1429" t="s">
        <v>134</v>
      </c>
      <c r="SJP11" s="1429" t="s">
        <v>134</v>
      </c>
      <c r="SJQ11" s="1429" t="s">
        <v>134</v>
      </c>
      <c r="SJR11" s="1429" t="s">
        <v>134</v>
      </c>
      <c r="SJS11" s="1429" t="s">
        <v>134</v>
      </c>
      <c r="SJT11" s="1429" t="s">
        <v>134</v>
      </c>
      <c r="SJU11" s="1429" t="s">
        <v>134</v>
      </c>
      <c r="SJV11" s="1429" t="s">
        <v>134</v>
      </c>
      <c r="SJW11" s="1429" t="s">
        <v>134</v>
      </c>
      <c r="SJX11" s="1429" t="s">
        <v>134</v>
      </c>
      <c r="SJY11" s="1429" t="s">
        <v>134</v>
      </c>
      <c r="SJZ11" s="1429" t="s">
        <v>134</v>
      </c>
      <c r="SKA11" s="1429" t="s">
        <v>134</v>
      </c>
      <c r="SKB11" s="1429" t="s">
        <v>134</v>
      </c>
      <c r="SKC11" s="1429" t="s">
        <v>134</v>
      </c>
      <c r="SKD11" s="1429" t="s">
        <v>134</v>
      </c>
      <c r="SKE11" s="1429" t="s">
        <v>134</v>
      </c>
      <c r="SKF11" s="1429" t="s">
        <v>134</v>
      </c>
      <c r="SKG11" s="1429" t="s">
        <v>134</v>
      </c>
      <c r="SKH11" s="1429" t="s">
        <v>134</v>
      </c>
      <c r="SKI11" s="1429" t="s">
        <v>134</v>
      </c>
      <c r="SKJ11" s="1429" t="s">
        <v>134</v>
      </c>
      <c r="SKK11" s="1429" t="s">
        <v>134</v>
      </c>
      <c r="SKL11" s="1429" t="s">
        <v>134</v>
      </c>
      <c r="SKM11" s="1429" t="s">
        <v>134</v>
      </c>
      <c r="SKN11" s="1429" t="s">
        <v>134</v>
      </c>
      <c r="SKO11" s="1429" t="s">
        <v>134</v>
      </c>
      <c r="SKP11" s="1429" t="s">
        <v>134</v>
      </c>
      <c r="SKQ11" s="1429" t="s">
        <v>134</v>
      </c>
      <c r="SKR11" s="1429" t="s">
        <v>134</v>
      </c>
      <c r="SKS11" s="1429" t="s">
        <v>134</v>
      </c>
      <c r="SKT11" s="1429" t="s">
        <v>134</v>
      </c>
      <c r="SKU11" s="1429" t="s">
        <v>134</v>
      </c>
      <c r="SKV11" s="1429" t="s">
        <v>134</v>
      </c>
      <c r="SKW11" s="1429" t="s">
        <v>134</v>
      </c>
      <c r="SKX11" s="1429" t="s">
        <v>134</v>
      </c>
      <c r="SKY11" s="1429" t="s">
        <v>134</v>
      </c>
      <c r="SKZ11" s="1429" t="s">
        <v>134</v>
      </c>
      <c r="SLA11" s="1429" t="s">
        <v>134</v>
      </c>
      <c r="SLB11" s="1429" t="s">
        <v>134</v>
      </c>
      <c r="SLC11" s="1429" t="s">
        <v>134</v>
      </c>
      <c r="SLD11" s="1429" t="s">
        <v>134</v>
      </c>
      <c r="SLE11" s="1429" t="s">
        <v>134</v>
      </c>
      <c r="SLF11" s="1429" t="s">
        <v>134</v>
      </c>
      <c r="SLG11" s="1429" t="s">
        <v>134</v>
      </c>
      <c r="SLH11" s="1429" t="s">
        <v>134</v>
      </c>
      <c r="SLI11" s="1429" t="s">
        <v>134</v>
      </c>
      <c r="SLJ11" s="1429" t="s">
        <v>134</v>
      </c>
      <c r="SLK11" s="1429" t="s">
        <v>134</v>
      </c>
      <c r="SLL11" s="1429" t="s">
        <v>134</v>
      </c>
      <c r="SLM11" s="1429" t="s">
        <v>134</v>
      </c>
      <c r="SLN11" s="1429" t="s">
        <v>134</v>
      </c>
      <c r="SLO11" s="1429" t="s">
        <v>134</v>
      </c>
      <c r="SLP11" s="1429" t="s">
        <v>134</v>
      </c>
      <c r="SLQ11" s="1429" t="s">
        <v>134</v>
      </c>
      <c r="SLR11" s="1429" t="s">
        <v>134</v>
      </c>
      <c r="SLS11" s="1429" t="s">
        <v>134</v>
      </c>
      <c r="SLT11" s="1429" t="s">
        <v>134</v>
      </c>
      <c r="SLU11" s="1429" t="s">
        <v>134</v>
      </c>
      <c r="SLV11" s="1429" t="s">
        <v>134</v>
      </c>
      <c r="SLW11" s="1429" t="s">
        <v>134</v>
      </c>
      <c r="SLX11" s="1429" t="s">
        <v>134</v>
      </c>
      <c r="SLY11" s="1429" t="s">
        <v>134</v>
      </c>
      <c r="SLZ11" s="1429" t="s">
        <v>134</v>
      </c>
      <c r="SMA11" s="1429" t="s">
        <v>134</v>
      </c>
      <c r="SMB11" s="1429" t="s">
        <v>134</v>
      </c>
      <c r="SMC11" s="1429" t="s">
        <v>134</v>
      </c>
      <c r="SMD11" s="1429" t="s">
        <v>134</v>
      </c>
      <c r="SME11" s="1429" t="s">
        <v>134</v>
      </c>
      <c r="SMF11" s="1429" t="s">
        <v>134</v>
      </c>
      <c r="SMG11" s="1429" t="s">
        <v>134</v>
      </c>
      <c r="SMH11" s="1429" t="s">
        <v>134</v>
      </c>
      <c r="SMI11" s="1429" t="s">
        <v>134</v>
      </c>
      <c r="SMJ11" s="1429" t="s">
        <v>134</v>
      </c>
      <c r="SMK11" s="1429" t="s">
        <v>134</v>
      </c>
      <c r="SML11" s="1429" t="s">
        <v>134</v>
      </c>
      <c r="SMM11" s="1429" t="s">
        <v>134</v>
      </c>
      <c r="SMN11" s="1429" t="s">
        <v>134</v>
      </c>
      <c r="SMO11" s="1429" t="s">
        <v>134</v>
      </c>
      <c r="SMP11" s="1429" t="s">
        <v>134</v>
      </c>
      <c r="SMQ11" s="1429" t="s">
        <v>134</v>
      </c>
      <c r="SMR11" s="1429" t="s">
        <v>134</v>
      </c>
      <c r="SMS11" s="1429" t="s">
        <v>134</v>
      </c>
      <c r="SMT11" s="1429" t="s">
        <v>134</v>
      </c>
      <c r="SMU11" s="1429" t="s">
        <v>134</v>
      </c>
      <c r="SMV11" s="1429" t="s">
        <v>134</v>
      </c>
      <c r="SMW11" s="1429" t="s">
        <v>134</v>
      </c>
      <c r="SMX11" s="1429" t="s">
        <v>134</v>
      </c>
      <c r="SMY11" s="1429" t="s">
        <v>134</v>
      </c>
      <c r="SMZ11" s="1429" t="s">
        <v>134</v>
      </c>
      <c r="SNA11" s="1429" t="s">
        <v>134</v>
      </c>
      <c r="SNB11" s="1429" t="s">
        <v>134</v>
      </c>
      <c r="SNC11" s="1429" t="s">
        <v>134</v>
      </c>
      <c r="SND11" s="1429" t="s">
        <v>134</v>
      </c>
      <c r="SNE11" s="1429" t="s">
        <v>134</v>
      </c>
      <c r="SNF11" s="1429" t="s">
        <v>134</v>
      </c>
      <c r="SNG11" s="1429" t="s">
        <v>134</v>
      </c>
      <c r="SNH11" s="1429" t="s">
        <v>134</v>
      </c>
      <c r="SNI11" s="1429" t="s">
        <v>134</v>
      </c>
      <c r="SNJ11" s="1429" t="s">
        <v>134</v>
      </c>
      <c r="SNK11" s="1429" t="s">
        <v>134</v>
      </c>
      <c r="SNL11" s="1429" t="s">
        <v>134</v>
      </c>
      <c r="SNM11" s="1429" t="s">
        <v>134</v>
      </c>
      <c r="SNN11" s="1429" t="s">
        <v>134</v>
      </c>
      <c r="SNO11" s="1429" t="s">
        <v>134</v>
      </c>
      <c r="SNP11" s="1429" t="s">
        <v>134</v>
      </c>
      <c r="SNQ11" s="1429" t="s">
        <v>134</v>
      </c>
      <c r="SNR11" s="1429" t="s">
        <v>134</v>
      </c>
      <c r="SNS11" s="1429" t="s">
        <v>134</v>
      </c>
      <c r="SNT11" s="1429" t="s">
        <v>134</v>
      </c>
      <c r="SNU11" s="1429" t="s">
        <v>134</v>
      </c>
      <c r="SNV11" s="1429" t="s">
        <v>134</v>
      </c>
      <c r="SNW11" s="1429" t="s">
        <v>134</v>
      </c>
      <c r="SNX11" s="1429" t="s">
        <v>134</v>
      </c>
      <c r="SNY11" s="1429" t="s">
        <v>134</v>
      </c>
      <c r="SNZ11" s="1429" t="s">
        <v>134</v>
      </c>
      <c r="SOA11" s="1429" t="s">
        <v>134</v>
      </c>
      <c r="SOB11" s="1429" t="s">
        <v>134</v>
      </c>
      <c r="SOC11" s="1429" t="s">
        <v>134</v>
      </c>
      <c r="SOD11" s="1429" t="s">
        <v>134</v>
      </c>
      <c r="SOE11" s="1429" t="s">
        <v>134</v>
      </c>
      <c r="SOF11" s="1429" t="s">
        <v>134</v>
      </c>
      <c r="SOG11" s="1429" t="s">
        <v>134</v>
      </c>
      <c r="SOH11" s="1429" t="s">
        <v>134</v>
      </c>
      <c r="SOI11" s="1429" t="s">
        <v>134</v>
      </c>
      <c r="SOJ11" s="1429" t="s">
        <v>134</v>
      </c>
      <c r="SOK11" s="1429" t="s">
        <v>134</v>
      </c>
      <c r="SOL11" s="1429" t="s">
        <v>134</v>
      </c>
      <c r="SOM11" s="1429" t="s">
        <v>134</v>
      </c>
      <c r="SON11" s="1429" t="s">
        <v>134</v>
      </c>
      <c r="SOO11" s="1429" t="s">
        <v>134</v>
      </c>
      <c r="SOP11" s="1429" t="s">
        <v>134</v>
      </c>
      <c r="SOQ11" s="1429" t="s">
        <v>134</v>
      </c>
      <c r="SOR11" s="1429" t="s">
        <v>134</v>
      </c>
      <c r="SOS11" s="1429" t="s">
        <v>134</v>
      </c>
      <c r="SOT11" s="1429" t="s">
        <v>134</v>
      </c>
      <c r="SOU11" s="1429" t="s">
        <v>134</v>
      </c>
      <c r="SOV11" s="1429" t="s">
        <v>134</v>
      </c>
      <c r="SOW11" s="1429" t="s">
        <v>134</v>
      </c>
      <c r="SOX11" s="1429" t="s">
        <v>134</v>
      </c>
      <c r="SOY11" s="1429" t="s">
        <v>134</v>
      </c>
      <c r="SOZ11" s="1429" t="s">
        <v>134</v>
      </c>
      <c r="SPA11" s="1429" t="s">
        <v>134</v>
      </c>
      <c r="SPB11" s="1429" t="s">
        <v>134</v>
      </c>
      <c r="SPC11" s="1429" t="s">
        <v>134</v>
      </c>
      <c r="SPD11" s="1429" t="s">
        <v>134</v>
      </c>
      <c r="SPE11" s="1429" t="s">
        <v>134</v>
      </c>
      <c r="SPF11" s="1429" t="s">
        <v>134</v>
      </c>
      <c r="SPG11" s="1429" t="s">
        <v>134</v>
      </c>
      <c r="SPH11" s="1429" t="s">
        <v>134</v>
      </c>
      <c r="SPI11" s="1429" t="s">
        <v>134</v>
      </c>
      <c r="SPJ11" s="1429" t="s">
        <v>134</v>
      </c>
      <c r="SPK11" s="1429" t="s">
        <v>134</v>
      </c>
      <c r="SPL11" s="1429" t="s">
        <v>134</v>
      </c>
      <c r="SPM11" s="1429" t="s">
        <v>134</v>
      </c>
      <c r="SPN11" s="1429" t="s">
        <v>134</v>
      </c>
      <c r="SPO11" s="1429" t="s">
        <v>134</v>
      </c>
      <c r="SPP11" s="1429" t="s">
        <v>134</v>
      </c>
      <c r="SPQ11" s="1429" t="s">
        <v>134</v>
      </c>
      <c r="SPR11" s="1429" t="s">
        <v>134</v>
      </c>
      <c r="SPS11" s="1429" t="s">
        <v>134</v>
      </c>
      <c r="SPT11" s="1429" t="s">
        <v>134</v>
      </c>
      <c r="SPU11" s="1429" t="s">
        <v>134</v>
      </c>
      <c r="SPV11" s="1429" t="s">
        <v>134</v>
      </c>
      <c r="SPW11" s="1429" t="s">
        <v>134</v>
      </c>
      <c r="SPX11" s="1429" t="s">
        <v>134</v>
      </c>
      <c r="SPY11" s="1429" t="s">
        <v>134</v>
      </c>
      <c r="SPZ11" s="1429" t="s">
        <v>134</v>
      </c>
      <c r="SQA11" s="1429" t="s">
        <v>134</v>
      </c>
      <c r="SQB11" s="1429" t="s">
        <v>134</v>
      </c>
      <c r="SQC11" s="1429" t="s">
        <v>134</v>
      </c>
      <c r="SQD11" s="1429" t="s">
        <v>134</v>
      </c>
      <c r="SQE11" s="1429" t="s">
        <v>134</v>
      </c>
      <c r="SQF11" s="1429" t="s">
        <v>134</v>
      </c>
      <c r="SQG11" s="1429" t="s">
        <v>134</v>
      </c>
      <c r="SQH11" s="1429" t="s">
        <v>134</v>
      </c>
      <c r="SQI11" s="1429" t="s">
        <v>134</v>
      </c>
      <c r="SQJ11" s="1429" t="s">
        <v>134</v>
      </c>
      <c r="SQK11" s="1429" t="s">
        <v>134</v>
      </c>
      <c r="SQL11" s="1429" t="s">
        <v>134</v>
      </c>
      <c r="SQM11" s="1429" t="s">
        <v>134</v>
      </c>
      <c r="SQN11" s="1429" t="s">
        <v>134</v>
      </c>
      <c r="SQO11" s="1429" t="s">
        <v>134</v>
      </c>
      <c r="SQP11" s="1429" t="s">
        <v>134</v>
      </c>
      <c r="SQQ11" s="1429" t="s">
        <v>134</v>
      </c>
      <c r="SQR11" s="1429" t="s">
        <v>134</v>
      </c>
      <c r="SQS11" s="1429" t="s">
        <v>134</v>
      </c>
      <c r="SQT11" s="1429" t="s">
        <v>134</v>
      </c>
      <c r="SQU11" s="1429" t="s">
        <v>134</v>
      </c>
      <c r="SQV11" s="1429" t="s">
        <v>134</v>
      </c>
      <c r="SQW11" s="1429" t="s">
        <v>134</v>
      </c>
      <c r="SQX11" s="1429" t="s">
        <v>134</v>
      </c>
      <c r="SQY11" s="1429" t="s">
        <v>134</v>
      </c>
      <c r="SQZ11" s="1429" t="s">
        <v>134</v>
      </c>
      <c r="SRA11" s="1429" t="s">
        <v>134</v>
      </c>
      <c r="SRB11" s="1429" t="s">
        <v>134</v>
      </c>
      <c r="SRC11" s="1429" t="s">
        <v>134</v>
      </c>
      <c r="SRD11" s="1429" t="s">
        <v>134</v>
      </c>
      <c r="SRE11" s="1429" t="s">
        <v>134</v>
      </c>
      <c r="SRF11" s="1429" t="s">
        <v>134</v>
      </c>
      <c r="SRG11" s="1429" t="s">
        <v>134</v>
      </c>
      <c r="SRH11" s="1429" t="s">
        <v>134</v>
      </c>
      <c r="SRI11" s="1429" t="s">
        <v>134</v>
      </c>
      <c r="SRJ11" s="1429" t="s">
        <v>134</v>
      </c>
      <c r="SRK11" s="1429" t="s">
        <v>134</v>
      </c>
      <c r="SRL11" s="1429" t="s">
        <v>134</v>
      </c>
      <c r="SRM11" s="1429" t="s">
        <v>134</v>
      </c>
      <c r="SRN11" s="1429" t="s">
        <v>134</v>
      </c>
      <c r="SRO11" s="1429" t="s">
        <v>134</v>
      </c>
      <c r="SRP11" s="1429" t="s">
        <v>134</v>
      </c>
      <c r="SRQ11" s="1429" t="s">
        <v>134</v>
      </c>
      <c r="SRR11" s="1429" t="s">
        <v>134</v>
      </c>
      <c r="SRS11" s="1429" t="s">
        <v>134</v>
      </c>
      <c r="SRT11" s="1429" t="s">
        <v>134</v>
      </c>
      <c r="SRU11" s="1429" t="s">
        <v>134</v>
      </c>
      <c r="SRV11" s="1429" t="s">
        <v>134</v>
      </c>
      <c r="SRW11" s="1429" t="s">
        <v>134</v>
      </c>
      <c r="SRX11" s="1429" t="s">
        <v>134</v>
      </c>
      <c r="SRY11" s="1429" t="s">
        <v>134</v>
      </c>
      <c r="SRZ11" s="1429" t="s">
        <v>134</v>
      </c>
      <c r="SSA11" s="1429" t="s">
        <v>134</v>
      </c>
      <c r="SSB11" s="1429" t="s">
        <v>134</v>
      </c>
      <c r="SSC11" s="1429" t="s">
        <v>134</v>
      </c>
      <c r="SSD11" s="1429" t="s">
        <v>134</v>
      </c>
      <c r="SSE11" s="1429" t="s">
        <v>134</v>
      </c>
      <c r="SSF11" s="1429" t="s">
        <v>134</v>
      </c>
      <c r="SSG11" s="1429" t="s">
        <v>134</v>
      </c>
      <c r="SSH11" s="1429" t="s">
        <v>134</v>
      </c>
      <c r="SSI11" s="1429" t="s">
        <v>134</v>
      </c>
      <c r="SSJ11" s="1429" t="s">
        <v>134</v>
      </c>
      <c r="SSK11" s="1429" t="s">
        <v>134</v>
      </c>
      <c r="SSL11" s="1429" t="s">
        <v>134</v>
      </c>
      <c r="SSM11" s="1429" t="s">
        <v>134</v>
      </c>
      <c r="SSN11" s="1429" t="s">
        <v>134</v>
      </c>
      <c r="SSO11" s="1429" t="s">
        <v>134</v>
      </c>
      <c r="SSP11" s="1429" t="s">
        <v>134</v>
      </c>
      <c r="SSQ11" s="1429" t="s">
        <v>134</v>
      </c>
      <c r="SSR11" s="1429" t="s">
        <v>134</v>
      </c>
      <c r="SSS11" s="1429" t="s">
        <v>134</v>
      </c>
      <c r="SST11" s="1429" t="s">
        <v>134</v>
      </c>
      <c r="SSU11" s="1429" t="s">
        <v>134</v>
      </c>
      <c r="SSV11" s="1429" t="s">
        <v>134</v>
      </c>
      <c r="SSW11" s="1429" t="s">
        <v>134</v>
      </c>
      <c r="SSX11" s="1429" t="s">
        <v>134</v>
      </c>
      <c r="SSY11" s="1429" t="s">
        <v>134</v>
      </c>
      <c r="SSZ11" s="1429" t="s">
        <v>134</v>
      </c>
      <c r="STA11" s="1429" t="s">
        <v>134</v>
      </c>
      <c r="STB11" s="1429" t="s">
        <v>134</v>
      </c>
      <c r="STC11" s="1429" t="s">
        <v>134</v>
      </c>
      <c r="STD11" s="1429" t="s">
        <v>134</v>
      </c>
      <c r="STE11" s="1429" t="s">
        <v>134</v>
      </c>
      <c r="STF11" s="1429" t="s">
        <v>134</v>
      </c>
      <c r="STG11" s="1429" t="s">
        <v>134</v>
      </c>
      <c r="STH11" s="1429" t="s">
        <v>134</v>
      </c>
      <c r="STI11" s="1429" t="s">
        <v>134</v>
      </c>
      <c r="STJ11" s="1429" t="s">
        <v>134</v>
      </c>
      <c r="STK11" s="1429" t="s">
        <v>134</v>
      </c>
      <c r="STL11" s="1429" t="s">
        <v>134</v>
      </c>
      <c r="STM11" s="1429" t="s">
        <v>134</v>
      </c>
      <c r="STN11" s="1429" t="s">
        <v>134</v>
      </c>
      <c r="STO11" s="1429" t="s">
        <v>134</v>
      </c>
      <c r="STP11" s="1429" t="s">
        <v>134</v>
      </c>
      <c r="STQ11" s="1429" t="s">
        <v>134</v>
      </c>
      <c r="STR11" s="1429" t="s">
        <v>134</v>
      </c>
      <c r="STS11" s="1429" t="s">
        <v>134</v>
      </c>
      <c r="STT11" s="1429" t="s">
        <v>134</v>
      </c>
      <c r="STU11" s="1429" t="s">
        <v>134</v>
      </c>
      <c r="STV11" s="1429" t="s">
        <v>134</v>
      </c>
      <c r="STW11" s="1429" t="s">
        <v>134</v>
      </c>
      <c r="STX11" s="1429" t="s">
        <v>134</v>
      </c>
      <c r="STY11" s="1429" t="s">
        <v>134</v>
      </c>
      <c r="STZ11" s="1429" t="s">
        <v>134</v>
      </c>
      <c r="SUA11" s="1429" t="s">
        <v>134</v>
      </c>
      <c r="SUB11" s="1429" t="s">
        <v>134</v>
      </c>
      <c r="SUC11" s="1429" t="s">
        <v>134</v>
      </c>
      <c r="SUD11" s="1429" t="s">
        <v>134</v>
      </c>
      <c r="SUE11" s="1429" t="s">
        <v>134</v>
      </c>
      <c r="SUF11" s="1429" t="s">
        <v>134</v>
      </c>
      <c r="SUG11" s="1429" t="s">
        <v>134</v>
      </c>
      <c r="SUH11" s="1429" t="s">
        <v>134</v>
      </c>
      <c r="SUI11" s="1429" t="s">
        <v>134</v>
      </c>
      <c r="SUJ11" s="1429" t="s">
        <v>134</v>
      </c>
      <c r="SUK11" s="1429" t="s">
        <v>134</v>
      </c>
      <c r="SUL11" s="1429" t="s">
        <v>134</v>
      </c>
      <c r="SUM11" s="1429" t="s">
        <v>134</v>
      </c>
      <c r="SUN11" s="1429" t="s">
        <v>134</v>
      </c>
      <c r="SUO11" s="1429" t="s">
        <v>134</v>
      </c>
      <c r="SUP11" s="1429" t="s">
        <v>134</v>
      </c>
      <c r="SUQ11" s="1429" t="s">
        <v>134</v>
      </c>
      <c r="SUR11" s="1429" t="s">
        <v>134</v>
      </c>
      <c r="SUS11" s="1429" t="s">
        <v>134</v>
      </c>
      <c r="SUT11" s="1429" t="s">
        <v>134</v>
      </c>
      <c r="SUU11" s="1429" t="s">
        <v>134</v>
      </c>
      <c r="SUV11" s="1429" t="s">
        <v>134</v>
      </c>
      <c r="SUW11" s="1429" t="s">
        <v>134</v>
      </c>
      <c r="SUX11" s="1429" t="s">
        <v>134</v>
      </c>
      <c r="SUY11" s="1429" t="s">
        <v>134</v>
      </c>
      <c r="SUZ11" s="1429" t="s">
        <v>134</v>
      </c>
      <c r="SVA11" s="1429" t="s">
        <v>134</v>
      </c>
      <c r="SVB11" s="1429" t="s">
        <v>134</v>
      </c>
      <c r="SVC11" s="1429" t="s">
        <v>134</v>
      </c>
      <c r="SVD11" s="1429" t="s">
        <v>134</v>
      </c>
      <c r="SVE11" s="1429" t="s">
        <v>134</v>
      </c>
      <c r="SVF11" s="1429" t="s">
        <v>134</v>
      </c>
      <c r="SVG11" s="1429" t="s">
        <v>134</v>
      </c>
      <c r="SVH11" s="1429" t="s">
        <v>134</v>
      </c>
      <c r="SVI11" s="1429" t="s">
        <v>134</v>
      </c>
      <c r="SVJ11" s="1429" t="s">
        <v>134</v>
      </c>
      <c r="SVK11" s="1429" t="s">
        <v>134</v>
      </c>
      <c r="SVL11" s="1429" t="s">
        <v>134</v>
      </c>
      <c r="SVM11" s="1429" t="s">
        <v>134</v>
      </c>
      <c r="SVN11" s="1429" t="s">
        <v>134</v>
      </c>
      <c r="SVO11" s="1429" t="s">
        <v>134</v>
      </c>
      <c r="SVP11" s="1429" t="s">
        <v>134</v>
      </c>
      <c r="SVQ11" s="1429" t="s">
        <v>134</v>
      </c>
      <c r="SVR11" s="1429" t="s">
        <v>134</v>
      </c>
      <c r="SVS11" s="1429" t="s">
        <v>134</v>
      </c>
      <c r="SVT11" s="1429" t="s">
        <v>134</v>
      </c>
      <c r="SVU11" s="1429" t="s">
        <v>134</v>
      </c>
      <c r="SVV11" s="1429" t="s">
        <v>134</v>
      </c>
      <c r="SVW11" s="1429" t="s">
        <v>134</v>
      </c>
      <c r="SVX11" s="1429" t="s">
        <v>134</v>
      </c>
      <c r="SVY11" s="1429" t="s">
        <v>134</v>
      </c>
      <c r="SVZ11" s="1429" t="s">
        <v>134</v>
      </c>
      <c r="SWA11" s="1429" t="s">
        <v>134</v>
      </c>
      <c r="SWB11" s="1429" t="s">
        <v>134</v>
      </c>
      <c r="SWC11" s="1429" t="s">
        <v>134</v>
      </c>
      <c r="SWD11" s="1429" t="s">
        <v>134</v>
      </c>
      <c r="SWE11" s="1429" t="s">
        <v>134</v>
      </c>
      <c r="SWF11" s="1429" t="s">
        <v>134</v>
      </c>
      <c r="SWG11" s="1429" t="s">
        <v>134</v>
      </c>
      <c r="SWH11" s="1429" t="s">
        <v>134</v>
      </c>
      <c r="SWI11" s="1429" t="s">
        <v>134</v>
      </c>
      <c r="SWJ11" s="1429" t="s">
        <v>134</v>
      </c>
      <c r="SWK11" s="1429" t="s">
        <v>134</v>
      </c>
      <c r="SWL11" s="1429" t="s">
        <v>134</v>
      </c>
      <c r="SWM11" s="1429" t="s">
        <v>134</v>
      </c>
      <c r="SWN11" s="1429" t="s">
        <v>134</v>
      </c>
      <c r="SWO11" s="1429" t="s">
        <v>134</v>
      </c>
      <c r="SWP11" s="1429" t="s">
        <v>134</v>
      </c>
      <c r="SWQ11" s="1429" t="s">
        <v>134</v>
      </c>
      <c r="SWR11" s="1429" t="s">
        <v>134</v>
      </c>
      <c r="SWS11" s="1429" t="s">
        <v>134</v>
      </c>
      <c r="SWT11" s="1429" t="s">
        <v>134</v>
      </c>
      <c r="SWU11" s="1429" t="s">
        <v>134</v>
      </c>
      <c r="SWV11" s="1429" t="s">
        <v>134</v>
      </c>
      <c r="SWW11" s="1429" t="s">
        <v>134</v>
      </c>
      <c r="SWX11" s="1429" t="s">
        <v>134</v>
      </c>
      <c r="SWY11" s="1429" t="s">
        <v>134</v>
      </c>
      <c r="SWZ11" s="1429" t="s">
        <v>134</v>
      </c>
      <c r="SXA11" s="1429" t="s">
        <v>134</v>
      </c>
      <c r="SXB11" s="1429" t="s">
        <v>134</v>
      </c>
      <c r="SXC11" s="1429" t="s">
        <v>134</v>
      </c>
      <c r="SXD11" s="1429" t="s">
        <v>134</v>
      </c>
      <c r="SXE11" s="1429" t="s">
        <v>134</v>
      </c>
      <c r="SXF11" s="1429" t="s">
        <v>134</v>
      </c>
      <c r="SXG11" s="1429" t="s">
        <v>134</v>
      </c>
      <c r="SXH11" s="1429" t="s">
        <v>134</v>
      </c>
      <c r="SXI11" s="1429" t="s">
        <v>134</v>
      </c>
      <c r="SXJ11" s="1429" t="s">
        <v>134</v>
      </c>
      <c r="SXK11" s="1429" t="s">
        <v>134</v>
      </c>
      <c r="SXL11" s="1429" t="s">
        <v>134</v>
      </c>
      <c r="SXM11" s="1429" t="s">
        <v>134</v>
      </c>
      <c r="SXN11" s="1429" t="s">
        <v>134</v>
      </c>
      <c r="SXO11" s="1429" t="s">
        <v>134</v>
      </c>
      <c r="SXP11" s="1429" t="s">
        <v>134</v>
      </c>
      <c r="SXQ11" s="1429" t="s">
        <v>134</v>
      </c>
      <c r="SXR11" s="1429" t="s">
        <v>134</v>
      </c>
      <c r="SXS11" s="1429" t="s">
        <v>134</v>
      </c>
      <c r="SXT11" s="1429" t="s">
        <v>134</v>
      </c>
      <c r="SXU11" s="1429" t="s">
        <v>134</v>
      </c>
      <c r="SXV11" s="1429" t="s">
        <v>134</v>
      </c>
      <c r="SXW11" s="1429" t="s">
        <v>134</v>
      </c>
      <c r="SXX11" s="1429" t="s">
        <v>134</v>
      </c>
      <c r="SXY11" s="1429" t="s">
        <v>134</v>
      </c>
      <c r="SXZ11" s="1429" t="s">
        <v>134</v>
      </c>
      <c r="SYA11" s="1429" t="s">
        <v>134</v>
      </c>
      <c r="SYB11" s="1429" t="s">
        <v>134</v>
      </c>
      <c r="SYC11" s="1429" t="s">
        <v>134</v>
      </c>
      <c r="SYD11" s="1429" t="s">
        <v>134</v>
      </c>
      <c r="SYE11" s="1429" t="s">
        <v>134</v>
      </c>
      <c r="SYF11" s="1429" t="s">
        <v>134</v>
      </c>
      <c r="SYG11" s="1429" t="s">
        <v>134</v>
      </c>
      <c r="SYH11" s="1429" t="s">
        <v>134</v>
      </c>
      <c r="SYI11" s="1429" t="s">
        <v>134</v>
      </c>
      <c r="SYJ11" s="1429" t="s">
        <v>134</v>
      </c>
      <c r="SYK11" s="1429" t="s">
        <v>134</v>
      </c>
      <c r="SYL11" s="1429" t="s">
        <v>134</v>
      </c>
      <c r="SYM11" s="1429" t="s">
        <v>134</v>
      </c>
      <c r="SYN11" s="1429" t="s">
        <v>134</v>
      </c>
      <c r="SYO11" s="1429" t="s">
        <v>134</v>
      </c>
      <c r="SYP11" s="1429" t="s">
        <v>134</v>
      </c>
      <c r="SYQ11" s="1429" t="s">
        <v>134</v>
      </c>
      <c r="SYR11" s="1429" t="s">
        <v>134</v>
      </c>
      <c r="SYS11" s="1429" t="s">
        <v>134</v>
      </c>
      <c r="SYT11" s="1429" t="s">
        <v>134</v>
      </c>
      <c r="SYU11" s="1429" t="s">
        <v>134</v>
      </c>
      <c r="SYV11" s="1429" t="s">
        <v>134</v>
      </c>
      <c r="SYW11" s="1429" t="s">
        <v>134</v>
      </c>
      <c r="SYX11" s="1429" t="s">
        <v>134</v>
      </c>
      <c r="SYY11" s="1429" t="s">
        <v>134</v>
      </c>
      <c r="SYZ11" s="1429" t="s">
        <v>134</v>
      </c>
      <c r="SZA11" s="1429" t="s">
        <v>134</v>
      </c>
      <c r="SZB11" s="1429" t="s">
        <v>134</v>
      </c>
      <c r="SZC11" s="1429" t="s">
        <v>134</v>
      </c>
      <c r="SZD11" s="1429" t="s">
        <v>134</v>
      </c>
      <c r="SZE11" s="1429" t="s">
        <v>134</v>
      </c>
      <c r="SZF11" s="1429" t="s">
        <v>134</v>
      </c>
      <c r="SZG11" s="1429" t="s">
        <v>134</v>
      </c>
      <c r="SZH11" s="1429" t="s">
        <v>134</v>
      </c>
      <c r="SZI11" s="1429" t="s">
        <v>134</v>
      </c>
      <c r="SZJ11" s="1429" t="s">
        <v>134</v>
      </c>
      <c r="SZK11" s="1429" t="s">
        <v>134</v>
      </c>
      <c r="SZL11" s="1429" t="s">
        <v>134</v>
      </c>
      <c r="SZM11" s="1429" t="s">
        <v>134</v>
      </c>
      <c r="SZN11" s="1429" t="s">
        <v>134</v>
      </c>
      <c r="SZO11" s="1429" t="s">
        <v>134</v>
      </c>
      <c r="SZP11" s="1429" t="s">
        <v>134</v>
      </c>
      <c r="SZQ11" s="1429" t="s">
        <v>134</v>
      </c>
      <c r="SZR11" s="1429" t="s">
        <v>134</v>
      </c>
      <c r="SZS11" s="1429" t="s">
        <v>134</v>
      </c>
      <c r="SZT11" s="1429" t="s">
        <v>134</v>
      </c>
      <c r="SZU11" s="1429" t="s">
        <v>134</v>
      </c>
      <c r="SZV11" s="1429" t="s">
        <v>134</v>
      </c>
      <c r="SZW11" s="1429" t="s">
        <v>134</v>
      </c>
      <c r="SZX11" s="1429" t="s">
        <v>134</v>
      </c>
      <c r="SZY11" s="1429" t="s">
        <v>134</v>
      </c>
      <c r="SZZ11" s="1429" t="s">
        <v>134</v>
      </c>
      <c r="TAA11" s="1429" t="s">
        <v>134</v>
      </c>
      <c r="TAB11" s="1429" t="s">
        <v>134</v>
      </c>
      <c r="TAC11" s="1429" t="s">
        <v>134</v>
      </c>
      <c r="TAD11" s="1429" t="s">
        <v>134</v>
      </c>
      <c r="TAE11" s="1429" t="s">
        <v>134</v>
      </c>
      <c r="TAF11" s="1429" t="s">
        <v>134</v>
      </c>
      <c r="TAG11" s="1429" t="s">
        <v>134</v>
      </c>
      <c r="TAH11" s="1429" t="s">
        <v>134</v>
      </c>
      <c r="TAI11" s="1429" t="s">
        <v>134</v>
      </c>
      <c r="TAJ11" s="1429" t="s">
        <v>134</v>
      </c>
      <c r="TAK11" s="1429" t="s">
        <v>134</v>
      </c>
      <c r="TAL11" s="1429" t="s">
        <v>134</v>
      </c>
      <c r="TAM11" s="1429" t="s">
        <v>134</v>
      </c>
      <c r="TAN11" s="1429" t="s">
        <v>134</v>
      </c>
      <c r="TAO11" s="1429" t="s">
        <v>134</v>
      </c>
      <c r="TAP11" s="1429" t="s">
        <v>134</v>
      </c>
      <c r="TAQ11" s="1429" t="s">
        <v>134</v>
      </c>
      <c r="TAR11" s="1429" t="s">
        <v>134</v>
      </c>
      <c r="TAS11" s="1429" t="s">
        <v>134</v>
      </c>
      <c r="TAT11" s="1429" t="s">
        <v>134</v>
      </c>
      <c r="TAU11" s="1429" t="s">
        <v>134</v>
      </c>
      <c r="TAV11" s="1429" t="s">
        <v>134</v>
      </c>
      <c r="TAW11" s="1429" t="s">
        <v>134</v>
      </c>
      <c r="TAX11" s="1429" t="s">
        <v>134</v>
      </c>
      <c r="TAY11" s="1429" t="s">
        <v>134</v>
      </c>
      <c r="TAZ11" s="1429" t="s">
        <v>134</v>
      </c>
      <c r="TBA11" s="1429" t="s">
        <v>134</v>
      </c>
      <c r="TBB11" s="1429" t="s">
        <v>134</v>
      </c>
      <c r="TBC11" s="1429" t="s">
        <v>134</v>
      </c>
      <c r="TBD11" s="1429" t="s">
        <v>134</v>
      </c>
      <c r="TBE11" s="1429" t="s">
        <v>134</v>
      </c>
      <c r="TBF11" s="1429" t="s">
        <v>134</v>
      </c>
      <c r="TBG11" s="1429" t="s">
        <v>134</v>
      </c>
      <c r="TBH11" s="1429" t="s">
        <v>134</v>
      </c>
      <c r="TBI11" s="1429" t="s">
        <v>134</v>
      </c>
      <c r="TBJ11" s="1429" t="s">
        <v>134</v>
      </c>
      <c r="TBK11" s="1429" t="s">
        <v>134</v>
      </c>
      <c r="TBL11" s="1429" t="s">
        <v>134</v>
      </c>
      <c r="TBM11" s="1429" t="s">
        <v>134</v>
      </c>
      <c r="TBN11" s="1429" t="s">
        <v>134</v>
      </c>
      <c r="TBO11" s="1429" t="s">
        <v>134</v>
      </c>
      <c r="TBP11" s="1429" t="s">
        <v>134</v>
      </c>
      <c r="TBQ11" s="1429" t="s">
        <v>134</v>
      </c>
      <c r="TBR11" s="1429" t="s">
        <v>134</v>
      </c>
      <c r="TBS11" s="1429" t="s">
        <v>134</v>
      </c>
      <c r="TBT11" s="1429" t="s">
        <v>134</v>
      </c>
      <c r="TBU11" s="1429" t="s">
        <v>134</v>
      </c>
      <c r="TBV11" s="1429" t="s">
        <v>134</v>
      </c>
      <c r="TBW11" s="1429" t="s">
        <v>134</v>
      </c>
      <c r="TBX11" s="1429" t="s">
        <v>134</v>
      </c>
      <c r="TBY11" s="1429" t="s">
        <v>134</v>
      </c>
      <c r="TBZ11" s="1429" t="s">
        <v>134</v>
      </c>
      <c r="TCA11" s="1429" t="s">
        <v>134</v>
      </c>
      <c r="TCB11" s="1429" t="s">
        <v>134</v>
      </c>
      <c r="TCC11" s="1429" t="s">
        <v>134</v>
      </c>
      <c r="TCD11" s="1429" t="s">
        <v>134</v>
      </c>
      <c r="TCE11" s="1429" t="s">
        <v>134</v>
      </c>
      <c r="TCF11" s="1429" t="s">
        <v>134</v>
      </c>
      <c r="TCG11" s="1429" t="s">
        <v>134</v>
      </c>
      <c r="TCH11" s="1429" t="s">
        <v>134</v>
      </c>
      <c r="TCI11" s="1429" t="s">
        <v>134</v>
      </c>
      <c r="TCJ11" s="1429" t="s">
        <v>134</v>
      </c>
      <c r="TCK11" s="1429" t="s">
        <v>134</v>
      </c>
      <c r="TCL11" s="1429" t="s">
        <v>134</v>
      </c>
      <c r="TCM11" s="1429" t="s">
        <v>134</v>
      </c>
      <c r="TCN11" s="1429" t="s">
        <v>134</v>
      </c>
      <c r="TCO11" s="1429" t="s">
        <v>134</v>
      </c>
      <c r="TCP11" s="1429" t="s">
        <v>134</v>
      </c>
      <c r="TCQ11" s="1429" t="s">
        <v>134</v>
      </c>
      <c r="TCR11" s="1429" t="s">
        <v>134</v>
      </c>
      <c r="TCS11" s="1429" t="s">
        <v>134</v>
      </c>
      <c r="TCT11" s="1429" t="s">
        <v>134</v>
      </c>
      <c r="TCU11" s="1429" t="s">
        <v>134</v>
      </c>
      <c r="TCV11" s="1429" t="s">
        <v>134</v>
      </c>
      <c r="TCW11" s="1429" t="s">
        <v>134</v>
      </c>
      <c r="TCX11" s="1429" t="s">
        <v>134</v>
      </c>
      <c r="TCY11" s="1429" t="s">
        <v>134</v>
      </c>
      <c r="TCZ11" s="1429" t="s">
        <v>134</v>
      </c>
      <c r="TDA11" s="1429" t="s">
        <v>134</v>
      </c>
      <c r="TDB11" s="1429" t="s">
        <v>134</v>
      </c>
      <c r="TDC11" s="1429" t="s">
        <v>134</v>
      </c>
      <c r="TDD11" s="1429" t="s">
        <v>134</v>
      </c>
      <c r="TDE11" s="1429" t="s">
        <v>134</v>
      </c>
      <c r="TDF11" s="1429" t="s">
        <v>134</v>
      </c>
      <c r="TDG11" s="1429" t="s">
        <v>134</v>
      </c>
      <c r="TDH11" s="1429" t="s">
        <v>134</v>
      </c>
      <c r="TDI11" s="1429" t="s">
        <v>134</v>
      </c>
      <c r="TDJ11" s="1429" t="s">
        <v>134</v>
      </c>
      <c r="TDK11" s="1429" t="s">
        <v>134</v>
      </c>
      <c r="TDL11" s="1429" t="s">
        <v>134</v>
      </c>
      <c r="TDM11" s="1429" t="s">
        <v>134</v>
      </c>
      <c r="TDN11" s="1429" t="s">
        <v>134</v>
      </c>
      <c r="TDO11" s="1429" t="s">
        <v>134</v>
      </c>
      <c r="TDP11" s="1429" t="s">
        <v>134</v>
      </c>
      <c r="TDQ11" s="1429" t="s">
        <v>134</v>
      </c>
      <c r="TDR11" s="1429" t="s">
        <v>134</v>
      </c>
      <c r="TDS11" s="1429" t="s">
        <v>134</v>
      </c>
      <c r="TDT11" s="1429" t="s">
        <v>134</v>
      </c>
      <c r="TDU11" s="1429" t="s">
        <v>134</v>
      </c>
      <c r="TDV11" s="1429" t="s">
        <v>134</v>
      </c>
      <c r="TDW11" s="1429" t="s">
        <v>134</v>
      </c>
      <c r="TDX11" s="1429" t="s">
        <v>134</v>
      </c>
      <c r="TDY11" s="1429" t="s">
        <v>134</v>
      </c>
      <c r="TDZ11" s="1429" t="s">
        <v>134</v>
      </c>
      <c r="TEA11" s="1429" t="s">
        <v>134</v>
      </c>
      <c r="TEB11" s="1429" t="s">
        <v>134</v>
      </c>
      <c r="TEC11" s="1429" t="s">
        <v>134</v>
      </c>
      <c r="TED11" s="1429" t="s">
        <v>134</v>
      </c>
      <c r="TEE11" s="1429" t="s">
        <v>134</v>
      </c>
      <c r="TEF11" s="1429" t="s">
        <v>134</v>
      </c>
      <c r="TEG11" s="1429" t="s">
        <v>134</v>
      </c>
      <c r="TEH11" s="1429" t="s">
        <v>134</v>
      </c>
      <c r="TEI11" s="1429" t="s">
        <v>134</v>
      </c>
      <c r="TEJ11" s="1429" t="s">
        <v>134</v>
      </c>
      <c r="TEK11" s="1429" t="s">
        <v>134</v>
      </c>
      <c r="TEL11" s="1429" t="s">
        <v>134</v>
      </c>
      <c r="TEM11" s="1429" t="s">
        <v>134</v>
      </c>
      <c r="TEN11" s="1429" t="s">
        <v>134</v>
      </c>
      <c r="TEO11" s="1429" t="s">
        <v>134</v>
      </c>
      <c r="TEP11" s="1429" t="s">
        <v>134</v>
      </c>
      <c r="TEQ11" s="1429" t="s">
        <v>134</v>
      </c>
      <c r="TER11" s="1429" t="s">
        <v>134</v>
      </c>
      <c r="TES11" s="1429" t="s">
        <v>134</v>
      </c>
      <c r="TET11" s="1429" t="s">
        <v>134</v>
      </c>
      <c r="TEU11" s="1429" t="s">
        <v>134</v>
      </c>
      <c r="TEV11" s="1429" t="s">
        <v>134</v>
      </c>
      <c r="TEW11" s="1429" t="s">
        <v>134</v>
      </c>
      <c r="TEX11" s="1429" t="s">
        <v>134</v>
      </c>
      <c r="TEY11" s="1429" t="s">
        <v>134</v>
      </c>
      <c r="TEZ11" s="1429" t="s">
        <v>134</v>
      </c>
      <c r="TFA11" s="1429" t="s">
        <v>134</v>
      </c>
      <c r="TFB11" s="1429" t="s">
        <v>134</v>
      </c>
      <c r="TFC11" s="1429" t="s">
        <v>134</v>
      </c>
      <c r="TFD11" s="1429" t="s">
        <v>134</v>
      </c>
      <c r="TFE11" s="1429" t="s">
        <v>134</v>
      </c>
      <c r="TFF11" s="1429" t="s">
        <v>134</v>
      </c>
      <c r="TFG11" s="1429" t="s">
        <v>134</v>
      </c>
      <c r="TFH11" s="1429" t="s">
        <v>134</v>
      </c>
      <c r="TFI11" s="1429" t="s">
        <v>134</v>
      </c>
      <c r="TFJ11" s="1429" t="s">
        <v>134</v>
      </c>
      <c r="TFK11" s="1429" t="s">
        <v>134</v>
      </c>
      <c r="TFL11" s="1429" t="s">
        <v>134</v>
      </c>
      <c r="TFM11" s="1429" t="s">
        <v>134</v>
      </c>
      <c r="TFN11" s="1429" t="s">
        <v>134</v>
      </c>
      <c r="TFO11" s="1429" t="s">
        <v>134</v>
      </c>
      <c r="TFP11" s="1429" t="s">
        <v>134</v>
      </c>
      <c r="TFQ11" s="1429" t="s">
        <v>134</v>
      </c>
      <c r="TFR11" s="1429" t="s">
        <v>134</v>
      </c>
      <c r="TFS11" s="1429" t="s">
        <v>134</v>
      </c>
      <c r="TFT11" s="1429" t="s">
        <v>134</v>
      </c>
      <c r="TFU11" s="1429" t="s">
        <v>134</v>
      </c>
      <c r="TFV11" s="1429" t="s">
        <v>134</v>
      </c>
      <c r="TFW11" s="1429" t="s">
        <v>134</v>
      </c>
      <c r="TFX11" s="1429" t="s">
        <v>134</v>
      </c>
      <c r="TFY11" s="1429" t="s">
        <v>134</v>
      </c>
      <c r="TFZ11" s="1429" t="s">
        <v>134</v>
      </c>
      <c r="TGA11" s="1429" t="s">
        <v>134</v>
      </c>
      <c r="TGB11" s="1429" t="s">
        <v>134</v>
      </c>
      <c r="TGC11" s="1429" t="s">
        <v>134</v>
      </c>
      <c r="TGD11" s="1429" t="s">
        <v>134</v>
      </c>
      <c r="TGE11" s="1429" t="s">
        <v>134</v>
      </c>
      <c r="TGF11" s="1429" t="s">
        <v>134</v>
      </c>
      <c r="TGG11" s="1429" t="s">
        <v>134</v>
      </c>
      <c r="TGH11" s="1429" t="s">
        <v>134</v>
      </c>
      <c r="TGI11" s="1429" t="s">
        <v>134</v>
      </c>
      <c r="TGJ11" s="1429" t="s">
        <v>134</v>
      </c>
      <c r="TGK11" s="1429" t="s">
        <v>134</v>
      </c>
      <c r="TGL11" s="1429" t="s">
        <v>134</v>
      </c>
      <c r="TGM11" s="1429" t="s">
        <v>134</v>
      </c>
      <c r="TGN11" s="1429" t="s">
        <v>134</v>
      </c>
      <c r="TGO11" s="1429" t="s">
        <v>134</v>
      </c>
      <c r="TGP11" s="1429" t="s">
        <v>134</v>
      </c>
      <c r="TGQ11" s="1429" t="s">
        <v>134</v>
      </c>
      <c r="TGR11" s="1429" t="s">
        <v>134</v>
      </c>
      <c r="TGS11" s="1429" t="s">
        <v>134</v>
      </c>
      <c r="TGT11" s="1429" t="s">
        <v>134</v>
      </c>
      <c r="TGU11" s="1429" t="s">
        <v>134</v>
      </c>
      <c r="TGV11" s="1429" t="s">
        <v>134</v>
      </c>
      <c r="TGW11" s="1429" t="s">
        <v>134</v>
      </c>
      <c r="TGX11" s="1429" t="s">
        <v>134</v>
      </c>
      <c r="TGY11" s="1429" t="s">
        <v>134</v>
      </c>
      <c r="TGZ11" s="1429" t="s">
        <v>134</v>
      </c>
      <c r="THA11" s="1429" t="s">
        <v>134</v>
      </c>
      <c r="THB11" s="1429" t="s">
        <v>134</v>
      </c>
      <c r="THC11" s="1429" t="s">
        <v>134</v>
      </c>
      <c r="THD11" s="1429" t="s">
        <v>134</v>
      </c>
      <c r="THE11" s="1429" t="s">
        <v>134</v>
      </c>
      <c r="THF11" s="1429" t="s">
        <v>134</v>
      </c>
      <c r="THG11" s="1429" t="s">
        <v>134</v>
      </c>
      <c r="THH11" s="1429" t="s">
        <v>134</v>
      </c>
      <c r="THI11" s="1429" t="s">
        <v>134</v>
      </c>
      <c r="THJ11" s="1429" t="s">
        <v>134</v>
      </c>
      <c r="THK11" s="1429" t="s">
        <v>134</v>
      </c>
      <c r="THL11" s="1429" t="s">
        <v>134</v>
      </c>
      <c r="THM11" s="1429" t="s">
        <v>134</v>
      </c>
      <c r="THN11" s="1429" t="s">
        <v>134</v>
      </c>
      <c r="THO11" s="1429" t="s">
        <v>134</v>
      </c>
      <c r="THP11" s="1429" t="s">
        <v>134</v>
      </c>
      <c r="THQ11" s="1429" t="s">
        <v>134</v>
      </c>
      <c r="THR11" s="1429" t="s">
        <v>134</v>
      </c>
      <c r="THS11" s="1429" t="s">
        <v>134</v>
      </c>
      <c r="THT11" s="1429" t="s">
        <v>134</v>
      </c>
      <c r="THU11" s="1429" t="s">
        <v>134</v>
      </c>
      <c r="THV11" s="1429" t="s">
        <v>134</v>
      </c>
      <c r="THW11" s="1429" t="s">
        <v>134</v>
      </c>
      <c r="THX11" s="1429" t="s">
        <v>134</v>
      </c>
      <c r="THY11" s="1429" t="s">
        <v>134</v>
      </c>
      <c r="THZ11" s="1429" t="s">
        <v>134</v>
      </c>
      <c r="TIA11" s="1429" t="s">
        <v>134</v>
      </c>
      <c r="TIB11" s="1429" t="s">
        <v>134</v>
      </c>
      <c r="TIC11" s="1429" t="s">
        <v>134</v>
      </c>
      <c r="TID11" s="1429" t="s">
        <v>134</v>
      </c>
      <c r="TIE11" s="1429" t="s">
        <v>134</v>
      </c>
      <c r="TIF11" s="1429" t="s">
        <v>134</v>
      </c>
      <c r="TIG11" s="1429" t="s">
        <v>134</v>
      </c>
      <c r="TIH11" s="1429" t="s">
        <v>134</v>
      </c>
      <c r="TII11" s="1429" t="s">
        <v>134</v>
      </c>
      <c r="TIJ11" s="1429" t="s">
        <v>134</v>
      </c>
      <c r="TIK11" s="1429" t="s">
        <v>134</v>
      </c>
      <c r="TIL11" s="1429" t="s">
        <v>134</v>
      </c>
      <c r="TIM11" s="1429" t="s">
        <v>134</v>
      </c>
      <c r="TIN11" s="1429" t="s">
        <v>134</v>
      </c>
      <c r="TIO11" s="1429" t="s">
        <v>134</v>
      </c>
      <c r="TIP11" s="1429" t="s">
        <v>134</v>
      </c>
      <c r="TIQ11" s="1429" t="s">
        <v>134</v>
      </c>
      <c r="TIR11" s="1429" t="s">
        <v>134</v>
      </c>
      <c r="TIS11" s="1429" t="s">
        <v>134</v>
      </c>
      <c r="TIT11" s="1429" t="s">
        <v>134</v>
      </c>
      <c r="TIU11" s="1429" t="s">
        <v>134</v>
      </c>
      <c r="TIV11" s="1429" t="s">
        <v>134</v>
      </c>
      <c r="TIW11" s="1429" t="s">
        <v>134</v>
      </c>
      <c r="TIX11" s="1429" t="s">
        <v>134</v>
      </c>
      <c r="TIY11" s="1429" t="s">
        <v>134</v>
      </c>
      <c r="TIZ11" s="1429" t="s">
        <v>134</v>
      </c>
      <c r="TJA11" s="1429" t="s">
        <v>134</v>
      </c>
      <c r="TJB11" s="1429" t="s">
        <v>134</v>
      </c>
      <c r="TJC11" s="1429" t="s">
        <v>134</v>
      </c>
      <c r="TJD11" s="1429" t="s">
        <v>134</v>
      </c>
      <c r="TJE11" s="1429" t="s">
        <v>134</v>
      </c>
      <c r="TJF11" s="1429" t="s">
        <v>134</v>
      </c>
      <c r="TJG11" s="1429" t="s">
        <v>134</v>
      </c>
      <c r="TJH11" s="1429" t="s">
        <v>134</v>
      </c>
      <c r="TJI11" s="1429" t="s">
        <v>134</v>
      </c>
      <c r="TJJ11" s="1429" t="s">
        <v>134</v>
      </c>
      <c r="TJK11" s="1429" t="s">
        <v>134</v>
      </c>
      <c r="TJL11" s="1429" t="s">
        <v>134</v>
      </c>
      <c r="TJM11" s="1429" t="s">
        <v>134</v>
      </c>
      <c r="TJN11" s="1429" t="s">
        <v>134</v>
      </c>
      <c r="TJO11" s="1429" t="s">
        <v>134</v>
      </c>
      <c r="TJP11" s="1429" t="s">
        <v>134</v>
      </c>
      <c r="TJQ11" s="1429" t="s">
        <v>134</v>
      </c>
      <c r="TJR11" s="1429" t="s">
        <v>134</v>
      </c>
      <c r="TJS11" s="1429" t="s">
        <v>134</v>
      </c>
      <c r="TJT11" s="1429" t="s">
        <v>134</v>
      </c>
      <c r="TJU11" s="1429" t="s">
        <v>134</v>
      </c>
      <c r="TJV11" s="1429" t="s">
        <v>134</v>
      </c>
      <c r="TJW11" s="1429" t="s">
        <v>134</v>
      </c>
      <c r="TJX11" s="1429" t="s">
        <v>134</v>
      </c>
      <c r="TJY11" s="1429" t="s">
        <v>134</v>
      </c>
      <c r="TJZ11" s="1429" t="s">
        <v>134</v>
      </c>
      <c r="TKA11" s="1429" t="s">
        <v>134</v>
      </c>
      <c r="TKB11" s="1429" t="s">
        <v>134</v>
      </c>
      <c r="TKC11" s="1429" t="s">
        <v>134</v>
      </c>
      <c r="TKD11" s="1429" t="s">
        <v>134</v>
      </c>
      <c r="TKE11" s="1429" t="s">
        <v>134</v>
      </c>
      <c r="TKF11" s="1429" t="s">
        <v>134</v>
      </c>
      <c r="TKG11" s="1429" t="s">
        <v>134</v>
      </c>
      <c r="TKH11" s="1429" t="s">
        <v>134</v>
      </c>
      <c r="TKI11" s="1429" t="s">
        <v>134</v>
      </c>
      <c r="TKJ11" s="1429" t="s">
        <v>134</v>
      </c>
      <c r="TKK11" s="1429" t="s">
        <v>134</v>
      </c>
      <c r="TKL11" s="1429" t="s">
        <v>134</v>
      </c>
      <c r="TKM11" s="1429" t="s">
        <v>134</v>
      </c>
      <c r="TKN11" s="1429" t="s">
        <v>134</v>
      </c>
      <c r="TKO11" s="1429" t="s">
        <v>134</v>
      </c>
      <c r="TKP11" s="1429" t="s">
        <v>134</v>
      </c>
      <c r="TKQ11" s="1429" t="s">
        <v>134</v>
      </c>
      <c r="TKR11" s="1429" t="s">
        <v>134</v>
      </c>
      <c r="TKS11" s="1429" t="s">
        <v>134</v>
      </c>
      <c r="TKT11" s="1429" t="s">
        <v>134</v>
      </c>
      <c r="TKU11" s="1429" t="s">
        <v>134</v>
      </c>
      <c r="TKV11" s="1429" t="s">
        <v>134</v>
      </c>
      <c r="TKW11" s="1429" t="s">
        <v>134</v>
      </c>
      <c r="TKX11" s="1429" t="s">
        <v>134</v>
      </c>
      <c r="TKY11" s="1429" t="s">
        <v>134</v>
      </c>
      <c r="TKZ11" s="1429" t="s">
        <v>134</v>
      </c>
      <c r="TLA11" s="1429" t="s">
        <v>134</v>
      </c>
      <c r="TLB11" s="1429" t="s">
        <v>134</v>
      </c>
      <c r="TLC11" s="1429" t="s">
        <v>134</v>
      </c>
      <c r="TLD11" s="1429" t="s">
        <v>134</v>
      </c>
      <c r="TLE11" s="1429" t="s">
        <v>134</v>
      </c>
      <c r="TLF11" s="1429" t="s">
        <v>134</v>
      </c>
      <c r="TLG11" s="1429" t="s">
        <v>134</v>
      </c>
      <c r="TLH11" s="1429" t="s">
        <v>134</v>
      </c>
      <c r="TLI11" s="1429" t="s">
        <v>134</v>
      </c>
      <c r="TLJ11" s="1429" t="s">
        <v>134</v>
      </c>
      <c r="TLK11" s="1429" t="s">
        <v>134</v>
      </c>
      <c r="TLL11" s="1429" t="s">
        <v>134</v>
      </c>
      <c r="TLM11" s="1429" t="s">
        <v>134</v>
      </c>
      <c r="TLN11" s="1429" t="s">
        <v>134</v>
      </c>
      <c r="TLO11" s="1429" t="s">
        <v>134</v>
      </c>
      <c r="TLP11" s="1429" t="s">
        <v>134</v>
      </c>
      <c r="TLQ11" s="1429" t="s">
        <v>134</v>
      </c>
      <c r="TLR11" s="1429" t="s">
        <v>134</v>
      </c>
      <c r="TLS11" s="1429" t="s">
        <v>134</v>
      </c>
      <c r="TLT11" s="1429" t="s">
        <v>134</v>
      </c>
      <c r="TLU11" s="1429" t="s">
        <v>134</v>
      </c>
      <c r="TLV11" s="1429" t="s">
        <v>134</v>
      </c>
      <c r="TLW11" s="1429" t="s">
        <v>134</v>
      </c>
      <c r="TLX11" s="1429" t="s">
        <v>134</v>
      </c>
      <c r="TLY11" s="1429" t="s">
        <v>134</v>
      </c>
      <c r="TLZ11" s="1429" t="s">
        <v>134</v>
      </c>
      <c r="TMA11" s="1429" t="s">
        <v>134</v>
      </c>
      <c r="TMB11" s="1429" t="s">
        <v>134</v>
      </c>
      <c r="TMC11" s="1429" t="s">
        <v>134</v>
      </c>
      <c r="TMD11" s="1429" t="s">
        <v>134</v>
      </c>
      <c r="TME11" s="1429" t="s">
        <v>134</v>
      </c>
      <c r="TMF11" s="1429" t="s">
        <v>134</v>
      </c>
      <c r="TMG11" s="1429" t="s">
        <v>134</v>
      </c>
      <c r="TMH11" s="1429" t="s">
        <v>134</v>
      </c>
      <c r="TMI11" s="1429" t="s">
        <v>134</v>
      </c>
      <c r="TMJ11" s="1429" t="s">
        <v>134</v>
      </c>
      <c r="TMK11" s="1429" t="s">
        <v>134</v>
      </c>
      <c r="TML11" s="1429" t="s">
        <v>134</v>
      </c>
      <c r="TMM11" s="1429" t="s">
        <v>134</v>
      </c>
      <c r="TMN11" s="1429" t="s">
        <v>134</v>
      </c>
      <c r="TMO11" s="1429" t="s">
        <v>134</v>
      </c>
      <c r="TMP11" s="1429" t="s">
        <v>134</v>
      </c>
      <c r="TMQ11" s="1429" t="s">
        <v>134</v>
      </c>
      <c r="TMR11" s="1429" t="s">
        <v>134</v>
      </c>
      <c r="TMS11" s="1429" t="s">
        <v>134</v>
      </c>
      <c r="TMT11" s="1429" t="s">
        <v>134</v>
      </c>
      <c r="TMU11" s="1429" t="s">
        <v>134</v>
      </c>
      <c r="TMV11" s="1429" t="s">
        <v>134</v>
      </c>
      <c r="TMW11" s="1429" t="s">
        <v>134</v>
      </c>
      <c r="TMX11" s="1429" t="s">
        <v>134</v>
      </c>
      <c r="TMY11" s="1429" t="s">
        <v>134</v>
      </c>
      <c r="TMZ11" s="1429" t="s">
        <v>134</v>
      </c>
      <c r="TNA11" s="1429" t="s">
        <v>134</v>
      </c>
      <c r="TNB11" s="1429" t="s">
        <v>134</v>
      </c>
      <c r="TNC11" s="1429" t="s">
        <v>134</v>
      </c>
      <c r="TND11" s="1429" t="s">
        <v>134</v>
      </c>
      <c r="TNE11" s="1429" t="s">
        <v>134</v>
      </c>
      <c r="TNF11" s="1429" t="s">
        <v>134</v>
      </c>
      <c r="TNG11" s="1429" t="s">
        <v>134</v>
      </c>
      <c r="TNH11" s="1429" t="s">
        <v>134</v>
      </c>
      <c r="TNI11" s="1429" t="s">
        <v>134</v>
      </c>
      <c r="TNJ11" s="1429" t="s">
        <v>134</v>
      </c>
      <c r="TNK11" s="1429" t="s">
        <v>134</v>
      </c>
      <c r="TNL11" s="1429" t="s">
        <v>134</v>
      </c>
      <c r="TNM11" s="1429" t="s">
        <v>134</v>
      </c>
      <c r="TNN11" s="1429" t="s">
        <v>134</v>
      </c>
      <c r="TNO11" s="1429" t="s">
        <v>134</v>
      </c>
      <c r="TNP11" s="1429" t="s">
        <v>134</v>
      </c>
      <c r="TNQ11" s="1429" t="s">
        <v>134</v>
      </c>
      <c r="TNR11" s="1429" t="s">
        <v>134</v>
      </c>
      <c r="TNS11" s="1429" t="s">
        <v>134</v>
      </c>
      <c r="TNT11" s="1429" t="s">
        <v>134</v>
      </c>
      <c r="TNU11" s="1429" t="s">
        <v>134</v>
      </c>
      <c r="TNV11" s="1429" t="s">
        <v>134</v>
      </c>
      <c r="TNW11" s="1429" t="s">
        <v>134</v>
      </c>
      <c r="TNX11" s="1429" t="s">
        <v>134</v>
      </c>
      <c r="TNY11" s="1429" t="s">
        <v>134</v>
      </c>
      <c r="TNZ11" s="1429" t="s">
        <v>134</v>
      </c>
      <c r="TOA11" s="1429" t="s">
        <v>134</v>
      </c>
      <c r="TOB11" s="1429" t="s">
        <v>134</v>
      </c>
      <c r="TOC11" s="1429" t="s">
        <v>134</v>
      </c>
      <c r="TOD11" s="1429" t="s">
        <v>134</v>
      </c>
      <c r="TOE11" s="1429" t="s">
        <v>134</v>
      </c>
      <c r="TOF11" s="1429" t="s">
        <v>134</v>
      </c>
      <c r="TOG11" s="1429" t="s">
        <v>134</v>
      </c>
      <c r="TOH11" s="1429" t="s">
        <v>134</v>
      </c>
      <c r="TOI11" s="1429" t="s">
        <v>134</v>
      </c>
      <c r="TOJ11" s="1429" t="s">
        <v>134</v>
      </c>
      <c r="TOK11" s="1429" t="s">
        <v>134</v>
      </c>
      <c r="TOL11" s="1429" t="s">
        <v>134</v>
      </c>
      <c r="TOM11" s="1429" t="s">
        <v>134</v>
      </c>
      <c r="TON11" s="1429" t="s">
        <v>134</v>
      </c>
      <c r="TOO11" s="1429" t="s">
        <v>134</v>
      </c>
      <c r="TOP11" s="1429" t="s">
        <v>134</v>
      </c>
      <c r="TOQ11" s="1429" t="s">
        <v>134</v>
      </c>
      <c r="TOR11" s="1429" t="s">
        <v>134</v>
      </c>
      <c r="TOS11" s="1429" t="s">
        <v>134</v>
      </c>
      <c r="TOT11" s="1429" t="s">
        <v>134</v>
      </c>
      <c r="TOU11" s="1429" t="s">
        <v>134</v>
      </c>
      <c r="TOV11" s="1429" t="s">
        <v>134</v>
      </c>
      <c r="TOW11" s="1429" t="s">
        <v>134</v>
      </c>
      <c r="TOX11" s="1429" t="s">
        <v>134</v>
      </c>
      <c r="TOY11" s="1429" t="s">
        <v>134</v>
      </c>
      <c r="TOZ11" s="1429" t="s">
        <v>134</v>
      </c>
      <c r="TPA11" s="1429" t="s">
        <v>134</v>
      </c>
      <c r="TPB11" s="1429" t="s">
        <v>134</v>
      </c>
      <c r="TPC11" s="1429" t="s">
        <v>134</v>
      </c>
      <c r="TPD11" s="1429" t="s">
        <v>134</v>
      </c>
      <c r="TPE11" s="1429" t="s">
        <v>134</v>
      </c>
      <c r="TPF11" s="1429" t="s">
        <v>134</v>
      </c>
      <c r="TPG11" s="1429" t="s">
        <v>134</v>
      </c>
      <c r="TPH11" s="1429" t="s">
        <v>134</v>
      </c>
      <c r="TPI11" s="1429" t="s">
        <v>134</v>
      </c>
      <c r="TPJ11" s="1429" t="s">
        <v>134</v>
      </c>
      <c r="TPK11" s="1429" t="s">
        <v>134</v>
      </c>
      <c r="TPL11" s="1429" t="s">
        <v>134</v>
      </c>
      <c r="TPM11" s="1429" t="s">
        <v>134</v>
      </c>
      <c r="TPN11" s="1429" t="s">
        <v>134</v>
      </c>
      <c r="TPO11" s="1429" t="s">
        <v>134</v>
      </c>
      <c r="TPP11" s="1429" t="s">
        <v>134</v>
      </c>
      <c r="TPQ11" s="1429" t="s">
        <v>134</v>
      </c>
      <c r="TPR11" s="1429" t="s">
        <v>134</v>
      </c>
      <c r="TPS11" s="1429" t="s">
        <v>134</v>
      </c>
      <c r="TPT11" s="1429" t="s">
        <v>134</v>
      </c>
      <c r="TPU11" s="1429" t="s">
        <v>134</v>
      </c>
      <c r="TPV11" s="1429" t="s">
        <v>134</v>
      </c>
      <c r="TPW11" s="1429" t="s">
        <v>134</v>
      </c>
      <c r="TPX11" s="1429" t="s">
        <v>134</v>
      </c>
      <c r="TPY11" s="1429" t="s">
        <v>134</v>
      </c>
      <c r="TPZ11" s="1429" t="s">
        <v>134</v>
      </c>
      <c r="TQA11" s="1429" t="s">
        <v>134</v>
      </c>
      <c r="TQB11" s="1429" t="s">
        <v>134</v>
      </c>
      <c r="TQC11" s="1429" t="s">
        <v>134</v>
      </c>
      <c r="TQD11" s="1429" t="s">
        <v>134</v>
      </c>
      <c r="TQE11" s="1429" t="s">
        <v>134</v>
      </c>
      <c r="TQF11" s="1429" t="s">
        <v>134</v>
      </c>
      <c r="TQG11" s="1429" t="s">
        <v>134</v>
      </c>
      <c r="TQH11" s="1429" t="s">
        <v>134</v>
      </c>
      <c r="TQI11" s="1429" t="s">
        <v>134</v>
      </c>
      <c r="TQJ11" s="1429" t="s">
        <v>134</v>
      </c>
      <c r="TQK11" s="1429" t="s">
        <v>134</v>
      </c>
      <c r="TQL11" s="1429" t="s">
        <v>134</v>
      </c>
      <c r="TQM11" s="1429" t="s">
        <v>134</v>
      </c>
      <c r="TQN11" s="1429" t="s">
        <v>134</v>
      </c>
      <c r="TQO11" s="1429" t="s">
        <v>134</v>
      </c>
      <c r="TQP11" s="1429" t="s">
        <v>134</v>
      </c>
      <c r="TQQ11" s="1429" t="s">
        <v>134</v>
      </c>
      <c r="TQR11" s="1429" t="s">
        <v>134</v>
      </c>
      <c r="TQS11" s="1429" t="s">
        <v>134</v>
      </c>
      <c r="TQT11" s="1429" t="s">
        <v>134</v>
      </c>
      <c r="TQU11" s="1429" t="s">
        <v>134</v>
      </c>
      <c r="TQV11" s="1429" t="s">
        <v>134</v>
      </c>
      <c r="TQW11" s="1429" t="s">
        <v>134</v>
      </c>
      <c r="TQX11" s="1429" t="s">
        <v>134</v>
      </c>
      <c r="TQY11" s="1429" t="s">
        <v>134</v>
      </c>
      <c r="TQZ11" s="1429" t="s">
        <v>134</v>
      </c>
      <c r="TRA11" s="1429" t="s">
        <v>134</v>
      </c>
      <c r="TRB11" s="1429" t="s">
        <v>134</v>
      </c>
      <c r="TRC11" s="1429" t="s">
        <v>134</v>
      </c>
      <c r="TRD11" s="1429" t="s">
        <v>134</v>
      </c>
      <c r="TRE11" s="1429" t="s">
        <v>134</v>
      </c>
      <c r="TRF11" s="1429" t="s">
        <v>134</v>
      </c>
      <c r="TRG11" s="1429" t="s">
        <v>134</v>
      </c>
      <c r="TRH11" s="1429" t="s">
        <v>134</v>
      </c>
      <c r="TRI11" s="1429" t="s">
        <v>134</v>
      </c>
      <c r="TRJ11" s="1429" t="s">
        <v>134</v>
      </c>
      <c r="TRK11" s="1429" t="s">
        <v>134</v>
      </c>
      <c r="TRL11" s="1429" t="s">
        <v>134</v>
      </c>
      <c r="TRM11" s="1429" t="s">
        <v>134</v>
      </c>
      <c r="TRN11" s="1429" t="s">
        <v>134</v>
      </c>
      <c r="TRO11" s="1429" t="s">
        <v>134</v>
      </c>
      <c r="TRP11" s="1429" t="s">
        <v>134</v>
      </c>
      <c r="TRQ11" s="1429" t="s">
        <v>134</v>
      </c>
      <c r="TRR11" s="1429" t="s">
        <v>134</v>
      </c>
      <c r="TRS11" s="1429" t="s">
        <v>134</v>
      </c>
      <c r="TRT11" s="1429" t="s">
        <v>134</v>
      </c>
      <c r="TRU11" s="1429" t="s">
        <v>134</v>
      </c>
      <c r="TRV11" s="1429" t="s">
        <v>134</v>
      </c>
      <c r="TRW11" s="1429" t="s">
        <v>134</v>
      </c>
      <c r="TRX11" s="1429" t="s">
        <v>134</v>
      </c>
      <c r="TRY11" s="1429" t="s">
        <v>134</v>
      </c>
      <c r="TRZ11" s="1429" t="s">
        <v>134</v>
      </c>
      <c r="TSA11" s="1429" t="s">
        <v>134</v>
      </c>
      <c r="TSB11" s="1429" t="s">
        <v>134</v>
      </c>
      <c r="TSC11" s="1429" t="s">
        <v>134</v>
      </c>
      <c r="TSD11" s="1429" t="s">
        <v>134</v>
      </c>
      <c r="TSE11" s="1429" t="s">
        <v>134</v>
      </c>
      <c r="TSF11" s="1429" t="s">
        <v>134</v>
      </c>
      <c r="TSG11" s="1429" t="s">
        <v>134</v>
      </c>
      <c r="TSH11" s="1429" t="s">
        <v>134</v>
      </c>
      <c r="TSI11" s="1429" t="s">
        <v>134</v>
      </c>
      <c r="TSJ11" s="1429" t="s">
        <v>134</v>
      </c>
      <c r="TSK11" s="1429" t="s">
        <v>134</v>
      </c>
      <c r="TSL11" s="1429" t="s">
        <v>134</v>
      </c>
      <c r="TSM11" s="1429" t="s">
        <v>134</v>
      </c>
      <c r="TSN11" s="1429" t="s">
        <v>134</v>
      </c>
      <c r="TSO11" s="1429" t="s">
        <v>134</v>
      </c>
      <c r="TSP11" s="1429" t="s">
        <v>134</v>
      </c>
      <c r="TSQ11" s="1429" t="s">
        <v>134</v>
      </c>
      <c r="TSR11" s="1429" t="s">
        <v>134</v>
      </c>
      <c r="TSS11" s="1429" t="s">
        <v>134</v>
      </c>
      <c r="TST11" s="1429" t="s">
        <v>134</v>
      </c>
      <c r="TSU11" s="1429" t="s">
        <v>134</v>
      </c>
      <c r="TSV11" s="1429" t="s">
        <v>134</v>
      </c>
      <c r="TSW11" s="1429" t="s">
        <v>134</v>
      </c>
      <c r="TSX11" s="1429" t="s">
        <v>134</v>
      </c>
      <c r="TSY11" s="1429" t="s">
        <v>134</v>
      </c>
      <c r="TSZ11" s="1429" t="s">
        <v>134</v>
      </c>
      <c r="TTA11" s="1429" t="s">
        <v>134</v>
      </c>
      <c r="TTB11" s="1429" t="s">
        <v>134</v>
      </c>
      <c r="TTC11" s="1429" t="s">
        <v>134</v>
      </c>
      <c r="TTD11" s="1429" t="s">
        <v>134</v>
      </c>
      <c r="TTE11" s="1429" t="s">
        <v>134</v>
      </c>
      <c r="TTF11" s="1429" t="s">
        <v>134</v>
      </c>
      <c r="TTG11" s="1429" t="s">
        <v>134</v>
      </c>
      <c r="TTH11" s="1429" t="s">
        <v>134</v>
      </c>
      <c r="TTI11" s="1429" t="s">
        <v>134</v>
      </c>
      <c r="TTJ11" s="1429" t="s">
        <v>134</v>
      </c>
      <c r="TTK11" s="1429" t="s">
        <v>134</v>
      </c>
      <c r="TTL11" s="1429" t="s">
        <v>134</v>
      </c>
      <c r="TTM11" s="1429" t="s">
        <v>134</v>
      </c>
      <c r="TTN11" s="1429" t="s">
        <v>134</v>
      </c>
      <c r="TTO11" s="1429" t="s">
        <v>134</v>
      </c>
      <c r="TTP11" s="1429" t="s">
        <v>134</v>
      </c>
      <c r="TTQ11" s="1429" t="s">
        <v>134</v>
      </c>
      <c r="TTR11" s="1429" t="s">
        <v>134</v>
      </c>
      <c r="TTS11" s="1429" t="s">
        <v>134</v>
      </c>
      <c r="TTT11" s="1429" t="s">
        <v>134</v>
      </c>
      <c r="TTU11" s="1429" t="s">
        <v>134</v>
      </c>
      <c r="TTV11" s="1429" t="s">
        <v>134</v>
      </c>
      <c r="TTW11" s="1429" t="s">
        <v>134</v>
      </c>
      <c r="TTX11" s="1429" t="s">
        <v>134</v>
      </c>
      <c r="TTY11" s="1429" t="s">
        <v>134</v>
      </c>
      <c r="TTZ11" s="1429" t="s">
        <v>134</v>
      </c>
      <c r="TUA11" s="1429" t="s">
        <v>134</v>
      </c>
      <c r="TUB11" s="1429" t="s">
        <v>134</v>
      </c>
      <c r="TUC11" s="1429" t="s">
        <v>134</v>
      </c>
      <c r="TUD11" s="1429" t="s">
        <v>134</v>
      </c>
      <c r="TUE11" s="1429" t="s">
        <v>134</v>
      </c>
      <c r="TUF11" s="1429" t="s">
        <v>134</v>
      </c>
      <c r="TUG11" s="1429" t="s">
        <v>134</v>
      </c>
      <c r="TUH11" s="1429" t="s">
        <v>134</v>
      </c>
      <c r="TUI11" s="1429" t="s">
        <v>134</v>
      </c>
      <c r="TUJ11" s="1429" t="s">
        <v>134</v>
      </c>
      <c r="TUK11" s="1429" t="s">
        <v>134</v>
      </c>
      <c r="TUL11" s="1429" t="s">
        <v>134</v>
      </c>
      <c r="TUM11" s="1429" t="s">
        <v>134</v>
      </c>
      <c r="TUN11" s="1429" t="s">
        <v>134</v>
      </c>
      <c r="TUO11" s="1429" t="s">
        <v>134</v>
      </c>
      <c r="TUP11" s="1429" t="s">
        <v>134</v>
      </c>
      <c r="TUQ11" s="1429" t="s">
        <v>134</v>
      </c>
      <c r="TUR11" s="1429" t="s">
        <v>134</v>
      </c>
      <c r="TUS11" s="1429" t="s">
        <v>134</v>
      </c>
      <c r="TUT11" s="1429" t="s">
        <v>134</v>
      </c>
      <c r="TUU11" s="1429" t="s">
        <v>134</v>
      </c>
      <c r="TUV11" s="1429" t="s">
        <v>134</v>
      </c>
      <c r="TUW11" s="1429" t="s">
        <v>134</v>
      </c>
      <c r="TUX11" s="1429" t="s">
        <v>134</v>
      </c>
      <c r="TUY11" s="1429" t="s">
        <v>134</v>
      </c>
      <c r="TUZ11" s="1429" t="s">
        <v>134</v>
      </c>
      <c r="TVA11" s="1429" t="s">
        <v>134</v>
      </c>
      <c r="TVB11" s="1429" t="s">
        <v>134</v>
      </c>
      <c r="TVC11" s="1429" t="s">
        <v>134</v>
      </c>
      <c r="TVD11" s="1429" t="s">
        <v>134</v>
      </c>
      <c r="TVE11" s="1429" t="s">
        <v>134</v>
      </c>
      <c r="TVF11" s="1429" t="s">
        <v>134</v>
      </c>
      <c r="TVG11" s="1429" t="s">
        <v>134</v>
      </c>
      <c r="TVH11" s="1429" t="s">
        <v>134</v>
      </c>
      <c r="TVI11" s="1429" t="s">
        <v>134</v>
      </c>
      <c r="TVJ11" s="1429" t="s">
        <v>134</v>
      </c>
      <c r="TVK11" s="1429" t="s">
        <v>134</v>
      </c>
      <c r="TVL11" s="1429" t="s">
        <v>134</v>
      </c>
      <c r="TVM11" s="1429" t="s">
        <v>134</v>
      </c>
      <c r="TVN11" s="1429" t="s">
        <v>134</v>
      </c>
      <c r="TVO11" s="1429" t="s">
        <v>134</v>
      </c>
      <c r="TVP11" s="1429" t="s">
        <v>134</v>
      </c>
      <c r="TVQ11" s="1429" t="s">
        <v>134</v>
      </c>
      <c r="TVR11" s="1429" t="s">
        <v>134</v>
      </c>
      <c r="TVS11" s="1429" t="s">
        <v>134</v>
      </c>
      <c r="TVT11" s="1429" t="s">
        <v>134</v>
      </c>
      <c r="TVU11" s="1429" t="s">
        <v>134</v>
      </c>
      <c r="TVV11" s="1429" t="s">
        <v>134</v>
      </c>
      <c r="TVW11" s="1429" t="s">
        <v>134</v>
      </c>
      <c r="TVX11" s="1429" t="s">
        <v>134</v>
      </c>
      <c r="TVY11" s="1429" t="s">
        <v>134</v>
      </c>
      <c r="TVZ11" s="1429" t="s">
        <v>134</v>
      </c>
      <c r="TWA11" s="1429" t="s">
        <v>134</v>
      </c>
      <c r="TWB11" s="1429" t="s">
        <v>134</v>
      </c>
      <c r="TWC11" s="1429" t="s">
        <v>134</v>
      </c>
      <c r="TWD11" s="1429" t="s">
        <v>134</v>
      </c>
      <c r="TWE11" s="1429" t="s">
        <v>134</v>
      </c>
      <c r="TWF11" s="1429" t="s">
        <v>134</v>
      </c>
      <c r="TWG11" s="1429" t="s">
        <v>134</v>
      </c>
      <c r="TWH11" s="1429" t="s">
        <v>134</v>
      </c>
      <c r="TWI11" s="1429" t="s">
        <v>134</v>
      </c>
      <c r="TWJ11" s="1429" t="s">
        <v>134</v>
      </c>
      <c r="TWK11" s="1429" t="s">
        <v>134</v>
      </c>
      <c r="TWL11" s="1429" t="s">
        <v>134</v>
      </c>
      <c r="TWM11" s="1429" t="s">
        <v>134</v>
      </c>
      <c r="TWN11" s="1429" t="s">
        <v>134</v>
      </c>
      <c r="TWO11" s="1429" t="s">
        <v>134</v>
      </c>
      <c r="TWP11" s="1429" t="s">
        <v>134</v>
      </c>
      <c r="TWQ11" s="1429" t="s">
        <v>134</v>
      </c>
      <c r="TWR11" s="1429" t="s">
        <v>134</v>
      </c>
      <c r="TWS11" s="1429" t="s">
        <v>134</v>
      </c>
      <c r="TWT11" s="1429" t="s">
        <v>134</v>
      </c>
      <c r="TWU11" s="1429" t="s">
        <v>134</v>
      </c>
      <c r="TWV11" s="1429" t="s">
        <v>134</v>
      </c>
      <c r="TWW11" s="1429" t="s">
        <v>134</v>
      </c>
      <c r="TWX11" s="1429" t="s">
        <v>134</v>
      </c>
      <c r="TWY11" s="1429" t="s">
        <v>134</v>
      </c>
      <c r="TWZ11" s="1429" t="s">
        <v>134</v>
      </c>
      <c r="TXA11" s="1429" t="s">
        <v>134</v>
      </c>
      <c r="TXB11" s="1429" t="s">
        <v>134</v>
      </c>
      <c r="TXC11" s="1429" t="s">
        <v>134</v>
      </c>
      <c r="TXD11" s="1429" t="s">
        <v>134</v>
      </c>
      <c r="TXE11" s="1429" t="s">
        <v>134</v>
      </c>
      <c r="TXF11" s="1429" t="s">
        <v>134</v>
      </c>
      <c r="TXG11" s="1429" t="s">
        <v>134</v>
      </c>
      <c r="TXH11" s="1429" t="s">
        <v>134</v>
      </c>
      <c r="TXI11" s="1429" t="s">
        <v>134</v>
      </c>
      <c r="TXJ11" s="1429" t="s">
        <v>134</v>
      </c>
      <c r="TXK11" s="1429" t="s">
        <v>134</v>
      </c>
      <c r="TXL11" s="1429" t="s">
        <v>134</v>
      </c>
      <c r="TXM11" s="1429" t="s">
        <v>134</v>
      </c>
      <c r="TXN11" s="1429" t="s">
        <v>134</v>
      </c>
      <c r="TXO11" s="1429" t="s">
        <v>134</v>
      </c>
      <c r="TXP11" s="1429" t="s">
        <v>134</v>
      </c>
      <c r="TXQ11" s="1429" t="s">
        <v>134</v>
      </c>
      <c r="TXR11" s="1429" t="s">
        <v>134</v>
      </c>
      <c r="TXS11" s="1429" t="s">
        <v>134</v>
      </c>
      <c r="TXT11" s="1429" t="s">
        <v>134</v>
      </c>
      <c r="TXU11" s="1429" t="s">
        <v>134</v>
      </c>
      <c r="TXV11" s="1429" t="s">
        <v>134</v>
      </c>
      <c r="TXW11" s="1429" t="s">
        <v>134</v>
      </c>
      <c r="TXX11" s="1429" t="s">
        <v>134</v>
      </c>
      <c r="TXY11" s="1429" t="s">
        <v>134</v>
      </c>
      <c r="TXZ11" s="1429" t="s">
        <v>134</v>
      </c>
      <c r="TYA11" s="1429" t="s">
        <v>134</v>
      </c>
      <c r="TYB11" s="1429" t="s">
        <v>134</v>
      </c>
      <c r="TYC11" s="1429" t="s">
        <v>134</v>
      </c>
      <c r="TYD11" s="1429" t="s">
        <v>134</v>
      </c>
      <c r="TYE11" s="1429" t="s">
        <v>134</v>
      </c>
      <c r="TYF11" s="1429" t="s">
        <v>134</v>
      </c>
      <c r="TYG11" s="1429" t="s">
        <v>134</v>
      </c>
      <c r="TYH11" s="1429" t="s">
        <v>134</v>
      </c>
      <c r="TYI11" s="1429" t="s">
        <v>134</v>
      </c>
      <c r="TYJ11" s="1429" t="s">
        <v>134</v>
      </c>
      <c r="TYK11" s="1429" t="s">
        <v>134</v>
      </c>
      <c r="TYL11" s="1429" t="s">
        <v>134</v>
      </c>
      <c r="TYM11" s="1429" t="s">
        <v>134</v>
      </c>
      <c r="TYN11" s="1429" t="s">
        <v>134</v>
      </c>
      <c r="TYO11" s="1429" t="s">
        <v>134</v>
      </c>
      <c r="TYP11" s="1429" t="s">
        <v>134</v>
      </c>
      <c r="TYQ11" s="1429" t="s">
        <v>134</v>
      </c>
      <c r="TYR11" s="1429" t="s">
        <v>134</v>
      </c>
      <c r="TYS11" s="1429" t="s">
        <v>134</v>
      </c>
      <c r="TYT11" s="1429" t="s">
        <v>134</v>
      </c>
      <c r="TYU11" s="1429" t="s">
        <v>134</v>
      </c>
      <c r="TYV11" s="1429" t="s">
        <v>134</v>
      </c>
      <c r="TYW11" s="1429" t="s">
        <v>134</v>
      </c>
      <c r="TYX11" s="1429" t="s">
        <v>134</v>
      </c>
      <c r="TYY11" s="1429" t="s">
        <v>134</v>
      </c>
      <c r="TYZ11" s="1429" t="s">
        <v>134</v>
      </c>
      <c r="TZA11" s="1429" t="s">
        <v>134</v>
      </c>
      <c r="TZB11" s="1429" t="s">
        <v>134</v>
      </c>
      <c r="TZC11" s="1429" t="s">
        <v>134</v>
      </c>
      <c r="TZD11" s="1429" t="s">
        <v>134</v>
      </c>
      <c r="TZE11" s="1429" t="s">
        <v>134</v>
      </c>
      <c r="TZF11" s="1429" t="s">
        <v>134</v>
      </c>
      <c r="TZG11" s="1429" t="s">
        <v>134</v>
      </c>
      <c r="TZH11" s="1429" t="s">
        <v>134</v>
      </c>
      <c r="TZI11" s="1429" t="s">
        <v>134</v>
      </c>
      <c r="TZJ11" s="1429" t="s">
        <v>134</v>
      </c>
      <c r="TZK11" s="1429" t="s">
        <v>134</v>
      </c>
      <c r="TZL11" s="1429" t="s">
        <v>134</v>
      </c>
      <c r="TZM11" s="1429" t="s">
        <v>134</v>
      </c>
      <c r="TZN11" s="1429" t="s">
        <v>134</v>
      </c>
      <c r="TZO11" s="1429" t="s">
        <v>134</v>
      </c>
      <c r="TZP11" s="1429" t="s">
        <v>134</v>
      </c>
      <c r="TZQ11" s="1429" t="s">
        <v>134</v>
      </c>
      <c r="TZR11" s="1429" t="s">
        <v>134</v>
      </c>
      <c r="TZS11" s="1429" t="s">
        <v>134</v>
      </c>
      <c r="TZT11" s="1429" t="s">
        <v>134</v>
      </c>
      <c r="TZU11" s="1429" t="s">
        <v>134</v>
      </c>
      <c r="TZV11" s="1429" t="s">
        <v>134</v>
      </c>
      <c r="TZW11" s="1429" t="s">
        <v>134</v>
      </c>
      <c r="TZX11" s="1429" t="s">
        <v>134</v>
      </c>
      <c r="TZY11" s="1429" t="s">
        <v>134</v>
      </c>
      <c r="TZZ11" s="1429" t="s">
        <v>134</v>
      </c>
      <c r="UAA11" s="1429" t="s">
        <v>134</v>
      </c>
      <c r="UAB11" s="1429" t="s">
        <v>134</v>
      </c>
      <c r="UAC11" s="1429" t="s">
        <v>134</v>
      </c>
      <c r="UAD11" s="1429" t="s">
        <v>134</v>
      </c>
      <c r="UAE11" s="1429" t="s">
        <v>134</v>
      </c>
      <c r="UAF11" s="1429" t="s">
        <v>134</v>
      </c>
      <c r="UAG11" s="1429" t="s">
        <v>134</v>
      </c>
      <c r="UAH11" s="1429" t="s">
        <v>134</v>
      </c>
      <c r="UAI11" s="1429" t="s">
        <v>134</v>
      </c>
      <c r="UAJ11" s="1429" t="s">
        <v>134</v>
      </c>
      <c r="UAK11" s="1429" t="s">
        <v>134</v>
      </c>
      <c r="UAL11" s="1429" t="s">
        <v>134</v>
      </c>
      <c r="UAM11" s="1429" t="s">
        <v>134</v>
      </c>
      <c r="UAN11" s="1429" t="s">
        <v>134</v>
      </c>
      <c r="UAO11" s="1429" t="s">
        <v>134</v>
      </c>
      <c r="UAP11" s="1429" t="s">
        <v>134</v>
      </c>
      <c r="UAQ11" s="1429" t="s">
        <v>134</v>
      </c>
      <c r="UAR11" s="1429" t="s">
        <v>134</v>
      </c>
      <c r="UAS11" s="1429" t="s">
        <v>134</v>
      </c>
      <c r="UAT11" s="1429" t="s">
        <v>134</v>
      </c>
      <c r="UAU11" s="1429" t="s">
        <v>134</v>
      </c>
      <c r="UAV11" s="1429" t="s">
        <v>134</v>
      </c>
      <c r="UAW11" s="1429" t="s">
        <v>134</v>
      </c>
      <c r="UAX11" s="1429" t="s">
        <v>134</v>
      </c>
      <c r="UAY11" s="1429" t="s">
        <v>134</v>
      </c>
      <c r="UAZ11" s="1429" t="s">
        <v>134</v>
      </c>
      <c r="UBA11" s="1429" t="s">
        <v>134</v>
      </c>
      <c r="UBB11" s="1429" t="s">
        <v>134</v>
      </c>
      <c r="UBC11" s="1429" t="s">
        <v>134</v>
      </c>
      <c r="UBD11" s="1429" t="s">
        <v>134</v>
      </c>
      <c r="UBE11" s="1429" t="s">
        <v>134</v>
      </c>
      <c r="UBF11" s="1429" t="s">
        <v>134</v>
      </c>
      <c r="UBG11" s="1429" t="s">
        <v>134</v>
      </c>
      <c r="UBH11" s="1429" t="s">
        <v>134</v>
      </c>
      <c r="UBI11" s="1429" t="s">
        <v>134</v>
      </c>
      <c r="UBJ11" s="1429" t="s">
        <v>134</v>
      </c>
      <c r="UBK11" s="1429" t="s">
        <v>134</v>
      </c>
      <c r="UBL11" s="1429" t="s">
        <v>134</v>
      </c>
      <c r="UBM11" s="1429" t="s">
        <v>134</v>
      </c>
      <c r="UBN11" s="1429" t="s">
        <v>134</v>
      </c>
      <c r="UBO11" s="1429" t="s">
        <v>134</v>
      </c>
      <c r="UBP11" s="1429" t="s">
        <v>134</v>
      </c>
      <c r="UBQ11" s="1429" t="s">
        <v>134</v>
      </c>
      <c r="UBR11" s="1429" t="s">
        <v>134</v>
      </c>
      <c r="UBS11" s="1429" t="s">
        <v>134</v>
      </c>
      <c r="UBT11" s="1429" t="s">
        <v>134</v>
      </c>
      <c r="UBU11" s="1429" t="s">
        <v>134</v>
      </c>
      <c r="UBV11" s="1429" t="s">
        <v>134</v>
      </c>
      <c r="UBW11" s="1429" t="s">
        <v>134</v>
      </c>
      <c r="UBX11" s="1429" t="s">
        <v>134</v>
      </c>
      <c r="UBY11" s="1429" t="s">
        <v>134</v>
      </c>
      <c r="UBZ11" s="1429" t="s">
        <v>134</v>
      </c>
      <c r="UCA11" s="1429" t="s">
        <v>134</v>
      </c>
      <c r="UCB11" s="1429" t="s">
        <v>134</v>
      </c>
      <c r="UCC11" s="1429" t="s">
        <v>134</v>
      </c>
      <c r="UCD11" s="1429" t="s">
        <v>134</v>
      </c>
      <c r="UCE11" s="1429" t="s">
        <v>134</v>
      </c>
      <c r="UCF11" s="1429" t="s">
        <v>134</v>
      </c>
      <c r="UCG11" s="1429" t="s">
        <v>134</v>
      </c>
      <c r="UCH11" s="1429" t="s">
        <v>134</v>
      </c>
      <c r="UCI11" s="1429" t="s">
        <v>134</v>
      </c>
      <c r="UCJ11" s="1429" t="s">
        <v>134</v>
      </c>
      <c r="UCK11" s="1429" t="s">
        <v>134</v>
      </c>
      <c r="UCL11" s="1429" t="s">
        <v>134</v>
      </c>
      <c r="UCM11" s="1429" t="s">
        <v>134</v>
      </c>
      <c r="UCN11" s="1429" t="s">
        <v>134</v>
      </c>
      <c r="UCO11" s="1429" t="s">
        <v>134</v>
      </c>
      <c r="UCP11" s="1429" t="s">
        <v>134</v>
      </c>
      <c r="UCQ11" s="1429" t="s">
        <v>134</v>
      </c>
      <c r="UCR11" s="1429" t="s">
        <v>134</v>
      </c>
      <c r="UCS11" s="1429" t="s">
        <v>134</v>
      </c>
      <c r="UCT11" s="1429" t="s">
        <v>134</v>
      </c>
      <c r="UCU11" s="1429" t="s">
        <v>134</v>
      </c>
      <c r="UCV11" s="1429" t="s">
        <v>134</v>
      </c>
      <c r="UCW11" s="1429" t="s">
        <v>134</v>
      </c>
      <c r="UCX11" s="1429" t="s">
        <v>134</v>
      </c>
      <c r="UCY11" s="1429" t="s">
        <v>134</v>
      </c>
      <c r="UCZ11" s="1429" t="s">
        <v>134</v>
      </c>
      <c r="UDA11" s="1429" t="s">
        <v>134</v>
      </c>
      <c r="UDB11" s="1429" t="s">
        <v>134</v>
      </c>
      <c r="UDC11" s="1429" t="s">
        <v>134</v>
      </c>
      <c r="UDD11" s="1429" t="s">
        <v>134</v>
      </c>
      <c r="UDE11" s="1429" t="s">
        <v>134</v>
      </c>
      <c r="UDF11" s="1429" t="s">
        <v>134</v>
      </c>
      <c r="UDG11" s="1429" t="s">
        <v>134</v>
      </c>
      <c r="UDH11" s="1429" t="s">
        <v>134</v>
      </c>
      <c r="UDI11" s="1429" t="s">
        <v>134</v>
      </c>
      <c r="UDJ11" s="1429" t="s">
        <v>134</v>
      </c>
      <c r="UDK11" s="1429" t="s">
        <v>134</v>
      </c>
      <c r="UDL11" s="1429" t="s">
        <v>134</v>
      </c>
      <c r="UDM11" s="1429" t="s">
        <v>134</v>
      </c>
      <c r="UDN11" s="1429" t="s">
        <v>134</v>
      </c>
      <c r="UDO11" s="1429" t="s">
        <v>134</v>
      </c>
      <c r="UDP11" s="1429" t="s">
        <v>134</v>
      </c>
      <c r="UDQ11" s="1429" t="s">
        <v>134</v>
      </c>
      <c r="UDR11" s="1429" t="s">
        <v>134</v>
      </c>
      <c r="UDS11" s="1429" t="s">
        <v>134</v>
      </c>
      <c r="UDT11" s="1429" t="s">
        <v>134</v>
      </c>
      <c r="UDU11" s="1429" t="s">
        <v>134</v>
      </c>
      <c r="UDV11" s="1429" t="s">
        <v>134</v>
      </c>
      <c r="UDW11" s="1429" t="s">
        <v>134</v>
      </c>
      <c r="UDX11" s="1429" t="s">
        <v>134</v>
      </c>
      <c r="UDY11" s="1429" t="s">
        <v>134</v>
      </c>
      <c r="UDZ11" s="1429" t="s">
        <v>134</v>
      </c>
      <c r="UEA11" s="1429" t="s">
        <v>134</v>
      </c>
      <c r="UEB11" s="1429" t="s">
        <v>134</v>
      </c>
      <c r="UEC11" s="1429" t="s">
        <v>134</v>
      </c>
      <c r="UED11" s="1429" t="s">
        <v>134</v>
      </c>
      <c r="UEE11" s="1429" t="s">
        <v>134</v>
      </c>
      <c r="UEF11" s="1429" t="s">
        <v>134</v>
      </c>
      <c r="UEG11" s="1429" t="s">
        <v>134</v>
      </c>
      <c r="UEH11" s="1429" t="s">
        <v>134</v>
      </c>
      <c r="UEI11" s="1429" t="s">
        <v>134</v>
      </c>
      <c r="UEJ11" s="1429" t="s">
        <v>134</v>
      </c>
      <c r="UEK11" s="1429" t="s">
        <v>134</v>
      </c>
      <c r="UEL11" s="1429" t="s">
        <v>134</v>
      </c>
      <c r="UEM11" s="1429" t="s">
        <v>134</v>
      </c>
      <c r="UEN11" s="1429" t="s">
        <v>134</v>
      </c>
      <c r="UEO11" s="1429" t="s">
        <v>134</v>
      </c>
      <c r="UEP11" s="1429" t="s">
        <v>134</v>
      </c>
      <c r="UEQ11" s="1429" t="s">
        <v>134</v>
      </c>
      <c r="UER11" s="1429" t="s">
        <v>134</v>
      </c>
      <c r="UES11" s="1429" t="s">
        <v>134</v>
      </c>
      <c r="UET11" s="1429" t="s">
        <v>134</v>
      </c>
      <c r="UEU11" s="1429" t="s">
        <v>134</v>
      </c>
      <c r="UEV11" s="1429" t="s">
        <v>134</v>
      </c>
      <c r="UEW11" s="1429" t="s">
        <v>134</v>
      </c>
      <c r="UEX11" s="1429" t="s">
        <v>134</v>
      </c>
      <c r="UEY11" s="1429" t="s">
        <v>134</v>
      </c>
      <c r="UEZ11" s="1429" t="s">
        <v>134</v>
      </c>
      <c r="UFA11" s="1429" t="s">
        <v>134</v>
      </c>
      <c r="UFB11" s="1429" t="s">
        <v>134</v>
      </c>
      <c r="UFC11" s="1429" t="s">
        <v>134</v>
      </c>
      <c r="UFD11" s="1429" t="s">
        <v>134</v>
      </c>
      <c r="UFE11" s="1429" t="s">
        <v>134</v>
      </c>
      <c r="UFF11" s="1429" t="s">
        <v>134</v>
      </c>
      <c r="UFG11" s="1429" t="s">
        <v>134</v>
      </c>
      <c r="UFH11" s="1429" t="s">
        <v>134</v>
      </c>
      <c r="UFI11" s="1429" t="s">
        <v>134</v>
      </c>
      <c r="UFJ11" s="1429" t="s">
        <v>134</v>
      </c>
      <c r="UFK11" s="1429" t="s">
        <v>134</v>
      </c>
      <c r="UFL11" s="1429" t="s">
        <v>134</v>
      </c>
      <c r="UFM11" s="1429" t="s">
        <v>134</v>
      </c>
      <c r="UFN11" s="1429" t="s">
        <v>134</v>
      </c>
      <c r="UFO11" s="1429" t="s">
        <v>134</v>
      </c>
      <c r="UFP11" s="1429" t="s">
        <v>134</v>
      </c>
      <c r="UFQ11" s="1429" t="s">
        <v>134</v>
      </c>
      <c r="UFR11" s="1429" t="s">
        <v>134</v>
      </c>
      <c r="UFS11" s="1429" t="s">
        <v>134</v>
      </c>
      <c r="UFT11" s="1429" t="s">
        <v>134</v>
      </c>
      <c r="UFU11" s="1429" t="s">
        <v>134</v>
      </c>
      <c r="UFV11" s="1429" t="s">
        <v>134</v>
      </c>
      <c r="UFW11" s="1429" t="s">
        <v>134</v>
      </c>
      <c r="UFX11" s="1429" t="s">
        <v>134</v>
      </c>
      <c r="UFY11" s="1429" t="s">
        <v>134</v>
      </c>
      <c r="UFZ11" s="1429" t="s">
        <v>134</v>
      </c>
      <c r="UGA11" s="1429" t="s">
        <v>134</v>
      </c>
      <c r="UGB11" s="1429" t="s">
        <v>134</v>
      </c>
      <c r="UGC11" s="1429" t="s">
        <v>134</v>
      </c>
      <c r="UGD11" s="1429" t="s">
        <v>134</v>
      </c>
      <c r="UGE11" s="1429" t="s">
        <v>134</v>
      </c>
      <c r="UGF11" s="1429" t="s">
        <v>134</v>
      </c>
      <c r="UGG11" s="1429" t="s">
        <v>134</v>
      </c>
      <c r="UGH11" s="1429" t="s">
        <v>134</v>
      </c>
      <c r="UGI11" s="1429" t="s">
        <v>134</v>
      </c>
      <c r="UGJ11" s="1429" t="s">
        <v>134</v>
      </c>
      <c r="UGK11" s="1429" t="s">
        <v>134</v>
      </c>
      <c r="UGL11" s="1429" t="s">
        <v>134</v>
      </c>
      <c r="UGM11" s="1429" t="s">
        <v>134</v>
      </c>
      <c r="UGN11" s="1429" t="s">
        <v>134</v>
      </c>
      <c r="UGO11" s="1429" t="s">
        <v>134</v>
      </c>
      <c r="UGP11" s="1429" t="s">
        <v>134</v>
      </c>
      <c r="UGQ11" s="1429" t="s">
        <v>134</v>
      </c>
      <c r="UGR11" s="1429" t="s">
        <v>134</v>
      </c>
      <c r="UGS11" s="1429" t="s">
        <v>134</v>
      </c>
      <c r="UGT11" s="1429" t="s">
        <v>134</v>
      </c>
      <c r="UGU11" s="1429" t="s">
        <v>134</v>
      </c>
      <c r="UGV11" s="1429" t="s">
        <v>134</v>
      </c>
      <c r="UGW11" s="1429" t="s">
        <v>134</v>
      </c>
      <c r="UGX11" s="1429" t="s">
        <v>134</v>
      </c>
      <c r="UGY11" s="1429" t="s">
        <v>134</v>
      </c>
      <c r="UGZ11" s="1429" t="s">
        <v>134</v>
      </c>
      <c r="UHA11" s="1429" t="s">
        <v>134</v>
      </c>
      <c r="UHB11" s="1429" t="s">
        <v>134</v>
      </c>
      <c r="UHC11" s="1429" t="s">
        <v>134</v>
      </c>
      <c r="UHD11" s="1429" t="s">
        <v>134</v>
      </c>
      <c r="UHE11" s="1429" t="s">
        <v>134</v>
      </c>
      <c r="UHF11" s="1429" t="s">
        <v>134</v>
      </c>
      <c r="UHG11" s="1429" t="s">
        <v>134</v>
      </c>
      <c r="UHH11" s="1429" t="s">
        <v>134</v>
      </c>
      <c r="UHI11" s="1429" t="s">
        <v>134</v>
      </c>
      <c r="UHJ11" s="1429" t="s">
        <v>134</v>
      </c>
      <c r="UHK11" s="1429" t="s">
        <v>134</v>
      </c>
      <c r="UHL11" s="1429" t="s">
        <v>134</v>
      </c>
      <c r="UHM11" s="1429" t="s">
        <v>134</v>
      </c>
      <c r="UHN11" s="1429" t="s">
        <v>134</v>
      </c>
      <c r="UHO11" s="1429" t="s">
        <v>134</v>
      </c>
      <c r="UHP11" s="1429" t="s">
        <v>134</v>
      </c>
      <c r="UHQ11" s="1429" t="s">
        <v>134</v>
      </c>
      <c r="UHR11" s="1429" t="s">
        <v>134</v>
      </c>
      <c r="UHS11" s="1429" t="s">
        <v>134</v>
      </c>
      <c r="UHT11" s="1429" t="s">
        <v>134</v>
      </c>
      <c r="UHU11" s="1429" t="s">
        <v>134</v>
      </c>
      <c r="UHV11" s="1429" t="s">
        <v>134</v>
      </c>
      <c r="UHW11" s="1429" t="s">
        <v>134</v>
      </c>
      <c r="UHX11" s="1429" t="s">
        <v>134</v>
      </c>
      <c r="UHY11" s="1429" t="s">
        <v>134</v>
      </c>
      <c r="UHZ11" s="1429" t="s">
        <v>134</v>
      </c>
      <c r="UIA11" s="1429" t="s">
        <v>134</v>
      </c>
      <c r="UIB11" s="1429" t="s">
        <v>134</v>
      </c>
      <c r="UIC11" s="1429" t="s">
        <v>134</v>
      </c>
      <c r="UID11" s="1429" t="s">
        <v>134</v>
      </c>
      <c r="UIE11" s="1429" t="s">
        <v>134</v>
      </c>
      <c r="UIF11" s="1429" t="s">
        <v>134</v>
      </c>
      <c r="UIG11" s="1429" t="s">
        <v>134</v>
      </c>
      <c r="UIH11" s="1429" t="s">
        <v>134</v>
      </c>
      <c r="UII11" s="1429" t="s">
        <v>134</v>
      </c>
      <c r="UIJ11" s="1429" t="s">
        <v>134</v>
      </c>
      <c r="UIK11" s="1429" t="s">
        <v>134</v>
      </c>
      <c r="UIL11" s="1429" t="s">
        <v>134</v>
      </c>
      <c r="UIM11" s="1429" t="s">
        <v>134</v>
      </c>
      <c r="UIN11" s="1429" t="s">
        <v>134</v>
      </c>
      <c r="UIO11" s="1429" t="s">
        <v>134</v>
      </c>
      <c r="UIP11" s="1429" t="s">
        <v>134</v>
      </c>
      <c r="UIQ11" s="1429" t="s">
        <v>134</v>
      </c>
      <c r="UIR11" s="1429" t="s">
        <v>134</v>
      </c>
      <c r="UIS11" s="1429" t="s">
        <v>134</v>
      </c>
      <c r="UIT11" s="1429" t="s">
        <v>134</v>
      </c>
      <c r="UIU11" s="1429" t="s">
        <v>134</v>
      </c>
      <c r="UIV11" s="1429" t="s">
        <v>134</v>
      </c>
      <c r="UIW11" s="1429" t="s">
        <v>134</v>
      </c>
      <c r="UIX11" s="1429" t="s">
        <v>134</v>
      </c>
      <c r="UIY11" s="1429" t="s">
        <v>134</v>
      </c>
      <c r="UIZ11" s="1429" t="s">
        <v>134</v>
      </c>
      <c r="UJA11" s="1429" t="s">
        <v>134</v>
      </c>
      <c r="UJB11" s="1429" t="s">
        <v>134</v>
      </c>
      <c r="UJC11" s="1429" t="s">
        <v>134</v>
      </c>
      <c r="UJD11" s="1429" t="s">
        <v>134</v>
      </c>
      <c r="UJE11" s="1429" t="s">
        <v>134</v>
      </c>
      <c r="UJF11" s="1429" t="s">
        <v>134</v>
      </c>
      <c r="UJG11" s="1429" t="s">
        <v>134</v>
      </c>
      <c r="UJH11" s="1429" t="s">
        <v>134</v>
      </c>
      <c r="UJI11" s="1429" t="s">
        <v>134</v>
      </c>
      <c r="UJJ11" s="1429" t="s">
        <v>134</v>
      </c>
      <c r="UJK11" s="1429" t="s">
        <v>134</v>
      </c>
      <c r="UJL11" s="1429" t="s">
        <v>134</v>
      </c>
      <c r="UJM11" s="1429" t="s">
        <v>134</v>
      </c>
      <c r="UJN11" s="1429" t="s">
        <v>134</v>
      </c>
      <c r="UJO11" s="1429" t="s">
        <v>134</v>
      </c>
      <c r="UJP11" s="1429" t="s">
        <v>134</v>
      </c>
      <c r="UJQ11" s="1429" t="s">
        <v>134</v>
      </c>
      <c r="UJR11" s="1429" t="s">
        <v>134</v>
      </c>
      <c r="UJS11" s="1429" t="s">
        <v>134</v>
      </c>
      <c r="UJT11" s="1429" t="s">
        <v>134</v>
      </c>
      <c r="UJU11" s="1429" t="s">
        <v>134</v>
      </c>
      <c r="UJV11" s="1429" t="s">
        <v>134</v>
      </c>
      <c r="UJW11" s="1429" t="s">
        <v>134</v>
      </c>
      <c r="UJX11" s="1429" t="s">
        <v>134</v>
      </c>
      <c r="UJY11" s="1429" t="s">
        <v>134</v>
      </c>
      <c r="UJZ11" s="1429" t="s">
        <v>134</v>
      </c>
      <c r="UKA11" s="1429" t="s">
        <v>134</v>
      </c>
      <c r="UKB11" s="1429" t="s">
        <v>134</v>
      </c>
      <c r="UKC11" s="1429" t="s">
        <v>134</v>
      </c>
      <c r="UKD11" s="1429" t="s">
        <v>134</v>
      </c>
      <c r="UKE11" s="1429" t="s">
        <v>134</v>
      </c>
      <c r="UKF11" s="1429" t="s">
        <v>134</v>
      </c>
      <c r="UKG11" s="1429" t="s">
        <v>134</v>
      </c>
      <c r="UKH11" s="1429" t="s">
        <v>134</v>
      </c>
      <c r="UKI11" s="1429" t="s">
        <v>134</v>
      </c>
      <c r="UKJ11" s="1429" t="s">
        <v>134</v>
      </c>
      <c r="UKK11" s="1429" t="s">
        <v>134</v>
      </c>
      <c r="UKL11" s="1429" t="s">
        <v>134</v>
      </c>
      <c r="UKM11" s="1429" t="s">
        <v>134</v>
      </c>
      <c r="UKN11" s="1429" t="s">
        <v>134</v>
      </c>
      <c r="UKO11" s="1429" t="s">
        <v>134</v>
      </c>
      <c r="UKP11" s="1429" t="s">
        <v>134</v>
      </c>
      <c r="UKQ11" s="1429" t="s">
        <v>134</v>
      </c>
      <c r="UKR11" s="1429" t="s">
        <v>134</v>
      </c>
      <c r="UKS11" s="1429" t="s">
        <v>134</v>
      </c>
      <c r="UKT11" s="1429" t="s">
        <v>134</v>
      </c>
      <c r="UKU11" s="1429" t="s">
        <v>134</v>
      </c>
      <c r="UKV11" s="1429" t="s">
        <v>134</v>
      </c>
      <c r="UKW11" s="1429" t="s">
        <v>134</v>
      </c>
      <c r="UKX11" s="1429" t="s">
        <v>134</v>
      </c>
      <c r="UKY11" s="1429" t="s">
        <v>134</v>
      </c>
      <c r="UKZ11" s="1429" t="s">
        <v>134</v>
      </c>
      <c r="ULA11" s="1429" t="s">
        <v>134</v>
      </c>
      <c r="ULB11" s="1429" t="s">
        <v>134</v>
      </c>
      <c r="ULC11" s="1429" t="s">
        <v>134</v>
      </c>
      <c r="ULD11" s="1429" t="s">
        <v>134</v>
      </c>
      <c r="ULE11" s="1429" t="s">
        <v>134</v>
      </c>
      <c r="ULF11" s="1429" t="s">
        <v>134</v>
      </c>
      <c r="ULG11" s="1429" t="s">
        <v>134</v>
      </c>
      <c r="ULH11" s="1429" t="s">
        <v>134</v>
      </c>
      <c r="ULI11" s="1429" t="s">
        <v>134</v>
      </c>
      <c r="ULJ11" s="1429" t="s">
        <v>134</v>
      </c>
      <c r="ULK11" s="1429" t="s">
        <v>134</v>
      </c>
      <c r="ULL11" s="1429" t="s">
        <v>134</v>
      </c>
      <c r="ULM11" s="1429" t="s">
        <v>134</v>
      </c>
      <c r="ULN11" s="1429" t="s">
        <v>134</v>
      </c>
      <c r="ULO11" s="1429" t="s">
        <v>134</v>
      </c>
      <c r="ULP11" s="1429" t="s">
        <v>134</v>
      </c>
      <c r="ULQ11" s="1429" t="s">
        <v>134</v>
      </c>
      <c r="ULR11" s="1429" t="s">
        <v>134</v>
      </c>
      <c r="ULS11" s="1429" t="s">
        <v>134</v>
      </c>
      <c r="ULT11" s="1429" t="s">
        <v>134</v>
      </c>
      <c r="ULU11" s="1429" t="s">
        <v>134</v>
      </c>
      <c r="ULV11" s="1429" t="s">
        <v>134</v>
      </c>
      <c r="ULW11" s="1429" t="s">
        <v>134</v>
      </c>
      <c r="ULX11" s="1429" t="s">
        <v>134</v>
      </c>
      <c r="ULY11" s="1429" t="s">
        <v>134</v>
      </c>
      <c r="ULZ11" s="1429" t="s">
        <v>134</v>
      </c>
      <c r="UMA11" s="1429" t="s">
        <v>134</v>
      </c>
      <c r="UMB11" s="1429" t="s">
        <v>134</v>
      </c>
      <c r="UMC11" s="1429" t="s">
        <v>134</v>
      </c>
      <c r="UMD11" s="1429" t="s">
        <v>134</v>
      </c>
      <c r="UME11" s="1429" t="s">
        <v>134</v>
      </c>
      <c r="UMF11" s="1429" t="s">
        <v>134</v>
      </c>
      <c r="UMG11" s="1429" t="s">
        <v>134</v>
      </c>
      <c r="UMH11" s="1429" t="s">
        <v>134</v>
      </c>
      <c r="UMI11" s="1429" t="s">
        <v>134</v>
      </c>
      <c r="UMJ11" s="1429" t="s">
        <v>134</v>
      </c>
      <c r="UMK11" s="1429" t="s">
        <v>134</v>
      </c>
      <c r="UML11" s="1429" t="s">
        <v>134</v>
      </c>
      <c r="UMM11" s="1429" t="s">
        <v>134</v>
      </c>
      <c r="UMN11" s="1429" t="s">
        <v>134</v>
      </c>
      <c r="UMO11" s="1429" t="s">
        <v>134</v>
      </c>
      <c r="UMP11" s="1429" t="s">
        <v>134</v>
      </c>
      <c r="UMQ11" s="1429" t="s">
        <v>134</v>
      </c>
      <c r="UMR11" s="1429" t="s">
        <v>134</v>
      </c>
      <c r="UMS11" s="1429" t="s">
        <v>134</v>
      </c>
      <c r="UMT11" s="1429" t="s">
        <v>134</v>
      </c>
      <c r="UMU11" s="1429" t="s">
        <v>134</v>
      </c>
      <c r="UMV11" s="1429" t="s">
        <v>134</v>
      </c>
      <c r="UMW11" s="1429" t="s">
        <v>134</v>
      </c>
      <c r="UMX11" s="1429" t="s">
        <v>134</v>
      </c>
      <c r="UMY11" s="1429" t="s">
        <v>134</v>
      </c>
      <c r="UMZ11" s="1429" t="s">
        <v>134</v>
      </c>
      <c r="UNA11" s="1429" t="s">
        <v>134</v>
      </c>
      <c r="UNB11" s="1429" t="s">
        <v>134</v>
      </c>
      <c r="UNC11" s="1429" t="s">
        <v>134</v>
      </c>
      <c r="UND11" s="1429" t="s">
        <v>134</v>
      </c>
      <c r="UNE11" s="1429" t="s">
        <v>134</v>
      </c>
      <c r="UNF11" s="1429" t="s">
        <v>134</v>
      </c>
      <c r="UNG11" s="1429" t="s">
        <v>134</v>
      </c>
      <c r="UNH11" s="1429" t="s">
        <v>134</v>
      </c>
      <c r="UNI11" s="1429" t="s">
        <v>134</v>
      </c>
      <c r="UNJ11" s="1429" t="s">
        <v>134</v>
      </c>
      <c r="UNK11" s="1429" t="s">
        <v>134</v>
      </c>
      <c r="UNL11" s="1429" t="s">
        <v>134</v>
      </c>
      <c r="UNM11" s="1429" t="s">
        <v>134</v>
      </c>
      <c r="UNN11" s="1429" t="s">
        <v>134</v>
      </c>
      <c r="UNO11" s="1429" t="s">
        <v>134</v>
      </c>
      <c r="UNP11" s="1429" t="s">
        <v>134</v>
      </c>
      <c r="UNQ11" s="1429" t="s">
        <v>134</v>
      </c>
      <c r="UNR11" s="1429" t="s">
        <v>134</v>
      </c>
      <c r="UNS11" s="1429" t="s">
        <v>134</v>
      </c>
      <c r="UNT11" s="1429" t="s">
        <v>134</v>
      </c>
      <c r="UNU11" s="1429" t="s">
        <v>134</v>
      </c>
      <c r="UNV11" s="1429" t="s">
        <v>134</v>
      </c>
      <c r="UNW11" s="1429" t="s">
        <v>134</v>
      </c>
      <c r="UNX11" s="1429" t="s">
        <v>134</v>
      </c>
      <c r="UNY11" s="1429" t="s">
        <v>134</v>
      </c>
      <c r="UNZ11" s="1429" t="s">
        <v>134</v>
      </c>
      <c r="UOA11" s="1429" t="s">
        <v>134</v>
      </c>
      <c r="UOB11" s="1429" t="s">
        <v>134</v>
      </c>
      <c r="UOC11" s="1429" t="s">
        <v>134</v>
      </c>
      <c r="UOD11" s="1429" t="s">
        <v>134</v>
      </c>
      <c r="UOE11" s="1429" t="s">
        <v>134</v>
      </c>
      <c r="UOF11" s="1429" t="s">
        <v>134</v>
      </c>
      <c r="UOG11" s="1429" t="s">
        <v>134</v>
      </c>
      <c r="UOH11" s="1429" t="s">
        <v>134</v>
      </c>
      <c r="UOI11" s="1429" t="s">
        <v>134</v>
      </c>
      <c r="UOJ11" s="1429" t="s">
        <v>134</v>
      </c>
      <c r="UOK11" s="1429" t="s">
        <v>134</v>
      </c>
      <c r="UOL11" s="1429" t="s">
        <v>134</v>
      </c>
      <c r="UOM11" s="1429" t="s">
        <v>134</v>
      </c>
      <c r="UON11" s="1429" t="s">
        <v>134</v>
      </c>
      <c r="UOO11" s="1429" t="s">
        <v>134</v>
      </c>
      <c r="UOP11" s="1429" t="s">
        <v>134</v>
      </c>
      <c r="UOQ11" s="1429" t="s">
        <v>134</v>
      </c>
      <c r="UOR11" s="1429" t="s">
        <v>134</v>
      </c>
      <c r="UOS11" s="1429" t="s">
        <v>134</v>
      </c>
      <c r="UOT11" s="1429" t="s">
        <v>134</v>
      </c>
      <c r="UOU11" s="1429" t="s">
        <v>134</v>
      </c>
      <c r="UOV11" s="1429" t="s">
        <v>134</v>
      </c>
      <c r="UOW11" s="1429" t="s">
        <v>134</v>
      </c>
      <c r="UOX11" s="1429" t="s">
        <v>134</v>
      </c>
      <c r="UOY11" s="1429" t="s">
        <v>134</v>
      </c>
      <c r="UOZ11" s="1429" t="s">
        <v>134</v>
      </c>
      <c r="UPA11" s="1429" t="s">
        <v>134</v>
      </c>
      <c r="UPB11" s="1429" t="s">
        <v>134</v>
      </c>
      <c r="UPC11" s="1429" t="s">
        <v>134</v>
      </c>
      <c r="UPD11" s="1429" t="s">
        <v>134</v>
      </c>
      <c r="UPE11" s="1429" t="s">
        <v>134</v>
      </c>
      <c r="UPF11" s="1429" t="s">
        <v>134</v>
      </c>
      <c r="UPG11" s="1429" t="s">
        <v>134</v>
      </c>
      <c r="UPH11" s="1429" t="s">
        <v>134</v>
      </c>
      <c r="UPI11" s="1429" t="s">
        <v>134</v>
      </c>
      <c r="UPJ11" s="1429" t="s">
        <v>134</v>
      </c>
      <c r="UPK11" s="1429" t="s">
        <v>134</v>
      </c>
      <c r="UPL11" s="1429" t="s">
        <v>134</v>
      </c>
      <c r="UPM11" s="1429" t="s">
        <v>134</v>
      </c>
      <c r="UPN11" s="1429" t="s">
        <v>134</v>
      </c>
      <c r="UPO11" s="1429" t="s">
        <v>134</v>
      </c>
      <c r="UPP11" s="1429" t="s">
        <v>134</v>
      </c>
      <c r="UPQ11" s="1429" t="s">
        <v>134</v>
      </c>
      <c r="UPR11" s="1429" t="s">
        <v>134</v>
      </c>
      <c r="UPS11" s="1429" t="s">
        <v>134</v>
      </c>
      <c r="UPT11" s="1429" t="s">
        <v>134</v>
      </c>
      <c r="UPU11" s="1429" t="s">
        <v>134</v>
      </c>
      <c r="UPV11" s="1429" t="s">
        <v>134</v>
      </c>
      <c r="UPW11" s="1429" t="s">
        <v>134</v>
      </c>
      <c r="UPX11" s="1429" t="s">
        <v>134</v>
      </c>
      <c r="UPY11" s="1429" t="s">
        <v>134</v>
      </c>
      <c r="UPZ11" s="1429" t="s">
        <v>134</v>
      </c>
      <c r="UQA11" s="1429" t="s">
        <v>134</v>
      </c>
      <c r="UQB11" s="1429" t="s">
        <v>134</v>
      </c>
      <c r="UQC11" s="1429" t="s">
        <v>134</v>
      </c>
      <c r="UQD11" s="1429" t="s">
        <v>134</v>
      </c>
      <c r="UQE11" s="1429" t="s">
        <v>134</v>
      </c>
      <c r="UQF11" s="1429" t="s">
        <v>134</v>
      </c>
      <c r="UQG11" s="1429" t="s">
        <v>134</v>
      </c>
      <c r="UQH11" s="1429" t="s">
        <v>134</v>
      </c>
      <c r="UQI11" s="1429" t="s">
        <v>134</v>
      </c>
      <c r="UQJ11" s="1429" t="s">
        <v>134</v>
      </c>
      <c r="UQK11" s="1429" t="s">
        <v>134</v>
      </c>
      <c r="UQL11" s="1429" t="s">
        <v>134</v>
      </c>
      <c r="UQM11" s="1429" t="s">
        <v>134</v>
      </c>
      <c r="UQN11" s="1429" t="s">
        <v>134</v>
      </c>
      <c r="UQO11" s="1429" t="s">
        <v>134</v>
      </c>
      <c r="UQP11" s="1429" t="s">
        <v>134</v>
      </c>
      <c r="UQQ11" s="1429" t="s">
        <v>134</v>
      </c>
      <c r="UQR11" s="1429" t="s">
        <v>134</v>
      </c>
      <c r="UQS11" s="1429" t="s">
        <v>134</v>
      </c>
      <c r="UQT11" s="1429" t="s">
        <v>134</v>
      </c>
      <c r="UQU11" s="1429" t="s">
        <v>134</v>
      </c>
      <c r="UQV11" s="1429" t="s">
        <v>134</v>
      </c>
      <c r="UQW11" s="1429" t="s">
        <v>134</v>
      </c>
      <c r="UQX11" s="1429" t="s">
        <v>134</v>
      </c>
      <c r="UQY11" s="1429" t="s">
        <v>134</v>
      </c>
      <c r="UQZ11" s="1429" t="s">
        <v>134</v>
      </c>
      <c r="URA11" s="1429" t="s">
        <v>134</v>
      </c>
      <c r="URB11" s="1429" t="s">
        <v>134</v>
      </c>
      <c r="URC11" s="1429" t="s">
        <v>134</v>
      </c>
      <c r="URD11" s="1429" t="s">
        <v>134</v>
      </c>
      <c r="URE11" s="1429" t="s">
        <v>134</v>
      </c>
      <c r="URF11" s="1429" t="s">
        <v>134</v>
      </c>
      <c r="URG11" s="1429" t="s">
        <v>134</v>
      </c>
      <c r="URH11" s="1429" t="s">
        <v>134</v>
      </c>
      <c r="URI11" s="1429" t="s">
        <v>134</v>
      </c>
      <c r="URJ11" s="1429" t="s">
        <v>134</v>
      </c>
      <c r="URK11" s="1429" t="s">
        <v>134</v>
      </c>
      <c r="URL11" s="1429" t="s">
        <v>134</v>
      </c>
      <c r="URM11" s="1429" t="s">
        <v>134</v>
      </c>
      <c r="URN11" s="1429" t="s">
        <v>134</v>
      </c>
      <c r="URO11" s="1429" t="s">
        <v>134</v>
      </c>
      <c r="URP11" s="1429" t="s">
        <v>134</v>
      </c>
      <c r="URQ11" s="1429" t="s">
        <v>134</v>
      </c>
      <c r="URR11" s="1429" t="s">
        <v>134</v>
      </c>
      <c r="URS11" s="1429" t="s">
        <v>134</v>
      </c>
      <c r="URT11" s="1429" t="s">
        <v>134</v>
      </c>
      <c r="URU11" s="1429" t="s">
        <v>134</v>
      </c>
      <c r="URV11" s="1429" t="s">
        <v>134</v>
      </c>
      <c r="URW11" s="1429" t="s">
        <v>134</v>
      </c>
      <c r="URX11" s="1429" t="s">
        <v>134</v>
      </c>
      <c r="URY11" s="1429" t="s">
        <v>134</v>
      </c>
      <c r="URZ11" s="1429" t="s">
        <v>134</v>
      </c>
      <c r="USA11" s="1429" t="s">
        <v>134</v>
      </c>
      <c r="USB11" s="1429" t="s">
        <v>134</v>
      </c>
      <c r="USC11" s="1429" t="s">
        <v>134</v>
      </c>
      <c r="USD11" s="1429" t="s">
        <v>134</v>
      </c>
      <c r="USE11" s="1429" t="s">
        <v>134</v>
      </c>
      <c r="USF11" s="1429" t="s">
        <v>134</v>
      </c>
      <c r="USG11" s="1429" t="s">
        <v>134</v>
      </c>
      <c r="USH11" s="1429" t="s">
        <v>134</v>
      </c>
      <c r="USI11" s="1429" t="s">
        <v>134</v>
      </c>
      <c r="USJ11" s="1429" t="s">
        <v>134</v>
      </c>
      <c r="USK11" s="1429" t="s">
        <v>134</v>
      </c>
      <c r="USL11" s="1429" t="s">
        <v>134</v>
      </c>
      <c r="USM11" s="1429" t="s">
        <v>134</v>
      </c>
      <c r="USN11" s="1429" t="s">
        <v>134</v>
      </c>
      <c r="USO11" s="1429" t="s">
        <v>134</v>
      </c>
      <c r="USP11" s="1429" t="s">
        <v>134</v>
      </c>
      <c r="USQ11" s="1429" t="s">
        <v>134</v>
      </c>
      <c r="USR11" s="1429" t="s">
        <v>134</v>
      </c>
      <c r="USS11" s="1429" t="s">
        <v>134</v>
      </c>
      <c r="UST11" s="1429" t="s">
        <v>134</v>
      </c>
      <c r="USU11" s="1429" t="s">
        <v>134</v>
      </c>
      <c r="USV11" s="1429" t="s">
        <v>134</v>
      </c>
      <c r="USW11" s="1429" t="s">
        <v>134</v>
      </c>
      <c r="USX11" s="1429" t="s">
        <v>134</v>
      </c>
      <c r="USY11" s="1429" t="s">
        <v>134</v>
      </c>
      <c r="USZ11" s="1429" t="s">
        <v>134</v>
      </c>
      <c r="UTA11" s="1429" t="s">
        <v>134</v>
      </c>
      <c r="UTB11" s="1429" t="s">
        <v>134</v>
      </c>
      <c r="UTC11" s="1429" t="s">
        <v>134</v>
      </c>
      <c r="UTD11" s="1429" t="s">
        <v>134</v>
      </c>
      <c r="UTE11" s="1429" t="s">
        <v>134</v>
      </c>
      <c r="UTF11" s="1429" t="s">
        <v>134</v>
      </c>
      <c r="UTG11" s="1429" t="s">
        <v>134</v>
      </c>
      <c r="UTH11" s="1429" t="s">
        <v>134</v>
      </c>
      <c r="UTI11" s="1429" t="s">
        <v>134</v>
      </c>
      <c r="UTJ11" s="1429" t="s">
        <v>134</v>
      </c>
      <c r="UTK11" s="1429" t="s">
        <v>134</v>
      </c>
      <c r="UTL11" s="1429" t="s">
        <v>134</v>
      </c>
      <c r="UTM11" s="1429" t="s">
        <v>134</v>
      </c>
      <c r="UTN11" s="1429" t="s">
        <v>134</v>
      </c>
      <c r="UTO11" s="1429" t="s">
        <v>134</v>
      </c>
      <c r="UTP11" s="1429" t="s">
        <v>134</v>
      </c>
      <c r="UTQ11" s="1429" t="s">
        <v>134</v>
      </c>
      <c r="UTR11" s="1429" t="s">
        <v>134</v>
      </c>
      <c r="UTS11" s="1429" t="s">
        <v>134</v>
      </c>
      <c r="UTT11" s="1429" t="s">
        <v>134</v>
      </c>
      <c r="UTU11" s="1429" t="s">
        <v>134</v>
      </c>
      <c r="UTV11" s="1429" t="s">
        <v>134</v>
      </c>
      <c r="UTW11" s="1429" t="s">
        <v>134</v>
      </c>
      <c r="UTX11" s="1429" t="s">
        <v>134</v>
      </c>
      <c r="UTY11" s="1429" t="s">
        <v>134</v>
      </c>
      <c r="UTZ11" s="1429" t="s">
        <v>134</v>
      </c>
      <c r="UUA11" s="1429" t="s">
        <v>134</v>
      </c>
      <c r="UUB11" s="1429" t="s">
        <v>134</v>
      </c>
      <c r="UUC11" s="1429" t="s">
        <v>134</v>
      </c>
      <c r="UUD11" s="1429" t="s">
        <v>134</v>
      </c>
      <c r="UUE11" s="1429" t="s">
        <v>134</v>
      </c>
      <c r="UUF11" s="1429" t="s">
        <v>134</v>
      </c>
      <c r="UUG11" s="1429" t="s">
        <v>134</v>
      </c>
      <c r="UUH11" s="1429" t="s">
        <v>134</v>
      </c>
      <c r="UUI11" s="1429" t="s">
        <v>134</v>
      </c>
      <c r="UUJ11" s="1429" t="s">
        <v>134</v>
      </c>
      <c r="UUK11" s="1429" t="s">
        <v>134</v>
      </c>
      <c r="UUL11" s="1429" t="s">
        <v>134</v>
      </c>
      <c r="UUM11" s="1429" t="s">
        <v>134</v>
      </c>
      <c r="UUN11" s="1429" t="s">
        <v>134</v>
      </c>
      <c r="UUO11" s="1429" t="s">
        <v>134</v>
      </c>
      <c r="UUP11" s="1429" t="s">
        <v>134</v>
      </c>
      <c r="UUQ11" s="1429" t="s">
        <v>134</v>
      </c>
      <c r="UUR11" s="1429" t="s">
        <v>134</v>
      </c>
      <c r="UUS11" s="1429" t="s">
        <v>134</v>
      </c>
      <c r="UUT11" s="1429" t="s">
        <v>134</v>
      </c>
      <c r="UUU11" s="1429" t="s">
        <v>134</v>
      </c>
      <c r="UUV11" s="1429" t="s">
        <v>134</v>
      </c>
      <c r="UUW11" s="1429" t="s">
        <v>134</v>
      </c>
      <c r="UUX11" s="1429" t="s">
        <v>134</v>
      </c>
      <c r="UUY11" s="1429" t="s">
        <v>134</v>
      </c>
      <c r="UUZ11" s="1429" t="s">
        <v>134</v>
      </c>
      <c r="UVA11" s="1429" t="s">
        <v>134</v>
      </c>
      <c r="UVB11" s="1429" t="s">
        <v>134</v>
      </c>
      <c r="UVC11" s="1429" t="s">
        <v>134</v>
      </c>
      <c r="UVD11" s="1429" t="s">
        <v>134</v>
      </c>
      <c r="UVE11" s="1429" t="s">
        <v>134</v>
      </c>
      <c r="UVF11" s="1429" t="s">
        <v>134</v>
      </c>
      <c r="UVG11" s="1429" t="s">
        <v>134</v>
      </c>
      <c r="UVH11" s="1429" t="s">
        <v>134</v>
      </c>
      <c r="UVI11" s="1429" t="s">
        <v>134</v>
      </c>
      <c r="UVJ11" s="1429" t="s">
        <v>134</v>
      </c>
      <c r="UVK11" s="1429" t="s">
        <v>134</v>
      </c>
      <c r="UVL11" s="1429" t="s">
        <v>134</v>
      </c>
      <c r="UVM11" s="1429" t="s">
        <v>134</v>
      </c>
      <c r="UVN11" s="1429" t="s">
        <v>134</v>
      </c>
      <c r="UVO11" s="1429" t="s">
        <v>134</v>
      </c>
      <c r="UVP11" s="1429" t="s">
        <v>134</v>
      </c>
      <c r="UVQ11" s="1429" t="s">
        <v>134</v>
      </c>
      <c r="UVR11" s="1429" t="s">
        <v>134</v>
      </c>
      <c r="UVS11" s="1429" t="s">
        <v>134</v>
      </c>
      <c r="UVT11" s="1429" t="s">
        <v>134</v>
      </c>
      <c r="UVU11" s="1429" t="s">
        <v>134</v>
      </c>
      <c r="UVV11" s="1429" t="s">
        <v>134</v>
      </c>
      <c r="UVW11" s="1429" t="s">
        <v>134</v>
      </c>
      <c r="UVX11" s="1429" t="s">
        <v>134</v>
      </c>
      <c r="UVY11" s="1429" t="s">
        <v>134</v>
      </c>
      <c r="UVZ11" s="1429" t="s">
        <v>134</v>
      </c>
      <c r="UWA11" s="1429" t="s">
        <v>134</v>
      </c>
      <c r="UWB11" s="1429" t="s">
        <v>134</v>
      </c>
      <c r="UWC11" s="1429" t="s">
        <v>134</v>
      </c>
      <c r="UWD11" s="1429" t="s">
        <v>134</v>
      </c>
      <c r="UWE11" s="1429" t="s">
        <v>134</v>
      </c>
      <c r="UWF11" s="1429" t="s">
        <v>134</v>
      </c>
      <c r="UWG11" s="1429" t="s">
        <v>134</v>
      </c>
      <c r="UWH11" s="1429" t="s">
        <v>134</v>
      </c>
      <c r="UWI11" s="1429" t="s">
        <v>134</v>
      </c>
      <c r="UWJ11" s="1429" t="s">
        <v>134</v>
      </c>
      <c r="UWK11" s="1429" t="s">
        <v>134</v>
      </c>
      <c r="UWL11" s="1429" t="s">
        <v>134</v>
      </c>
      <c r="UWM11" s="1429" t="s">
        <v>134</v>
      </c>
      <c r="UWN11" s="1429" t="s">
        <v>134</v>
      </c>
      <c r="UWO11" s="1429" t="s">
        <v>134</v>
      </c>
      <c r="UWP11" s="1429" t="s">
        <v>134</v>
      </c>
      <c r="UWQ11" s="1429" t="s">
        <v>134</v>
      </c>
      <c r="UWR11" s="1429" t="s">
        <v>134</v>
      </c>
      <c r="UWS11" s="1429" t="s">
        <v>134</v>
      </c>
      <c r="UWT11" s="1429" t="s">
        <v>134</v>
      </c>
      <c r="UWU11" s="1429" t="s">
        <v>134</v>
      </c>
      <c r="UWV11" s="1429" t="s">
        <v>134</v>
      </c>
      <c r="UWW11" s="1429" t="s">
        <v>134</v>
      </c>
      <c r="UWX11" s="1429" t="s">
        <v>134</v>
      </c>
      <c r="UWY11" s="1429" t="s">
        <v>134</v>
      </c>
      <c r="UWZ11" s="1429" t="s">
        <v>134</v>
      </c>
      <c r="UXA11" s="1429" t="s">
        <v>134</v>
      </c>
      <c r="UXB11" s="1429" t="s">
        <v>134</v>
      </c>
      <c r="UXC11" s="1429" t="s">
        <v>134</v>
      </c>
      <c r="UXD11" s="1429" t="s">
        <v>134</v>
      </c>
      <c r="UXE11" s="1429" t="s">
        <v>134</v>
      </c>
      <c r="UXF11" s="1429" t="s">
        <v>134</v>
      </c>
      <c r="UXG11" s="1429" t="s">
        <v>134</v>
      </c>
      <c r="UXH11" s="1429" t="s">
        <v>134</v>
      </c>
      <c r="UXI11" s="1429" t="s">
        <v>134</v>
      </c>
      <c r="UXJ11" s="1429" t="s">
        <v>134</v>
      </c>
      <c r="UXK11" s="1429" t="s">
        <v>134</v>
      </c>
      <c r="UXL11" s="1429" t="s">
        <v>134</v>
      </c>
      <c r="UXM11" s="1429" t="s">
        <v>134</v>
      </c>
      <c r="UXN11" s="1429" t="s">
        <v>134</v>
      </c>
      <c r="UXO11" s="1429" t="s">
        <v>134</v>
      </c>
      <c r="UXP11" s="1429" t="s">
        <v>134</v>
      </c>
      <c r="UXQ11" s="1429" t="s">
        <v>134</v>
      </c>
      <c r="UXR11" s="1429" t="s">
        <v>134</v>
      </c>
      <c r="UXS11" s="1429" t="s">
        <v>134</v>
      </c>
      <c r="UXT11" s="1429" t="s">
        <v>134</v>
      </c>
      <c r="UXU11" s="1429" t="s">
        <v>134</v>
      </c>
      <c r="UXV11" s="1429" t="s">
        <v>134</v>
      </c>
      <c r="UXW11" s="1429" t="s">
        <v>134</v>
      </c>
      <c r="UXX11" s="1429" t="s">
        <v>134</v>
      </c>
      <c r="UXY11" s="1429" t="s">
        <v>134</v>
      </c>
      <c r="UXZ11" s="1429" t="s">
        <v>134</v>
      </c>
      <c r="UYA11" s="1429" t="s">
        <v>134</v>
      </c>
      <c r="UYB11" s="1429" t="s">
        <v>134</v>
      </c>
      <c r="UYC11" s="1429" t="s">
        <v>134</v>
      </c>
      <c r="UYD11" s="1429" t="s">
        <v>134</v>
      </c>
      <c r="UYE11" s="1429" t="s">
        <v>134</v>
      </c>
      <c r="UYF11" s="1429" t="s">
        <v>134</v>
      </c>
      <c r="UYG11" s="1429" t="s">
        <v>134</v>
      </c>
      <c r="UYH11" s="1429" t="s">
        <v>134</v>
      </c>
      <c r="UYI11" s="1429" t="s">
        <v>134</v>
      </c>
      <c r="UYJ11" s="1429" t="s">
        <v>134</v>
      </c>
      <c r="UYK11" s="1429" t="s">
        <v>134</v>
      </c>
      <c r="UYL11" s="1429" t="s">
        <v>134</v>
      </c>
      <c r="UYM11" s="1429" t="s">
        <v>134</v>
      </c>
      <c r="UYN11" s="1429" t="s">
        <v>134</v>
      </c>
      <c r="UYO11" s="1429" t="s">
        <v>134</v>
      </c>
      <c r="UYP11" s="1429" t="s">
        <v>134</v>
      </c>
      <c r="UYQ11" s="1429" t="s">
        <v>134</v>
      </c>
      <c r="UYR11" s="1429" t="s">
        <v>134</v>
      </c>
      <c r="UYS11" s="1429" t="s">
        <v>134</v>
      </c>
      <c r="UYT11" s="1429" t="s">
        <v>134</v>
      </c>
      <c r="UYU11" s="1429" t="s">
        <v>134</v>
      </c>
      <c r="UYV11" s="1429" t="s">
        <v>134</v>
      </c>
      <c r="UYW11" s="1429" t="s">
        <v>134</v>
      </c>
      <c r="UYX11" s="1429" t="s">
        <v>134</v>
      </c>
      <c r="UYY11" s="1429" t="s">
        <v>134</v>
      </c>
      <c r="UYZ11" s="1429" t="s">
        <v>134</v>
      </c>
      <c r="UZA11" s="1429" t="s">
        <v>134</v>
      </c>
      <c r="UZB11" s="1429" t="s">
        <v>134</v>
      </c>
      <c r="UZC11" s="1429" t="s">
        <v>134</v>
      </c>
      <c r="UZD11" s="1429" t="s">
        <v>134</v>
      </c>
      <c r="UZE11" s="1429" t="s">
        <v>134</v>
      </c>
      <c r="UZF11" s="1429" t="s">
        <v>134</v>
      </c>
      <c r="UZG11" s="1429" t="s">
        <v>134</v>
      </c>
      <c r="UZH11" s="1429" t="s">
        <v>134</v>
      </c>
      <c r="UZI11" s="1429" t="s">
        <v>134</v>
      </c>
      <c r="UZJ11" s="1429" t="s">
        <v>134</v>
      </c>
      <c r="UZK11" s="1429" t="s">
        <v>134</v>
      </c>
      <c r="UZL11" s="1429" t="s">
        <v>134</v>
      </c>
      <c r="UZM11" s="1429" t="s">
        <v>134</v>
      </c>
      <c r="UZN11" s="1429" t="s">
        <v>134</v>
      </c>
      <c r="UZO11" s="1429" t="s">
        <v>134</v>
      </c>
      <c r="UZP11" s="1429" t="s">
        <v>134</v>
      </c>
      <c r="UZQ11" s="1429" t="s">
        <v>134</v>
      </c>
      <c r="UZR11" s="1429" t="s">
        <v>134</v>
      </c>
      <c r="UZS11" s="1429" t="s">
        <v>134</v>
      </c>
      <c r="UZT11" s="1429" t="s">
        <v>134</v>
      </c>
      <c r="UZU11" s="1429" t="s">
        <v>134</v>
      </c>
      <c r="UZV11" s="1429" t="s">
        <v>134</v>
      </c>
      <c r="UZW11" s="1429" t="s">
        <v>134</v>
      </c>
      <c r="UZX11" s="1429" t="s">
        <v>134</v>
      </c>
      <c r="UZY11" s="1429" t="s">
        <v>134</v>
      </c>
      <c r="UZZ11" s="1429" t="s">
        <v>134</v>
      </c>
      <c r="VAA11" s="1429" t="s">
        <v>134</v>
      </c>
      <c r="VAB11" s="1429" t="s">
        <v>134</v>
      </c>
      <c r="VAC11" s="1429" t="s">
        <v>134</v>
      </c>
      <c r="VAD11" s="1429" t="s">
        <v>134</v>
      </c>
      <c r="VAE11" s="1429" t="s">
        <v>134</v>
      </c>
      <c r="VAF11" s="1429" t="s">
        <v>134</v>
      </c>
      <c r="VAG11" s="1429" t="s">
        <v>134</v>
      </c>
      <c r="VAH11" s="1429" t="s">
        <v>134</v>
      </c>
      <c r="VAI11" s="1429" t="s">
        <v>134</v>
      </c>
      <c r="VAJ11" s="1429" t="s">
        <v>134</v>
      </c>
      <c r="VAK11" s="1429" t="s">
        <v>134</v>
      </c>
      <c r="VAL11" s="1429" t="s">
        <v>134</v>
      </c>
      <c r="VAM11" s="1429" t="s">
        <v>134</v>
      </c>
      <c r="VAN11" s="1429" t="s">
        <v>134</v>
      </c>
      <c r="VAO11" s="1429" t="s">
        <v>134</v>
      </c>
      <c r="VAP11" s="1429" t="s">
        <v>134</v>
      </c>
      <c r="VAQ11" s="1429" t="s">
        <v>134</v>
      </c>
      <c r="VAR11" s="1429" t="s">
        <v>134</v>
      </c>
      <c r="VAS11" s="1429" t="s">
        <v>134</v>
      </c>
      <c r="VAT11" s="1429" t="s">
        <v>134</v>
      </c>
      <c r="VAU11" s="1429" t="s">
        <v>134</v>
      </c>
      <c r="VAV11" s="1429" t="s">
        <v>134</v>
      </c>
      <c r="VAW11" s="1429" t="s">
        <v>134</v>
      </c>
      <c r="VAX11" s="1429" t="s">
        <v>134</v>
      </c>
      <c r="VAY11" s="1429" t="s">
        <v>134</v>
      </c>
      <c r="VAZ11" s="1429" t="s">
        <v>134</v>
      </c>
      <c r="VBA11" s="1429" t="s">
        <v>134</v>
      </c>
      <c r="VBB11" s="1429" t="s">
        <v>134</v>
      </c>
      <c r="VBC11" s="1429" t="s">
        <v>134</v>
      </c>
      <c r="VBD11" s="1429" t="s">
        <v>134</v>
      </c>
      <c r="VBE11" s="1429" t="s">
        <v>134</v>
      </c>
      <c r="VBF11" s="1429" t="s">
        <v>134</v>
      </c>
      <c r="VBG11" s="1429" t="s">
        <v>134</v>
      </c>
      <c r="VBH11" s="1429" t="s">
        <v>134</v>
      </c>
      <c r="VBI11" s="1429" t="s">
        <v>134</v>
      </c>
      <c r="VBJ11" s="1429" t="s">
        <v>134</v>
      </c>
      <c r="VBK11" s="1429" t="s">
        <v>134</v>
      </c>
      <c r="VBL11" s="1429" t="s">
        <v>134</v>
      </c>
      <c r="VBM11" s="1429" t="s">
        <v>134</v>
      </c>
      <c r="VBN11" s="1429" t="s">
        <v>134</v>
      </c>
      <c r="VBO11" s="1429" t="s">
        <v>134</v>
      </c>
      <c r="VBP11" s="1429" t="s">
        <v>134</v>
      </c>
      <c r="VBQ11" s="1429" t="s">
        <v>134</v>
      </c>
      <c r="VBR11" s="1429" t="s">
        <v>134</v>
      </c>
      <c r="VBS11" s="1429" t="s">
        <v>134</v>
      </c>
      <c r="VBT11" s="1429" t="s">
        <v>134</v>
      </c>
      <c r="VBU11" s="1429" t="s">
        <v>134</v>
      </c>
      <c r="VBV11" s="1429" t="s">
        <v>134</v>
      </c>
      <c r="VBW11" s="1429" t="s">
        <v>134</v>
      </c>
      <c r="VBX11" s="1429" t="s">
        <v>134</v>
      </c>
      <c r="VBY11" s="1429" t="s">
        <v>134</v>
      </c>
      <c r="VBZ11" s="1429" t="s">
        <v>134</v>
      </c>
      <c r="VCA11" s="1429" t="s">
        <v>134</v>
      </c>
      <c r="VCB11" s="1429" t="s">
        <v>134</v>
      </c>
      <c r="VCC11" s="1429" t="s">
        <v>134</v>
      </c>
      <c r="VCD11" s="1429" t="s">
        <v>134</v>
      </c>
      <c r="VCE11" s="1429" t="s">
        <v>134</v>
      </c>
      <c r="VCF11" s="1429" t="s">
        <v>134</v>
      </c>
      <c r="VCG11" s="1429" t="s">
        <v>134</v>
      </c>
      <c r="VCH11" s="1429" t="s">
        <v>134</v>
      </c>
      <c r="VCI11" s="1429" t="s">
        <v>134</v>
      </c>
      <c r="VCJ11" s="1429" t="s">
        <v>134</v>
      </c>
      <c r="VCK11" s="1429" t="s">
        <v>134</v>
      </c>
      <c r="VCL11" s="1429" t="s">
        <v>134</v>
      </c>
      <c r="VCM11" s="1429" t="s">
        <v>134</v>
      </c>
      <c r="VCN11" s="1429" t="s">
        <v>134</v>
      </c>
      <c r="VCO11" s="1429" t="s">
        <v>134</v>
      </c>
      <c r="VCP11" s="1429" t="s">
        <v>134</v>
      </c>
      <c r="VCQ11" s="1429" t="s">
        <v>134</v>
      </c>
      <c r="VCR11" s="1429" t="s">
        <v>134</v>
      </c>
      <c r="VCS11" s="1429" t="s">
        <v>134</v>
      </c>
      <c r="VCT11" s="1429" t="s">
        <v>134</v>
      </c>
      <c r="VCU11" s="1429" t="s">
        <v>134</v>
      </c>
      <c r="VCV11" s="1429" t="s">
        <v>134</v>
      </c>
      <c r="VCW11" s="1429" t="s">
        <v>134</v>
      </c>
      <c r="VCX11" s="1429" t="s">
        <v>134</v>
      </c>
      <c r="VCY11" s="1429" t="s">
        <v>134</v>
      </c>
      <c r="VCZ11" s="1429" t="s">
        <v>134</v>
      </c>
      <c r="VDA11" s="1429" t="s">
        <v>134</v>
      </c>
      <c r="VDB11" s="1429" t="s">
        <v>134</v>
      </c>
      <c r="VDC11" s="1429" t="s">
        <v>134</v>
      </c>
      <c r="VDD11" s="1429" t="s">
        <v>134</v>
      </c>
      <c r="VDE11" s="1429" t="s">
        <v>134</v>
      </c>
      <c r="VDF11" s="1429" t="s">
        <v>134</v>
      </c>
      <c r="VDG11" s="1429" t="s">
        <v>134</v>
      </c>
      <c r="VDH11" s="1429" t="s">
        <v>134</v>
      </c>
      <c r="VDI11" s="1429" t="s">
        <v>134</v>
      </c>
      <c r="VDJ11" s="1429" t="s">
        <v>134</v>
      </c>
      <c r="VDK11" s="1429" t="s">
        <v>134</v>
      </c>
      <c r="VDL11" s="1429" t="s">
        <v>134</v>
      </c>
      <c r="VDM11" s="1429" t="s">
        <v>134</v>
      </c>
      <c r="VDN11" s="1429" t="s">
        <v>134</v>
      </c>
      <c r="VDO11" s="1429" t="s">
        <v>134</v>
      </c>
      <c r="VDP11" s="1429" t="s">
        <v>134</v>
      </c>
      <c r="VDQ11" s="1429" t="s">
        <v>134</v>
      </c>
      <c r="VDR11" s="1429" t="s">
        <v>134</v>
      </c>
      <c r="VDS11" s="1429" t="s">
        <v>134</v>
      </c>
      <c r="VDT11" s="1429" t="s">
        <v>134</v>
      </c>
      <c r="VDU11" s="1429" t="s">
        <v>134</v>
      </c>
      <c r="VDV11" s="1429" t="s">
        <v>134</v>
      </c>
      <c r="VDW11" s="1429" t="s">
        <v>134</v>
      </c>
      <c r="VDX11" s="1429" t="s">
        <v>134</v>
      </c>
      <c r="VDY11" s="1429" t="s">
        <v>134</v>
      </c>
      <c r="VDZ11" s="1429" t="s">
        <v>134</v>
      </c>
      <c r="VEA11" s="1429" t="s">
        <v>134</v>
      </c>
      <c r="VEB11" s="1429" t="s">
        <v>134</v>
      </c>
      <c r="VEC11" s="1429" t="s">
        <v>134</v>
      </c>
      <c r="VED11" s="1429" t="s">
        <v>134</v>
      </c>
      <c r="VEE11" s="1429" t="s">
        <v>134</v>
      </c>
      <c r="VEF11" s="1429" t="s">
        <v>134</v>
      </c>
      <c r="VEG11" s="1429" t="s">
        <v>134</v>
      </c>
      <c r="VEH11" s="1429" t="s">
        <v>134</v>
      </c>
      <c r="VEI11" s="1429" t="s">
        <v>134</v>
      </c>
      <c r="VEJ11" s="1429" t="s">
        <v>134</v>
      </c>
      <c r="VEK11" s="1429" t="s">
        <v>134</v>
      </c>
      <c r="VEL11" s="1429" t="s">
        <v>134</v>
      </c>
      <c r="VEM11" s="1429" t="s">
        <v>134</v>
      </c>
      <c r="VEN11" s="1429" t="s">
        <v>134</v>
      </c>
      <c r="VEO11" s="1429" t="s">
        <v>134</v>
      </c>
      <c r="VEP11" s="1429" t="s">
        <v>134</v>
      </c>
      <c r="VEQ11" s="1429" t="s">
        <v>134</v>
      </c>
      <c r="VER11" s="1429" t="s">
        <v>134</v>
      </c>
      <c r="VES11" s="1429" t="s">
        <v>134</v>
      </c>
      <c r="VET11" s="1429" t="s">
        <v>134</v>
      </c>
      <c r="VEU11" s="1429" t="s">
        <v>134</v>
      </c>
      <c r="VEV11" s="1429" t="s">
        <v>134</v>
      </c>
      <c r="VEW11" s="1429" t="s">
        <v>134</v>
      </c>
      <c r="VEX11" s="1429" t="s">
        <v>134</v>
      </c>
      <c r="VEY11" s="1429" t="s">
        <v>134</v>
      </c>
      <c r="VEZ11" s="1429" t="s">
        <v>134</v>
      </c>
      <c r="VFA11" s="1429" t="s">
        <v>134</v>
      </c>
      <c r="VFB11" s="1429" t="s">
        <v>134</v>
      </c>
      <c r="VFC11" s="1429" t="s">
        <v>134</v>
      </c>
      <c r="VFD11" s="1429" t="s">
        <v>134</v>
      </c>
      <c r="VFE11" s="1429" t="s">
        <v>134</v>
      </c>
      <c r="VFF11" s="1429" t="s">
        <v>134</v>
      </c>
      <c r="VFG11" s="1429" t="s">
        <v>134</v>
      </c>
      <c r="VFH11" s="1429" t="s">
        <v>134</v>
      </c>
      <c r="VFI11" s="1429" t="s">
        <v>134</v>
      </c>
      <c r="VFJ11" s="1429" t="s">
        <v>134</v>
      </c>
      <c r="VFK11" s="1429" t="s">
        <v>134</v>
      </c>
      <c r="VFL11" s="1429" t="s">
        <v>134</v>
      </c>
      <c r="VFM11" s="1429" t="s">
        <v>134</v>
      </c>
      <c r="VFN11" s="1429" t="s">
        <v>134</v>
      </c>
      <c r="VFO11" s="1429" t="s">
        <v>134</v>
      </c>
      <c r="VFP11" s="1429" t="s">
        <v>134</v>
      </c>
      <c r="VFQ11" s="1429" t="s">
        <v>134</v>
      </c>
      <c r="VFR11" s="1429" t="s">
        <v>134</v>
      </c>
      <c r="VFS11" s="1429" t="s">
        <v>134</v>
      </c>
      <c r="VFT11" s="1429" t="s">
        <v>134</v>
      </c>
      <c r="VFU11" s="1429" t="s">
        <v>134</v>
      </c>
      <c r="VFV11" s="1429" t="s">
        <v>134</v>
      </c>
      <c r="VFW11" s="1429" t="s">
        <v>134</v>
      </c>
      <c r="VFX11" s="1429" t="s">
        <v>134</v>
      </c>
      <c r="VFY11" s="1429" t="s">
        <v>134</v>
      </c>
      <c r="VFZ11" s="1429" t="s">
        <v>134</v>
      </c>
      <c r="VGA11" s="1429" t="s">
        <v>134</v>
      </c>
      <c r="VGB11" s="1429" t="s">
        <v>134</v>
      </c>
      <c r="VGC11" s="1429" t="s">
        <v>134</v>
      </c>
      <c r="VGD11" s="1429" t="s">
        <v>134</v>
      </c>
      <c r="VGE11" s="1429" t="s">
        <v>134</v>
      </c>
      <c r="VGF11" s="1429" t="s">
        <v>134</v>
      </c>
      <c r="VGG11" s="1429" t="s">
        <v>134</v>
      </c>
      <c r="VGH11" s="1429" t="s">
        <v>134</v>
      </c>
      <c r="VGI11" s="1429" t="s">
        <v>134</v>
      </c>
      <c r="VGJ11" s="1429" t="s">
        <v>134</v>
      </c>
      <c r="VGK11" s="1429" t="s">
        <v>134</v>
      </c>
      <c r="VGL11" s="1429" t="s">
        <v>134</v>
      </c>
      <c r="VGM11" s="1429" t="s">
        <v>134</v>
      </c>
      <c r="VGN11" s="1429" t="s">
        <v>134</v>
      </c>
      <c r="VGO11" s="1429" t="s">
        <v>134</v>
      </c>
      <c r="VGP11" s="1429" t="s">
        <v>134</v>
      </c>
      <c r="VGQ11" s="1429" t="s">
        <v>134</v>
      </c>
      <c r="VGR11" s="1429" t="s">
        <v>134</v>
      </c>
      <c r="VGS11" s="1429" t="s">
        <v>134</v>
      </c>
      <c r="VGT11" s="1429" t="s">
        <v>134</v>
      </c>
      <c r="VGU11" s="1429" t="s">
        <v>134</v>
      </c>
      <c r="VGV11" s="1429" t="s">
        <v>134</v>
      </c>
      <c r="VGW11" s="1429" t="s">
        <v>134</v>
      </c>
      <c r="VGX11" s="1429" t="s">
        <v>134</v>
      </c>
      <c r="VGY11" s="1429" t="s">
        <v>134</v>
      </c>
      <c r="VGZ11" s="1429" t="s">
        <v>134</v>
      </c>
      <c r="VHA11" s="1429" t="s">
        <v>134</v>
      </c>
      <c r="VHB11" s="1429" t="s">
        <v>134</v>
      </c>
      <c r="VHC11" s="1429" t="s">
        <v>134</v>
      </c>
      <c r="VHD11" s="1429" t="s">
        <v>134</v>
      </c>
      <c r="VHE11" s="1429" t="s">
        <v>134</v>
      </c>
      <c r="VHF11" s="1429" t="s">
        <v>134</v>
      </c>
      <c r="VHG11" s="1429" t="s">
        <v>134</v>
      </c>
      <c r="VHH11" s="1429" t="s">
        <v>134</v>
      </c>
      <c r="VHI11" s="1429" t="s">
        <v>134</v>
      </c>
      <c r="VHJ11" s="1429" t="s">
        <v>134</v>
      </c>
      <c r="VHK11" s="1429" t="s">
        <v>134</v>
      </c>
      <c r="VHL11" s="1429" t="s">
        <v>134</v>
      </c>
      <c r="VHM11" s="1429" t="s">
        <v>134</v>
      </c>
      <c r="VHN11" s="1429" t="s">
        <v>134</v>
      </c>
      <c r="VHO11" s="1429" t="s">
        <v>134</v>
      </c>
      <c r="VHP11" s="1429" t="s">
        <v>134</v>
      </c>
      <c r="VHQ11" s="1429" t="s">
        <v>134</v>
      </c>
      <c r="VHR11" s="1429" t="s">
        <v>134</v>
      </c>
      <c r="VHS11" s="1429" t="s">
        <v>134</v>
      </c>
      <c r="VHT11" s="1429" t="s">
        <v>134</v>
      </c>
      <c r="VHU11" s="1429" t="s">
        <v>134</v>
      </c>
      <c r="VHV11" s="1429" t="s">
        <v>134</v>
      </c>
      <c r="VHW11" s="1429" t="s">
        <v>134</v>
      </c>
      <c r="VHX11" s="1429" t="s">
        <v>134</v>
      </c>
      <c r="VHY11" s="1429" t="s">
        <v>134</v>
      </c>
      <c r="VHZ11" s="1429" t="s">
        <v>134</v>
      </c>
      <c r="VIA11" s="1429" t="s">
        <v>134</v>
      </c>
      <c r="VIB11" s="1429" t="s">
        <v>134</v>
      </c>
      <c r="VIC11" s="1429" t="s">
        <v>134</v>
      </c>
      <c r="VID11" s="1429" t="s">
        <v>134</v>
      </c>
      <c r="VIE11" s="1429" t="s">
        <v>134</v>
      </c>
      <c r="VIF11" s="1429" t="s">
        <v>134</v>
      </c>
      <c r="VIG11" s="1429" t="s">
        <v>134</v>
      </c>
      <c r="VIH11" s="1429" t="s">
        <v>134</v>
      </c>
      <c r="VII11" s="1429" t="s">
        <v>134</v>
      </c>
      <c r="VIJ11" s="1429" t="s">
        <v>134</v>
      </c>
      <c r="VIK11" s="1429" t="s">
        <v>134</v>
      </c>
      <c r="VIL11" s="1429" t="s">
        <v>134</v>
      </c>
      <c r="VIM11" s="1429" t="s">
        <v>134</v>
      </c>
      <c r="VIN11" s="1429" t="s">
        <v>134</v>
      </c>
      <c r="VIO11" s="1429" t="s">
        <v>134</v>
      </c>
      <c r="VIP11" s="1429" t="s">
        <v>134</v>
      </c>
      <c r="VIQ11" s="1429" t="s">
        <v>134</v>
      </c>
      <c r="VIR11" s="1429" t="s">
        <v>134</v>
      </c>
      <c r="VIS11" s="1429" t="s">
        <v>134</v>
      </c>
      <c r="VIT11" s="1429" t="s">
        <v>134</v>
      </c>
      <c r="VIU11" s="1429" t="s">
        <v>134</v>
      </c>
      <c r="VIV11" s="1429" t="s">
        <v>134</v>
      </c>
      <c r="VIW11" s="1429" t="s">
        <v>134</v>
      </c>
      <c r="VIX11" s="1429" t="s">
        <v>134</v>
      </c>
      <c r="VIY11" s="1429" t="s">
        <v>134</v>
      </c>
      <c r="VIZ11" s="1429" t="s">
        <v>134</v>
      </c>
      <c r="VJA11" s="1429" t="s">
        <v>134</v>
      </c>
      <c r="VJB11" s="1429" t="s">
        <v>134</v>
      </c>
      <c r="VJC11" s="1429" t="s">
        <v>134</v>
      </c>
      <c r="VJD11" s="1429" t="s">
        <v>134</v>
      </c>
      <c r="VJE11" s="1429" t="s">
        <v>134</v>
      </c>
      <c r="VJF11" s="1429" t="s">
        <v>134</v>
      </c>
      <c r="VJG11" s="1429" t="s">
        <v>134</v>
      </c>
      <c r="VJH11" s="1429" t="s">
        <v>134</v>
      </c>
      <c r="VJI11" s="1429" t="s">
        <v>134</v>
      </c>
      <c r="VJJ11" s="1429" t="s">
        <v>134</v>
      </c>
      <c r="VJK11" s="1429" t="s">
        <v>134</v>
      </c>
      <c r="VJL11" s="1429" t="s">
        <v>134</v>
      </c>
      <c r="VJM11" s="1429" t="s">
        <v>134</v>
      </c>
      <c r="VJN11" s="1429" t="s">
        <v>134</v>
      </c>
      <c r="VJO11" s="1429" t="s">
        <v>134</v>
      </c>
      <c r="VJP11" s="1429" t="s">
        <v>134</v>
      </c>
      <c r="VJQ11" s="1429" t="s">
        <v>134</v>
      </c>
      <c r="VJR11" s="1429" t="s">
        <v>134</v>
      </c>
      <c r="VJS11" s="1429" t="s">
        <v>134</v>
      </c>
      <c r="VJT11" s="1429" t="s">
        <v>134</v>
      </c>
      <c r="VJU11" s="1429" t="s">
        <v>134</v>
      </c>
      <c r="VJV11" s="1429" t="s">
        <v>134</v>
      </c>
      <c r="VJW11" s="1429" t="s">
        <v>134</v>
      </c>
      <c r="VJX11" s="1429" t="s">
        <v>134</v>
      </c>
      <c r="VJY11" s="1429" t="s">
        <v>134</v>
      </c>
      <c r="VJZ11" s="1429" t="s">
        <v>134</v>
      </c>
      <c r="VKA11" s="1429" t="s">
        <v>134</v>
      </c>
      <c r="VKB11" s="1429" t="s">
        <v>134</v>
      </c>
      <c r="VKC11" s="1429" t="s">
        <v>134</v>
      </c>
      <c r="VKD11" s="1429" t="s">
        <v>134</v>
      </c>
      <c r="VKE11" s="1429" t="s">
        <v>134</v>
      </c>
      <c r="VKF11" s="1429" t="s">
        <v>134</v>
      </c>
      <c r="VKG11" s="1429" t="s">
        <v>134</v>
      </c>
      <c r="VKH11" s="1429" t="s">
        <v>134</v>
      </c>
      <c r="VKI11" s="1429" t="s">
        <v>134</v>
      </c>
      <c r="VKJ11" s="1429" t="s">
        <v>134</v>
      </c>
      <c r="VKK11" s="1429" t="s">
        <v>134</v>
      </c>
      <c r="VKL11" s="1429" t="s">
        <v>134</v>
      </c>
      <c r="VKM11" s="1429" t="s">
        <v>134</v>
      </c>
      <c r="VKN11" s="1429" t="s">
        <v>134</v>
      </c>
      <c r="VKO11" s="1429" t="s">
        <v>134</v>
      </c>
      <c r="VKP11" s="1429" t="s">
        <v>134</v>
      </c>
      <c r="VKQ11" s="1429" t="s">
        <v>134</v>
      </c>
      <c r="VKR11" s="1429" t="s">
        <v>134</v>
      </c>
      <c r="VKS11" s="1429" t="s">
        <v>134</v>
      </c>
      <c r="VKT11" s="1429" t="s">
        <v>134</v>
      </c>
      <c r="VKU11" s="1429" t="s">
        <v>134</v>
      </c>
      <c r="VKV11" s="1429" t="s">
        <v>134</v>
      </c>
      <c r="VKW11" s="1429" t="s">
        <v>134</v>
      </c>
      <c r="VKX11" s="1429" t="s">
        <v>134</v>
      </c>
      <c r="VKY11" s="1429" t="s">
        <v>134</v>
      </c>
      <c r="VKZ11" s="1429" t="s">
        <v>134</v>
      </c>
      <c r="VLA11" s="1429" t="s">
        <v>134</v>
      </c>
      <c r="VLB11" s="1429" t="s">
        <v>134</v>
      </c>
      <c r="VLC11" s="1429" t="s">
        <v>134</v>
      </c>
      <c r="VLD11" s="1429" t="s">
        <v>134</v>
      </c>
      <c r="VLE11" s="1429" t="s">
        <v>134</v>
      </c>
      <c r="VLF11" s="1429" t="s">
        <v>134</v>
      </c>
      <c r="VLG11" s="1429" t="s">
        <v>134</v>
      </c>
      <c r="VLH11" s="1429" t="s">
        <v>134</v>
      </c>
      <c r="VLI11" s="1429" t="s">
        <v>134</v>
      </c>
      <c r="VLJ11" s="1429" t="s">
        <v>134</v>
      </c>
      <c r="VLK11" s="1429" t="s">
        <v>134</v>
      </c>
      <c r="VLL11" s="1429" t="s">
        <v>134</v>
      </c>
      <c r="VLM11" s="1429" t="s">
        <v>134</v>
      </c>
      <c r="VLN11" s="1429" t="s">
        <v>134</v>
      </c>
      <c r="VLO11" s="1429" t="s">
        <v>134</v>
      </c>
      <c r="VLP11" s="1429" t="s">
        <v>134</v>
      </c>
      <c r="VLQ11" s="1429" t="s">
        <v>134</v>
      </c>
      <c r="VLR11" s="1429" t="s">
        <v>134</v>
      </c>
      <c r="VLS11" s="1429" t="s">
        <v>134</v>
      </c>
      <c r="VLT11" s="1429" t="s">
        <v>134</v>
      </c>
      <c r="VLU11" s="1429" t="s">
        <v>134</v>
      </c>
      <c r="VLV11" s="1429" t="s">
        <v>134</v>
      </c>
      <c r="VLW11" s="1429" t="s">
        <v>134</v>
      </c>
      <c r="VLX11" s="1429" t="s">
        <v>134</v>
      </c>
      <c r="VLY11" s="1429" t="s">
        <v>134</v>
      </c>
      <c r="VLZ11" s="1429" t="s">
        <v>134</v>
      </c>
      <c r="VMA11" s="1429" t="s">
        <v>134</v>
      </c>
      <c r="VMB11" s="1429" t="s">
        <v>134</v>
      </c>
      <c r="VMC11" s="1429" t="s">
        <v>134</v>
      </c>
      <c r="VMD11" s="1429" t="s">
        <v>134</v>
      </c>
      <c r="VME11" s="1429" t="s">
        <v>134</v>
      </c>
      <c r="VMF11" s="1429" t="s">
        <v>134</v>
      </c>
      <c r="VMG11" s="1429" t="s">
        <v>134</v>
      </c>
      <c r="VMH11" s="1429" t="s">
        <v>134</v>
      </c>
      <c r="VMI11" s="1429" t="s">
        <v>134</v>
      </c>
      <c r="VMJ11" s="1429" t="s">
        <v>134</v>
      </c>
      <c r="VMK11" s="1429" t="s">
        <v>134</v>
      </c>
      <c r="VML11" s="1429" t="s">
        <v>134</v>
      </c>
      <c r="VMM11" s="1429" t="s">
        <v>134</v>
      </c>
      <c r="VMN11" s="1429" t="s">
        <v>134</v>
      </c>
      <c r="VMO11" s="1429" t="s">
        <v>134</v>
      </c>
      <c r="VMP11" s="1429" t="s">
        <v>134</v>
      </c>
      <c r="VMQ11" s="1429" t="s">
        <v>134</v>
      </c>
      <c r="VMR11" s="1429" t="s">
        <v>134</v>
      </c>
      <c r="VMS11" s="1429" t="s">
        <v>134</v>
      </c>
      <c r="VMT11" s="1429" t="s">
        <v>134</v>
      </c>
      <c r="VMU11" s="1429" t="s">
        <v>134</v>
      </c>
      <c r="VMV11" s="1429" t="s">
        <v>134</v>
      </c>
      <c r="VMW11" s="1429" t="s">
        <v>134</v>
      </c>
      <c r="VMX11" s="1429" t="s">
        <v>134</v>
      </c>
      <c r="VMY11" s="1429" t="s">
        <v>134</v>
      </c>
      <c r="VMZ11" s="1429" t="s">
        <v>134</v>
      </c>
      <c r="VNA11" s="1429" t="s">
        <v>134</v>
      </c>
      <c r="VNB11" s="1429" t="s">
        <v>134</v>
      </c>
      <c r="VNC11" s="1429" t="s">
        <v>134</v>
      </c>
      <c r="VND11" s="1429" t="s">
        <v>134</v>
      </c>
      <c r="VNE11" s="1429" t="s">
        <v>134</v>
      </c>
      <c r="VNF11" s="1429" t="s">
        <v>134</v>
      </c>
      <c r="VNG11" s="1429" t="s">
        <v>134</v>
      </c>
      <c r="VNH11" s="1429" t="s">
        <v>134</v>
      </c>
      <c r="VNI11" s="1429" t="s">
        <v>134</v>
      </c>
      <c r="VNJ11" s="1429" t="s">
        <v>134</v>
      </c>
      <c r="VNK11" s="1429" t="s">
        <v>134</v>
      </c>
      <c r="VNL11" s="1429" t="s">
        <v>134</v>
      </c>
      <c r="VNM11" s="1429" t="s">
        <v>134</v>
      </c>
      <c r="VNN11" s="1429" t="s">
        <v>134</v>
      </c>
      <c r="VNO11" s="1429" t="s">
        <v>134</v>
      </c>
      <c r="VNP11" s="1429" t="s">
        <v>134</v>
      </c>
      <c r="VNQ11" s="1429" t="s">
        <v>134</v>
      </c>
      <c r="VNR11" s="1429" t="s">
        <v>134</v>
      </c>
      <c r="VNS11" s="1429" t="s">
        <v>134</v>
      </c>
      <c r="VNT11" s="1429" t="s">
        <v>134</v>
      </c>
      <c r="VNU11" s="1429" t="s">
        <v>134</v>
      </c>
      <c r="VNV11" s="1429" t="s">
        <v>134</v>
      </c>
      <c r="VNW11" s="1429" t="s">
        <v>134</v>
      </c>
      <c r="VNX11" s="1429" t="s">
        <v>134</v>
      </c>
      <c r="VNY11" s="1429" t="s">
        <v>134</v>
      </c>
      <c r="VNZ11" s="1429" t="s">
        <v>134</v>
      </c>
      <c r="VOA11" s="1429" t="s">
        <v>134</v>
      </c>
      <c r="VOB11" s="1429" t="s">
        <v>134</v>
      </c>
      <c r="VOC11" s="1429" t="s">
        <v>134</v>
      </c>
      <c r="VOD11" s="1429" t="s">
        <v>134</v>
      </c>
      <c r="VOE11" s="1429" t="s">
        <v>134</v>
      </c>
      <c r="VOF11" s="1429" t="s">
        <v>134</v>
      </c>
      <c r="VOG11" s="1429" t="s">
        <v>134</v>
      </c>
      <c r="VOH11" s="1429" t="s">
        <v>134</v>
      </c>
      <c r="VOI11" s="1429" t="s">
        <v>134</v>
      </c>
      <c r="VOJ11" s="1429" t="s">
        <v>134</v>
      </c>
      <c r="VOK11" s="1429" t="s">
        <v>134</v>
      </c>
      <c r="VOL11" s="1429" t="s">
        <v>134</v>
      </c>
      <c r="VOM11" s="1429" t="s">
        <v>134</v>
      </c>
      <c r="VON11" s="1429" t="s">
        <v>134</v>
      </c>
      <c r="VOO11" s="1429" t="s">
        <v>134</v>
      </c>
      <c r="VOP11" s="1429" t="s">
        <v>134</v>
      </c>
      <c r="VOQ11" s="1429" t="s">
        <v>134</v>
      </c>
      <c r="VOR11" s="1429" t="s">
        <v>134</v>
      </c>
      <c r="VOS11" s="1429" t="s">
        <v>134</v>
      </c>
      <c r="VOT11" s="1429" t="s">
        <v>134</v>
      </c>
      <c r="VOU11" s="1429" t="s">
        <v>134</v>
      </c>
      <c r="VOV11" s="1429" t="s">
        <v>134</v>
      </c>
      <c r="VOW11" s="1429" t="s">
        <v>134</v>
      </c>
      <c r="VOX11" s="1429" t="s">
        <v>134</v>
      </c>
      <c r="VOY11" s="1429" t="s">
        <v>134</v>
      </c>
      <c r="VOZ11" s="1429" t="s">
        <v>134</v>
      </c>
      <c r="VPA11" s="1429" t="s">
        <v>134</v>
      </c>
      <c r="VPB11" s="1429" t="s">
        <v>134</v>
      </c>
      <c r="VPC11" s="1429" t="s">
        <v>134</v>
      </c>
      <c r="VPD11" s="1429" t="s">
        <v>134</v>
      </c>
      <c r="VPE11" s="1429" t="s">
        <v>134</v>
      </c>
      <c r="VPF11" s="1429" t="s">
        <v>134</v>
      </c>
      <c r="VPG11" s="1429" t="s">
        <v>134</v>
      </c>
      <c r="VPH11" s="1429" t="s">
        <v>134</v>
      </c>
      <c r="VPI11" s="1429" t="s">
        <v>134</v>
      </c>
      <c r="VPJ11" s="1429" t="s">
        <v>134</v>
      </c>
      <c r="VPK11" s="1429" t="s">
        <v>134</v>
      </c>
      <c r="VPL11" s="1429" t="s">
        <v>134</v>
      </c>
      <c r="VPM11" s="1429" t="s">
        <v>134</v>
      </c>
      <c r="VPN11" s="1429" t="s">
        <v>134</v>
      </c>
      <c r="VPO11" s="1429" t="s">
        <v>134</v>
      </c>
      <c r="VPP11" s="1429" t="s">
        <v>134</v>
      </c>
      <c r="VPQ11" s="1429" t="s">
        <v>134</v>
      </c>
      <c r="VPR11" s="1429" t="s">
        <v>134</v>
      </c>
      <c r="VPS11" s="1429" t="s">
        <v>134</v>
      </c>
      <c r="VPT11" s="1429" t="s">
        <v>134</v>
      </c>
      <c r="VPU11" s="1429" t="s">
        <v>134</v>
      </c>
      <c r="VPV11" s="1429" t="s">
        <v>134</v>
      </c>
      <c r="VPW11" s="1429" t="s">
        <v>134</v>
      </c>
      <c r="VPX11" s="1429" t="s">
        <v>134</v>
      </c>
      <c r="VPY11" s="1429" t="s">
        <v>134</v>
      </c>
      <c r="VPZ11" s="1429" t="s">
        <v>134</v>
      </c>
      <c r="VQA11" s="1429" t="s">
        <v>134</v>
      </c>
      <c r="VQB11" s="1429" t="s">
        <v>134</v>
      </c>
      <c r="VQC11" s="1429" t="s">
        <v>134</v>
      </c>
      <c r="VQD11" s="1429" t="s">
        <v>134</v>
      </c>
      <c r="VQE11" s="1429" t="s">
        <v>134</v>
      </c>
      <c r="VQF11" s="1429" t="s">
        <v>134</v>
      </c>
      <c r="VQG11" s="1429" t="s">
        <v>134</v>
      </c>
      <c r="VQH11" s="1429" t="s">
        <v>134</v>
      </c>
      <c r="VQI11" s="1429" t="s">
        <v>134</v>
      </c>
      <c r="VQJ11" s="1429" t="s">
        <v>134</v>
      </c>
      <c r="VQK11" s="1429" t="s">
        <v>134</v>
      </c>
      <c r="VQL11" s="1429" t="s">
        <v>134</v>
      </c>
      <c r="VQM11" s="1429" t="s">
        <v>134</v>
      </c>
      <c r="VQN11" s="1429" t="s">
        <v>134</v>
      </c>
      <c r="VQO11" s="1429" t="s">
        <v>134</v>
      </c>
      <c r="VQP11" s="1429" t="s">
        <v>134</v>
      </c>
      <c r="VQQ11" s="1429" t="s">
        <v>134</v>
      </c>
      <c r="VQR11" s="1429" t="s">
        <v>134</v>
      </c>
      <c r="VQS11" s="1429" t="s">
        <v>134</v>
      </c>
      <c r="VQT11" s="1429" t="s">
        <v>134</v>
      </c>
      <c r="VQU11" s="1429" t="s">
        <v>134</v>
      </c>
      <c r="VQV11" s="1429" t="s">
        <v>134</v>
      </c>
      <c r="VQW11" s="1429" t="s">
        <v>134</v>
      </c>
      <c r="VQX11" s="1429" t="s">
        <v>134</v>
      </c>
      <c r="VQY11" s="1429" t="s">
        <v>134</v>
      </c>
      <c r="VQZ11" s="1429" t="s">
        <v>134</v>
      </c>
      <c r="VRA11" s="1429" t="s">
        <v>134</v>
      </c>
      <c r="VRB11" s="1429" t="s">
        <v>134</v>
      </c>
      <c r="VRC11" s="1429" t="s">
        <v>134</v>
      </c>
      <c r="VRD11" s="1429" t="s">
        <v>134</v>
      </c>
      <c r="VRE11" s="1429" t="s">
        <v>134</v>
      </c>
      <c r="VRF11" s="1429" t="s">
        <v>134</v>
      </c>
      <c r="VRG11" s="1429" t="s">
        <v>134</v>
      </c>
      <c r="VRH11" s="1429" t="s">
        <v>134</v>
      </c>
      <c r="VRI11" s="1429" t="s">
        <v>134</v>
      </c>
      <c r="VRJ11" s="1429" t="s">
        <v>134</v>
      </c>
      <c r="VRK11" s="1429" t="s">
        <v>134</v>
      </c>
      <c r="VRL11" s="1429" t="s">
        <v>134</v>
      </c>
      <c r="VRM11" s="1429" t="s">
        <v>134</v>
      </c>
      <c r="VRN11" s="1429" t="s">
        <v>134</v>
      </c>
      <c r="VRO11" s="1429" t="s">
        <v>134</v>
      </c>
      <c r="VRP11" s="1429" t="s">
        <v>134</v>
      </c>
      <c r="VRQ11" s="1429" t="s">
        <v>134</v>
      </c>
      <c r="VRR11" s="1429" t="s">
        <v>134</v>
      </c>
      <c r="VRS11" s="1429" t="s">
        <v>134</v>
      </c>
      <c r="VRT11" s="1429" t="s">
        <v>134</v>
      </c>
      <c r="VRU11" s="1429" t="s">
        <v>134</v>
      </c>
      <c r="VRV11" s="1429" t="s">
        <v>134</v>
      </c>
      <c r="VRW11" s="1429" t="s">
        <v>134</v>
      </c>
      <c r="VRX11" s="1429" t="s">
        <v>134</v>
      </c>
      <c r="VRY11" s="1429" t="s">
        <v>134</v>
      </c>
      <c r="VRZ11" s="1429" t="s">
        <v>134</v>
      </c>
      <c r="VSA11" s="1429" t="s">
        <v>134</v>
      </c>
      <c r="VSB11" s="1429" t="s">
        <v>134</v>
      </c>
      <c r="VSC11" s="1429" t="s">
        <v>134</v>
      </c>
      <c r="VSD11" s="1429" t="s">
        <v>134</v>
      </c>
      <c r="VSE11" s="1429" t="s">
        <v>134</v>
      </c>
      <c r="VSF11" s="1429" t="s">
        <v>134</v>
      </c>
      <c r="VSG11" s="1429" t="s">
        <v>134</v>
      </c>
      <c r="VSH11" s="1429" t="s">
        <v>134</v>
      </c>
      <c r="VSI11" s="1429" t="s">
        <v>134</v>
      </c>
      <c r="VSJ11" s="1429" t="s">
        <v>134</v>
      </c>
      <c r="VSK11" s="1429" t="s">
        <v>134</v>
      </c>
      <c r="VSL11" s="1429" t="s">
        <v>134</v>
      </c>
      <c r="VSM11" s="1429" t="s">
        <v>134</v>
      </c>
      <c r="VSN11" s="1429" t="s">
        <v>134</v>
      </c>
      <c r="VSO11" s="1429" t="s">
        <v>134</v>
      </c>
      <c r="VSP11" s="1429" t="s">
        <v>134</v>
      </c>
      <c r="VSQ11" s="1429" t="s">
        <v>134</v>
      </c>
      <c r="VSR11" s="1429" t="s">
        <v>134</v>
      </c>
      <c r="VSS11" s="1429" t="s">
        <v>134</v>
      </c>
      <c r="VST11" s="1429" t="s">
        <v>134</v>
      </c>
      <c r="VSU11" s="1429" t="s">
        <v>134</v>
      </c>
      <c r="VSV11" s="1429" t="s">
        <v>134</v>
      </c>
      <c r="VSW11" s="1429" t="s">
        <v>134</v>
      </c>
      <c r="VSX11" s="1429" t="s">
        <v>134</v>
      </c>
      <c r="VSY11" s="1429" t="s">
        <v>134</v>
      </c>
      <c r="VSZ11" s="1429" t="s">
        <v>134</v>
      </c>
      <c r="VTA11" s="1429" t="s">
        <v>134</v>
      </c>
      <c r="VTB11" s="1429" t="s">
        <v>134</v>
      </c>
      <c r="VTC11" s="1429" t="s">
        <v>134</v>
      </c>
      <c r="VTD11" s="1429" t="s">
        <v>134</v>
      </c>
      <c r="VTE11" s="1429" t="s">
        <v>134</v>
      </c>
      <c r="VTF11" s="1429" t="s">
        <v>134</v>
      </c>
      <c r="VTG11" s="1429" t="s">
        <v>134</v>
      </c>
      <c r="VTH11" s="1429" t="s">
        <v>134</v>
      </c>
      <c r="VTI11" s="1429" t="s">
        <v>134</v>
      </c>
      <c r="VTJ11" s="1429" t="s">
        <v>134</v>
      </c>
      <c r="VTK11" s="1429" t="s">
        <v>134</v>
      </c>
      <c r="VTL11" s="1429" t="s">
        <v>134</v>
      </c>
      <c r="VTM11" s="1429" t="s">
        <v>134</v>
      </c>
      <c r="VTN11" s="1429" t="s">
        <v>134</v>
      </c>
      <c r="VTO11" s="1429" t="s">
        <v>134</v>
      </c>
      <c r="VTP11" s="1429" t="s">
        <v>134</v>
      </c>
      <c r="VTQ11" s="1429" t="s">
        <v>134</v>
      </c>
      <c r="VTR11" s="1429" t="s">
        <v>134</v>
      </c>
      <c r="VTS11" s="1429" t="s">
        <v>134</v>
      </c>
      <c r="VTT11" s="1429" t="s">
        <v>134</v>
      </c>
      <c r="VTU11" s="1429" t="s">
        <v>134</v>
      </c>
      <c r="VTV11" s="1429" t="s">
        <v>134</v>
      </c>
      <c r="VTW11" s="1429" t="s">
        <v>134</v>
      </c>
      <c r="VTX11" s="1429" t="s">
        <v>134</v>
      </c>
      <c r="VTY11" s="1429" t="s">
        <v>134</v>
      </c>
      <c r="VTZ11" s="1429" t="s">
        <v>134</v>
      </c>
      <c r="VUA11" s="1429" t="s">
        <v>134</v>
      </c>
      <c r="VUB11" s="1429" t="s">
        <v>134</v>
      </c>
      <c r="VUC11" s="1429" t="s">
        <v>134</v>
      </c>
      <c r="VUD11" s="1429" t="s">
        <v>134</v>
      </c>
      <c r="VUE11" s="1429" t="s">
        <v>134</v>
      </c>
      <c r="VUF11" s="1429" t="s">
        <v>134</v>
      </c>
      <c r="VUG11" s="1429" t="s">
        <v>134</v>
      </c>
      <c r="VUH11" s="1429" t="s">
        <v>134</v>
      </c>
      <c r="VUI11" s="1429" t="s">
        <v>134</v>
      </c>
      <c r="VUJ11" s="1429" t="s">
        <v>134</v>
      </c>
      <c r="VUK11" s="1429" t="s">
        <v>134</v>
      </c>
      <c r="VUL11" s="1429" t="s">
        <v>134</v>
      </c>
      <c r="VUM11" s="1429" t="s">
        <v>134</v>
      </c>
      <c r="VUN11" s="1429" t="s">
        <v>134</v>
      </c>
      <c r="VUO11" s="1429" t="s">
        <v>134</v>
      </c>
      <c r="VUP11" s="1429" t="s">
        <v>134</v>
      </c>
      <c r="VUQ11" s="1429" t="s">
        <v>134</v>
      </c>
      <c r="VUR11" s="1429" t="s">
        <v>134</v>
      </c>
      <c r="VUS11" s="1429" t="s">
        <v>134</v>
      </c>
      <c r="VUT11" s="1429" t="s">
        <v>134</v>
      </c>
      <c r="VUU11" s="1429" t="s">
        <v>134</v>
      </c>
      <c r="VUV11" s="1429" t="s">
        <v>134</v>
      </c>
      <c r="VUW11" s="1429" t="s">
        <v>134</v>
      </c>
      <c r="VUX11" s="1429" t="s">
        <v>134</v>
      </c>
      <c r="VUY11" s="1429" t="s">
        <v>134</v>
      </c>
      <c r="VUZ11" s="1429" t="s">
        <v>134</v>
      </c>
      <c r="VVA11" s="1429" t="s">
        <v>134</v>
      </c>
      <c r="VVB11" s="1429" t="s">
        <v>134</v>
      </c>
      <c r="VVC11" s="1429" t="s">
        <v>134</v>
      </c>
      <c r="VVD11" s="1429" t="s">
        <v>134</v>
      </c>
      <c r="VVE11" s="1429" t="s">
        <v>134</v>
      </c>
      <c r="VVF11" s="1429" t="s">
        <v>134</v>
      </c>
      <c r="VVG11" s="1429" t="s">
        <v>134</v>
      </c>
      <c r="VVH11" s="1429" t="s">
        <v>134</v>
      </c>
      <c r="VVI11" s="1429" t="s">
        <v>134</v>
      </c>
      <c r="VVJ11" s="1429" t="s">
        <v>134</v>
      </c>
      <c r="VVK11" s="1429" t="s">
        <v>134</v>
      </c>
      <c r="VVL11" s="1429" t="s">
        <v>134</v>
      </c>
      <c r="VVM11" s="1429" t="s">
        <v>134</v>
      </c>
      <c r="VVN11" s="1429" t="s">
        <v>134</v>
      </c>
      <c r="VVO11" s="1429" t="s">
        <v>134</v>
      </c>
      <c r="VVP11" s="1429" t="s">
        <v>134</v>
      </c>
      <c r="VVQ11" s="1429" t="s">
        <v>134</v>
      </c>
      <c r="VVR11" s="1429" t="s">
        <v>134</v>
      </c>
      <c r="VVS11" s="1429" t="s">
        <v>134</v>
      </c>
      <c r="VVT11" s="1429" t="s">
        <v>134</v>
      </c>
      <c r="VVU11" s="1429" t="s">
        <v>134</v>
      </c>
      <c r="VVV11" s="1429" t="s">
        <v>134</v>
      </c>
      <c r="VVW11" s="1429" t="s">
        <v>134</v>
      </c>
      <c r="VVX11" s="1429" t="s">
        <v>134</v>
      </c>
      <c r="VVY11" s="1429" t="s">
        <v>134</v>
      </c>
      <c r="VVZ11" s="1429" t="s">
        <v>134</v>
      </c>
      <c r="VWA11" s="1429" t="s">
        <v>134</v>
      </c>
      <c r="VWB11" s="1429" t="s">
        <v>134</v>
      </c>
      <c r="VWC11" s="1429" t="s">
        <v>134</v>
      </c>
      <c r="VWD11" s="1429" t="s">
        <v>134</v>
      </c>
      <c r="VWE11" s="1429" t="s">
        <v>134</v>
      </c>
      <c r="VWF11" s="1429" t="s">
        <v>134</v>
      </c>
      <c r="VWG11" s="1429" t="s">
        <v>134</v>
      </c>
      <c r="VWH11" s="1429" t="s">
        <v>134</v>
      </c>
      <c r="VWI11" s="1429" t="s">
        <v>134</v>
      </c>
      <c r="VWJ11" s="1429" t="s">
        <v>134</v>
      </c>
      <c r="VWK11" s="1429" t="s">
        <v>134</v>
      </c>
      <c r="VWL11" s="1429" t="s">
        <v>134</v>
      </c>
      <c r="VWM11" s="1429" t="s">
        <v>134</v>
      </c>
      <c r="VWN11" s="1429" t="s">
        <v>134</v>
      </c>
      <c r="VWO11" s="1429" t="s">
        <v>134</v>
      </c>
      <c r="VWP11" s="1429" t="s">
        <v>134</v>
      </c>
      <c r="VWQ11" s="1429" t="s">
        <v>134</v>
      </c>
      <c r="VWR11" s="1429" t="s">
        <v>134</v>
      </c>
      <c r="VWS11" s="1429" t="s">
        <v>134</v>
      </c>
      <c r="VWT11" s="1429" t="s">
        <v>134</v>
      </c>
      <c r="VWU11" s="1429" t="s">
        <v>134</v>
      </c>
      <c r="VWV11" s="1429" t="s">
        <v>134</v>
      </c>
      <c r="VWW11" s="1429" t="s">
        <v>134</v>
      </c>
      <c r="VWX11" s="1429" t="s">
        <v>134</v>
      </c>
      <c r="VWY11" s="1429" t="s">
        <v>134</v>
      </c>
      <c r="VWZ11" s="1429" t="s">
        <v>134</v>
      </c>
      <c r="VXA11" s="1429" t="s">
        <v>134</v>
      </c>
      <c r="VXB11" s="1429" t="s">
        <v>134</v>
      </c>
      <c r="VXC11" s="1429" t="s">
        <v>134</v>
      </c>
      <c r="VXD11" s="1429" t="s">
        <v>134</v>
      </c>
      <c r="VXE11" s="1429" t="s">
        <v>134</v>
      </c>
      <c r="VXF11" s="1429" t="s">
        <v>134</v>
      </c>
      <c r="VXG11" s="1429" t="s">
        <v>134</v>
      </c>
      <c r="VXH11" s="1429" t="s">
        <v>134</v>
      </c>
      <c r="VXI11" s="1429" t="s">
        <v>134</v>
      </c>
      <c r="VXJ11" s="1429" t="s">
        <v>134</v>
      </c>
      <c r="VXK11" s="1429" t="s">
        <v>134</v>
      </c>
      <c r="VXL11" s="1429" t="s">
        <v>134</v>
      </c>
      <c r="VXM11" s="1429" t="s">
        <v>134</v>
      </c>
      <c r="VXN11" s="1429" t="s">
        <v>134</v>
      </c>
      <c r="VXO11" s="1429" t="s">
        <v>134</v>
      </c>
      <c r="VXP11" s="1429" t="s">
        <v>134</v>
      </c>
      <c r="VXQ11" s="1429" t="s">
        <v>134</v>
      </c>
      <c r="VXR11" s="1429" t="s">
        <v>134</v>
      </c>
      <c r="VXS11" s="1429" t="s">
        <v>134</v>
      </c>
      <c r="VXT11" s="1429" t="s">
        <v>134</v>
      </c>
      <c r="VXU11" s="1429" t="s">
        <v>134</v>
      </c>
      <c r="VXV11" s="1429" t="s">
        <v>134</v>
      </c>
      <c r="VXW11" s="1429" t="s">
        <v>134</v>
      </c>
      <c r="VXX11" s="1429" t="s">
        <v>134</v>
      </c>
      <c r="VXY11" s="1429" t="s">
        <v>134</v>
      </c>
      <c r="VXZ11" s="1429" t="s">
        <v>134</v>
      </c>
      <c r="VYA11" s="1429" t="s">
        <v>134</v>
      </c>
      <c r="VYB11" s="1429" t="s">
        <v>134</v>
      </c>
      <c r="VYC11" s="1429" t="s">
        <v>134</v>
      </c>
      <c r="VYD11" s="1429" t="s">
        <v>134</v>
      </c>
      <c r="VYE11" s="1429" t="s">
        <v>134</v>
      </c>
      <c r="VYF11" s="1429" t="s">
        <v>134</v>
      </c>
      <c r="VYG11" s="1429" t="s">
        <v>134</v>
      </c>
      <c r="VYH11" s="1429" t="s">
        <v>134</v>
      </c>
      <c r="VYI11" s="1429" t="s">
        <v>134</v>
      </c>
      <c r="VYJ11" s="1429" t="s">
        <v>134</v>
      </c>
      <c r="VYK11" s="1429" t="s">
        <v>134</v>
      </c>
      <c r="VYL11" s="1429" t="s">
        <v>134</v>
      </c>
      <c r="VYM11" s="1429" t="s">
        <v>134</v>
      </c>
      <c r="VYN11" s="1429" t="s">
        <v>134</v>
      </c>
      <c r="VYO11" s="1429" t="s">
        <v>134</v>
      </c>
      <c r="VYP11" s="1429" t="s">
        <v>134</v>
      </c>
      <c r="VYQ11" s="1429" t="s">
        <v>134</v>
      </c>
      <c r="VYR11" s="1429" t="s">
        <v>134</v>
      </c>
      <c r="VYS11" s="1429" t="s">
        <v>134</v>
      </c>
      <c r="VYT11" s="1429" t="s">
        <v>134</v>
      </c>
      <c r="VYU11" s="1429" t="s">
        <v>134</v>
      </c>
      <c r="VYV11" s="1429" t="s">
        <v>134</v>
      </c>
      <c r="VYW11" s="1429" t="s">
        <v>134</v>
      </c>
      <c r="VYX11" s="1429" t="s">
        <v>134</v>
      </c>
      <c r="VYY11" s="1429" t="s">
        <v>134</v>
      </c>
      <c r="VYZ11" s="1429" t="s">
        <v>134</v>
      </c>
      <c r="VZA11" s="1429" t="s">
        <v>134</v>
      </c>
      <c r="VZB11" s="1429" t="s">
        <v>134</v>
      </c>
      <c r="VZC11" s="1429" t="s">
        <v>134</v>
      </c>
      <c r="VZD11" s="1429" t="s">
        <v>134</v>
      </c>
      <c r="VZE11" s="1429" t="s">
        <v>134</v>
      </c>
      <c r="VZF11" s="1429" t="s">
        <v>134</v>
      </c>
      <c r="VZG11" s="1429" t="s">
        <v>134</v>
      </c>
      <c r="VZH11" s="1429" t="s">
        <v>134</v>
      </c>
      <c r="VZI11" s="1429" t="s">
        <v>134</v>
      </c>
      <c r="VZJ11" s="1429" t="s">
        <v>134</v>
      </c>
      <c r="VZK11" s="1429" t="s">
        <v>134</v>
      </c>
      <c r="VZL11" s="1429" t="s">
        <v>134</v>
      </c>
      <c r="VZM11" s="1429" t="s">
        <v>134</v>
      </c>
      <c r="VZN11" s="1429" t="s">
        <v>134</v>
      </c>
      <c r="VZO11" s="1429" t="s">
        <v>134</v>
      </c>
      <c r="VZP11" s="1429" t="s">
        <v>134</v>
      </c>
      <c r="VZQ11" s="1429" t="s">
        <v>134</v>
      </c>
      <c r="VZR11" s="1429" t="s">
        <v>134</v>
      </c>
      <c r="VZS11" s="1429" t="s">
        <v>134</v>
      </c>
      <c r="VZT11" s="1429" t="s">
        <v>134</v>
      </c>
      <c r="VZU11" s="1429" t="s">
        <v>134</v>
      </c>
      <c r="VZV11" s="1429" t="s">
        <v>134</v>
      </c>
      <c r="VZW11" s="1429" t="s">
        <v>134</v>
      </c>
      <c r="VZX11" s="1429" t="s">
        <v>134</v>
      </c>
      <c r="VZY11" s="1429" t="s">
        <v>134</v>
      </c>
      <c r="VZZ11" s="1429" t="s">
        <v>134</v>
      </c>
      <c r="WAA11" s="1429" t="s">
        <v>134</v>
      </c>
      <c r="WAB11" s="1429" t="s">
        <v>134</v>
      </c>
      <c r="WAC11" s="1429" t="s">
        <v>134</v>
      </c>
      <c r="WAD11" s="1429" t="s">
        <v>134</v>
      </c>
      <c r="WAE11" s="1429" t="s">
        <v>134</v>
      </c>
      <c r="WAF11" s="1429" t="s">
        <v>134</v>
      </c>
      <c r="WAG11" s="1429" t="s">
        <v>134</v>
      </c>
      <c r="WAH11" s="1429" t="s">
        <v>134</v>
      </c>
      <c r="WAI11" s="1429" t="s">
        <v>134</v>
      </c>
      <c r="WAJ11" s="1429" t="s">
        <v>134</v>
      </c>
      <c r="WAK11" s="1429" t="s">
        <v>134</v>
      </c>
      <c r="WAL11" s="1429" t="s">
        <v>134</v>
      </c>
      <c r="WAM11" s="1429" t="s">
        <v>134</v>
      </c>
      <c r="WAN11" s="1429" t="s">
        <v>134</v>
      </c>
      <c r="WAO11" s="1429" t="s">
        <v>134</v>
      </c>
      <c r="WAP11" s="1429" t="s">
        <v>134</v>
      </c>
      <c r="WAQ11" s="1429" t="s">
        <v>134</v>
      </c>
      <c r="WAR11" s="1429" t="s">
        <v>134</v>
      </c>
      <c r="WAS11" s="1429" t="s">
        <v>134</v>
      </c>
      <c r="WAT11" s="1429" t="s">
        <v>134</v>
      </c>
      <c r="WAU11" s="1429" t="s">
        <v>134</v>
      </c>
      <c r="WAV11" s="1429" t="s">
        <v>134</v>
      </c>
      <c r="WAW11" s="1429" t="s">
        <v>134</v>
      </c>
      <c r="WAX11" s="1429" t="s">
        <v>134</v>
      </c>
      <c r="WAY11" s="1429" t="s">
        <v>134</v>
      </c>
      <c r="WAZ11" s="1429" t="s">
        <v>134</v>
      </c>
      <c r="WBA11" s="1429" t="s">
        <v>134</v>
      </c>
      <c r="WBB11" s="1429" t="s">
        <v>134</v>
      </c>
      <c r="WBC11" s="1429" t="s">
        <v>134</v>
      </c>
      <c r="WBD11" s="1429" t="s">
        <v>134</v>
      </c>
      <c r="WBE11" s="1429" t="s">
        <v>134</v>
      </c>
      <c r="WBF11" s="1429" t="s">
        <v>134</v>
      </c>
      <c r="WBG11" s="1429" t="s">
        <v>134</v>
      </c>
      <c r="WBH11" s="1429" t="s">
        <v>134</v>
      </c>
      <c r="WBI11" s="1429" t="s">
        <v>134</v>
      </c>
      <c r="WBJ11" s="1429" t="s">
        <v>134</v>
      </c>
      <c r="WBK11" s="1429" t="s">
        <v>134</v>
      </c>
      <c r="WBL11" s="1429" t="s">
        <v>134</v>
      </c>
      <c r="WBM11" s="1429" t="s">
        <v>134</v>
      </c>
      <c r="WBN11" s="1429" t="s">
        <v>134</v>
      </c>
      <c r="WBO11" s="1429" t="s">
        <v>134</v>
      </c>
      <c r="WBP11" s="1429" t="s">
        <v>134</v>
      </c>
      <c r="WBQ11" s="1429" t="s">
        <v>134</v>
      </c>
      <c r="WBR11" s="1429" t="s">
        <v>134</v>
      </c>
      <c r="WBS11" s="1429" t="s">
        <v>134</v>
      </c>
      <c r="WBT11" s="1429" t="s">
        <v>134</v>
      </c>
      <c r="WBU11" s="1429" t="s">
        <v>134</v>
      </c>
      <c r="WBV11" s="1429" t="s">
        <v>134</v>
      </c>
      <c r="WBW11" s="1429" t="s">
        <v>134</v>
      </c>
      <c r="WBX11" s="1429" t="s">
        <v>134</v>
      </c>
      <c r="WBY11" s="1429" t="s">
        <v>134</v>
      </c>
      <c r="WBZ11" s="1429" t="s">
        <v>134</v>
      </c>
      <c r="WCA11" s="1429" t="s">
        <v>134</v>
      </c>
      <c r="WCB11" s="1429" t="s">
        <v>134</v>
      </c>
      <c r="WCC11" s="1429" t="s">
        <v>134</v>
      </c>
      <c r="WCD11" s="1429" t="s">
        <v>134</v>
      </c>
      <c r="WCE11" s="1429" t="s">
        <v>134</v>
      </c>
      <c r="WCF11" s="1429" t="s">
        <v>134</v>
      </c>
      <c r="WCG11" s="1429" t="s">
        <v>134</v>
      </c>
      <c r="WCH11" s="1429" t="s">
        <v>134</v>
      </c>
      <c r="WCI11" s="1429" t="s">
        <v>134</v>
      </c>
      <c r="WCJ11" s="1429" t="s">
        <v>134</v>
      </c>
      <c r="WCK11" s="1429" t="s">
        <v>134</v>
      </c>
      <c r="WCL11" s="1429" t="s">
        <v>134</v>
      </c>
      <c r="WCM11" s="1429" t="s">
        <v>134</v>
      </c>
      <c r="WCN11" s="1429" t="s">
        <v>134</v>
      </c>
      <c r="WCO11" s="1429" t="s">
        <v>134</v>
      </c>
      <c r="WCP11" s="1429" t="s">
        <v>134</v>
      </c>
      <c r="WCQ11" s="1429" t="s">
        <v>134</v>
      </c>
      <c r="WCR11" s="1429" t="s">
        <v>134</v>
      </c>
      <c r="WCS11" s="1429" t="s">
        <v>134</v>
      </c>
      <c r="WCT11" s="1429" t="s">
        <v>134</v>
      </c>
      <c r="WCU11" s="1429" t="s">
        <v>134</v>
      </c>
      <c r="WCV11" s="1429" t="s">
        <v>134</v>
      </c>
      <c r="WCW11" s="1429" t="s">
        <v>134</v>
      </c>
      <c r="WCX11" s="1429" t="s">
        <v>134</v>
      </c>
      <c r="WCY11" s="1429" t="s">
        <v>134</v>
      </c>
      <c r="WCZ11" s="1429" t="s">
        <v>134</v>
      </c>
      <c r="WDA11" s="1429" t="s">
        <v>134</v>
      </c>
      <c r="WDB11" s="1429" t="s">
        <v>134</v>
      </c>
      <c r="WDC11" s="1429" t="s">
        <v>134</v>
      </c>
      <c r="WDD11" s="1429" t="s">
        <v>134</v>
      </c>
      <c r="WDE11" s="1429" t="s">
        <v>134</v>
      </c>
      <c r="WDF11" s="1429" t="s">
        <v>134</v>
      </c>
      <c r="WDG11" s="1429" t="s">
        <v>134</v>
      </c>
      <c r="WDH11" s="1429" t="s">
        <v>134</v>
      </c>
      <c r="WDI11" s="1429" t="s">
        <v>134</v>
      </c>
      <c r="WDJ11" s="1429" t="s">
        <v>134</v>
      </c>
      <c r="WDK11" s="1429" t="s">
        <v>134</v>
      </c>
      <c r="WDL11" s="1429" t="s">
        <v>134</v>
      </c>
      <c r="WDM11" s="1429" t="s">
        <v>134</v>
      </c>
      <c r="WDN11" s="1429" t="s">
        <v>134</v>
      </c>
      <c r="WDO11" s="1429" t="s">
        <v>134</v>
      </c>
      <c r="WDP11" s="1429" t="s">
        <v>134</v>
      </c>
      <c r="WDQ11" s="1429" t="s">
        <v>134</v>
      </c>
      <c r="WDR11" s="1429" t="s">
        <v>134</v>
      </c>
      <c r="WDS11" s="1429" t="s">
        <v>134</v>
      </c>
      <c r="WDT11" s="1429" t="s">
        <v>134</v>
      </c>
      <c r="WDU11" s="1429" t="s">
        <v>134</v>
      </c>
      <c r="WDV11" s="1429" t="s">
        <v>134</v>
      </c>
      <c r="WDW11" s="1429" t="s">
        <v>134</v>
      </c>
      <c r="WDX11" s="1429" t="s">
        <v>134</v>
      </c>
      <c r="WDY11" s="1429" t="s">
        <v>134</v>
      </c>
      <c r="WDZ11" s="1429" t="s">
        <v>134</v>
      </c>
      <c r="WEA11" s="1429" t="s">
        <v>134</v>
      </c>
      <c r="WEB11" s="1429" t="s">
        <v>134</v>
      </c>
      <c r="WEC11" s="1429" t="s">
        <v>134</v>
      </c>
      <c r="WED11" s="1429" t="s">
        <v>134</v>
      </c>
      <c r="WEE11" s="1429" t="s">
        <v>134</v>
      </c>
      <c r="WEF11" s="1429" t="s">
        <v>134</v>
      </c>
      <c r="WEG11" s="1429" t="s">
        <v>134</v>
      </c>
      <c r="WEH11" s="1429" t="s">
        <v>134</v>
      </c>
      <c r="WEI11" s="1429" t="s">
        <v>134</v>
      </c>
      <c r="WEJ11" s="1429" t="s">
        <v>134</v>
      </c>
      <c r="WEK11" s="1429" t="s">
        <v>134</v>
      </c>
      <c r="WEL11" s="1429" t="s">
        <v>134</v>
      </c>
      <c r="WEM11" s="1429" t="s">
        <v>134</v>
      </c>
      <c r="WEN11" s="1429" t="s">
        <v>134</v>
      </c>
      <c r="WEO11" s="1429" t="s">
        <v>134</v>
      </c>
      <c r="WEP11" s="1429" t="s">
        <v>134</v>
      </c>
      <c r="WEQ11" s="1429" t="s">
        <v>134</v>
      </c>
      <c r="WER11" s="1429" t="s">
        <v>134</v>
      </c>
      <c r="WES11" s="1429" t="s">
        <v>134</v>
      </c>
      <c r="WET11" s="1429" t="s">
        <v>134</v>
      </c>
      <c r="WEU11" s="1429" t="s">
        <v>134</v>
      </c>
      <c r="WEV11" s="1429" t="s">
        <v>134</v>
      </c>
      <c r="WEW11" s="1429" t="s">
        <v>134</v>
      </c>
      <c r="WEX11" s="1429" t="s">
        <v>134</v>
      </c>
      <c r="WEY11" s="1429" t="s">
        <v>134</v>
      </c>
      <c r="WEZ11" s="1429" t="s">
        <v>134</v>
      </c>
      <c r="WFA11" s="1429" t="s">
        <v>134</v>
      </c>
      <c r="WFB11" s="1429" t="s">
        <v>134</v>
      </c>
      <c r="WFC11" s="1429" t="s">
        <v>134</v>
      </c>
      <c r="WFD11" s="1429" t="s">
        <v>134</v>
      </c>
      <c r="WFE11" s="1429" t="s">
        <v>134</v>
      </c>
      <c r="WFF11" s="1429" t="s">
        <v>134</v>
      </c>
      <c r="WFG11" s="1429" t="s">
        <v>134</v>
      </c>
      <c r="WFH11" s="1429" t="s">
        <v>134</v>
      </c>
      <c r="WFI11" s="1429" t="s">
        <v>134</v>
      </c>
      <c r="WFJ11" s="1429" t="s">
        <v>134</v>
      </c>
      <c r="WFK11" s="1429" t="s">
        <v>134</v>
      </c>
      <c r="WFL11" s="1429" t="s">
        <v>134</v>
      </c>
      <c r="WFM11" s="1429" t="s">
        <v>134</v>
      </c>
      <c r="WFN11" s="1429" t="s">
        <v>134</v>
      </c>
      <c r="WFO11" s="1429" t="s">
        <v>134</v>
      </c>
      <c r="WFP11" s="1429" t="s">
        <v>134</v>
      </c>
      <c r="WFQ11" s="1429" t="s">
        <v>134</v>
      </c>
      <c r="WFR11" s="1429" t="s">
        <v>134</v>
      </c>
      <c r="WFS11" s="1429" t="s">
        <v>134</v>
      </c>
      <c r="WFT11" s="1429" t="s">
        <v>134</v>
      </c>
      <c r="WFU11" s="1429" t="s">
        <v>134</v>
      </c>
      <c r="WFV11" s="1429" t="s">
        <v>134</v>
      </c>
      <c r="WFW11" s="1429" t="s">
        <v>134</v>
      </c>
      <c r="WFX11" s="1429" t="s">
        <v>134</v>
      </c>
      <c r="WFY11" s="1429" t="s">
        <v>134</v>
      </c>
      <c r="WFZ11" s="1429" t="s">
        <v>134</v>
      </c>
      <c r="WGA11" s="1429" t="s">
        <v>134</v>
      </c>
      <c r="WGB11" s="1429" t="s">
        <v>134</v>
      </c>
      <c r="WGC11" s="1429" t="s">
        <v>134</v>
      </c>
      <c r="WGD11" s="1429" t="s">
        <v>134</v>
      </c>
      <c r="WGE11" s="1429" t="s">
        <v>134</v>
      </c>
      <c r="WGF11" s="1429" t="s">
        <v>134</v>
      </c>
      <c r="WGG11" s="1429" t="s">
        <v>134</v>
      </c>
      <c r="WGH11" s="1429" t="s">
        <v>134</v>
      </c>
      <c r="WGI11" s="1429" t="s">
        <v>134</v>
      </c>
      <c r="WGJ11" s="1429" t="s">
        <v>134</v>
      </c>
      <c r="WGK11" s="1429" t="s">
        <v>134</v>
      </c>
      <c r="WGL11" s="1429" t="s">
        <v>134</v>
      </c>
      <c r="WGM11" s="1429" t="s">
        <v>134</v>
      </c>
      <c r="WGN11" s="1429" t="s">
        <v>134</v>
      </c>
      <c r="WGO11" s="1429" t="s">
        <v>134</v>
      </c>
      <c r="WGP11" s="1429" t="s">
        <v>134</v>
      </c>
      <c r="WGQ11" s="1429" t="s">
        <v>134</v>
      </c>
      <c r="WGR11" s="1429" t="s">
        <v>134</v>
      </c>
      <c r="WGS11" s="1429" t="s">
        <v>134</v>
      </c>
      <c r="WGT11" s="1429" t="s">
        <v>134</v>
      </c>
      <c r="WGU11" s="1429" t="s">
        <v>134</v>
      </c>
      <c r="WGV11" s="1429" t="s">
        <v>134</v>
      </c>
      <c r="WGW11" s="1429" t="s">
        <v>134</v>
      </c>
      <c r="WGX11" s="1429" t="s">
        <v>134</v>
      </c>
      <c r="WGY11" s="1429" t="s">
        <v>134</v>
      </c>
      <c r="WGZ11" s="1429" t="s">
        <v>134</v>
      </c>
      <c r="WHA11" s="1429" t="s">
        <v>134</v>
      </c>
      <c r="WHB11" s="1429" t="s">
        <v>134</v>
      </c>
      <c r="WHC11" s="1429" t="s">
        <v>134</v>
      </c>
      <c r="WHD11" s="1429" t="s">
        <v>134</v>
      </c>
      <c r="WHE11" s="1429" t="s">
        <v>134</v>
      </c>
      <c r="WHF11" s="1429" t="s">
        <v>134</v>
      </c>
      <c r="WHG11" s="1429" t="s">
        <v>134</v>
      </c>
      <c r="WHH11" s="1429" t="s">
        <v>134</v>
      </c>
      <c r="WHI11" s="1429" t="s">
        <v>134</v>
      </c>
      <c r="WHJ11" s="1429" t="s">
        <v>134</v>
      </c>
      <c r="WHK11" s="1429" t="s">
        <v>134</v>
      </c>
      <c r="WHL11" s="1429" t="s">
        <v>134</v>
      </c>
      <c r="WHM11" s="1429" t="s">
        <v>134</v>
      </c>
      <c r="WHN11" s="1429" t="s">
        <v>134</v>
      </c>
      <c r="WHO11" s="1429" t="s">
        <v>134</v>
      </c>
      <c r="WHP11" s="1429" t="s">
        <v>134</v>
      </c>
      <c r="WHQ11" s="1429" t="s">
        <v>134</v>
      </c>
      <c r="WHR11" s="1429" t="s">
        <v>134</v>
      </c>
      <c r="WHS11" s="1429" t="s">
        <v>134</v>
      </c>
      <c r="WHT11" s="1429" t="s">
        <v>134</v>
      </c>
      <c r="WHU11" s="1429" t="s">
        <v>134</v>
      </c>
      <c r="WHV11" s="1429" t="s">
        <v>134</v>
      </c>
      <c r="WHW11" s="1429" t="s">
        <v>134</v>
      </c>
      <c r="WHX11" s="1429" t="s">
        <v>134</v>
      </c>
      <c r="WHY11" s="1429" t="s">
        <v>134</v>
      </c>
      <c r="WHZ11" s="1429" t="s">
        <v>134</v>
      </c>
      <c r="WIA11" s="1429" t="s">
        <v>134</v>
      </c>
      <c r="WIB11" s="1429" t="s">
        <v>134</v>
      </c>
      <c r="WIC11" s="1429" t="s">
        <v>134</v>
      </c>
      <c r="WID11" s="1429" t="s">
        <v>134</v>
      </c>
      <c r="WIE11" s="1429" t="s">
        <v>134</v>
      </c>
      <c r="WIF11" s="1429" t="s">
        <v>134</v>
      </c>
      <c r="WIG11" s="1429" t="s">
        <v>134</v>
      </c>
      <c r="WIH11" s="1429" t="s">
        <v>134</v>
      </c>
      <c r="WII11" s="1429" t="s">
        <v>134</v>
      </c>
      <c r="WIJ11" s="1429" t="s">
        <v>134</v>
      </c>
      <c r="WIK11" s="1429" t="s">
        <v>134</v>
      </c>
      <c r="WIL11" s="1429" t="s">
        <v>134</v>
      </c>
      <c r="WIM11" s="1429" t="s">
        <v>134</v>
      </c>
      <c r="WIN11" s="1429" t="s">
        <v>134</v>
      </c>
      <c r="WIO11" s="1429" t="s">
        <v>134</v>
      </c>
      <c r="WIP11" s="1429" t="s">
        <v>134</v>
      </c>
      <c r="WIQ11" s="1429" t="s">
        <v>134</v>
      </c>
      <c r="WIR11" s="1429" t="s">
        <v>134</v>
      </c>
      <c r="WIS11" s="1429" t="s">
        <v>134</v>
      </c>
      <c r="WIT11" s="1429" t="s">
        <v>134</v>
      </c>
      <c r="WIU11" s="1429" t="s">
        <v>134</v>
      </c>
      <c r="WIV11" s="1429" t="s">
        <v>134</v>
      </c>
      <c r="WIW11" s="1429" t="s">
        <v>134</v>
      </c>
      <c r="WIX11" s="1429" t="s">
        <v>134</v>
      </c>
      <c r="WIY11" s="1429" t="s">
        <v>134</v>
      </c>
      <c r="WIZ11" s="1429" t="s">
        <v>134</v>
      </c>
      <c r="WJA11" s="1429" t="s">
        <v>134</v>
      </c>
      <c r="WJB11" s="1429" t="s">
        <v>134</v>
      </c>
      <c r="WJC11" s="1429" t="s">
        <v>134</v>
      </c>
      <c r="WJD11" s="1429" t="s">
        <v>134</v>
      </c>
      <c r="WJE11" s="1429" t="s">
        <v>134</v>
      </c>
      <c r="WJF11" s="1429" t="s">
        <v>134</v>
      </c>
      <c r="WJG11" s="1429" t="s">
        <v>134</v>
      </c>
      <c r="WJH11" s="1429" t="s">
        <v>134</v>
      </c>
      <c r="WJI11" s="1429" t="s">
        <v>134</v>
      </c>
      <c r="WJJ11" s="1429" t="s">
        <v>134</v>
      </c>
      <c r="WJK11" s="1429" t="s">
        <v>134</v>
      </c>
      <c r="WJL11" s="1429" t="s">
        <v>134</v>
      </c>
      <c r="WJM11" s="1429" t="s">
        <v>134</v>
      </c>
      <c r="WJN11" s="1429" t="s">
        <v>134</v>
      </c>
      <c r="WJO11" s="1429" t="s">
        <v>134</v>
      </c>
      <c r="WJP11" s="1429" t="s">
        <v>134</v>
      </c>
      <c r="WJQ11" s="1429" t="s">
        <v>134</v>
      </c>
      <c r="WJR11" s="1429" t="s">
        <v>134</v>
      </c>
      <c r="WJS11" s="1429" t="s">
        <v>134</v>
      </c>
      <c r="WJT11" s="1429" t="s">
        <v>134</v>
      </c>
      <c r="WJU11" s="1429" t="s">
        <v>134</v>
      </c>
      <c r="WJV11" s="1429" t="s">
        <v>134</v>
      </c>
      <c r="WJW11" s="1429" t="s">
        <v>134</v>
      </c>
      <c r="WJX11" s="1429" t="s">
        <v>134</v>
      </c>
      <c r="WJY11" s="1429" t="s">
        <v>134</v>
      </c>
      <c r="WJZ11" s="1429" t="s">
        <v>134</v>
      </c>
      <c r="WKA11" s="1429" t="s">
        <v>134</v>
      </c>
      <c r="WKB11" s="1429" t="s">
        <v>134</v>
      </c>
      <c r="WKC11" s="1429" t="s">
        <v>134</v>
      </c>
      <c r="WKD11" s="1429" t="s">
        <v>134</v>
      </c>
      <c r="WKE11" s="1429" t="s">
        <v>134</v>
      </c>
      <c r="WKF11" s="1429" t="s">
        <v>134</v>
      </c>
      <c r="WKG11" s="1429" t="s">
        <v>134</v>
      </c>
      <c r="WKH11" s="1429" t="s">
        <v>134</v>
      </c>
      <c r="WKI11" s="1429" t="s">
        <v>134</v>
      </c>
      <c r="WKJ11" s="1429" t="s">
        <v>134</v>
      </c>
      <c r="WKK11" s="1429" t="s">
        <v>134</v>
      </c>
      <c r="WKL11" s="1429" t="s">
        <v>134</v>
      </c>
      <c r="WKM11" s="1429" t="s">
        <v>134</v>
      </c>
      <c r="WKN11" s="1429" t="s">
        <v>134</v>
      </c>
      <c r="WKO11" s="1429" t="s">
        <v>134</v>
      </c>
      <c r="WKP11" s="1429" t="s">
        <v>134</v>
      </c>
      <c r="WKQ11" s="1429" t="s">
        <v>134</v>
      </c>
      <c r="WKR11" s="1429" t="s">
        <v>134</v>
      </c>
      <c r="WKS11" s="1429" t="s">
        <v>134</v>
      </c>
      <c r="WKT11" s="1429" t="s">
        <v>134</v>
      </c>
      <c r="WKU11" s="1429" t="s">
        <v>134</v>
      </c>
      <c r="WKV11" s="1429" t="s">
        <v>134</v>
      </c>
      <c r="WKW11" s="1429" t="s">
        <v>134</v>
      </c>
      <c r="WKX11" s="1429" t="s">
        <v>134</v>
      </c>
      <c r="WKY11" s="1429" t="s">
        <v>134</v>
      </c>
      <c r="WKZ11" s="1429" t="s">
        <v>134</v>
      </c>
      <c r="WLA11" s="1429" t="s">
        <v>134</v>
      </c>
      <c r="WLB11" s="1429" t="s">
        <v>134</v>
      </c>
      <c r="WLC11" s="1429" t="s">
        <v>134</v>
      </c>
      <c r="WLD11" s="1429" t="s">
        <v>134</v>
      </c>
      <c r="WLE11" s="1429" t="s">
        <v>134</v>
      </c>
      <c r="WLF11" s="1429" t="s">
        <v>134</v>
      </c>
      <c r="WLG11" s="1429" t="s">
        <v>134</v>
      </c>
      <c r="WLH11" s="1429" t="s">
        <v>134</v>
      </c>
      <c r="WLI11" s="1429" t="s">
        <v>134</v>
      </c>
      <c r="WLJ11" s="1429" t="s">
        <v>134</v>
      </c>
      <c r="WLK11" s="1429" t="s">
        <v>134</v>
      </c>
      <c r="WLL11" s="1429" t="s">
        <v>134</v>
      </c>
      <c r="WLM11" s="1429" t="s">
        <v>134</v>
      </c>
      <c r="WLN11" s="1429" t="s">
        <v>134</v>
      </c>
      <c r="WLO11" s="1429" t="s">
        <v>134</v>
      </c>
      <c r="WLP11" s="1429" t="s">
        <v>134</v>
      </c>
      <c r="WLQ11" s="1429" t="s">
        <v>134</v>
      </c>
      <c r="WLR11" s="1429" t="s">
        <v>134</v>
      </c>
      <c r="WLS11" s="1429" t="s">
        <v>134</v>
      </c>
      <c r="WLT11" s="1429" t="s">
        <v>134</v>
      </c>
      <c r="WLU11" s="1429" t="s">
        <v>134</v>
      </c>
      <c r="WLV11" s="1429" t="s">
        <v>134</v>
      </c>
      <c r="WLW11" s="1429" t="s">
        <v>134</v>
      </c>
      <c r="WLX11" s="1429" t="s">
        <v>134</v>
      </c>
      <c r="WLY11" s="1429" t="s">
        <v>134</v>
      </c>
      <c r="WLZ11" s="1429" t="s">
        <v>134</v>
      </c>
      <c r="WMA11" s="1429" t="s">
        <v>134</v>
      </c>
      <c r="WMB11" s="1429" t="s">
        <v>134</v>
      </c>
      <c r="WMC11" s="1429" t="s">
        <v>134</v>
      </c>
      <c r="WMD11" s="1429" t="s">
        <v>134</v>
      </c>
      <c r="WME11" s="1429" t="s">
        <v>134</v>
      </c>
      <c r="WMF11" s="1429" t="s">
        <v>134</v>
      </c>
      <c r="WMG11" s="1429" t="s">
        <v>134</v>
      </c>
      <c r="WMH11" s="1429" t="s">
        <v>134</v>
      </c>
      <c r="WMI11" s="1429" t="s">
        <v>134</v>
      </c>
      <c r="WMJ11" s="1429" t="s">
        <v>134</v>
      </c>
      <c r="WMK11" s="1429" t="s">
        <v>134</v>
      </c>
      <c r="WML11" s="1429" t="s">
        <v>134</v>
      </c>
      <c r="WMM11" s="1429" t="s">
        <v>134</v>
      </c>
      <c r="WMN11" s="1429" t="s">
        <v>134</v>
      </c>
      <c r="WMO11" s="1429" t="s">
        <v>134</v>
      </c>
      <c r="WMP11" s="1429" t="s">
        <v>134</v>
      </c>
      <c r="WMQ11" s="1429" t="s">
        <v>134</v>
      </c>
      <c r="WMR11" s="1429" t="s">
        <v>134</v>
      </c>
      <c r="WMS11" s="1429" t="s">
        <v>134</v>
      </c>
      <c r="WMT11" s="1429" t="s">
        <v>134</v>
      </c>
      <c r="WMU11" s="1429" t="s">
        <v>134</v>
      </c>
      <c r="WMV11" s="1429" t="s">
        <v>134</v>
      </c>
      <c r="WMW11" s="1429" t="s">
        <v>134</v>
      </c>
      <c r="WMX11" s="1429" t="s">
        <v>134</v>
      </c>
      <c r="WMY11" s="1429" t="s">
        <v>134</v>
      </c>
      <c r="WMZ11" s="1429" t="s">
        <v>134</v>
      </c>
      <c r="WNA11" s="1429" t="s">
        <v>134</v>
      </c>
      <c r="WNB11" s="1429" t="s">
        <v>134</v>
      </c>
      <c r="WNC11" s="1429" t="s">
        <v>134</v>
      </c>
      <c r="WND11" s="1429" t="s">
        <v>134</v>
      </c>
      <c r="WNE11" s="1429" t="s">
        <v>134</v>
      </c>
      <c r="WNF11" s="1429" t="s">
        <v>134</v>
      </c>
      <c r="WNG11" s="1429" t="s">
        <v>134</v>
      </c>
      <c r="WNH11" s="1429" t="s">
        <v>134</v>
      </c>
      <c r="WNI11" s="1429" t="s">
        <v>134</v>
      </c>
      <c r="WNJ11" s="1429" t="s">
        <v>134</v>
      </c>
      <c r="WNK11" s="1429" t="s">
        <v>134</v>
      </c>
      <c r="WNL11" s="1429" t="s">
        <v>134</v>
      </c>
      <c r="WNM11" s="1429" t="s">
        <v>134</v>
      </c>
      <c r="WNN11" s="1429" t="s">
        <v>134</v>
      </c>
      <c r="WNO11" s="1429" t="s">
        <v>134</v>
      </c>
      <c r="WNP11" s="1429" t="s">
        <v>134</v>
      </c>
      <c r="WNQ11" s="1429" t="s">
        <v>134</v>
      </c>
      <c r="WNR11" s="1429" t="s">
        <v>134</v>
      </c>
      <c r="WNS11" s="1429" t="s">
        <v>134</v>
      </c>
      <c r="WNT11" s="1429" t="s">
        <v>134</v>
      </c>
      <c r="WNU11" s="1429" t="s">
        <v>134</v>
      </c>
      <c r="WNV11" s="1429" t="s">
        <v>134</v>
      </c>
      <c r="WNW11" s="1429" t="s">
        <v>134</v>
      </c>
      <c r="WNX11" s="1429" t="s">
        <v>134</v>
      </c>
      <c r="WNY11" s="1429" t="s">
        <v>134</v>
      </c>
      <c r="WNZ11" s="1429" t="s">
        <v>134</v>
      </c>
      <c r="WOA11" s="1429" t="s">
        <v>134</v>
      </c>
      <c r="WOB11" s="1429" t="s">
        <v>134</v>
      </c>
      <c r="WOC11" s="1429" t="s">
        <v>134</v>
      </c>
      <c r="WOD11" s="1429" t="s">
        <v>134</v>
      </c>
      <c r="WOE11" s="1429" t="s">
        <v>134</v>
      </c>
      <c r="WOF11" s="1429" t="s">
        <v>134</v>
      </c>
      <c r="WOG11" s="1429" t="s">
        <v>134</v>
      </c>
      <c r="WOH11" s="1429" t="s">
        <v>134</v>
      </c>
      <c r="WOI11" s="1429" t="s">
        <v>134</v>
      </c>
      <c r="WOJ11" s="1429" t="s">
        <v>134</v>
      </c>
      <c r="WOK11" s="1429" t="s">
        <v>134</v>
      </c>
      <c r="WOL11" s="1429" t="s">
        <v>134</v>
      </c>
      <c r="WOM11" s="1429" t="s">
        <v>134</v>
      </c>
      <c r="WON11" s="1429" t="s">
        <v>134</v>
      </c>
      <c r="WOO11" s="1429" t="s">
        <v>134</v>
      </c>
      <c r="WOP11" s="1429" t="s">
        <v>134</v>
      </c>
      <c r="WOQ11" s="1429" t="s">
        <v>134</v>
      </c>
      <c r="WOR11" s="1429" t="s">
        <v>134</v>
      </c>
      <c r="WOS11" s="1429" t="s">
        <v>134</v>
      </c>
      <c r="WOT11" s="1429" t="s">
        <v>134</v>
      </c>
      <c r="WOU11" s="1429" t="s">
        <v>134</v>
      </c>
      <c r="WOV11" s="1429" t="s">
        <v>134</v>
      </c>
      <c r="WOW11" s="1429" t="s">
        <v>134</v>
      </c>
      <c r="WOX11" s="1429" t="s">
        <v>134</v>
      </c>
      <c r="WOY11" s="1429" t="s">
        <v>134</v>
      </c>
      <c r="WOZ11" s="1429" t="s">
        <v>134</v>
      </c>
      <c r="WPA11" s="1429" t="s">
        <v>134</v>
      </c>
      <c r="WPB11" s="1429" t="s">
        <v>134</v>
      </c>
      <c r="WPC11" s="1429" t="s">
        <v>134</v>
      </c>
      <c r="WPD11" s="1429" t="s">
        <v>134</v>
      </c>
      <c r="WPE11" s="1429" t="s">
        <v>134</v>
      </c>
      <c r="WPF11" s="1429" t="s">
        <v>134</v>
      </c>
      <c r="WPG11" s="1429" t="s">
        <v>134</v>
      </c>
      <c r="WPH11" s="1429" t="s">
        <v>134</v>
      </c>
      <c r="WPI11" s="1429" t="s">
        <v>134</v>
      </c>
      <c r="WPJ11" s="1429" t="s">
        <v>134</v>
      </c>
      <c r="WPK11" s="1429" t="s">
        <v>134</v>
      </c>
      <c r="WPL11" s="1429" t="s">
        <v>134</v>
      </c>
      <c r="WPM11" s="1429" t="s">
        <v>134</v>
      </c>
      <c r="WPN11" s="1429" t="s">
        <v>134</v>
      </c>
      <c r="WPO11" s="1429" t="s">
        <v>134</v>
      </c>
      <c r="WPP11" s="1429" t="s">
        <v>134</v>
      </c>
      <c r="WPQ11" s="1429" t="s">
        <v>134</v>
      </c>
      <c r="WPR11" s="1429" t="s">
        <v>134</v>
      </c>
      <c r="WPS11" s="1429" t="s">
        <v>134</v>
      </c>
      <c r="WPT11" s="1429" t="s">
        <v>134</v>
      </c>
      <c r="WPU11" s="1429" t="s">
        <v>134</v>
      </c>
      <c r="WPV11" s="1429" t="s">
        <v>134</v>
      </c>
      <c r="WPW11" s="1429" t="s">
        <v>134</v>
      </c>
      <c r="WPX11" s="1429" t="s">
        <v>134</v>
      </c>
      <c r="WPY11" s="1429" t="s">
        <v>134</v>
      </c>
      <c r="WPZ11" s="1429" t="s">
        <v>134</v>
      </c>
      <c r="WQA11" s="1429" t="s">
        <v>134</v>
      </c>
      <c r="WQB11" s="1429" t="s">
        <v>134</v>
      </c>
      <c r="WQC11" s="1429" t="s">
        <v>134</v>
      </c>
      <c r="WQD11" s="1429" t="s">
        <v>134</v>
      </c>
      <c r="WQE11" s="1429" t="s">
        <v>134</v>
      </c>
      <c r="WQF11" s="1429" t="s">
        <v>134</v>
      </c>
      <c r="WQG11" s="1429" t="s">
        <v>134</v>
      </c>
      <c r="WQH11" s="1429" t="s">
        <v>134</v>
      </c>
      <c r="WQI11" s="1429" t="s">
        <v>134</v>
      </c>
      <c r="WQJ11" s="1429" t="s">
        <v>134</v>
      </c>
      <c r="WQK11" s="1429" t="s">
        <v>134</v>
      </c>
      <c r="WQL11" s="1429" t="s">
        <v>134</v>
      </c>
      <c r="WQM11" s="1429" t="s">
        <v>134</v>
      </c>
      <c r="WQN11" s="1429" t="s">
        <v>134</v>
      </c>
      <c r="WQO11" s="1429" t="s">
        <v>134</v>
      </c>
      <c r="WQP11" s="1429" t="s">
        <v>134</v>
      </c>
      <c r="WQQ11" s="1429" t="s">
        <v>134</v>
      </c>
      <c r="WQR11" s="1429" t="s">
        <v>134</v>
      </c>
      <c r="WQS11" s="1429" t="s">
        <v>134</v>
      </c>
      <c r="WQT11" s="1429" t="s">
        <v>134</v>
      </c>
      <c r="WQU11" s="1429" t="s">
        <v>134</v>
      </c>
      <c r="WQV11" s="1429" t="s">
        <v>134</v>
      </c>
      <c r="WQW11" s="1429" t="s">
        <v>134</v>
      </c>
      <c r="WQX11" s="1429" t="s">
        <v>134</v>
      </c>
      <c r="WQY11" s="1429" t="s">
        <v>134</v>
      </c>
      <c r="WQZ11" s="1429" t="s">
        <v>134</v>
      </c>
      <c r="WRA11" s="1429" t="s">
        <v>134</v>
      </c>
      <c r="WRB11" s="1429" t="s">
        <v>134</v>
      </c>
      <c r="WRC11" s="1429" t="s">
        <v>134</v>
      </c>
      <c r="WRD11" s="1429" t="s">
        <v>134</v>
      </c>
      <c r="WRE11" s="1429" t="s">
        <v>134</v>
      </c>
      <c r="WRF11" s="1429" t="s">
        <v>134</v>
      </c>
      <c r="WRG11" s="1429" t="s">
        <v>134</v>
      </c>
      <c r="WRH11" s="1429" t="s">
        <v>134</v>
      </c>
      <c r="WRI11" s="1429" t="s">
        <v>134</v>
      </c>
      <c r="WRJ11" s="1429" t="s">
        <v>134</v>
      </c>
      <c r="WRK11" s="1429" t="s">
        <v>134</v>
      </c>
      <c r="WRL11" s="1429" t="s">
        <v>134</v>
      </c>
      <c r="WRM11" s="1429" t="s">
        <v>134</v>
      </c>
      <c r="WRN11" s="1429" t="s">
        <v>134</v>
      </c>
      <c r="WRO11" s="1429" t="s">
        <v>134</v>
      </c>
      <c r="WRP11" s="1429" t="s">
        <v>134</v>
      </c>
      <c r="WRQ11" s="1429" t="s">
        <v>134</v>
      </c>
      <c r="WRR11" s="1429" t="s">
        <v>134</v>
      </c>
      <c r="WRS11" s="1429" t="s">
        <v>134</v>
      </c>
      <c r="WRT11" s="1429" t="s">
        <v>134</v>
      </c>
      <c r="WRU11" s="1429" t="s">
        <v>134</v>
      </c>
      <c r="WRV11" s="1429" t="s">
        <v>134</v>
      </c>
      <c r="WRW11" s="1429" t="s">
        <v>134</v>
      </c>
      <c r="WRX11" s="1429" t="s">
        <v>134</v>
      </c>
      <c r="WRY11" s="1429" t="s">
        <v>134</v>
      </c>
      <c r="WRZ11" s="1429" t="s">
        <v>134</v>
      </c>
      <c r="WSA11" s="1429" t="s">
        <v>134</v>
      </c>
      <c r="WSB11" s="1429" t="s">
        <v>134</v>
      </c>
      <c r="WSC11" s="1429" t="s">
        <v>134</v>
      </c>
      <c r="WSD11" s="1429" t="s">
        <v>134</v>
      </c>
      <c r="WSE11" s="1429" t="s">
        <v>134</v>
      </c>
      <c r="WSF11" s="1429" t="s">
        <v>134</v>
      </c>
      <c r="WSG11" s="1429" t="s">
        <v>134</v>
      </c>
      <c r="WSH11" s="1429" t="s">
        <v>134</v>
      </c>
      <c r="WSI11" s="1429" t="s">
        <v>134</v>
      </c>
      <c r="WSJ11" s="1429" t="s">
        <v>134</v>
      </c>
      <c r="WSK11" s="1429" t="s">
        <v>134</v>
      </c>
      <c r="WSL11" s="1429" t="s">
        <v>134</v>
      </c>
      <c r="WSM11" s="1429" t="s">
        <v>134</v>
      </c>
      <c r="WSN11" s="1429" t="s">
        <v>134</v>
      </c>
      <c r="WSO11" s="1429" t="s">
        <v>134</v>
      </c>
      <c r="WSP11" s="1429" t="s">
        <v>134</v>
      </c>
      <c r="WSQ11" s="1429" t="s">
        <v>134</v>
      </c>
      <c r="WSR11" s="1429" t="s">
        <v>134</v>
      </c>
      <c r="WSS11" s="1429" t="s">
        <v>134</v>
      </c>
      <c r="WST11" s="1429" t="s">
        <v>134</v>
      </c>
      <c r="WSU11" s="1429" t="s">
        <v>134</v>
      </c>
      <c r="WSV11" s="1429" t="s">
        <v>134</v>
      </c>
      <c r="WSW11" s="1429" t="s">
        <v>134</v>
      </c>
      <c r="WSX11" s="1429" t="s">
        <v>134</v>
      </c>
      <c r="WSY11" s="1429" t="s">
        <v>134</v>
      </c>
      <c r="WSZ11" s="1429" t="s">
        <v>134</v>
      </c>
      <c r="WTA11" s="1429" t="s">
        <v>134</v>
      </c>
      <c r="WTB11" s="1429" t="s">
        <v>134</v>
      </c>
      <c r="WTC11" s="1429" t="s">
        <v>134</v>
      </c>
      <c r="WTD11" s="1429" t="s">
        <v>134</v>
      </c>
      <c r="WTE11" s="1429" t="s">
        <v>134</v>
      </c>
      <c r="WTF11" s="1429" t="s">
        <v>134</v>
      </c>
      <c r="WTG11" s="1429" t="s">
        <v>134</v>
      </c>
      <c r="WTH11" s="1429" t="s">
        <v>134</v>
      </c>
      <c r="WTI11" s="1429" t="s">
        <v>134</v>
      </c>
      <c r="WTJ11" s="1429" t="s">
        <v>134</v>
      </c>
      <c r="WTK11" s="1429" t="s">
        <v>134</v>
      </c>
      <c r="WTL11" s="1429" t="s">
        <v>134</v>
      </c>
      <c r="WTM11" s="1429" t="s">
        <v>134</v>
      </c>
      <c r="WTN11" s="1429" t="s">
        <v>134</v>
      </c>
      <c r="WTO11" s="1429" t="s">
        <v>134</v>
      </c>
      <c r="WTP11" s="1429" t="s">
        <v>134</v>
      </c>
      <c r="WTQ11" s="1429" t="s">
        <v>134</v>
      </c>
      <c r="WTR11" s="1429" t="s">
        <v>134</v>
      </c>
      <c r="WTS11" s="1429" t="s">
        <v>134</v>
      </c>
      <c r="WTT11" s="1429" t="s">
        <v>134</v>
      </c>
      <c r="WTU11" s="1429" t="s">
        <v>134</v>
      </c>
      <c r="WTV11" s="1429" t="s">
        <v>134</v>
      </c>
      <c r="WTW11" s="1429" t="s">
        <v>134</v>
      </c>
      <c r="WTX11" s="1429" t="s">
        <v>134</v>
      </c>
      <c r="WTY11" s="1429" t="s">
        <v>134</v>
      </c>
      <c r="WTZ11" s="1429" t="s">
        <v>134</v>
      </c>
      <c r="WUA11" s="1429" t="s">
        <v>134</v>
      </c>
      <c r="WUB11" s="1429" t="s">
        <v>134</v>
      </c>
      <c r="WUC11" s="1429" t="s">
        <v>134</v>
      </c>
      <c r="WUD11" s="1429" t="s">
        <v>134</v>
      </c>
      <c r="WUE11" s="1429" t="s">
        <v>134</v>
      </c>
      <c r="WUF11" s="1429" t="s">
        <v>134</v>
      </c>
      <c r="WUG11" s="1429" t="s">
        <v>134</v>
      </c>
      <c r="WUH11" s="1429" t="s">
        <v>134</v>
      </c>
      <c r="WUI11" s="1429" t="s">
        <v>134</v>
      </c>
      <c r="WUJ11" s="1429" t="s">
        <v>134</v>
      </c>
      <c r="WUK11" s="1429" t="s">
        <v>134</v>
      </c>
      <c r="WUL11" s="1429" t="s">
        <v>134</v>
      </c>
      <c r="WUM11" s="1429" t="s">
        <v>134</v>
      </c>
      <c r="WUN11" s="1429" t="s">
        <v>134</v>
      </c>
      <c r="WUO11" s="1429" t="s">
        <v>134</v>
      </c>
      <c r="WUP11" s="1429" t="s">
        <v>134</v>
      </c>
      <c r="WUQ11" s="1429" t="s">
        <v>134</v>
      </c>
      <c r="WUR11" s="1429" t="s">
        <v>134</v>
      </c>
      <c r="WUS11" s="1429" t="s">
        <v>134</v>
      </c>
      <c r="WUT11" s="1429" t="s">
        <v>134</v>
      </c>
      <c r="WUU11" s="1429" t="s">
        <v>134</v>
      </c>
      <c r="WUV11" s="1429" t="s">
        <v>134</v>
      </c>
      <c r="WUW11" s="1429" t="s">
        <v>134</v>
      </c>
      <c r="WUX11" s="1429" t="s">
        <v>134</v>
      </c>
      <c r="WUY11" s="1429" t="s">
        <v>134</v>
      </c>
      <c r="WUZ11" s="1429" t="s">
        <v>134</v>
      </c>
      <c r="WVA11" s="1429" t="s">
        <v>134</v>
      </c>
      <c r="WVB11" s="1429" t="s">
        <v>134</v>
      </c>
      <c r="WVC11" s="1429" t="s">
        <v>134</v>
      </c>
      <c r="WVD11" s="1429" t="s">
        <v>134</v>
      </c>
      <c r="WVE11" s="1429" t="s">
        <v>134</v>
      </c>
      <c r="WVF11" s="1429" t="s">
        <v>134</v>
      </c>
      <c r="WVG11" s="1429" t="s">
        <v>134</v>
      </c>
      <c r="WVH11" s="1429" t="s">
        <v>134</v>
      </c>
      <c r="WVI11" s="1429" t="s">
        <v>134</v>
      </c>
      <c r="WVJ11" s="1429" t="s">
        <v>134</v>
      </c>
      <c r="WVK11" s="1429" t="s">
        <v>134</v>
      </c>
      <c r="WVL11" s="1429" t="s">
        <v>134</v>
      </c>
      <c r="WVM11" s="1429" t="s">
        <v>134</v>
      </c>
      <c r="WVN11" s="1429" t="s">
        <v>134</v>
      </c>
      <c r="WVO11" s="1429" t="s">
        <v>134</v>
      </c>
      <c r="WVP11" s="1429" t="s">
        <v>134</v>
      </c>
      <c r="WVQ11" s="1429" t="s">
        <v>134</v>
      </c>
      <c r="WVR11" s="1429" t="s">
        <v>134</v>
      </c>
      <c r="WVS11" s="1429" t="s">
        <v>134</v>
      </c>
      <c r="WVT11" s="1429" t="s">
        <v>134</v>
      </c>
      <c r="WVU11" s="1429" t="s">
        <v>134</v>
      </c>
      <c r="WVV11" s="1429" t="s">
        <v>134</v>
      </c>
      <c r="WVW11" s="1429" t="s">
        <v>134</v>
      </c>
      <c r="WVX11" s="1429" t="s">
        <v>134</v>
      </c>
      <c r="WVY11" s="1429" t="s">
        <v>134</v>
      </c>
      <c r="WVZ11" s="1429" t="s">
        <v>134</v>
      </c>
      <c r="WWA11" s="1429" t="s">
        <v>134</v>
      </c>
      <c r="WWB11" s="1429" t="s">
        <v>134</v>
      </c>
      <c r="WWC11" s="1429" t="s">
        <v>134</v>
      </c>
      <c r="WWD11" s="1429" t="s">
        <v>134</v>
      </c>
      <c r="WWE11" s="1429" t="s">
        <v>134</v>
      </c>
      <c r="WWF11" s="1429" t="s">
        <v>134</v>
      </c>
      <c r="WWG11" s="1429" t="s">
        <v>134</v>
      </c>
      <c r="WWH11" s="1429" t="s">
        <v>134</v>
      </c>
      <c r="WWI11" s="1429" t="s">
        <v>134</v>
      </c>
      <c r="WWJ11" s="1429" t="s">
        <v>134</v>
      </c>
      <c r="WWK11" s="1429" t="s">
        <v>134</v>
      </c>
      <c r="WWL11" s="1429" t="s">
        <v>134</v>
      </c>
      <c r="WWM11" s="1429" t="s">
        <v>134</v>
      </c>
      <c r="WWN11" s="1429" t="s">
        <v>134</v>
      </c>
      <c r="WWO11" s="1429" t="s">
        <v>134</v>
      </c>
      <c r="WWP11" s="1429" t="s">
        <v>134</v>
      </c>
      <c r="WWQ11" s="1429" t="s">
        <v>134</v>
      </c>
      <c r="WWR11" s="1429" t="s">
        <v>134</v>
      </c>
      <c r="WWS11" s="1429" t="s">
        <v>134</v>
      </c>
      <c r="WWT11" s="1429" t="s">
        <v>134</v>
      </c>
      <c r="WWU11" s="1429" t="s">
        <v>134</v>
      </c>
      <c r="WWV11" s="1429" t="s">
        <v>134</v>
      </c>
      <c r="WWW11" s="1429" t="s">
        <v>134</v>
      </c>
      <c r="WWX11" s="1429" t="s">
        <v>134</v>
      </c>
      <c r="WWY11" s="1429" t="s">
        <v>134</v>
      </c>
      <c r="WWZ11" s="1429" t="s">
        <v>134</v>
      </c>
      <c r="WXA11" s="1429" t="s">
        <v>134</v>
      </c>
      <c r="WXB11" s="1429" t="s">
        <v>134</v>
      </c>
      <c r="WXC11" s="1429" t="s">
        <v>134</v>
      </c>
      <c r="WXD11" s="1429" t="s">
        <v>134</v>
      </c>
      <c r="WXE11" s="1429" t="s">
        <v>134</v>
      </c>
      <c r="WXF11" s="1429" t="s">
        <v>134</v>
      </c>
      <c r="WXG11" s="1429" t="s">
        <v>134</v>
      </c>
      <c r="WXH11" s="1429" t="s">
        <v>134</v>
      </c>
      <c r="WXI11" s="1429" t="s">
        <v>134</v>
      </c>
      <c r="WXJ11" s="1429" t="s">
        <v>134</v>
      </c>
      <c r="WXK11" s="1429" t="s">
        <v>134</v>
      </c>
      <c r="WXL11" s="1429" t="s">
        <v>134</v>
      </c>
      <c r="WXM11" s="1429" t="s">
        <v>134</v>
      </c>
      <c r="WXN11" s="1429" t="s">
        <v>134</v>
      </c>
      <c r="WXO11" s="1429" t="s">
        <v>134</v>
      </c>
      <c r="WXP11" s="1429" t="s">
        <v>134</v>
      </c>
      <c r="WXQ11" s="1429" t="s">
        <v>134</v>
      </c>
      <c r="WXR11" s="1429" t="s">
        <v>134</v>
      </c>
      <c r="WXS11" s="1429" t="s">
        <v>134</v>
      </c>
      <c r="WXT11" s="1429" t="s">
        <v>134</v>
      </c>
      <c r="WXU11" s="1429" t="s">
        <v>134</v>
      </c>
      <c r="WXV11" s="1429" t="s">
        <v>134</v>
      </c>
      <c r="WXW11" s="1429" t="s">
        <v>134</v>
      </c>
      <c r="WXX11" s="1429" t="s">
        <v>134</v>
      </c>
      <c r="WXY11" s="1429" t="s">
        <v>134</v>
      </c>
      <c r="WXZ11" s="1429" t="s">
        <v>134</v>
      </c>
      <c r="WYA11" s="1429" t="s">
        <v>134</v>
      </c>
      <c r="WYB11" s="1429" t="s">
        <v>134</v>
      </c>
      <c r="WYC11" s="1429" t="s">
        <v>134</v>
      </c>
      <c r="WYD11" s="1429" t="s">
        <v>134</v>
      </c>
      <c r="WYE11" s="1429" t="s">
        <v>134</v>
      </c>
      <c r="WYF11" s="1429" t="s">
        <v>134</v>
      </c>
      <c r="WYG11" s="1429" t="s">
        <v>134</v>
      </c>
      <c r="WYH11" s="1429" t="s">
        <v>134</v>
      </c>
      <c r="WYI11" s="1429" t="s">
        <v>134</v>
      </c>
      <c r="WYJ11" s="1429" t="s">
        <v>134</v>
      </c>
      <c r="WYK11" s="1429" t="s">
        <v>134</v>
      </c>
      <c r="WYL11" s="1429" t="s">
        <v>134</v>
      </c>
      <c r="WYM11" s="1429" t="s">
        <v>134</v>
      </c>
      <c r="WYN11" s="1429" t="s">
        <v>134</v>
      </c>
      <c r="WYO11" s="1429" t="s">
        <v>134</v>
      </c>
      <c r="WYP11" s="1429" t="s">
        <v>134</v>
      </c>
      <c r="WYQ11" s="1429" t="s">
        <v>134</v>
      </c>
      <c r="WYR11" s="1429" t="s">
        <v>134</v>
      </c>
      <c r="WYS11" s="1429" t="s">
        <v>134</v>
      </c>
      <c r="WYT11" s="1429" t="s">
        <v>134</v>
      </c>
      <c r="WYU11" s="1429" t="s">
        <v>134</v>
      </c>
      <c r="WYV11" s="1429" t="s">
        <v>134</v>
      </c>
      <c r="WYW11" s="1429" t="s">
        <v>134</v>
      </c>
      <c r="WYX11" s="1429" t="s">
        <v>134</v>
      </c>
      <c r="WYY11" s="1429" t="s">
        <v>134</v>
      </c>
      <c r="WYZ11" s="1429" t="s">
        <v>134</v>
      </c>
      <c r="WZA11" s="1429" t="s">
        <v>134</v>
      </c>
      <c r="WZB11" s="1429" t="s">
        <v>134</v>
      </c>
      <c r="WZC11" s="1429" t="s">
        <v>134</v>
      </c>
      <c r="WZD11" s="1429" t="s">
        <v>134</v>
      </c>
      <c r="WZE11" s="1429" t="s">
        <v>134</v>
      </c>
      <c r="WZF11" s="1429" t="s">
        <v>134</v>
      </c>
      <c r="WZG11" s="1429" t="s">
        <v>134</v>
      </c>
      <c r="WZH11" s="1429" t="s">
        <v>134</v>
      </c>
      <c r="WZI11" s="1429" t="s">
        <v>134</v>
      </c>
      <c r="WZJ11" s="1429" t="s">
        <v>134</v>
      </c>
      <c r="WZK11" s="1429" t="s">
        <v>134</v>
      </c>
      <c r="WZL11" s="1429" t="s">
        <v>134</v>
      </c>
      <c r="WZM11" s="1429" t="s">
        <v>134</v>
      </c>
      <c r="WZN11" s="1429" t="s">
        <v>134</v>
      </c>
      <c r="WZO11" s="1429" t="s">
        <v>134</v>
      </c>
      <c r="WZP11" s="1429" t="s">
        <v>134</v>
      </c>
      <c r="WZQ11" s="1429" t="s">
        <v>134</v>
      </c>
      <c r="WZR11" s="1429" t="s">
        <v>134</v>
      </c>
      <c r="WZS11" s="1429" t="s">
        <v>134</v>
      </c>
      <c r="WZT11" s="1429" t="s">
        <v>134</v>
      </c>
      <c r="WZU11" s="1429" t="s">
        <v>134</v>
      </c>
      <c r="WZV11" s="1429" t="s">
        <v>134</v>
      </c>
      <c r="WZW11" s="1429" t="s">
        <v>134</v>
      </c>
      <c r="WZX11" s="1429" t="s">
        <v>134</v>
      </c>
      <c r="WZY11" s="1429" t="s">
        <v>134</v>
      </c>
      <c r="WZZ11" s="1429" t="s">
        <v>134</v>
      </c>
      <c r="XAA11" s="1429" t="s">
        <v>134</v>
      </c>
      <c r="XAB11" s="1429" t="s">
        <v>134</v>
      </c>
      <c r="XAC11" s="1429" t="s">
        <v>134</v>
      </c>
      <c r="XAD11" s="1429" t="s">
        <v>134</v>
      </c>
      <c r="XAE11" s="1429" t="s">
        <v>134</v>
      </c>
      <c r="XAF11" s="1429" t="s">
        <v>134</v>
      </c>
      <c r="XAG11" s="1429" t="s">
        <v>134</v>
      </c>
      <c r="XAH11" s="1429" t="s">
        <v>134</v>
      </c>
      <c r="XAI11" s="1429" t="s">
        <v>134</v>
      </c>
      <c r="XAJ11" s="1429" t="s">
        <v>134</v>
      </c>
      <c r="XAK11" s="1429" t="s">
        <v>134</v>
      </c>
      <c r="XAL11" s="1429" t="s">
        <v>134</v>
      </c>
      <c r="XAM11" s="1429" t="s">
        <v>134</v>
      </c>
      <c r="XAN11" s="1429" t="s">
        <v>134</v>
      </c>
      <c r="XAO11" s="1429" t="s">
        <v>134</v>
      </c>
      <c r="XAP11" s="1429" t="s">
        <v>134</v>
      </c>
      <c r="XAQ11" s="1429" t="s">
        <v>134</v>
      </c>
      <c r="XAR11" s="1429" t="s">
        <v>134</v>
      </c>
      <c r="XAS11" s="1429" t="s">
        <v>134</v>
      </c>
      <c r="XAT11" s="1429" t="s">
        <v>134</v>
      </c>
      <c r="XAU11" s="1429" t="s">
        <v>134</v>
      </c>
      <c r="XAV11" s="1429" t="s">
        <v>134</v>
      </c>
      <c r="XAW11" s="1429" t="s">
        <v>134</v>
      </c>
      <c r="XAX11" s="1429" t="s">
        <v>134</v>
      </c>
      <c r="XAY11" s="1429" t="s">
        <v>134</v>
      </c>
      <c r="XAZ11" s="1429" t="s">
        <v>134</v>
      </c>
      <c r="XBA11" s="1429" t="s">
        <v>134</v>
      </c>
      <c r="XBB11" s="1429" t="s">
        <v>134</v>
      </c>
      <c r="XBC11" s="1429" t="s">
        <v>134</v>
      </c>
      <c r="XBD11" s="1429" t="s">
        <v>134</v>
      </c>
      <c r="XBE11" s="1429" t="s">
        <v>134</v>
      </c>
      <c r="XBF11" s="1429" t="s">
        <v>134</v>
      </c>
      <c r="XBG11" s="1429" t="s">
        <v>134</v>
      </c>
      <c r="XBH11" s="1429" t="s">
        <v>134</v>
      </c>
      <c r="XBI11" s="1429" t="s">
        <v>134</v>
      </c>
      <c r="XBJ11" s="1429" t="s">
        <v>134</v>
      </c>
      <c r="XBK11" s="1429" t="s">
        <v>134</v>
      </c>
      <c r="XBL11" s="1429" t="s">
        <v>134</v>
      </c>
      <c r="XBM11" s="1429" t="s">
        <v>134</v>
      </c>
      <c r="XBN11" s="1429" t="s">
        <v>134</v>
      </c>
      <c r="XBO11" s="1429" t="s">
        <v>134</v>
      </c>
      <c r="XBP11" s="1429" t="s">
        <v>134</v>
      </c>
      <c r="XBQ11" s="1429" t="s">
        <v>134</v>
      </c>
      <c r="XBR11" s="1429" t="s">
        <v>134</v>
      </c>
      <c r="XBS11" s="1429" t="s">
        <v>134</v>
      </c>
      <c r="XBT11" s="1429" t="s">
        <v>134</v>
      </c>
      <c r="XBU11" s="1429" t="s">
        <v>134</v>
      </c>
      <c r="XBV11" s="1429" t="s">
        <v>134</v>
      </c>
      <c r="XBW11" s="1429" t="s">
        <v>134</v>
      </c>
      <c r="XBX11" s="1429" t="s">
        <v>134</v>
      </c>
      <c r="XBY11" s="1429" t="s">
        <v>134</v>
      </c>
      <c r="XBZ11" s="1429" t="s">
        <v>134</v>
      </c>
      <c r="XCA11" s="1429" t="s">
        <v>134</v>
      </c>
      <c r="XCB11" s="1429" t="s">
        <v>134</v>
      </c>
      <c r="XCC11" s="1429" t="s">
        <v>134</v>
      </c>
      <c r="XCD11" s="1429" t="s">
        <v>134</v>
      </c>
      <c r="XCE11" s="1429" t="s">
        <v>134</v>
      </c>
      <c r="XCF11" s="1429" t="s">
        <v>134</v>
      </c>
      <c r="XCG11" s="1429" t="s">
        <v>134</v>
      </c>
      <c r="XCH11" s="1429" t="s">
        <v>134</v>
      </c>
      <c r="XCI11" s="1429" t="s">
        <v>134</v>
      </c>
      <c r="XCJ11" s="1429" t="s">
        <v>134</v>
      </c>
      <c r="XCK11" s="1429" t="s">
        <v>134</v>
      </c>
      <c r="XCL11" s="1429" t="s">
        <v>134</v>
      </c>
      <c r="XCM11" s="1429" t="s">
        <v>134</v>
      </c>
      <c r="XCN11" s="1429" t="s">
        <v>134</v>
      </c>
      <c r="XCO11" s="1429" t="s">
        <v>134</v>
      </c>
      <c r="XCP11" s="1429" t="s">
        <v>134</v>
      </c>
      <c r="XCQ11" s="1429" t="s">
        <v>134</v>
      </c>
      <c r="XCR11" s="1429" t="s">
        <v>134</v>
      </c>
      <c r="XCS11" s="1429" t="s">
        <v>134</v>
      </c>
      <c r="XCT11" s="1429" t="s">
        <v>134</v>
      </c>
      <c r="XCU11" s="1429" t="s">
        <v>134</v>
      </c>
      <c r="XCV11" s="1429" t="s">
        <v>134</v>
      </c>
      <c r="XCW11" s="1429" t="s">
        <v>134</v>
      </c>
      <c r="XCX11" s="1429" t="s">
        <v>134</v>
      </c>
      <c r="XCY11" s="1429" t="s">
        <v>134</v>
      </c>
      <c r="XCZ11" s="1429" t="s">
        <v>134</v>
      </c>
      <c r="XDA11" s="1429" t="s">
        <v>134</v>
      </c>
      <c r="XDB11" s="1429" t="s">
        <v>134</v>
      </c>
      <c r="XDC11" s="1429" t="s">
        <v>134</v>
      </c>
      <c r="XDD11" s="1429" t="s">
        <v>134</v>
      </c>
      <c r="XDE11" s="1429" t="s">
        <v>134</v>
      </c>
      <c r="XDF11" s="1429" t="s">
        <v>134</v>
      </c>
      <c r="XDG11" s="1429" t="s">
        <v>134</v>
      </c>
      <c r="XDH11" s="1429" t="s">
        <v>134</v>
      </c>
      <c r="XDI11" s="1429" t="s">
        <v>134</v>
      </c>
      <c r="XDJ11" s="1429" t="s">
        <v>134</v>
      </c>
      <c r="XDK11" s="1429" t="s">
        <v>134</v>
      </c>
      <c r="XDL11" s="1429" t="s">
        <v>134</v>
      </c>
      <c r="XDM11" s="1429" t="s">
        <v>134</v>
      </c>
      <c r="XDN11" s="1429" t="s">
        <v>134</v>
      </c>
      <c r="XDO11" s="1429" t="s">
        <v>134</v>
      </c>
      <c r="XDP11" s="1429" t="s">
        <v>134</v>
      </c>
      <c r="XDQ11" s="1429" t="s">
        <v>134</v>
      </c>
      <c r="XDR11" s="1429" t="s">
        <v>134</v>
      </c>
      <c r="XDS11" s="1429" t="s">
        <v>134</v>
      </c>
      <c r="XDT11" s="1429" t="s">
        <v>134</v>
      </c>
      <c r="XDU11" s="1429" t="s">
        <v>134</v>
      </c>
      <c r="XDV11" s="1429" t="s">
        <v>134</v>
      </c>
      <c r="XDW11" s="1429" t="s">
        <v>134</v>
      </c>
      <c r="XDX11" s="1429" t="s">
        <v>134</v>
      </c>
      <c r="XDY11" s="1429" t="s">
        <v>134</v>
      </c>
      <c r="XDZ11" s="1429" t="s">
        <v>134</v>
      </c>
      <c r="XEA11" s="1429" t="s">
        <v>134</v>
      </c>
      <c r="XEB11" s="1429" t="s">
        <v>134</v>
      </c>
      <c r="XEC11" s="1429" t="s">
        <v>134</v>
      </c>
      <c r="XED11" s="1429" t="s">
        <v>134</v>
      </c>
      <c r="XEE11" s="1429" t="s">
        <v>134</v>
      </c>
      <c r="XEF11" s="1429" t="s">
        <v>134</v>
      </c>
      <c r="XEG11" s="1429" t="s">
        <v>134</v>
      </c>
      <c r="XEH11" s="1429" t="s">
        <v>134</v>
      </c>
      <c r="XEI11" s="1429" t="s">
        <v>134</v>
      </c>
      <c r="XEJ11" s="1429" t="s">
        <v>134</v>
      </c>
      <c r="XEK11" s="1429" t="s">
        <v>134</v>
      </c>
      <c r="XEL11" s="1429" t="s">
        <v>134</v>
      </c>
      <c r="XEM11" s="1429" t="s">
        <v>134</v>
      </c>
      <c r="XEN11" s="1429" t="s">
        <v>134</v>
      </c>
      <c r="XEO11" s="1429" t="s">
        <v>134</v>
      </c>
      <c r="XEP11" s="1429" t="s">
        <v>134</v>
      </c>
      <c r="XEQ11" s="1429" t="s">
        <v>134</v>
      </c>
      <c r="XER11" s="1429" t="s">
        <v>134</v>
      </c>
      <c r="XES11" s="1429" t="s">
        <v>134</v>
      </c>
      <c r="XET11" s="1429" t="s">
        <v>134</v>
      </c>
      <c r="XEU11" s="1429" t="s">
        <v>134</v>
      </c>
      <c r="XEV11" s="1429" t="s">
        <v>134</v>
      </c>
      <c r="XEW11" s="1429" t="s">
        <v>134</v>
      </c>
      <c r="XEX11" s="1429" t="s">
        <v>134</v>
      </c>
      <c r="XEY11" s="1429" t="s">
        <v>134</v>
      </c>
      <c r="XEZ11" s="1429" t="s">
        <v>134</v>
      </c>
      <c r="XFA11" s="1429" t="s">
        <v>134</v>
      </c>
      <c r="XFB11" s="1429" t="s">
        <v>134</v>
      </c>
    </row>
    <row r="12" spans="1:16382" s="1430" customFormat="1" ht="85.5" customHeight="1" x14ac:dyDescent="0.2">
      <c r="A12" s="1864"/>
      <c r="B12" s="1865"/>
      <c r="C12" s="1264"/>
      <c r="D12" s="1264"/>
      <c r="E12" s="1844"/>
      <c r="F12" s="1845"/>
      <c r="G12" s="3943">
        <v>4301004</v>
      </c>
      <c r="H12" s="3945" t="s">
        <v>2268</v>
      </c>
      <c r="I12" s="3943">
        <v>430100401</v>
      </c>
      <c r="J12" s="3945" t="s">
        <v>2269</v>
      </c>
      <c r="K12" s="3943">
        <v>3</v>
      </c>
      <c r="L12" s="3943" t="s">
        <v>2270</v>
      </c>
      <c r="M12" s="3945" t="s">
        <v>2271</v>
      </c>
      <c r="N12" s="3947">
        <f>SUM(S12:S13)/O12</f>
        <v>1</v>
      </c>
      <c r="O12" s="3949">
        <f>SUM(S12:S13)</f>
        <v>308302422.89999998</v>
      </c>
      <c r="P12" s="3945" t="s">
        <v>2272</v>
      </c>
      <c r="Q12" s="1823" t="s">
        <v>2273</v>
      </c>
      <c r="R12" s="1789" t="s">
        <v>2274</v>
      </c>
      <c r="S12" s="2140">
        <f>202521845.95-0.45+46642477.92+20556351.84</f>
        <v>269720675.25999999</v>
      </c>
      <c r="T12" s="1431" t="s">
        <v>2275</v>
      </c>
      <c r="U12" s="1201">
        <v>3</v>
      </c>
      <c r="V12" s="1201" t="s">
        <v>2276</v>
      </c>
      <c r="W12" s="3943">
        <v>295972</v>
      </c>
      <c r="X12" s="3943">
        <v>285580</v>
      </c>
      <c r="Y12" s="3943">
        <v>135545</v>
      </c>
      <c r="Z12" s="3943">
        <v>44254</v>
      </c>
      <c r="AA12" s="3943">
        <v>309146</v>
      </c>
      <c r="AB12" s="3943">
        <v>92607</v>
      </c>
      <c r="AC12" s="3943">
        <v>2145</v>
      </c>
      <c r="AD12" s="3943">
        <v>12718</v>
      </c>
      <c r="AE12" s="3943">
        <v>26</v>
      </c>
      <c r="AF12" s="3943">
        <v>37</v>
      </c>
      <c r="AG12" s="3943" t="s">
        <v>134</v>
      </c>
      <c r="AH12" s="3943" t="s">
        <v>134</v>
      </c>
      <c r="AI12" s="3943">
        <v>44350</v>
      </c>
      <c r="AJ12" s="3943">
        <v>21944</v>
      </c>
      <c r="AK12" s="3943">
        <v>75687</v>
      </c>
      <c r="AL12" s="3943">
        <v>581552</v>
      </c>
      <c r="AM12" s="3951">
        <v>44197</v>
      </c>
      <c r="AN12" s="3951">
        <v>44561</v>
      </c>
      <c r="AO12" s="3943" t="s">
        <v>2277</v>
      </c>
    </row>
    <row r="13" spans="1:16382" s="1430" customFormat="1" ht="103.5" customHeight="1" x14ac:dyDescent="0.2">
      <c r="A13" s="1864"/>
      <c r="B13" s="1865"/>
      <c r="C13" s="1264"/>
      <c r="D13" s="1264"/>
      <c r="E13" s="1846"/>
      <c r="F13" s="1847"/>
      <c r="G13" s="3944"/>
      <c r="H13" s="3946"/>
      <c r="I13" s="3944"/>
      <c r="J13" s="3946"/>
      <c r="K13" s="3944"/>
      <c r="L13" s="3944"/>
      <c r="M13" s="3946"/>
      <c r="N13" s="3948"/>
      <c r="O13" s="3950"/>
      <c r="P13" s="3946"/>
      <c r="Q13" s="1824" t="s">
        <v>2278</v>
      </c>
      <c r="R13" s="1790" t="s">
        <v>2279</v>
      </c>
      <c r="S13" s="2141">
        <f>105780576.95+0.45-46642477.92-20556351.84</f>
        <v>38581747.640000001</v>
      </c>
      <c r="T13" s="1432" t="s">
        <v>2280</v>
      </c>
      <c r="U13" s="1200">
        <v>3</v>
      </c>
      <c r="V13" s="1200" t="s">
        <v>2276</v>
      </c>
      <c r="W13" s="3944"/>
      <c r="X13" s="3944"/>
      <c r="Y13" s="3944"/>
      <c r="Z13" s="3944"/>
      <c r="AA13" s="3944"/>
      <c r="AB13" s="3944"/>
      <c r="AC13" s="3944"/>
      <c r="AD13" s="3944"/>
      <c r="AE13" s="3944"/>
      <c r="AF13" s="3944"/>
      <c r="AG13" s="3944"/>
      <c r="AH13" s="3944"/>
      <c r="AI13" s="3944"/>
      <c r="AJ13" s="3944"/>
      <c r="AK13" s="3944"/>
      <c r="AL13" s="3944"/>
      <c r="AM13" s="3952"/>
      <c r="AN13" s="3952"/>
      <c r="AO13" s="3944"/>
    </row>
    <row r="14" spans="1:16382" s="1430" customFormat="1" ht="29.25" customHeight="1" x14ac:dyDescent="0.25">
      <c r="A14" s="1864"/>
      <c r="B14" s="1865"/>
      <c r="C14" s="1859">
        <v>22</v>
      </c>
      <c r="D14" s="1433" t="s">
        <v>423</v>
      </c>
      <c r="E14" s="1843"/>
      <c r="F14" s="1843"/>
      <c r="G14" s="730"/>
      <c r="H14" s="1814"/>
      <c r="I14" s="730"/>
      <c r="J14" s="1814"/>
      <c r="K14" s="730"/>
      <c r="L14" s="730"/>
      <c r="M14" s="1814"/>
      <c r="N14" s="1434"/>
      <c r="O14" s="1831"/>
      <c r="P14" s="1814"/>
      <c r="Q14" s="1814"/>
      <c r="R14" s="1814"/>
      <c r="S14" s="1831"/>
      <c r="T14" s="730"/>
      <c r="U14" s="730"/>
      <c r="V14" s="730"/>
      <c r="W14" s="730"/>
      <c r="X14" s="730"/>
      <c r="Y14" s="730"/>
      <c r="Z14" s="730"/>
      <c r="AA14" s="730"/>
      <c r="AB14" s="730"/>
      <c r="AC14" s="730"/>
      <c r="AD14" s="730"/>
      <c r="AE14" s="730"/>
      <c r="AF14" s="730"/>
      <c r="AG14" s="730"/>
      <c r="AH14" s="730"/>
      <c r="AI14" s="730"/>
      <c r="AJ14" s="730"/>
      <c r="AK14" s="730"/>
      <c r="AL14" s="730"/>
      <c r="AM14" s="730"/>
      <c r="AN14" s="730"/>
      <c r="AO14" s="1435"/>
    </row>
    <row r="15" spans="1:16382" s="1430" customFormat="1" ht="34.5" customHeight="1" x14ac:dyDescent="0.2">
      <c r="A15" s="1855" t="s">
        <v>134</v>
      </c>
      <c r="B15" s="49" t="s">
        <v>134</v>
      </c>
      <c r="C15" s="424"/>
      <c r="D15" s="424"/>
      <c r="E15" s="1842">
        <v>2201</v>
      </c>
      <c r="F15" s="1848" t="s">
        <v>2281</v>
      </c>
      <c r="G15" s="1828"/>
      <c r="H15" s="1829"/>
      <c r="I15" s="1828"/>
      <c r="J15" s="1829"/>
      <c r="K15" s="1828"/>
      <c r="L15" s="1828"/>
      <c r="M15" s="1829"/>
      <c r="N15" s="1828"/>
      <c r="O15" s="1832"/>
      <c r="P15" s="1829"/>
      <c r="Q15" s="1815" t="s">
        <v>134</v>
      </c>
      <c r="R15" s="1815" t="s">
        <v>134</v>
      </c>
      <c r="S15" s="2142" t="s">
        <v>134</v>
      </c>
      <c r="T15" s="1323" t="s">
        <v>134</v>
      </c>
      <c r="U15" s="1323" t="s">
        <v>134</v>
      </c>
      <c r="V15" s="1323" t="s">
        <v>134</v>
      </c>
      <c r="W15" s="1436" t="s">
        <v>134</v>
      </c>
      <c r="X15" s="1436" t="s">
        <v>134</v>
      </c>
      <c r="Y15" s="1436" t="s">
        <v>134</v>
      </c>
      <c r="Z15" s="1436" t="s">
        <v>134</v>
      </c>
      <c r="AA15" s="1436" t="s">
        <v>134</v>
      </c>
      <c r="AB15" s="1436" t="s">
        <v>134</v>
      </c>
      <c r="AC15" s="1436" t="s">
        <v>134</v>
      </c>
      <c r="AD15" s="1436" t="s">
        <v>134</v>
      </c>
      <c r="AE15" s="1436" t="s">
        <v>134</v>
      </c>
      <c r="AF15" s="1436" t="s">
        <v>134</v>
      </c>
      <c r="AG15" s="1436" t="s">
        <v>134</v>
      </c>
      <c r="AH15" s="1436" t="s">
        <v>134</v>
      </c>
      <c r="AI15" s="1437" t="s">
        <v>134</v>
      </c>
      <c r="AJ15" s="1437" t="s">
        <v>134</v>
      </c>
      <c r="AK15" s="1437" t="s">
        <v>134</v>
      </c>
      <c r="AL15" s="1437" t="s">
        <v>134</v>
      </c>
      <c r="AM15" s="1438" t="s">
        <v>134</v>
      </c>
      <c r="AN15" s="1438" t="s">
        <v>134</v>
      </c>
      <c r="AO15" s="1439" t="s">
        <v>134</v>
      </c>
      <c r="AP15" s="1428" t="s">
        <v>134</v>
      </c>
      <c r="AQ15" s="1428" t="s">
        <v>134</v>
      </c>
      <c r="AR15" s="1428" t="s">
        <v>134</v>
      </c>
      <c r="AS15" s="1428" t="s">
        <v>134</v>
      </c>
      <c r="AT15" s="1428" t="s">
        <v>134</v>
      </c>
      <c r="AU15" s="1428" t="s">
        <v>134</v>
      </c>
      <c r="AV15" s="1428" t="s">
        <v>134</v>
      </c>
      <c r="AW15" s="1428" t="s">
        <v>134</v>
      </c>
      <c r="AX15" s="1428" t="s">
        <v>134</v>
      </c>
      <c r="AY15" s="1428" t="s">
        <v>134</v>
      </c>
      <c r="AZ15" s="1428" t="s">
        <v>134</v>
      </c>
      <c r="BA15" s="1428" t="s">
        <v>134</v>
      </c>
      <c r="BB15" s="1428" t="s">
        <v>134</v>
      </c>
      <c r="BC15" s="1428" t="s">
        <v>134</v>
      </c>
      <c r="BD15" s="1428" t="s">
        <v>134</v>
      </c>
      <c r="BE15" s="1428" t="s">
        <v>134</v>
      </c>
      <c r="BF15" s="1428" t="s">
        <v>134</v>
      </c>
      <c r="BG15" s="1428" t="s">
        <v>134</v>
      </c>
      <c r="BH15" s="1428" t="s">
        <v>134</v>
      </c>
      <c r="BI15" s="1428" t="s">
        <v>134</v>
      </c>
      <c r="BJ15" s="1428" t="s">
        <v>134</v>
      </c>
      <c r="BK15" s="1428" t="s">
        <v>134</v>
      </c>
      <c r="BL15" s="1428" t="s">
        <v>134</v>
      </c>
      <c r="BM15" s="1428" t="s">
        <v>134</v>
      </c>
      <c r="BN15" s="1428" t="s">
        <v>134</v>
      </c>
      <c r="BO15" s="1428" t="s">
        <v>134</v>
      </c>
      <c r="BP15" s="1428" t="s">
        <v>134</v>
      </c>
      <c r="BQ15" s="1428" t="s">
        <v>134</v>
      </c>
      <c r="BR15" s="1428" t="s">
        <v>134</v>
      </c>
      <c r="BS15" s="1428" t="s">
        <v>134</v>
      </c>
      <c r="BT15" s="1428" t="s">
        <v>134</v>
      </c>
      <c r="BU15" s="1428" t="s">
        <v>134</v>
      </c>
      <c r="BV15" s="1428" t="s">
        <v>134</v>
      </c>
    </row>
    <row r="16" spans="1:16382" s="1430" customFormat="1" ht="99.75" customHeight="1" x14ac:dyDescent="0.2">
      <c r="A16" s="1856" t="s">
        <v>134</v>
      </c>
      <c r="B16" s="1811" t="s">
        <v>134</v>
      </c>
      <c r="C16" s="198"/>
      <c r="D16" s="198"/>
      <c r="E16" s="1849" t="s">
        <v>134</v>
      </c>
      <c r="F16" s="1199" t="s">
        <v>134</v>
      </c>
      <c r="G16" s="3953">
        <v>2201062</v>
      </c>
      <c r="H16" s="3955" t="s">
        <v>2282</v>
      </c>
      <c r="I16" s="3943">
        <v>220106200</v>
      </c>
      <c r="J16" s="3945" t="s">
        <v>2283</v>
      </c>
      <c r="K16" s="3943">
        <v>15</v>
      </c>
      <c r="L16" s="3943" t="s">
        <v>2284</v>
      </c>
      <c r="M16" s="3945" t="s">
        <v>2285</v>
      </c>
      <c r="N16" s="3947">
        <f>SUM(S16:S17)/O16</f>
        <v>1</v>
      </c>
      <c r="O16" s="3949">
        <f>SUM(S16:S17)</f>
        <v>329008863.95000005</v>
      </c>
      <c r="P16" s="3945" t="s">
        <v>2286</v>
      </c>
      <c r="Q16" s="1824" t="s">
        <v>2287</v>
      </c>
      <c r="R16" s="1789" t="s">
        <v>2288</v>
      </c>
      <c r="S16" s="2140">
        <f>202521845.95-0.45+20706441.05</f>
        <v>223228286.55000001</v>
      </c>
      <c r="T16" s="1431" t="s">
        <v>2289</v>
      </c>
      <c r="U16" s="1201">
        <v>3</v>
      </c>
      <c r="V16" s="1201" t="s">
        <v>2276</v>
      </c>
      <c r="W16" s="3943">
        <v>295972</v>
      </c>
      <c r="X16" s="3943">
        <v>285580</v>
      </c>
      <c r="Y16" s="3943">
        <v>135545</v>
      </c>
      <c r="Z16" s="3943">
        <v>44254</v>
      </c>
      <c r="AA16" s="3943">
        <v>309146</v>
      </c>
      <c r="AB16" s="3943">
        <v>92607</v>
      </c>
      <c r="AC16" s="3943">
        <v>2145</v>
      </c>
      <c r="AD16" s="3943">
        <v>12718</v>
      </c>
      <c r="AE16" s="3943">
        <v>26</v>
      </c>
      <c r="AF16" s="3943">
        <v>37</v>
      </c>
      <c r="AG16" s="3943" t="s">
        <v>134</v>
      </c>
      <c r="AH16" s="3943" t="s">
        <v>134</v>
      </c>
      <c r="AI16" s="3943">
        <v>44350</v>
      </c>
      <c r="AJ16" s="3943">
        <v>21944</v>
      </c>
      <c r="AK16" s="3943">
        <v>75687</v>
      </c>
      <c r="AL16" s="3943">
        <v>581552</v>
      </c>
      <c r="AM16" s="3951">
        <v>44197</v>
      </c>
      <c r="AN16" s="3951">
        <v>44561</v>
      </c>
      <c r="AO16" s="3943" t="s">
        <v>2277</v>
      </c>
      <c r="AP16" s="1414"/>
      <c r="AQ16" s="1414"/>
      <c r="AR16" s="1414"/>
      <c r="AS16" s="1414"/>
      <c r="AT16" s="1414"/>
      <c r="AU16" s="1414"/>
      <c r="AV16" s="1414"/>
      <c r="AW16" s="1414"/>
      <c r="AX16" s="1414"/>
      <c r="AY16" s="1414"/>
      <c r="AZ16" s="1414"/>
      <c r="BA16" s="1414"/>
      <c r="BB16" s="1414"/>
      <c r="BC16" s="1414"/>
      <c r="BD16" s="1414"/>
      <c r="BE16" s="1414"/>
      <c r="BF16" s="1414"/>
      <c r="BG16" s="1414"/>
      <c r="BH16" s="1414"/>
      <c r="BI16" s="1414"/>
      <c r="BJ16" s="1414"/>
      <c r="BK16" s="1414"/>
      <c r="BL16" s="1414"/>
      <c r="BM16" s="1414"/>
      <c r="BN16" s="1414"/>
      <c r="BO16" s="1414"/>
      <c r="BP16" s="1414"/>
      <c r="BQ16" s="1414"/>
      <c r="BR16" s="1414"/>
      <c r="BS16" s="1414"/>
      <c r="BT16" s="1414"/>
      <c r="BU16" s="1414"/>
      <c r="BV16" s="1414"/>
    </row>
    <row r="17" spans="1:74" s="1430" customFormat="1" ht="101.25" customHeight="1" x14ac:dyDescent="0.2">
      <c r="A17" s="1857"/>
      <c r="B17" s="1201"/>
      <c r="C17" s="198"/>
      <c r="D17" s="198"/>
      <c r="E17" s="1850"/>
      <c r="F17" s="1201"/>
      <c r="G17" s="3954"/>
      <c r="H17" s="3956"/>
      <c r="I17" s="3944"/>
      <c r="J17" s="3946"/>
      <c r="K17" s="3944"/>
      <c r="L17" s="3944"/>
      <c r="M17" s="3946"/>
      <c r="N17" s="3948"/>
      <c r="O17" s="3950"/>
      <c r="P17" s="3946"/>
      <c r="Q17" s="1825" t="s">
        <v>2290</v>
      </c>
      <c r="R17" s="1788" t="s">
        <v>2291</v>
      </c>
      <c r="S17" s="2143">
        <f>105780576.95+0.45</f>
        <v>105780577.40000001</v>
      </c>
      <c r="T17" s="1432" t="s">
        <v>2292</v>
      </c>
      <c r="U17" s="1200">
        <v>3</v>
      </c>
      <c r="V17" s="1200" t="s">
        <v>2276</v>
      </c>
      <c r="W17" s="3944"/>
      <c r="X17" s="3944"/>
      <c r="Y17" s="3944"/>
      <c r="Z17" s="3944"/>
      <c r="AA17" s="3944"/>
      <c r="AB17" s="3944"/>
      <c r="AC17" s="3944"/>
      <c r="AD17" s="3944"/>
      <c r="AE17" s="3944"/>
      <c r="AF17" s="3944"/>
      <c r="AG17" s="3944"/>
      <c r="AH17" s="3944"/>
      <c r="AI17" s="3944"/>
      <c r="AJ17" s="3944"/>
      <c r="AK17" s="3944"/>
      <c r="AL17" s="3944"/>
      <c r="AM17" s="3952"/>
      <c r="AN17" s="3952"/>
      <c r="AO17" s="3944"/>
      <c r="AP17" s="1414"/>
      <c r="AQ17" s="1414"/>
      <c r="AR17" s="1414"/>
      <c r="AS17" s="1414"/>
      <c r="AT17" s="1414"/>
      <c r="AU17" s="1414"/>
      <c r="AV17" s="1414"/>
      <c r="AW17" s="1414"/>
      <c r="AX17" s="1414"/>
      <c r="AY17" s="1414"/>
      <c r="AZ17" s="1414"/>
      <c r="BA17" s="1414"/>
      <c r="BB17" s="1414"/>
      <c r="BC17" s="1414"/>
      <c r="BD17" s="1414"/>
      <c r="BE17" s="1414"/>
      <c r="BF17" s="1414"/>
      <c r="BG17" s="1414"/>
      <c r="BH17" s="1414"/>
      <c r="BI17" s="1414"/>
      <c r="BJ17" s="1414"/>
      <c r="BK17" s="1414"/>
      <c r="BL17" s="1414"/>
      <c r="BM17" s="1414"/>
      <c r="BN17" s="1414"/>
      <c r="BO17" s="1414"/>
      <c r="BP17" s="1414"/>
      <c r="BQ17" s="1414"/>
      <c r="BR17" s="1414"/>
      <c r="BS17" s="1414"/>
      <c r="BT17" s="1414"/>
      <c r="BU17" s="1414"/>
      <c r="BV17" s="1414"/>
    </row>
    <row r="18" spans="1:74" s="1430" customFormat="1" ht="19.5" customHeight="1" x14ac:dyDescent="0.2">
      <c r="A18" s="23">
        <v>3</v>
      </c>
      <c r="B18" s="2208" t="s">
        <v>2293</v>
      </c>
      <c r="C18" s="3965"/>
      <c r="D18" s="3965"/>
      <c r="E18" s="2209"/>
      <c r="F18" s="2209"/>
      <c r="G18" s="1441"/>
      <c r="H18" s="1816"/>
      <c r="I18" s="1441"/>
      <c r="J18" s="1816"/>
      <c r="K18" s="1441" t="s">
        <v>134</v>
      </c>
      <c r="L18" s="1441" t="s">
        <v>134</v>
      </c>
      <c r="M18" s="1838" t="s">
        <v>134</v>
      </c>
      <c r="N18" s="1441" t="s">
        <v>134</v>
      </c>
      <c r="O18" s="1833" t="s">
        <v>134</v>
      </c>
      <c r="P18" s="1816" t="s">
        <v>134</v>
      </c>
      <c r="Q18" s="1816" t="s">
        <v>134</v>
      </c>
      <c r="R18" s="1816" t="s">
        <v>134</v>
      </c>
      <c r="S18" s="1833" t="s">
        <v>134</v>
      </c>
      <c r="T18" s="1441" t="s">
        <v>134</v>
      </c>
      <c r="U18" s="1441" t="s">
        <v>134</v>
      </c>
      <c r="V18" s="1441" t="s">
        <v>134</v>
      </c>
      <c r="W18" s="1443" t="s">
        <v>134</v>
      </c>
      <c r="X18" s="1443" t="s">
        <v>134</v>
      </c>
      <c r="Y18" s="1443" t="s">
        <v>134</v>
      </c>
      <c r="Z18" s="1443" t="s">
        <v>134</v>
      </c>
      <c r="AA18" s="1443" t="s">
        <v>134</v>
      </c>
      <c r="AB18" s="1443" t="s">
        <v>134</v>
      </c>
      <c r="AC18" s="1443" t="s">
        <v>134</v>
      </c>
      <c r="AD18" s="1443" t="s">
        <v>134</v>
      </c>
      <c r="AE18" s="1443" t="s">
        <v>134</v>
      </c>
      <c r="AF18" s="1443" t="s">
        <v>134</v>
      </c>
      <c r="AG18" s="1443" t="s">
        <v>134</v>
      </c>
      <c r="AH18" s="1443" t="s">
        <v>134</v>
      </c>
      <c r="AI18" s="1444" t="s">
        <v>134</v>
      </c>
      <c r="AJ18" s="1444" t="s">
        <v>134</v>
      </c>
      <c r="AK18" s="1444" t="s">
        <v>134</v>
      </c>
      <c r="AL18" s="1444" t="s">
        <v>134</v>
      </c>
      <c r="AM18" s="1442" t="s">
        <v>134</v>
      </c>
      <c r="AN18" s="1442" t="s">
        <v>134</v>
      </c>
      <c r="AO18" s="1445" t="s">
        <v>134</v>
      </c>
      <c r="AP18" s="1428" t="s">
        <v>134</v>
      </c>
      <c r="AQ18" s="1428" t="s">
        <v>134</v>
      </c>
      <c r="AR18" s="1428" t="s">
        <v>134</v>
      </c>
      <c r="AS18" s="1428" t="s">
        <v>134</v>
      </c>
      <c r="AT18" s="1428" t="s">
        <v>134</v>
      </c>
      <c r="AU18" s="1428" t="s">
        <v>134</v>
      </c>
      <c r="AV18" s="1428" t="s">
        <v>134</v>
      </c>
      <c r="AW18" s="1428" t="s">
        <v>134</v>
      </c>
      <c r="AX18" s="1428" t="s">
        <v>134</v>
      </c>
      <c r="AY18" s="1428" t="s">
        <v>134</v>
      </c>
      <c r="AZ18" s="1428" t="s">
        <v>134</v>
      </c>
      <c r="BA18" s="1428" t="s">
        <v>134</v>
      </c>
      <c r="BB18" s="1428" t="s">
        <v>134</v>
      </c>
      <c r="BC18" s="1428" t="s">
        <v>134</v>
      </c>
      <c r="BD18" s="1428" t="s">
        <v>134</v>
      </c>
      <c r="BE18" s="1428" t="s">
        <v>134</v>
      </c>
      <c r="BF18" s="1428" t="s">
        <v>134</v>
      </c>
      <c r="BG18" s="1428" t="s">
        <v>134</v>
      </c>
      <c r="BH18" s="1428" t="s">
        <v>134</v>
      </c>
      <c r="BI18" s="1428" t="s">
        <v>134</v>
      </c>
      <c r="BJ18" s="1428" t="s">
        <v>134</v>
      </c>
      <c r="BK18" s="1428" t="s">
        <v>134</v>
      </c>
      <c r="BL18" s="1428" t="s">
        <v>134</v>
      </c>
      <c r="BM18" s="1428" t="s">
        <v>134</v>
      </c>
      <c r="BN18" s="1428" t="s">
        <v>134</v>
      </c>
      <c r="BO18" s="1428" t="s">
        <v>134</v>
      </c>
      <c r="BP18" s="1428" t="s">
        <v>134</v>
      </c>
      <c r="BQ18" s="1428" t="s">
        <v>134</v>
      </c>
      <c r="BR18" s="1428" t="s">
        <v>134</v>
      </c>
      <c r="BS18" s="1428" t="s">
        <v>134</v>
      </c>
      <c r="BT18" s="1428" t="s">
        <v>134</v>
      </c>
      <c r="BU18" s="1428" t="s">
        <v>134</v>
      </c>
      <c r="BV18" s="1428" t="s">
        <v>134</v>
      </c>
    </row>
    <row r="19" spans="1:74" s="1430" customFormat="1" ht="19.5" customHeight="1" x14ac:dyDescent="0.25">
      <c r="A19" s="1854"/>
      <c r="B19" s="51"/>
      <c r="C19" s="1852">
        <v>24</v>
      </c>
      <c r="D19" s="1446" t="s">
        <v>504</v>
      </c>
      <c r="E19" s="1447"/>
      <c r="F19" s="1447"/>
      <c r="G19" s="1447"/>
      <c r="H19" s="1817"/>
      <c r="I19" s="1447"/>
      <c r="J19" s="1817"/>
      <c r="K19" s="1447"/>
      <c r="L19" s="1447"/>
      <c r="M19" s="1839"/>
      <c r="N19" s="1447"/>
      <c r="O19" s="1834"/>
      <c r="P19" s="1817"/>
      <c r="Q19" s="1817"/>
      <c r="R19" s="1817"/>
      <c r="S19" s="1834"/>
      <c r="T19" s="1447"/>
      <c r="U19" s="1447"/>
      <c r="V19" s="1447"/>
      <c r="W19" s="1449"/>
      <c r="X19" s="1449"/>
      <c r="Y19" s="1449"/>
      <c r="Z19" s="1449"/>
      <c r="AA19" s="1449"/>
      <c r="AB19" s="1449"/>
      <c r="AC19" s="1449"/>
      <c r="AD19" s="1449"/>
      <c r="AE19" s="1449"/>
      <c r="AF19" s="1449"/>
      <c r="AG19" s="1449"/>
      <c r="AH19" s="1449"/>
      <c r="AI19" s="1450"/>
      <c r="AJ19" s="1450"/>
      <c r="AK19" s="1450"/>
      <c r="AL19" s="1450"/>
      <c r="AM19" s="1448"/>
      <c r="AN19" s="1448"/>
      <c r="AO19" s="1451"/>
      <c r="AP19" s="1421"/>
      <c r="AQ19" s="1421"/>
      <c r="AR19" s="1421"/>
      <c r="AS19" s="1421"/>
      <c r="AT19" s="1421"/>
      <c r="AU19" s="1421"/>
      <c r="AV19" s="1421"/>
      <c r="AW19" s="1421"/>
      <c r="AX19" s="1421"/>
      <c r="AY19" s="1421"/>
      <c r="AZ19" s="1421"/>
      <c r="BA19" s="1421"/>
      <c r="BB19" s="1421"/>
      <c r="BC19" s="1421"/>
      <c r="BD19" s="1421"/>
      <c r="BE19" s="1421"/>
      <c r="BF19" s="1421"/>
      <c r="BG19" s="1421"/>
      <c r="BH19" s="1421"/>
      <c r="BI19" s="1421"/>
      <c r="BJ19" s="1421"/>
      <c r="BK19" s="1421"/>
      <c r="BL19" s="1421"/>
      <c r="BM19" s="1421"/>
      <c r="BN19" s="1421"/>
      <c r="BO19" s="1421"/>
      <c r="BP19" s="1421"/>
      <c r="BQ19" s="1421"/>
      <c r="BR19" s="1421"/>
      <c r="BS19" s="1421"/>
      <c r="BT19" s="1421"/>
      <c r="BU19" s="1421"/>
      <c r="BV19" s="1421"/>
    </row>
    <row r="20" spans="1:74" s="1430" customFormat="1" ht="33" customHeight="1" x14ac:dyDescent="0.2">
      <c r="A20" s="1855" t="s">
        <v>134</v>
      </c>
      <c r="B20" s="49" t="s">
        <v>134</v>
      </c>
      <c r="C20" s="424"/>
      <c r="D20" s="424"/>
      <c r="E20" s="1842">
        <v>2402</v>
      </c>
      <c r="F20" s="293" t="s">
        <v>505</v>
      </c>
      <c r="G20" s="1325"/>
      <c r="H20" s="408"/>
      <c r="I20" s="1325"/>
      <c r="J20" s="408"/>
      <c r="K20" s="1325"/>
      <c r="L20" s="1325"/>
      <c r="M20" s="408"/>
      <c r="N20" s="1325"/>
      <c r="O20" s="1835"/>
      <c r="P20" s="408"/>
      <c r="Q20" s="847" t="s">
        <v>134</v>
      </c>
      <c r="R20" s="847" t="s">
        <v>134</v>
      </c>
      <c r="S20" s="848" t="s">
        <v>134</v>
      </c>
      <c r="T20" s="406" t="s">
        <v>134</v>
      </c>
      <c r="U20" s="406" t="s">
        <v>134</v>
      </c>
      <c r="V20" s="406" t="s">
        <v>134</v>
      </c>
      <c r="W20" s="1452" t="s">
        <v>134</v>
      </c>
      <c r="X20" s="1452" t="s">
        <v>134</v>
      </c>
      <c r="Y20" s="1452" t="s">
        <v>134</v>
      </c>
      <c r="Z20" s="1452" t="s">
        <v>134</v>
      </c>
      <c r="AA20" s="1452" t="s">
        <v>134</v>
      </c>
      <c r="AB20" s="1452" t="s">
        <v>134</v>
      </c>
      <c r="AC20" s="1452" t="s">
        <v>134</v>
      </c>
      <c r="AD20" s="1452" t="s">
        <v>134</v>
      </c>
      <c r="AE20" s="1452" t="s">
        <v>134</v>
      </c>
      <c r="AF20" s="1452" t="s">
        <v>134</v>
      </c>
      <c r="AG20" s="1452" t="s">
        <v>134</v>
      </c>
      <c r="AH20" s="1452" t="s">
        <v>134</v>
      </c>
      <c r="AI20" s="1453" t="s">
        <v>134</v>
      </c>
      <c r="AJ20" s="1453" t="s">
        <v>134</v>
      </c>
      <c r="AK20" s="1453" t="s">
        <v>134</v>
      </c>
      <c r="AL20" s="1453" t="s">
        <v>134</v>
      </c>
      <c r="AM20" s="92" t="s">
        <v>134</v>
      </c>
      <c r="AN20" s="92" t="s">
        <v>134</v>
      </c>
      <c r="AO20" s="1395" t="s">
        <v>134</v>
      </c>
      <c r="AP20" s="1428" t="s">
        <v>134</v>
      </c>
      <c r="AQ20" s="1428" t="s">
        <v>134</v>
      </c>
      <c r="AR20" s="1428" t="s">
        <v>134</v>
      </c>
      <c r="AS20" s="1428" t="s">
        <v>134</v>
      </c>
      <c r="AT20" s="1428" t="s">
        <v>134</v>
      </c>
      <c r="AU20" s="1428" t="s">
        <v>134</v>
      </c>
      <c r="AV20" s="1428" t="s">
        <v>134</v>
      </c>
      <c r="AW20" s="1428" t="s">
        <v>134</v>
      </c>
      <c r="AX20" s="1428" t="s">
        <v>134</v>
      </c>
      <c r="AY20" s="1428" t="s">
        <v>134</v>
      </c>
      <c r="AZ20" s="1428" t="s">
        <v>134</v>
      </c>
      <c r="BA20" s="1428" t="s">
        <v>134</v>
      </c>
      <c r="BB20" s="1428" t="s">
        <v>134</v>
      </c>
      <c r="BC20" s="1428" t="s">
        <v>134</v>
      </c>
      <c r="BD20" s="1428" t="s">
        <v>134</v>
      </c>
      <c r="BE20" s="1428" t="s">
        <v>134</v>
      </c>
      <c r="BF20" s="1428" t="s">
        <v>134</v>
      </c>
      <c r="BG20" s="1428" t="s">
        <v>134</v>
      </c>
      <c r="BH20" s="1428" t="s">
        <v>134</v>
      </c>
      <c r="BI20" s="1428" t="s">
        <v>134</v>
      </c>
      <c r="BJ20" s="1428" t="s">
        <v>134</v>
      </c>
      <c r="BK20" s="1428" t="s">
        <v>134</v>
      </c>
      <c r="BL20" s="1428" t="s">
        <v>134</v>
      </c>
      <c r="BM20" s="1428" t="s">
        <v>134</v>
      </c>
      <c r="BN20" s="1428" t="s">
        <v>134</v>
      </c>
      <c r="BO20" s="1428" t="s">
        <v>134</v>
      </c>
      <c r="BP20" s="1428" t="s">
        <v>134</v>
      </c>
      <c r="BQ20" s="1428" t="s">
        <v>134</v>
      </c>
      <c r="BR20" s="1428" t="s">
        <v>134</v>
      </c>
      <c r="BS20" s="1428" t="s">
        <v>134</v>
      </c>
      <c r="BT20" s="1428" t="s">
        <v>134</v>
      </c>
      <c r="BU20" s="1428" t="s">
        <v>134</v>
      </c>
      <c r="BV20" s="1428" t="s">
        <v>134</v>
      </c>
    </row>
    <row r="21" spans="1:74" s="1430" customFormat="1" ht="96.75" customHeight="1" x14ac:dyDescent="0.2">
      <c r="A21" s="1856" t="s">
        <v>134</v>
      </c>
      <c r="B21" s="1811" t="s">
        <v>134</v>
      </c>
      <c r="C21" s="198"/>
      <c r="D21" s="198"/>
      <c r="E21" s="1849" t="s">
        <v>134</v>
      </c>
      <c r="F21" s="1199" t="s">
        <v>134</v>
      </c>
      <c r="G21" s="3953">
        <v>2402041</v>
      </c>
      <c r="H21" s="3955" t="s">
        <v>2294</v>
      </c>
      <c r="I21" s="3943">
        <v>240204100</v>
      </c>
      <c r="J21" s="3945" t="s">
        <v>2295</v>
      </c>
      <c r="K21" s="3943">
        <v>130</v>
      </c>
      <c r="L21" s="3943" t="s">
        <v>2296</v>
      </c>
      <c r="M21" s="3945" t="s">
        <v>2297</v>
      </c>
      <c r="N21" s="3947">
        <f>SUM(S21:S23)/O21</f>
        <v>1</v>
      </c>
      <c r="O21" s="3949">
        <f>SUM(S21:S23)</f>
        <v>348896731.19999999</v>
      </c>
      <c r="P21" s="3959" t="s">
        <v>2298</v>
      </c>
      <c r="Q21" s="1826" t="s">
        <v>2299</v>
      </c>
      <c r="R21" s="1818" t="s">
        <v>2300</v>
      </c>
      <c r="S21" s="2141">
        <f>139623124+149435040</f>
        <v>289058164</v>
      </c>
      <c r="T21" s="1432" t="s">
        <v>2301</v>
      </c>
      <c r="U21" s="1200">
        <v>4</v>
      </c>
      <c r="V21" s="1200" t="s">
        <v>2302</v>
      </c>
      <c r="W21" s="3943">
        <v>295972</v>
      </c>
      <c r="X21" s="3943">
        <v>285580</v>
      </c>
      <c r="Y21" s="3943">
        <v>135545</v>
      </c>
      <c r="Z21" s="3943">
        <v>44254</v>
      </c>
      <c r="AA21" s="3943">
        <v>309146</v>
      </c>
      <c r="AB21" s="3943">
        <v>92607</v>
      </c>
      <c r="AC21" s="3943">
        <v>2145</v>
      </c>
      <c r="AD21" s="3943">
        <v>12718</v>
      </c>
      <c r="AE21" s="3943">
        <v>26</v>
      </c>
      <c r="AF21" s="3943">
        <v>37</v>
      </c>
      <c r="AG21" s="3943" t="s">
        <v>134</v>
      </c>
      <c r="AH21" s="3943" t="s">
        <v>134</v>
      </c>
      <c r="AI21" s="3943">
        <v>44350</v>
      </c>
      <c r="AJ21" s="3943">
        <v>21944</v>
      </c>
      <c r="AK21" s="3943">
        <v>75687</v>
      </c>
      <c r="AL21" s="3943">
        <v>581552</v>
      </c>
      <c r="AM21" s="3951">
        <v>44197</v>
      </c>
      <c r="AN21" s="3951">
        <v>44561</v>
      </c>
      <c r="AO21" s="3943" t="s">
        <v>2277</v>
      </c>
      <c r="AP21" s="1414"/>
      <c r="AQ21" s="1414"/>
      <c r="AR21" s="1414"/>
      <c r="AS21" s="1414"/>
      <c r="AT21" s="1414"/>
      <c r="AU21" s="1414"/>
      <c r="AV21" s="1414"/>
      <c r="AW21" s="1414"/>
      <c r="AX21" s="1414"/>
      <c r="AY21" s="1414"/>
      <c r="AZ21" s="1414"/>
      <c r="BA21" s="1414"/>
      <c r="BB21" s="1414"/>
      <c r="BC21" s="1414"/>
      <c r="BD21" s="1414"/>
      <c r="BE21" s="1414"/>
      <c r="BF21" s="1414"/>
      <c r="BG21" s="1414"/>
      <c r="BH21" s="1414"/>
      <c r="BI21" s="1414"/>
      <c r="BJ21" s="1414"/>
      <c r="BK21" s="1414"/>
      <c r="BL21" s="1414"/>
      <c r="BM21" s="1414"/>
      <c r="BN21" s="1414"/>
      <c r="BO21" s="1414"/>
      <c r="BP21" s="1414"/>
      <c r="BQ21" s="1414"/>
      <c r="BR21" s="1414"/>
      <c r="BS21" s="1414"/>
      <c r="BT21" s="1414"/>
      <c r="BU21" s="1414"/>
      <c r="BV21" s="1414"/>
    </row>
    <row r="22" spans="1:74" s="1430" customFormat="1" ht="96.75" customHeight="1" x14ac:dyDescent="0.2">
      <c r="A22" s="1856"/>
      <c r="B22" s="1811"/>
      <c r="C22" s="198"/>
      <c r="D22" s="198"/>
      <c r="E22" s="1812"/>
      <c r="F22" s="1811"/>
      <c r="G22" s="3966"/>
      <c r="H22" s="3967"/>
      <c r="I22" s="3964"/>
      <c r="J22" s="2185"/>
      <c r="K22" s="3964"/>
      <c r="L22" s="3964"/>
      <c r="M22" s="2185"/>
      <c r="N22" s="3957"/>
      <c r="O22" s="3958"/>
      <c r="P22" s="3960"/>
      <c r="Q22" s="3969" t="s">
        <v>2303</v>
      </c>
      <c r="R22" s="3969" t="s">
        <v>2304</v>
      </c>
      <c r="S22" s="2144">
        <f>59838567+0.2-9363750</f>
        <v>50474817.200000003</v>
      </c>
      <c r="T22" s="78" t="s">
        <v>2305</v>
      </c>
      <c r="U22" s="78">
        <v>4</v>
      </c>
      <c r="V22" s="78" t="s">
        <v>2302</v>
      </c>
      <c r="W22" s="3962"/>
      <c r="X22" s="3964"/>
      <c r="Y22" s="3964"/>
      <c r="Z22" s="3964"/>
      <c r="AA22" s="3964"/>
      <c r="AB22" s="3964"/>
      <c r="AC22" s="3964"/>
      <c r="AD22" s="3964"/>
      <c r="AE22" s="3964"/>
      <c r="AF22" s="3964"/>
      <c r="AG22" s="3964"/>
      <c r="AH22" s="3964"/>
      <c r="AI22" s="3964"/>
      <c r="AJ22" s="3964"/>
      <c r="AK22" s="3964"/>
      <c r="AL22" s="3964"/>
      <c r="AM22" s="3968"/>
      <c r="AN22" s="3968"/>
      <c r="AO22" s="3964"/>
      <c r="AP22" s="1414"/>
      <c r="AQ22" s="1414"/>
      <c r="AR22" s="1414"/>
      <c r="AS22" s="1414"/>
      <c r="AT22" s="1414"/>
      <c r="AU22" s="1414"/>
      <c r="AV22" s="1414"/>
      <c r="AW22" s="1414"/>
      <c r="AX22" s="1414"/>
      <c r="AY22" s="1414"/>
      <c r="AZ22" s="1414"/>
      <c r="BA22" s="1414"/>
      <c r="BB22" s="1414"/>
      <c r="BC22" s="1414"/>
      <c r="BD22" s="1414"/>
      <c r="BE22" s="1414"/>
      <c r="BF22" s="1414"/>
      <c r="BG22" s="1414"/>
      <c r="BH22" s="1414"/>
      <c r="BI22" s="1414"/>
      <c r="BJ22" s="1414"/>
      <c r="BK22" s="1414"/>
      <c r="BL22" s="1414"/>
      <c r="BM22" s="1414"/>
      <c r="BN22" s="1414"/>
      <c r="BO22" s="1414"/>
      <c r="BP22" s="1414"/>
      <c r="BQ22" s="1414"/>
      <c r="BR22" s="1414"/>
      <c r="BS22" s="1414"/>
      <c r="BT22" s="1414"/>
      <c r="BU22" s="1414"/>
      <c r="BV22" s="1414"/>
    </row>
    <row r="23" spans="1:74" s="1430" customFormat="1" ht="45.75" customHeight="1" x14ac:dyDescent="0.2">
      <c r="A23" s="1856"/>
      <c r="B23" s="1811"/>
      <c r="C23" s="198"/>
      <c r="D23" s="198"/>
      <c r="E23" s="1850"/>
      <c r="F23" s="1201"/>
      <c r="G23" s="3954"/>
      <c r="H23" s="3956"/>
      <c r="I23" s="3944"/>
      <c r="J23" s="3946"/>
      <c r="K23" s="3944"/>
      <c r="L23" s="3944"/>
      <c r="M23" s="3946"/>
      <c r="N23" s="3948"/>
      <c r="O23" s="3950"/>
      <c r="P23" s="3961"/>
      <c r="Q23" s="3969"/>
      <c r="R23" s="3969"/>
      <c r="S23" s="2144">
        <v>9363750</v>
      </c>
      <c r="T23" s="78" t="s">
        <v>2306</v>
      </c>
      <c r="U23" s="78">
        <v>4</v>
      </c>
      <c r="V23" s="78" t="s">
        <v>2302</v>
      </c>
      <c r="W23" s="3963"/>
      <c r="X23" s="3944"/>
      <c r="Y23" s="3944"/>
      <c r="Z23" s="3944"/>
      <c r="AA23" s="3944"/>
      <c r="AB23" s="3944"/>
      <c r="AC23" s="3944"/>
      <c r="AD23" s="3944"/>
      <c r="AE23" s="3944"/>
      <c r="AF23" s="3944"/>
      <c r="AG23" s="3944"/>
      <c r="AH23" s="3944"/>
      <c r="AI23" s="3944"/>
      <c r="AJ23" s="3944"/>
      <c r="AK23" s="3944"/>
      <c r="AL23" s="3944"/>
      <c r="AM23" s="3952"/>
      <c r="AN23" s="3952"/>
      <c r="AO23" s="3944"/>
      <c r="AP23" s="1414"/>
      <c r="AQ23" s="1414"/>
      <c r="AR23" s="1414"/>
      <c r="AS23" s="1414"/>
      <c r="AT23" s="1414"/>
      <c r="AU23" s="1414"/>
      <c r="AV23" s="1414"/>
      <c r="AW23" s="1414"/>
      <c r="AX23" s="1414"/>
      <c r="AY23" s="1414"/>
      <c r="AZ23" s="1414"/>
      <c r="BA23" s="1414"/>
      <c r="BB23" s="1414"/>
      <c r="BC23" s="1414"/>
      <c r="BD23" s="1414"/>
      <c r="BE23" s="1414"/>
      <c r="BF23" s="1414"/>
      <c r="BG23" s="1414"/>
      <c r="BH23" s="1414"/>
      <c r="BI23" s="1414"/>
      <c r="BJ23" s="1414"/>
      <c r="BK23" s="1414"/>
      <c r="BL23" s="1414"/>
      <c r="BM23" s="1414"/>
      <c r="BN23" s="1414"/>
      <c r="BO23" s="1414"/>
      <c r="BP23" s="1414"/>
      <c r="BQ23" s="1414"/>
      <c r="BR23" s="1414"/>
      <c r="BS23" s="1414"/>
      <c r="BT23" s="1414"/>
      <c r="BU23" s="1414"/>
      <c r="BV23" s="1414"/>
    </row>
    <row r="24" spans="1:74" s="1430" customFormat="1" ht="35.25" customHeight="1" x14ac:dyDescent="0.25">
      <c r="A24" s="1856"/>
      <c r="B24" s="1811"/>
      <c r="C24" s="1853">
        <v>40</v>
      </c>
      <c r="D24" s="3970" t="s">
        <v>615</v>
      </c>
      <c r="E24" s="3971"/>
      <c r="F24" s="3971"/>
      <c r="G24" s="1454"/>
      <c r="H24" s="1814"/>
      <c r="I24" s="730"/>
      <c r="J24" s="1814"/>
      <c r="K24" s="730"/>
      <c r="L24" s="730"/>
      <c r="M24" s="1814"/>
      <c r="N24" s="730"/>
      <c r="O24" s="1831"/>
      <c r="P24" s="1830"/>
      <c r="Q24" s="1819"/>
      <c r="R24" s="1819"/>
      <c r="S24" s="2145"/>
      <c r="T24" s="1454"/>
      <c r="U24" s="1454"/>
      <c r="V24" s="1454"/>
      <c r="W24" s="730"/>
      <c r="X24" s="730"/>
      <c r="Y24" s="730"/>
      <c r="Z24" s="730"/>
      <c r="AA24" s="730"/>
      <c r="AB24" s="730"/>
      <c r="AC24" s="730"/>
      <c r="AD24" s="730"/>
      <c r="AE24" s="730"/>
      <c r="AF24" s="730"/>
      <c r="AG24" s="730"/>
      <c r="AH24" s="730"/>
      <c r="AI24" s="730"/>
      <c r="AJ24" s="730"/>
      <c r="AK24" s="730"/>
      <c r="AL24" s="730"/>
      <c r="AM24" s="730"/>
      <c r="AN24" s="730"/>
      <c r="AO24" s="1435"/>
      <c r="AP24" s="1414"/>
      <c r="AQ24" s="1414"/>
      <c r="AR24" s="1414"/>
      <c r="AS24" s="1414"/>
      <c r="AT24" s="1414"/>
      <c r="AU24" s="1414"/>
      <c r="AV24" s="1414"/>
      <c r="AW24" s="1414"/>
      <c r="AX24" s="1414"/>
      <c r="AY24" s="1414"/>
      <c r="AZ24" s="1414"/>
      <c r="BA24" s="1414"/>
      <c r="BB24" s="1414"/>
      <c r="BC24" s="1414"/>
      <c r="BD24" s="1414"/>
      <c r="BE24" s="1414"/>
      <c r="BF24" s="1414"/>
      <c r="BG24" s="1414"/>
      <c r="BH24" s="1414"/>
      <c r="BI24" s="1414"/>
      <c r="BJ24" s="1414"/>
      <c r="BK24" s="1414"/>
      <c r="BL24" s="1414"/>
      <c r="BM24" s="1414"/>
      <c r="BN24" s="1414"/>
      <c r="BO24" s="1414"/>
      <c r="BP24" s="1414"/>
      <c r="BQ24" s="1414"/>
      <c r="BR24" s="1414"/>
      <c r="BS24" s="1414"/>
      <c r="BT24" s="1414"/>
      <c r="BU24" s="1414"/>
      <c r="BV24" s="1414"/>
    </row>
    <row r="25" spans="1:74" s="1430" customFormat="1" ht="39" customHeight="1" x14ac:dyDescent="0.25">
      <c r="A25" s="1855" t="s">
        <v>134</v>
      </c>
      <c r="B25" s="49" t="s">
        <v>134</v>
      </c>
      <c r="C25" s="424"/>
      <c r="D25" s="424"/>
      <c r="E25" s="1851">
        <v>4001</v>
      </c>
      <c r="F25" s="1848" t="s">
        <v>616</v>
      </c>
      <c r="G25" s="1828"/>
      <c r="H25" s="1829"/>
      <c r="I25" s="1828"/>
      <c r="J25" s="1829"/>
      <c r="K25" s="1828"/>
      <c r="L25" s="1828"/>
      <c r="M25" s="1829"/>
      <c r="N25" s="1828"/>
      <c r="O25" s="1836"/>
      <c r="P25" s="1829"/>
      <c r="Q25" s="1827" t="s">
        <v>134</v>
      </c>
      <c r="R25" s="1815" t="s">
        <v>2307</v>
      </c>
      <c r="S25" s="2142" t="s">
        <v>134</v>
      </c>
      <c r="T25" s="1323"/>
      <c r="U25" s="1323" t="s">
        <v>134</v>
      </c>
      <c r="V25" s="1323" t="s">
        <v>134</v>
      </c>
      <c r="W25" s="1424" t="s">
        <v>134</v>
      </c>
      <c r="X25" s="1424" t="s">
        <v>134</v>
      </c>
      <c r="Y25" s="1424" t="s">
        <v>134</v>
      </c>
      <c r="Z25" s="1424" t="s">
        <v>134</v>
      </c>
      <c r="AA25" s="1424" t="s">
        <v>134</v>
      </c>
      <c r="AB25" s="1424" t="s">
        <v>134</v>
      </c>
      <c r="AC25" s="1424" t="s">
        <v>134</v>
      </c>
      <c r="AD25" s="1424" t="s">
        <v>134</v>
      </c>
      <c r="AE25" s="1424" t="s">
        <v>134</v>
      </c>
      <c r="AF25" s="1424" t="s">
        <v>134</v>
      </c>
      <c r="AG25" s="1424" t="s">
        <v>134</v>
      </c>
      <c r="AH25" s="1424" t="s">
        <v>134</v>
      </c>
      <c r="AI25" s="1425" t="s">
        <v>134</v>
      </c>
      <c r="AJ25" s="1425" t="s">
        <v>134</v>
      </c>
      <c r="AK25" s="1425" t="s">
        <v>134</v>
      </c>
      <c r="AL25" s="1425" t="s">
        <v>134</v>
      </c>
      <c r="AM25" s="1426" t="s">
        <v>134</v>
      </c>
      <c r="AN25" s="1426" t="s">
        <v>134</v>
      </c>
      <c r="AO25" s="1427" t="s">
        <v>134</v>
      </c>
      <c r="AP25" s="1428" t="s">
        <v>134</v>
      </c>
      <c r="AQ25" s="1428" t="s">
        <v>134</v>
      </c>
      <c r="AR25" s="1428" t="s">
        <v>134</v>
      </c>
      <c r="AS25" s="1428" t="s">
        <v>134</v>
      </c>
      <c r="AT25" s="1428" t="s">
        <v>134</v>
      </c>
      <c r="AU25" s="1428" t="s">
        <v>134</v>
      </c>
      <c r="AV25" s="1428" t="s">
        <v>134</v>
      </c>
      <c r="AW25" s="1428" t="s">
        <v>134</v>
      </c>
      <c r="AX25" s="1428" t="s">
        <v>134</v>
      </c>
      <c r="AY25" s="1428" t="s">
        <v>134</v>
      </c>
      <c r="AZ25" s="1428" t="s">
        <v>134</v>
      </c>
      <c r="BA25" s="1428" t="s">
        <v>134</v>
      </c>
      <c r="BB25" s="1428" t="s">
        <v>134</v>
      </c>
      <c r="BC25" s="1428" t="s">
        <v>134</v>
      </c>
      <c r="BD25" s="1428" t="s">
        <v>134</v>
      </c>
      <c r="BE25" s="1428" t="s">
        <v>134</v>
      </c>
      <c r="BF25" s="1428" t="s">
        <v>134</v>
      </c>
      <c r="BG25" s="1428" t="s">
        <v>134</v>
      </c>
      <c r="BH25" s="1428" t="s">
        <v>134</v>
      </c>
      <c r="BI25" s="1428" t="s">
        <v>134</v>
      </c>
      <c r="BJ25" s="1428" t="s">
        <v>134</v>
      </c>
      <c r="BK25" s="1428" t="s">
        <v>134</v>
      </c>
      <c r="BL25" s="1428" t="s">
        <v>134</v>
      </c>
      <c r="BM25" s="1428" t="s">
        <v>134</v>
      </c>
      <c r="BN25" s="1428" t="s">
        <v>134</v>
      </c>
      <c r="BO25" s="1428" t="s">
        <v>134</v>
      </c>
      <c r="BP25" s="1428" t="s">
        <v>134</v>
      </c>
      <c r="BQ25" s="1428" t="s">
        <v>134</v>
      </c>
      <c r="BR25" s="1428" t="s">
        <v>134</v>
      </c>
      <c r="BS25" s="1428" t="s">
        <v>134</v>
      </c>
      <c r="BT25" s="1428" t="s">
        <v>134</v>
      </c>
      <c r="BU25" s="1428" t="s">
        <v>134</v>
      </c>
      <c r="BV25" s="1428" t="s">
        <v>134</v>
      </c>
    </row>
    <row r="26" spans="1:74" s="1430" customFormat="1" ht="96" customHeight="1" x14ac:dyDescent="0.2">
      <c r="A26" s="1856" t="s">
        <v>134</v>
      </c>
      <c r="B26" s="1811" t="s">
        <v>134</v>
      </c>
      <c r="C26" s="198"/>
      <c r="D26" s="198"/>
      <c r="E26" s="1849" t="s">
        <v>134</v>
      </c>
      <c r="F26" s="1199" t="s">
        <v>134</v>
      </c>
      <c r="G26" s="1220">
        <v>4001001</v>
      </c>
      <c r="H26" s="1841" t="s">
        <v>2308</v>
      </c>
      <c r="I26" s="1455">
        <v>400100100</v>
      </c>
      <c r="J26" s="1840" t="s">
        <v>2309</v>
      </c>
      <c r="K26" s="1455">
        <v>3</v>
      </c>
      <c r="L26" s="3943" t="s">
        <v>2310</v>
      </c>
      <c r="M26" s="3945" t="s">
        <v>2311</v>
      </c>
      <c r="N26" s="1456">
        <f>S26/O26</f>
        <v>0</v>
      </c>
      <c r="O26" s="3972">
        <f>SUM(S26:S50)</f>
        <v>1208916662.03</v>
      </c>
      <c r="P26" s="3033" t="s">
        <v>2312</v>
      </c>
      <c r="Q26" s="3981" t="s">
        <v>2313</v>
      </c>
      <c r="R26" s="1820" t="s">
        <v>2309</v>
      </c>
      <c r="S26" s="765">
        <f>9973084.56-9973084.56</f>
        <v>0</v>
      </c>
      <c r="T26" s="1432" t="s">
        <v>2314</v>
      </c>
      <c r="U26" s="1432">
        <v>4</v>
      </c>
      <c r="V26" s="1432" t="s">
        <v>2302</v>
      </c>
      <c r="W26" s="3978">
        <v>295972</v>
      </c>
      <c r="X26" s="3978">
        <v>285580</v>
      </c>
      <c r="Y26" s="3978">
        <v>135545</v>
      </c>
      <c r="Z26" s="3978">
        <v>44254</v>
      </c>
      <c r="AA26" s="3978">
        <v>309146</v>
      </c>
      <c r="AB26" s="3978">
        <v>92607</v>
      </c>
      <c r="AC26" s="3978">
        <v>2145</v>
      </c>
      <c r="AD26" s="3978">
        <v>12718</v>
      </c>
      <c r="AE26" s="3978">
        <v>26</v>
      </c>
      <c r="AF26" s="3978">
        <v>37</v>
      </c>
      <c r="AG26" s="3978" t="s">
        <v>134</v>
      </c>
      <c r="AH26" s="3978" t="s">
        <v>134</v>
      </c>
      <c r="AI26" s="3978">
        <v>44350</v>
      </c>
      <c r="AJ26" s="3978">
        <v>21944</v>
      </c>
      <c r="AK26" s="3978">
        <v>75687</v>
      </c>
      <c r="AL26" s="3978">
        <v>581552</v>
      </c>
      <c r="AM26" s="3951">
        <v>44197</v>
      </c>
      <c r="AN26" s="3951">
        <v>44561</v>
      </c>
      <c r="AO26" s="3943" t="s">
        <v>2277</v>
      </c>
      <c r="AP26" s="1414"/>
      <c r="AQ26" s="1414"/>
      <c r="AR26" s="1414"/>
      <c r="AS26" s="1414"/>
      <c r="AT26" s="1414"/>
      <c r="AU26" s="1414"/>
      <c r="AV26" s="1414"/>
      <c r="AW26" s="1414"/>
      <c r="AX26" s="1414"/>
      <c r="AY26" s="1414"/>
      <c r="AZ26" s="1414"/>
      <c r="BA26" s="1414"/>
      <c r="BB26" s="1414"/>
      <c r="BC26" s="1414"/>
      <c r="BD26" s="1414"/>
      <c r="BE26" s="1414"/>
      <c r="BF26" s="1414"/>
      <c r="BG26" s="1414"/>
      <c r="BH26" s="1414"/>
      <c r="BI26" s="1414"/>
      <c r="BJ26" s="1414"/>
      <c r="BK26" s="1414"/>
      <c r="BL26" s="1414"/>
      <c r="BM26" s="1414"/>
      <c r="BN26" s="1414"/>
      <c r="BO26" s="1414"/>
      <c r="BP26" s="1414"/>
      <c r="BQ26" s="1414"/>
      <c r="BR26" s="1414"/>
      <c r="BS26" s="1414"/>
      <c r="BT26" s="1414"/>
      <c r="BU26" s="1414"/>
      <c r="BV26" s="1414"/>
    </row>
    <row r="27" spans="1:74" s="1430" customFormat="1" ht="45" customHeight="1" x14ac:dyDescent="0.2">
      <c r="A27" s="1856" t="s">
        <v>134</v>
      </c>
      <c r="B27" s="1811" t="s">
        <v>134</v>
      </c>
      <c r="C27" s="198"/>
      <c r="D27" s="198"/>
      <c r="E27" s="1812" t="s">
        <v>134</v>
      </c>
      <c r="F27" s="1811" t="s">
        <v>134</v>
      </c>
      <c r="G27" s="3953">
        <v>4001017</v>
      </c>
      <c r="H27" s="3955" t="s">
        <v>2315</v>
      </c>
      <c r="I27" s="3943">
        <v>400101700</v>
      </c>
      <c r="J27" s="3945" t="s">
        <v>2316</v>
      </c>
      <c r="K27" s="3943">
        <v>25</v>
      </c>
      <c r="L27" s="3964"/>
      <c r="M27" s="2657"/>
      <c r="N27" s="3983">
        <f>SUM(S27:S32)/O26</f>
        <v>0.17662201774021155</v>
      </c>
      <c r="O27" s="3973"/>
      <c r="P27" s="3034"/>
      <c r="Q27" s="3982"/>
      <c r="R27" s="3981" t="s">
        <v>2316</v>
      </c>
      <c r="S27" s="2146">
        <f>42792392.2075-0.3875+62209722.85</f>
        <v>105002114.67</v>
      </c>
      <c r="T27" s="193" t="s">
        <v>2317</v>
      </c>
      <c r="U27" s="1457">
        <v>3</v>
      </c>
      <c r="V27" s="1457" t="s">
        <v>2276</v>
      </c>
      <c r="W27" s="3979"/>
      <c r="X27" s="3979"/>
      <c r="Y27" s="3979"/>
      <c r="Z27" s="3979"/>
      <c r="AA27" s="3979"/>
      <c r="AB27" s="3979"/>
      <c r="AC27" s="3979"/>
      <c r="AD27" s="3979"/>
      <c r="AE27" s="3979"/>
      <c r="AF27" s="3979"/>
      <c r="AG27" s="3979"/>
      <c r="AH27" s="3979"/>
      <c r="AI27" s="3979"/>
      <c r="AJ27" s="3979"/>
      <c r="AK27" s="3979"/>
      <c r="AL27" s="3979"/>
      <c r="AM27" s="3968"/>
      <c r="AN27" s="3968"/>
      <c r="AO27" s="3964"/>
      <c r="AP27" s="1414"/>
      <c r="AQ27" s="1414"/>
      <c r="AR27" s="1414"/>
      <c r="AS27" s="1414"/>
      <c r="AT27" s="1414"/>
      <c r="AU27" s="1414"/>
      <c r="AV27" s="1414"/>
      <c r="AW27" s="1414"/>
      <c r="AX27" s="1414"/>
      <c r="AY27" s="1414"/>
      <c r="AZ27" s="1414"/>
      <c r="BA27" s="1414"/>
      <c r="BB27" s="1414"/>
      <c r="BC27" s="1414"/>
      <c r="BD27" s="1414"/>
      <c r="BE27" s="1414"/>
      <c r="BF27" s="1414"/>
      <c r="BG27" s="1414"/>
      <c r="BH27" s="1414"/>
      <c r="BI27" s="1414"/>
      <c r="BJ27" s="1414"/>
      <c r="BK27" s="1414"/>
      <c r="BL27" s="1414"/>
      <c r="BM27" s="1414"/>
      <c r="BN27" s="1414"/>
      <c r="BO27" s="1414"/>
      <c r="BP27" s="1414"/>
      <c r="BQ27" s="1414"/>
      <c r="BR27" s="1414"/>
      <c r="BS27" s="1414"/>
      <c r="BT27" s="1414"/>
      <c r="BU27" s="1414"/>
      <c r="BV27" s="1414"/>
    </row>
    <row r="28" spans="1:74" s="1430" customFormat="1" ht="45" customHeight="1" x14ac:dyDescent="0.2">
      <c r="A28" s="1856"/>
      <c r="B28" s="1811"/>
      <c r="C28" s="198"/>
      <c r="D28" s="198"/>
      <c r="E28" s="1812"/>
      <c r="F28" s="1811"/>
      <c r="G28" s="3966"/>
      <c r="H28" s="3967"/>
      <c r="I28" s="3964"/>
      <c r="J28" s="2185"/>
      <c r="K28" s="3964"/>
      <c r="L28" s="3964"/>
      <c r="M28" s="2657"/>
      <c r="N28" s="3983"/>
      <c r="O28" s="3973"/>
      <c r="P28" s="3034"/>
      <c r="Q28" s="3982"/>
      <c r="R28" s="3981"/>
      <c r="S28" s="2140">
        <f>27767253.2075+0.18+27767253.39</f>
        <v>55534506.777500004</v>
      </c>
      <c r="T28" s="1431" t="s">
        <v>2317</v>
      </c>
      <c r="U28" s="1201">
        <v>4</v>
      </c>
      <c r="V28" s="1201" t="s">
        <v>2302</v>
      </c>
      <c r="W28" s="3979"/>
      <c r="X28" s="3979"/>
      <c r="Y28" s="3979"/>
      <c r="Z28" s="3979"/>
      <c r="AA28" s="3979"/>
      <c r="AB28" s="3979"/>
      <c r="AC28" s="3979"/>
      <c r="AD28" s="3979"/>
      <c r="AE28" s="3979"/>
      <c r="AF28" s="3979"/>
      <c r="AG28" s="3979"/>
      <c r="AH28" s="3979"/>
      <c r="AI28" s="3979"/>
      <c r="AJ28" s="3979"/>
      <c r="AK28" s="3979"/>
      <c r="AL28" s="3979"/>
      <c r="AM28" s="3968"/>
      <c r="AN28" s="3968"/>
      <c r="AO28" s="3964"/>
      <c r="AP28" s="1414"/>
      <c r="AQ28" s="1414"/>
      <c r="AR28" s="1414"/>
      <c r="AS28" s="1414"/>
      <c r="AT28" s="1414"/>
      <c r="AU28" s="1414"/>
      <c r="AV28" s="1414"/>
      <c r="AW28" s="1414"/>
      <c r="AX28" s="1414"/>
      <c r="AY28" s="1414"/>
      <c r="AZ28" s="1414"/>
      <c r="BA28" s="1414"/>
      <c r="BB28" s="1414"/>
      <c r="BC28" s="1414"/>
      <c r="BD28" s="1414"/>
      <c r="BE28" s="1414"/>
      <c r="BF28" s="1414"/>
      <c r="BG28" s="1414"/>
      <c r="BH28" s="1414"/>
      <c r="BI28" s="1414"/>
      <c r="BJ28" s="1414"/>
      <c r="BK28" s="1414"/>
      <c r="BL28" s="1414"/>
      <c r="BM28" s="1414"/>
      <c r="BN28" s="1414"/>
      <c r="BO28" s="1414"/>
      <c r="BP28" s="1414"/>
      <c r="BQ28" s="1414"/>
      <c r="BR28" s="1414"/>
      <c r="BS28" s="1414"/>
      <c r="BT28" s="1414"/>
      <c r="BU28" s="1414"/>
      <c r="BV28" s="1414"/>
    </row>
    <row r="29" spans="1:74" s="1430" customFormat="1" ht="54.75" customHeight="1" x14ac:dyDescent="0.2">
      <c r="A29" s="1856"/>
      <c r="B29" s="1811"/>
      <c r="C29" s="198"/>
      <c r="D29" s="198"/>
      <c r="E29" s="1812"/>
      <c r="F29" s="1811"/>
      <c r="G29" s="3966"/>
      <c r="H29" s="3967"/>
      <c r="I29" s="3964"/>
      <c r="J29" s="2185"/>
      <c r="K29" s="3964"/>
      <c r="L29" s="3964"/>
      <c r="M29" s="2657"/>
      <c r="N29" s="3983"/>
      <c r="O29" s="3973"/>
      <c r="P29" s="3034"/>
      <c r="Q29" s="3981"/>
      <c r="R29" s="3984" t="s">
        <v>2304</v>
      </c>
      <c r="S29" s="2140">
        <f>8591345.2075+0.1325-5967500+11955833.34</f>
        <v>14579678.68</v>
      </c>
      <c r="T29" s="1431" t="s">
        <v>2318</v>
      </c>
      <c r="U29" s="1201">
        <v>3</v>
      </c>
      <c r="V29" s="1201" t="s">
        <v>2276</v>
      </c>
      <c r="W29" s="3979"/>
      <c r="X29" s="3979"/>
      <c r="Y29" s="3979"/>
      <c r="Z29" s="3979"/>
      <c r="AA29" s="3979"/>
      <c r="AB29" s="3979"/>
      <c r="AC29" s="3979"/>
      <c r="AD29" s="3979"/>
      <c r="AE29" s="3979"/>
      <c r="AF29" s="3979"/>
      <c r="AG29" s="3979"/>
      <c r="AH29" s="3979"/>
      <c r="AI29" s="3979"/>
      <c r="AJ29" s="3979"/>
      <c r="AK29" s="3979"/>
      <c r="AL29" s="3979"/>
      <c r="AM29" s="3968"/>
      <c r="AN29" s="3968"/>
      <c r="AO29" s="3964"/>
      <c r="AP29" s="1414"/>
      <c r="AQ29" s="1414"/>
      <c r="AR29" s="1414"/>
      <c r="AS29" s="1414"/>
      <c r="AT29" s="1414"/>
      <c r="AU29" s="1414"/>
      <c r="AV29" s="1414"/>
      <c r="AW29" s="1414"/>
      <c r="AX29" s="1414"/>
      <c r="AY29" s="1414"/>
      <c r="AZ29" s="1414"/>
      <c r="BA29" s="1414"/>
      <c r="BB29" s="1414"/>
      <c r="BC29" s="1414"/>
      <c r="BD29" s="1414"/>
      <c r="BE29" s="1414"/>
      <c r="BF29" s="1414"/>
      <c r="BG29" s="1414"/>
      <c r="BH29" s="1414"/>
      <c r="BI29" s="1414"/>
      <c r="BJ29" s="1414"/>
      <c r="BK29" s="1414"/>
      <c r="BL29" s="1414"/>
      <c r="BM29" s="1414"/>
      <c r="BN29" s="1414"/>
      <c r="BO29" s="1414"/>
      <c r="BP29" s="1414"/>
      <c r="BQ29" s="1414"/>
      <c r="BR29" s="1414"/>
      <c r="BS29" s="1414"/>
      <c r="BT29" s="1414"/>
      <c r="BU29" s="1414"/>
      <c r="BV29" s="1414"/>
    </row>
    <row r="30" spans="1:74" s="1430" customFormat="1" ht="54.75" customHeight="1" x14ac:dyDescent="0.2">
      <c r="A30" s="1856"/>
      <c r="B30" s="1811"/>
      <c r="C30" s="198"/>
      <c r="D30" s="198"/>
      <c r="E30" s="1812"/>
      <c r="F30" s="1811"/>
      <c r="G30" s="3966"/>
      <c r="H30" s="3967"/>
      <c r="I30" s="3964"/>
      <c r="J30" s="2185"/>
      <c r="K30" s="3964"/>
      <c r="L30" s="3964"/>
      <c r="M30" s="2657"/>
      <c r="N30" s="3983"/>
      <c r="O30" s="3973"/>
      <c r="P30" s="3034"/>
      <c r="Q30" s="3981"/>
      <c r="R30" s="3984"/>
      <c r="S30" s="2140">
        <f>5967500+10335000</f>
        <v>16302500</v>
      </c>
      <c r="T30" s="1458" t="s">
        <v>2319</v>
      </c>
      <c r="U30" s="1201">
        <v>3</v>
      </c>
      <c r="V30" s="1201" t="s">
        <v>2276</v>
      </c>
      <c r="W30" s="3979"/>
      <c r="X30" s="3979"/>
      <c r="Y30" s="3979"/>
      <c r="Z30" s="3979"/>
      <c r="AA30" s="3979"/>
      <c r="AB30" s="3979"/>
      <c r="AC30" s="3979"/>
      <c r="AD30" s="3979"/>
      <c r="AE30" s="3979"/>
      <c r="AF30" s="3979"/>
      <c r="AG30" s="3979"/>
      <c r="AH30" s="3979"/>
      <c r="AI30" s="3979"/>
      <c r="AJ30" s="3979"/>
      <c r="AK30" s="3979"/>
      <c r="AL30" s="3979"/>
      <c r="AM30" s="3968"/>
      <c r="AN30" s="3968"/>
      <c r="AO30" s="3964"/>
      <c r="AP30" s="1414"/>
      <c r="AQ30" s="1414"/>
      <c r="AR30" s="1414"/>
      <c r="AS30" s="1414"/>
      <c r="AT30" s="1414"/>
      <c r="AU30" s="1414"/>
      <c r="AV30" s="1414"/>
      <c r="AW30" s="1414"/>
      <c r="AX30" s="1414"/>
      <c r="AY30" s="1414"/>
      <c r="AZ30" s="1414"/>
      <c r="BA30" s="1414"/>
      <c r="BB30" s="1414"/>
      <c r="BC30" s="1414"/>
      <c r="BD30" s="1414"/>
      <c r="BE30" s="1414"/>
      <c r="BF30" s="1414"/>
      <c r="BG30" s="1414"/>
      <c r="BH30" s="1414"/>
      <c r="BI30" s="1414"/>
      <c r="BJ30" s="1414"/>
      <c r="BK30" s="1414"/>
      <c r="BL30" s="1414"/>
      <c r="BM30" s="1414"/>
      <c r="BN30" s="1414"/>
      <c r="BO30" s="1414"/>
      <c r="BP30" s="1414"/>
      <c r="BQ30" s="1414"/>
      <c r="BR30" s="1414"/>
      <c r="BS30" s="1414"/>
      <c r="BT30" s="1414"/>
      <c r="BU30" s="1414"/>
      <c r="BV30" s="1414"/>
    </row>
    <row r="31" spans="1:74" s="1430" customFormat="1" ht="54.75" customHeight="1" x14ac:dyDescent="0.2">
      <c r="A31" s="1856"/>
      <c r="B31" s="1811"/>
      <c r="C31" s="198"/>
      <c r="D31" s="198"/>
      <c r="E31" s="1812"/>
      <c r="F31" s="1811"/>
      <c r="G31" s="3966"/>
      <c r="H31" s="3967"/>
      <c r="I31" s="3964"/>
      <c r="J31" s="2185"/>
      <c r="K31" s="3964"/>
      <c r="L31" s="3964"/>
      <c r="M31" s="2657"/>
      <c r="N31" s="3983"/>
      <c r="O31" s="3973"/>
      <c r="P31" s="3034"/>
      <c r="Q31" s="3981"/>
      <c r="R31" s="3984"/>
      <c r="S31" s="2140">
        <v>12918750</v>
      </c>
      <c r="T31" s="1458" t="s">
        <v>2319</v>
      </c>
      <c r="U31" s="1201">
        <v>4</v>
      </c>
      <c r="V31" s="1201" t="s">
        <v>2302</v>
      </c>
      <c r="W31" s="3979"/>
      <c r="X31" s="3979"/>
      <c r="Y31" s="3979"/>
      <c r="Z31" s="3979"/>
      <c r="AA31" s="3979"/>
      <c r="AB31" s="3979"/>
      <c r="AC31" s="3979"/>
      <c r="AD31" s="3979"/>
      <c r="AE31" s="3979"/>
      <c r="AF31" s="3979"/>
      <c r="AG31" s="3979"/>
      <c r="AH31" s="3979"/>
      <c r="AI31" s="3979"/>
      <c r="AJ31" s="3979"/>
      <c r="AK31" s="3979"/>
      <c r="AL31" s="3979"/>
      <c r="AM31" s="3968"/>
      <c r="AN31" s="3968"/>
      <c r="AO31" s="3964"/>
      <c r="AP31" s="1414"/>
      <c r="AQ31" s="1414"/>
      <c r="AR31" s="1414"/>
      <c r="AS31" s="1414"/>
      <c r="AT31" s="1414"/>
      <c r="AU31" s="1414"/>
      <c r="AV31" s="1414"/>
      <c r="AW31" s="1414"/>
      <c r="AX31" s="1414"/>
      <c r="AY31" s="1414"/>
      <c r="AZ31" s="1414"/>
      <c r="BA31" s="1414"/>
      <c r="BB31" s="1414"/>
      <c r="BC31" s="1414"/>
      <c r="BD31" s="1414"/>
      <c r="BE31" s="1414"/>
      <c r="BF31" s="1414"/>
      <c r="BG31" s="1414"/>
      <c r="BH31" s="1414"/>
      <c r="BI31" s="1414"/>
      <c r="BJ31" s="1414"/>
      <c r="BK31" s="1414"/>
      <c r="BL31" s="1414"/>
      <c r="BM31" s="1414"/>
      <c r="BN31" s="1414"/>
      <c r="BO31" s="1414"/>
      <c r="BP31" s="1414"/>
      <c r="BQ31" s="1414"/>
      <c r="BR31" s="1414"/>
      <c r="BS31" s="1414"/>
      <c r="BT31" s="1414"/>
      <c r="BU31" s="1414"/>
      <c r="BV31" s="1414"/>
    </row>
    <row r="32" spans="1:74" s="1430" customFormat="1" ht="45" customHeight="1" x14ac:dyDescent="0.2">
      <c r="A32" s="1856"/>
      <c r="B32" s="1811"/>
      <c r="C32" s="198"/>
      <c r="D32" s="198"/>
      <c r="E32" s="1812"/>
      <c r="F32" s="1811"/>
      <c r="G32" s="3954"/>
      <c r="H32" s="3956"/>
      <c r="I32" s="3944"/>
      <c r="J32" s="3946"/>
      <c r="K32" s="3944"/>
      <c r="L32" s="3964"/>
      <c r="M32" s="2657"/>
      <c r="N32" s="3983"/>
      <c r="O32" s="3973"/>
      <c r="P32" s="3034"/>
      <c r="Q32" s="3981"/>
      <c r="R32" s="3984"/>
      <c r="S32" s="2140">
        <f>2152000.2075+0.0825+7031749.71</f>
        <v>9183750</v>
      </c>
      <c r="T32" s="1431" t="s">
        <v>2318</v>
      </c>
      <c r="U32" s="1201">
        <v>4</v>
      </c>
      <c r="V32" s="1201" t="s">
        <v>2302</v>
      </c>
      <c r="W32" s="3979"/>
      <c r="X32" s="3979"/>
      <c r="Y32" s="3979"/>
      <c r="Z32" s="3979"/>
      <c r="AA32" s="3979"/>
      <c r="AB32" s="3979"/>
      <c r="AC32" s="3979"/>
      <c r="AD32" s="3979"/>
      <c r="AE32" s="3979"/>
      <c r="AF32" s="3979"/>
      <c r="AG32" s="3979"/>
      <c r="AH32" s="3979"/>
      <c r="AI32" s="3979"/>
      <c r="AJ32" s="3979"/>
      <c r="AK32" s="3979"/>
      <c r="AL32" s="3979"/>
      <c r="AM32" s="3968"/>
      <c r="AN32" s="3968"/>
      <c r="AO32" s="3964"/>
      <c r="AP32" s="1414"/>
      <c r="AQ32" s="1414"/>
      <c r="AR32" s="1414"/>
      <c r="AS32" s="1414"/>
      <c r="AT32" s="1414"/>
      <c r="AU32" s="1414"/>
      <c r="AV32" s="1414"/>
      <c r="AW32" s="1414"/>
      <c r="AX32" s="1414"/>
      <c r="AY32" s="1414"/>
      <c r="AZ32" s="1414"/>
      <c r="BA32" s="1414"/>
      <c r="BB32" s="1414"/>
      <c r="BC32" s="1414"/>
      <c r="BD32" s="1414"/>
      <c r="BE32" s="1414"/>
      <c r="BF32" s="1414"/>
      <c r="BG32" s="1414"/>
      <c r="BH32" s="1414"/>
      <c r="BI32" s="1414"/>
      <c r="BJ32" s="1414"/>
      <c r="BK32" s="1414"/>
      <c r="BL32" s="1414"/>
      <c r="BM32" s="1414"/>
      <c r="BN32" s="1414"/>
      <c r="BO32" s="1414"/>
      <c r="BP32" s="1414"/>
      <c r="BQ32" s="1414"/>
      <c r="BR32" s="1414"/>
      <c r="BS32" s="1414"/>
      <c r="BT32" s="1414"/>
      <c r="BU32" s="1414"/>
      <c r="BV32" s="1414"/>
    </row>
    <row r="33" spans="1:74" s="1430" customFormat="1" ht="29.25" customHeight="1" x14ac:dyDescent="0.2">
      <c r="A33" s="1856" t="s">
        <v>134</v>
      </c>
      <c r="B33" s="1811" t="s">
        <v>134</v>
      </c>
      <c r="C33" s="198"/>
      <c r="D33" s="198"/>
      <c r="E33" s="1812" t="s">
        <v>134</v>
      </c>
      <c r="F33" s="1811" t="s">
        <v>134</v>
      </c>
      <c r="G33" s="3953">
        <v>4001018</v>
      </c>
      <c r="H33" s="3955" t="s">
        <v>2320</v>
      </c>
      <c r="I33" s="3943">
        <v>400101800</v>
      </c>
      <c r="J33" s="3945" t="s">
        <v>2321</v>
      </c>
      <c r="K33" s="3943">
        <v>75</v>
      </c>
      <c r="L33" s="3964"/>
      <c r="M33" s="2185"/>
      <c r="N33" s="3974">
        <f>SUM(S33:S36)/O26</f>
        <v>6.2156374603872661E-2</v>
      </c>
      <c r="O33" s="3972"/>
      <c r="P33" s="3034"/>
      <c r="Q33" s="3981"/>
      <c r="R33" s="2711" t="s">
        <v>2321</v>
      </c>
      <c r="S33" s="2140">
        <f>107535901.095-0.475-36496509.21</f>
        <v>71039391.409999996</v>
      </c>
      <c r="T33" s="1431" t="s">
        <v>2322</v>
      </c>
      <c r="U33" s="1201">
        <v>3</v>
      </c>
      <c r="V33" s="1201" t="s">
        <v>2276</v>
      </c>
      <c r="W33" s="3979"/>
      <c r="X33" s="3979"/>
      <c r="Y33" s="3979"/>
      <c r="Z33" s="3979"/>
      <c r="AA33" s="3979"/>
      <c r="AB33" s="3979"/>
      <c r="AC33" s="3979"/>
      <c r="AD33" s="3979"/>
      <c r="AE33" s="3979"/>
      <c r="AF33" s="3979"/>
      <c r="AG33" s="3979"/>
      <c r="AH33" s="3979"/>
      <c r="AI33" s="3979"/>
      <c r="AJ33" s="3979"/>
      <c r="AK33" s="3979"/>
      <c r="AL33" s="3979"/>
      <c r="AM33" s="3968"/>
      <c r="AN33" s="3968"/>
      <c r="AO33" s="3964"/>
      <c r="AP33" s="1414"/>
      <c r="AQ33" s="1414"/>
      <c r="AR33" s="1414"/>
      <c r="AS33" s="1414"/>
      <c r="AT33" s="1414"/>
      <c r="AU33" s="1414"/>
      <c r="AV33" s="1414"/>
      <c r="AW33" s="1414"/>
      <c r="AX33" s="1414"/>
      <c r="AY33" s="1414"/>
      <c r="AZ33" s="1414"/>
      <c r="BA33" s="1414"/>
      <c r="BB33" s="1414"/>
      <c r="BC33" s="1414"/>
      <c r="BD33" s="1414"/>
      <c r="BE33" s="1414"/>
      <c r="BF33" s="1414"/>
      <c r="BG33" s="1414"/>
      <c r="BH33" s="1414"/>
      <c r="BI33" s="1414"/>
      <c r="BJ33" s="1414"/>
      <c r="BK33" s="1414"/>
      <c r="BL33" s="1414"/>
      <c r="BM33" s="1414"/>
      <c r="BN33" s="1414"/>
      <c r="BO33" s="1414"/>
      <c r="BP33" s="1414"/>
      <c r="BQ33" s="1414"/>
      <c r="BR33" s="1414"/>
      <c r="BS33" s="1414"/>
      <c r="BT33" s="1414"/>
      <c r="BU33" s="1414"/>
      <c r="BV33" s="1414"/>
    </row>
    <row r="34" spans="1:74" s="1430" customFormat="1" ht="29.25" customHeight="1" x14ac:dyDescent="0.2">
      <c r="A34" s="1856"/>
      <c r="B34" s="1811"/>
      <c r="C34" s="198"/>
      <c r="D34" s="198"/>
      <c r="E34" s="1812"/>
      <c r="F34" s="1811"/>
      <c r="G34" s="3966"/>
      <c r="H34" s="3967"/>
      <c r="I34" s="3964"/>
      <c r="J34" s="2185"/>
      <c r="K34" s="3964"/>
      <c r="L34" s="3964"/>
      <c r="M34" s="2185"/>
      <c r="N34" s="3974"/>
      <c r="O34" s="3972"/>
      <c r="P34" s="3034"/>
      <c r="Q34" s="3981"/>
      <c r="R34" s="2711"/>
      <c r="S34" s="2140">
        <f>48710731.095-0.115-48710730.98</f>
        <v>0</v>
      </c>
      <c r="T34" s="1431" t="s">
        <v>2322</v>
      </c>
      <c r="U34" s="1201">
        <v>4</v>
      </c>
      <c r="V34" s="1201" t="s">
        <v>2302</v>
      </c>
      <c r="W34" s="3979"/>
      <c r="X34" s="3979"/>
      <c r="Y34" s="3979"/>
      <c r="Z34" s="3979"/>
      <c r="AA34" s="3979"/>
      <c r="AB34" s="3979"/>
      <c r="AC34" s="3979"/>
      <c r="AD34" s="3979"/>
      <c r="AE34" s="3979"/>
      <c r="AF34" s="3979"/>
      <c r="AG34" s="3979"/>
      <c r="AH34" s="3979"/>
      <c r="AI34" s="3979"/>
      <c r="AJ34" s="3979"/>
      <c r="AK34" s="3979"/>
      <c r="AL34" s="3979"/>
      <c r="AM34" s="3968"/>
      <c r="AN34" s="3968"/>
      <c r="AO34" s="3964"/>
      <c r="AP34" s="1414"/>
      <c r="AQ34" s="1414"/>
      <c r="AR34" s="1414"/>
      <c r="AS34" s="1414"/>
      <c r="AT34" s="1414"/>
      <c r="AU34" s="1414"/>
      <c r="AV34" s="1414"/>
      <c r="AW34" s="1414"/>
      <c r="AX34" s="1414"/>
      <c r="AY34" s="1414"/>
      <c r="AZ34" s="1414"/>
      <c r="BA34" s="1414"/>
      <c r="BB34" s="1414"/>
      <c r="BC34" s="1414"/>
      <c r="BD34" s="1414"/>
      <c r="BE34" s="1414"/>
      <c r="BF34" s="1414"/>
      <c r="BG34" s="1414"/>
      <c r="BH34" s="1414"/>
      <c r="BI34" s="1414"/>
      <c r="BJ34" s="1414"/>
      <c r="BK34" s="1414"/>
      <c r="BL34" s="1414"/>
      <c r="BM34" s="1414"/>
      <c r="BN34" s="1414"/>
      <c r="BO34" s="1414"/>
      <c r="BP34" s="1414"/>
      <c r="BQ34" s="1414"/>
      <c r="BR34" s="1414"/>
      <c r="BS34" s="1414"/>
      <c r="BT34" s="1414"/>
      <c r="BU34" s="1414"/>
      <c r="BV34" s="1414"/>
    </row>
    <row r="35" spans="1:74" s="1430" customFormat="1" ht="45" customHeight="1" x14ac:dyDescent="0.2">
      <c r="A35" s="1856"/>
      <c r="B35" s="1811"/>
      <c r="C35" s="198"/>
      <c r="D35" s="198"/>
      <c r="E35" s="1812"/>
      <c r="F35" s="1811"/>
      <c r="G35" s="3966"/>
      <c r="H35" s="3967"/>
      <c r="I35" s="3964"/>
      <c r="J35" s="2185"/>
      <c r="K35" s="3964"/>
      <c r="L35" s="3964"/>
      <c r="M35" s="2185"/>
      <c r="N35" s="3974"/>
      <c r="O35" s="3972"/>
      <c r="P35" s="3034"/>
      <c r="Q35" s="3981"/>
      <c r="R35" s="2711" t="s">
        <v>2304</v>
      </c>
      <c r="S35" s="2140">
        <f>36338563.095+0.305-34058563.4</f>
        <v>2280000</v>
      </c>
      <c r="T35" s="1431" t="s">
        <v>2323</v>
      </c>
      <c r="U35" s="1201">
        <v>3</v>
      </c>
      <c r="V35" s="1201" t="s">
        <v>2276</v>
      </c>
      <c r="W35" s="3979"/>
      <c r="X35" s="3979"/>
      <c r="Y35" s="3979"/>
      <c r="Z35" s="3979"/>
      <c r="AA35" s="3979"/>
      <c r="AB35" s="3979"/>
      <c r="AC35" s="3979"/>
      <c r="AD35" s="3979"/>
      <c r="AE35" s="3979"/>
      <c r="AF35" s="3979"/>
      <c r="AG35" s="3979"/>
      <c r="AH35" s="3979"/>
      <c r="AI35" s="3979"/>
      <c r="AJ35" s="3979"/>
      <c r="AK35" s="3979"/>
      <c r="AL35" s="3979"/>
      <c r="AM35" s="3968"/>
      <c r="AN35" s="3968"/>
      <c r="AO35" s="3964"/>
      <c r="AP35" s="1414"/>
      <c r="AQ35" s="1414"/>
      <c r="AR35" s="1414"/>
      <c r="AS35" s="1414"/>
      <c r="AT35" s="1414"/>
      <c r="AU35" s="1414"/>
      <c r="AV35" s="1414"/>
      <c r="AW35" s="1414"/>
      <c r="AX35" s="1414"/>
      <c r="AY35" s="1414"/>
      <c r="AZ35" s="1414"/>
      <c r="BA35" s="1414"/>
      <c r="BB35" s="1414"/>
      <c r="BC35" s="1414"/>
      <c r="BD35" s="1414"/>
      <c r="BE35" s="1414"/>
      <c r="BF35" s="1414"/>
      <c r="BG35" s="1414"/>
      <c r="BH35" s="1414"/>
      <c r="BI35" s="1414"/>
      <c r="BJ35" s="1414"/>
      <c r="BK35" s="1414"/>
      <c r="BL35" s="1414"/>
      <c r="BM35" s="1414"/>
      <c r="BN35" s="1414"/>
      <c r="BO35" s="1414"/>
      <c r="BP35" s="1414"/>
      <c r="BQ35" s="1414"/>
      <c r="BR35" s="1414"/>
      <c r="BS35" s="1414"/>
      <c r="BT35" s="1414"/>
      <c r="BU35" s="1414"/>
      <c r="BV35" s="1414"/>
    </row>
    <row r="36" spans="1:74" s="1430" customFormat="1" ht="45" customHeight="1" x14ac:dyDescent="0.2">
      <c r="A36" s="1856"/>
      <c r="B36" s="1811"/>
      <c r="C36" s="198"/>
      <c r="D36" s="198"/>
      <c r="E36" s="1812"/>
      <c r="F36" s="1811"/>
      <c r="G36" s="3954"/>
      <c r="H36" s="3956"/>
      <c r="I36" s="3944"/>
      <c r="J36" s="3946"/>
      <c r="K36" s="3944"/>
      <c r="L36" s="3964"/>
      <c r="M36" s="2185"/>
      <c r="N36" s="3975"/>
      <c r="O36" s="3972"/>
      <c r="P36" s="3034"/>
      <c r="Q36" s="3981"/>
      <c r="R36" s="2711"/>
      <c r="S36" s="2141">
        <f>11127776.095+0.305-8822723.33-482567.57</f>
        <v>1822485.5000000002</v>
      </c>
      <c r="T36" s="1459" t="s">
        <v>2323</v>
      </c>
      <c r="U36" s="1201">
        <v>4</v>
      </c>
      <c r="V36" s="1201" t="s">
        <v>2302</v>
      </c>
      <c r="W36" s="3979"/>
      <c r="X36" s="3979"/>
      <c r="Y36" s="3979"/>
      <c r="Z36" s="3979"/>
      <c r="AA36" s="3979"/>
      <c r="AB36" s="3979"/>
      <c r="AC36" s="3979"/>
      <c r="AD36" s="3979"/>
      <c r="AE36" s="3979"/>
      <c r="AF36" s="3979"/>
      <c r="AG36" s="3979"/>
      <c r="AH36" s="3979"/>
      <c r="AI36" s="3979"/>
      <c r="AJ36" s="3979"/>
      <c r="AK36" s="3979"/>
      <c r="AL36" s="3979"/>
      <c r="AM36" s="3968"/>
      <c r="AN36" s="3968"/>
      <c r="AO36" s="3964"/>
      <c r="AP36" s="1414"/>
      <c r="AQ36" s="1414"/>
      <c r="AR36" s="1414"/>
      <c r="AS36" s="1414"/>
      <c r="AT36" s="1414"/>
      <c r="AU36" s="1414"/>
      <c r="AV36" s="1414"/>
      <c r="AW36" s="1414"/>
      <c r="AX36" s="1414"/>
      <c r="AY36" s="1414"/>
      <c r="AZ36" s="1414"/>
      <c r="BA36" s="1414"/>
      <c r="BB36" s="1414"/>
      <c r="BC36" s="1414"/>
      <c r="BD36" s="1414"/>
      <c r="BE36" s="1414"/>
      <c r="BF36" s="1414"/>
      <c r="BG36" s="1414"/>
      <c r="BH36" s="1414"/>
      <c r="BI36" s="1414"/>
      <c r="BJ36" s="1414"/>
      <c r="BK36" s="1414"/>
      <c r="BL36" s="1414"/>
      <c r="BM36" s="1414"/>
      <c r="BN36" s="1414"/>
      <c r="BO36" s="1414"/>
      <c r="BP36" s="1414"/>
      <c r="BQ36" s="1414"/>
      <c r="BR36" s="1414"/>
      <c r="BS36" s="1414"/>
      <c r="BT36" s="1414"/>
      <c r="BU36" s="1414"/>
      <c r="BV36" s="1414"/>
    </row>
    <row r="37" spans="1:74" s="1430" customFormat="1" ht="103.5" customHeight="1" x14ac:dyDescent="0.2">
      <c r="A37" s="1856" t="s">
        <v>134</v>
      </c>
      <c r="B37" s="1811" t="s">
        <v>134</v>
      </c>
      <c r="C37" s="198"/>
      <c r="D37" s="198"/>
      <c r="E37" s="1812" t="s">
        <v>134</v>
      </c>
      <c r="F37" s="1811" t="s">
        <v>134</v>
      </c>
      <c r="G37" s="1220">
        <v>4001030</v>
      </c>
      <c r="H37" s="1841" t="s">
        <v>2324</v>
      </c>
      <c r="I37" s="1455">
        <v>400103000</v>
      </c>
      <c r="J37" s="1840" t="s">
        <v>684</v>
      </c>
      <c r="K37" s="1455">
        <v>3</v>
      </c>
      <c r="L37" s="3964"/>
      <c r="M37" s="2185"/>
      <c r="N37" s="1456">
        <f>SUM(S37)/O26</f>
        <v>8.2496046859452683E-3</v>
      </c>
      <c r="O37" s="3972"/>
      <c r="P37" s="3967"/>
      <c r="Q37" s="2185" t="s">
        <v>2325</v>
      </c>
      <c r="R37" s="1821" t="s">
        <v>684</v>
      </c>
      <c r="S37" s="2144">
        <v>9973084.5600000005</v>
      </c>
      <c r="T37" s="77" t="s">
        <v>2326</v>
      </c>
      <c r="U37" s="1199">
        <v>4</v>
      </c>
      <c r="V37" s="1440" t="s">
        <v>2302</v>
      </c>
      <c r="W37" s="3979"/>
      <c r="X37" s="3979"/>
      <c r="Y37" s="3979"/>
      <c r="Z37" s="3979"/>
      <c r="AA37" s="3979"/>
      <c r="AB37" s="3979"/>
      <c r="AC37" s="3979"/>
      <c r="AD37" s="3979"/>
      <c r="AE37" s="3979"/>
      <c r="AF37" s="3979"/>
      <c r="AG37" s="3979"/>
      <c r="AH37" s="3979"/>
      <c r="AI37" s="3979"/>
      <c r="AJ37" s="3979"/>
      <c r="AK37" s="3979"/>
      <c r="AL37" s="3979"/>
      <c r="AM37" s="3968"/>
      <c r="AN37" s="3968"/>
      <c r="AO37" s="3964"/>
      <c r="AP37" s="1414"/>
      <c r="AQ37" s="1414"/>
      <c r="AR37" s="1414"/>
      <c r="AS37" s="1414"/>
      <c r="AT37" s="1414"/>
      <c r="AU37" s="1414"/>
      <c r="AV37" s="1414"/>
      <c r="AW37" s="1414"/>
      <c r="AX37" s="1414"/>
      <c r="AY37" s="1414"/>
      <c r="AZ37" s="1414"/>
      <c r="BA37" s="1414"/>
      <c r="BB37" s="1414"/>
      <c r="BC37" s="1414"/>
      <c r="BD37" s="1414"/>
      <c r="BE37" s="1414"/>
      <c r="BF37" s="1414"/>
      <c r="BG37" s="1414"/>
      <c r="BH37" s="1414"/>
      <c r="BI37" s="1414"/>
      <c r="BJ37" s="1414"/>
      <c r="BK37" s="1414"/>
      <c r="BL37" s="1414"/>
      <c r="BM37" s="1414"/>
      <c r="BN37" s="1414"/>
      <c r="BO37" s="1414"/>
      <c r="BP37" s="1414"/>
      <c r="BQ37" s="1414"/>
      <c r="BR37" s="1414"/>
      <c r="BS37" s="1414"/>
      <c r="BT37" s="1414"/>
      <c r="BU37" s="1414"/>
      <c r="BV37" s="1414"/>
    </row>
    <row r="38" spans="1:74" s="1430" customFormat="1" ht="64.5" customHeight="1" x14ac:dyDescent="0.2">
      <c r="A38" s="1856" t="s">
        <v>134</v>
      </c>
      <c r="B38" s="1811" t="s">
        <v>134</v>
      </c>
      <c r="C38" s="198"/>
      <c r="D38" s="198"/>
      <c r="E38" s="1812" t="s">
        <v>134</v>
      </c>
      <c r="F38" s="1811" t="s">
        <v>134</v>
      </c>
      <c r="G38" s="3953">
        <v>4001031</v>
      </c>
      <c r="H38" s="3955" t="s">
        <v>2327</v>
      </c>
      <c r="I38" s="3943">
        <v>400103103</v>
      </c>
      <c r="J38" s="3945" t="s">
        <v>2328</v>
      </c>
      <c r="K38" s="3943">
        <v>8</v>
      </c>
      <c r="L38" s="3964"/>
      <c r="M38" s="2185"/>
      <c r="N38" s="3976">
        <f>SUM(S38:S42)/O26</f>
        <v>0.66818037157631183</v>
      </c>
      <c r="O38" s="3972"/>
      <c r="P38" s="3967"/>
      <c r="Q38" s="2185"/>
      <c r="R38" s="1822" t="s">
        <v>2329</v>
      </c>
      <c r="S38" s="2147">
        <f>405579700.6+0.4+8635589.79+62180692.72+112607652.42</f>
        <v>589003635.92999995</v>
      </c>
      <c r="T38" s="77" t="s">
        <v>2330</v>
      </c>
      <c r="U38" s="1457">
        <v>4</v>
      </c>
      <c r="V38" s="1457" t="s">
        <v>2302</v>
      </c>
      <c r="W38" s="3979"/>
      <c r="X38" s="3979"/>
      <c r="Y38" s="3979"/>
      <c r="Z38" s="3979"/>
      <c r="AA38" s="3979"/>
      <c r="AB38" s="3979"/>
      <c r="AC38" s="3979"/>
      <c r="AD38" s="3979"/>
      <c r="AE38" s="3979"/>
      <c r="AF38" s="3979"/>
      <c r="AG38" s="3979"/>
      <c r="AH38" s="3979"/>
      <c r="AI38" s="3979"/>
      <c r="AJ38" s="3979"/>
      <c r="AK38" s="3979"/>
      <c r="AL38" s="3979"/>
      <c r="AM38" s="3968"/>
      <c r="AN38" s="3968"/>
      <c r="AO38" s="3964"/>
      <c r="AP38" s="1414"/>
      <c r="AQ38" s="1414"/>
      <c r="AR38" s="1414"/>
      <c r="AS38" s="1414"/>
      <c r="AT38" s="1414"/>
      <c r="AU38" s="1414"/>
      <c r="AV38" s="1414"/>
      <c r="AW38" s="1414"/>
      <c r="AX38" s="1414"/>
      <c r="AY38" s="1414"/>
      <c r="AZ38" s="1414"/>
      <c r="BA38" s="1414"/>
      <c r="BB38" s="1414"/>
      <c r="BC38" s="1414"/>
      <c r="BD38" s="1414"/>
      <c r="BE38" s="1414"/>
      <c r="BF38" s="1414"/>
      <c r="BG38" s="1414"/>
      <c r="BH38" s="1414"/>
      <c r="BI38" s="1414"/>
      <c r="BJ38" s="1414"/>
      <c r="BK38" s="1414"/>
      <c r="BL38" s="1414"/>
      <c r="BM38" s="1414"/>
      <c r="BN38" s="1414"/>
      <c r="BO38" s="1414"/>
      <c r="BP38" s="1414"/>
      <c r="BQ38" s="1414"/>
      <c r="BR38" s="1414"/>
      <c r="BS38" s="1414"/>
      <c r="BT38" s="1414"/>
      <c r="BU38" s="1414"/>
      <c r="BV38" s="1414"/>
    </row>
    <row r="39" spans="1:74" s="1430" customFormat="1" ht="64.5" customHeight="1" x14ac:dyDescent="0.2">
      <c r="A39" s="1856"/>
      <c r="B39" s="1811"/>
      <c r="C39" s="198"/>
      <c r="D39" s="198"/>
      <c r="E39" s="1812"/>
      <c r="F39" s="1811"/>
      <c r="G39" s="3966"/>
      <c r="H39" s="3967"/>
      <c r="I39" s="3964"/>
      <c r="J39" s="2185"/>
      <c r="K39" s="3964"/>
      <c r="L39" s="3964"/>
      <c r="M39" s="2185"/>
      <c r="N39" s="3974"/>
      <c r="O39" s="3972"/>
      <c r="P39" s="3967"/>
      <c r="Q39" s="2185"/>
      <c r="R39" s="2183" t="s">
        <v>2304</v>
      </c>
      <c r="S39" s="2140">
        <f>800000+21501737.37</f>
        <v>22301737.370000001</v>
      </c>
      <c r="T39" s="1458" t="s">
        <v>2331</v>
      </c>
      <c r="U39" s="1457">
        <v>4</v>
      </c>
      <c r="V39" s="1457" t="s">
        <v>2302</v>
      </c>
      <c r="W39" s="3979"/>
      <c r="X39" s="3979"/>
      <c r="Y39" s="3979"/>
      <c r="Z39" s="3979"/>
      <c r="AA39" s="3979"/>
      <c r="AB39" s="3979"/>
      <c r="AC39" s="3979"/>
      <c r="AD39" s="3979"/>
      <c r="AE39" s="3979"/>
      <c r="AF39" s="3979"/>
      <c r="AG39" s="3979"/>
      <c r="AH39" s="3979"/>
      <c r="AI39" s="3979"/>
      <c r="AJ39" s="3979"/>
      <c r="AK39" s="3979"/>
      <c r="AL39" s="3979"/>
      <c r="AM39" s="3968"/>
      <c r="AN39" s="3968"/>
      <c r="AO39" s="3964"/>
      <c r="AP39" s="1414"/>
      <c r="AQ39" s="1414"/>
      <c r="AR39" s="1414"/>
      <c r="AS39" s="1414"/>
      <c r="AT39" s="1414"/>
      <c r="AU39" s="1414"/>
      <c r="AV39" s="1414"/>
      <c r="AW39" s="1414"/>
      <c r="AX39" s="1414"/>
      <c r="AY39" s="1414"/>
      <c r="AZ39" s="1414"/>
      <c r="BA39" s="1414"/>
      <c r="BB39" s="1414"/>
      <c r="BC39" s="1414"/>
      <c r="BD39" s="1414"/>
      <c r="BE39" s="1414"/>
      <c r="BF39" s="1414"/>
      <c r="BG39" s="1414"/>
      <c r="BH39" s="1414"/>
      <c r="BI39" s="1414"/>
      <c r="BJ39" s="1414"/>
      <c r="BK39" s="1414"/>
      <c r="BL39" s="1414"/>
      <c r="BM39" s="1414"/>
      <c r="BN39" s="1414"/>
      <c r="BO39" s="1414"/>
      <c r="BP39" s="1414"/>
      <c r="BQ39" s="1414"/>
      <c r="BR39" s="1414"/>
      <c r="BS39" s="1414"/>
      <c r="BT39" s="1414"/>
      <c r="BU39" s="1414"/>
      <c r="BV39" s="1414"/>
    </row>
    <row r="40" spans="1:74" s="1430" customFormat="1" ht="64.5" customHeight="1" x14ac:dyDescent="0.2">
      <c r="A40" s="1856"/>
      <c r="B40" s="1811"/>
      <c r="C40" s="198"/>
      <c r="D40" s="198"/>
      <c r="E40" s="1812"/>
      <c r="F40" s="1811"/>
      <c r="G40" s="3966"/>
      <c r="H40" s="3967"/>
      <c r="I40" s="3964"/>
      <c r="J40" s="2185"/>
      <c r="K40" s="3964"/>
      <c r="L40" s="3964"/>
      <c r="M40" s="2185"/>
      <c r="N40" s="3974"/>
      <c r="O40" s="3972"/>
      <c r="P40" s="3967"/>
      <c r="Q40" s="2185"/>
      <c r="R40" s="2185"/>
      <c r="S40" s="2140">
        <v>8954250</v>
      </c>
      <c r="T40" s="1458" t="s">
        <v>2331</v>
      </c>
      <c r="U40" s="1201">
        <v>3</v>
      </c>
      <c r="V40" s="1201" t="s">
        <v>2276</v>
      </c>
      <c r="W40" s="3979"/>
      <c r="X40" s="3979"/>
      <c r="Y40" s="3979"/>
      <c r="Z40" s="3979"/>
      <c r="AA40" s="3979"/>
      <c r="AB40" s="3979"/>
      <c r="AC40" s="3979"/>
      <c r="AD40" s="3979"/>
      <c r="AE40" s="3979"/>
      <c r="AF40" s="3979"/>
      <c r="AG40" s="3979"/>
      <c r="AH40" s="3979"/>
      <c r="AI40" s="3979"/>
      <c r="AJ40" s="3979"/>
      <c r="AK40" s="3979"/>
      <c r="AL40" s="3979"/>
      <c r="AM40" s="3968"/>
      <c r="AN40" s="3968"/>
      <c r="AO40" s="3964"/>
      <c r="AP40" s="1414"/>
      <c r="AQ40" s="1414"/>
      <c r="AR40" s="1414"/>
      <c r="AS40" s="1414"/>
      <c r="AT40" s="1414"/>
      <c r="AU40" s="1414"/>
      <c r="AV40" s="1414"/>
      <c r="AW40" s="1414"/>
      <c r="AX40" s="1414"/>
      <c r="AY40" s="1414"/>
      <c r="AZ40" s="1414"/>
      <c r="BA40" s="1414"/>
      <c r="BB40" s="1414"/>
      <c r="BC40" s="1414"/>
      <c r="BD40" s="1414"/>
      <c r="BE40" s="1414"/>
      <c r="BF40" s="1414"/>
      <c r="BG40" s="1414"/>
      <c r="BH40" s="1414"/>
      <c r="BI40" s="1414"/>
      <c r="BJ40" s="1414"/>
      <c r="BK40" s="1414"/>
      <c r="BL40" s="1414"/>
      <c r="BM40" s="1414"/>
      <c r="BN40" s="1414"/>
      <c r="BO40" s="1414"/>
      <c r="BP40" s="1414"/>
      <c r="BQ40" s="1414"/>
      <c r="BR40" s="1414"/>
      <c r="BS40" s="1414"/>
      <c r="BT40" s="1414"/>
      <c r="BU40" s="1414"/>
      <c r="BV40" s="1414"/>
    </row>
    <row r="41" spans="1:74" s="1430" customFormat="1" ht="64.5" customHeight="1" x14ac:dyDescent="0.2">
      <c r="A41" s="1856"/>
      <c r="B41" s="1811"/>
      <c r="C41" s="198"/>
      <c r="D41" s="198"/>
      <c r="E41" s="1812"/>
      <c r="F41" s="1811"/>
      <c r="G41" s="3966"/>
      <c r="H41" s="3967"/>
      <c r="I41" s="3964"/>
      <c r="J41" s="2185"/>
      <c r="K41" s="3964"/>
      <c r="L41" s="3964"/>
      <c r="M41" s="2185"/>
      <c r="N41" s="3974"/>
      <c r="O41" s="3972"/>
      <c r="P41" s="3967"/>
      <c r="Q41" s="2185"/>
      <c r="R41" s="2185"/>
      <c r="S41" s="2140">
        <v>90405946.459999993</v>
      </c>
      <c r="T41" s="1431" t="s">
        <v>2332</v>
      </c>
      <c r="U41" s="1201">
        <v>3</v>
      </c>
      <c r="V41" s="1201" t="s">
        <v>2276</v>
      </c>
      <c r="W41" s="3979"/>
      <c r="X41" s="3979"/>
      <c r="Y41" s="3979"/>
      <c r="Z41" s="3979"/>
      <c r="AA41" s="3979"/>
      <c r="AB41" s="3979"/>
      <c r="AC41" s="3979"/>
      <c r="AD41" s="3979"/>
      <c r="AE41" s="3979"/>
      <c r="AF41" s="3979"/>
      <c r="AG41" s="3979"/>
      <c r="AH41" s="3979"/>
      <c r="AI41" s="3979"/>
      <c r="AJ41" s="3979"/>
      <c r="AK41" s="3979"/>
      <c r="AL41" s="3979"/>
      <c r="AM41" s="3968"/>
      <c r="AN41" s="3968"/>
      <c r="AO41" s="3964"/>
      <c r="AP41" s="1414"/>
      <c r="AQ41" s="1414"/>
      <c r="AR41" s="1414"/>
      <c r="AS41" s="1414"/>
      <c r="AT41" s="1414"/>
      <c r="AU41" s="1414"/>
      <c r="AV41" s="1414"/>
      <c r="AW41" s="1414"/>
      <c r="AX41" s="1414"/>
      <c r="AY41" s="1414"/>
      <c r="AZ41" s="1414"/>
      <c r="BA41" s="1414"/>
      <c r="BB41" s="1414"/>
      <c r="BC41" s="1414"/>
      <c r="BD41" s="1414"/>
      <c r="BE41" s="1414"/>
      <c r="BF41" s="1414"/>
      <c r="BG41" s="1414"/>
      <c r="BH41" s="1414"/>
      <c r="BI41" s="1414"/>
      <c r="BJ41" s="1414"/>
      <c r="BK41" s="1414"/>
      <c r="BL41" s="1414"/>
      <c r="BM41" s="1414"/>
      <c r="BN41" s="1414"/>
      <c r="BO41" s="1414"/>
      <c r="BP41" s="1414"/>
      <c r="BQ41" s="1414"/>
      <c r="BR41" s="1414"/>
      <c r="BS41" s="1414"/>
      <c r="BT41" s="1414"/>
      <c r="BU41" s="1414"/>
      <c r="BV41" s="1414"/>
    </row>
    <row r="42" spans="1:74" s="1430" customFormat="1" ht="68.25" customHeight="1" x14ac:dyDescent="0.2">
      <c r="A42" s="1856"/>
      <c r="B42" s="1811"/>
      <c r="C42" s="198"/>
      <c r="D42" s="198"/>
      <c r="E42" s="1812"/>
      <c r="F42" s="1811"/>
      <c r="G42" s="3954"/>
      <c r="H42" s="3956"/>
      <c r="I42" s="3944"/>
      <c r="J42" s="3946"/>
      <c r="K42" s="3944"/>
      <c r="L42" s="3964"/>
      <c r="M42" s="2185"/>
      <c r="N42" s="3975"/>
      <c r="O42" s="3972"/>
      <c r="P42" s="3967"/>
      <c r="Q42" s="2185"/>
      <c r="R42" s="2184"/>
      <c r="S42" s="2140">
        <f>192805373-0.4-800000-21501737.37-8635589.79-62180692.72-2578538.04</f>
        <v>97108814.679999992</v>
      </c>
      <c r="T42" s="1431" t="s">
        <v>2332</v>
      </c>
      <c r="U42" s="1201">
        <v>4</v>
      </c>
      <c r="V42" s="1201" t="s">
        <v>2302</v>
      </c>
      <c r="W42" s="3979"/>
      <c r="X42" s="3979"/>
      <c r="Y42" s="3979"/>
      <c r="Z42" s="3979"/>
      <c r="AA42" s="3979"/>
      <c r="AB42" s="3979"/>
      <c r="AC42" s="3979"/>
      <c r="AD42" s="3979"/>
      <c r="AE42" s="3979"/>
      <c r="AF42" s="3979"/>
      <c r="AG42" s="3979"/>
      <c r="AH42" s="3979"/>
      <c r="AI42" s="3979"/>
      <c r="AJ42" s="3979"/>
      <c r="AK42" s="3979"/>
      <c r="AL42" s="3979"/>
      <c r="AM42" s="3968"/>
      <c r="AN42" s="3968"/>
      <c r="AO42" s="3964"/>
      <c r="AP42" s="1414"/>
      <c r="AQ42" s="1414"/>
      <c r="AR42" s="1414"/>
      <c r="AS42" s="1414"/>
      <c r="AT42" s="1414"/>
      <c r="AU42" s="1414"/>
      <c r="AV42" s="1414"/>
      <c r="AW42" s="1414"/>
      <c r="AX42" s="1414"/>
      <c r="AY42" s="1414"/>
      <c r="AZ42" s="1414"/>
      <c r="BA42" s="1414"/>
      <c r="BB42" s="1414"/>
      <c r="BC42" s="1414"/>
      <c r="BD42" s="1414"/>
      <c r="BE42" s="1414"/>
      <c r="BF42" s="1414"/>
      <c r="BG42" s="1414"/>
      <c r="BH42" s="1414"/>
      <c r="BI42" s="1414"/>
      <c r="BJ42" s="1414"/>
      <c r="BK42" s="1414"/>
      <c r="BL42" s="1414"/>
      <c r="BM42" s="1414"/>
      <c r="BN42" s="1414"/>
      <c r="BO42" s="1414"/>
      <c r="BP42" s="1414"/>
      <c r="BQ42" s="1414"/>
      <c r="BR42" s="1414"/>
      <c r="BS42" s="1414"/>
      <c r="BT42" s="1414"/>
      <c r="BU42" s="1414"/>
      <c r="BV42" s="1414"/>
    </row>
    <row r="43" spans="1:74" s="1430" customFormat="1" ht="47.25" customHeight="1" x14ac:dyDescent="0.2">
      <c r="A43" s="1856" t="s">
        <v>134</v>
      </c>
      <c r="B43" s="1811" t="s">
        <v>134</v>
      </c>
      <c r="C43" s="198"/>
      <c r="D43" s="198"/>
      <c r="E43" s="1812" t="s">
        <v>134</v>
      </c>
      <c r="F43" s="1811" t="s">
        <v>134</v>
      </c>
      <c r="G43" s="3953">
        <v>4001014</v>
      </c>
      <c r="H43" s="3955" t="s">
        <v>2333</v>
      </c>
      <c r="I43" s="3943">
        <v>400101400</v>
      </c>
      <c r="J43" s="3945" t="s">
        <v>2333</v>
      </c>
      <c r="K43" s="3943">
        <v>35</v>
      </c>
      <c r="L43" s="3964"/>
      <c r="M43" s="2185"/>
      <c r="N43" s="3976">
        <f>SUM(S43:S46)/O26</f>
        <v>2.0679667647738313E-12</v>
      </c>
      <c r="O43" s="3972"/>
      <c r="P43" s="3967"/>
      <c r="Q43" s="2185"/>
      <c r="R43" s="2183" t="s">
        <v>2333</v>
      </c>
      <c r="S43" s="2140">
        <f>57179838.1725+0.0475-57179838.22</f>
        <v>0</v>
      </c>
      <c r="T43" s="1431" t="s">
        <v>2334</v>
      </c>
      <c r="U43" s="1201">
        <v>3</v>
      </c>
      <c r="V43" s="1201" t="s">
        <v>2276</v>
      </c>
      <c r="W43" s="3979"/>
      <c r="X43" s="3979"/>
      <c r="Y43" s="3979"/>
      <c r="Z43" s="3979"/>
      <c r="AA43" s="3979"/>
      <c r="AB43" s="3979"/>
      <c r="AC43" s="3979"/>
      <c r="AD43" s="3979"/>
      <c r="AE43" s="3979"/>
      <c r="AF43" s="3979"/>
      <c r="AG43" s="3979"/>
      <c r="AH43" s="3979"/>
      <c r="AI43" s="3979"/>
      <c r="AJ43" s="3979"/>
      <c r="AK43" s="3979"/>
      <c r="AL43" s="3979"/>
      <c r="AM43" s="3968"/>
      <c r="AN43" s="3968"/>
      <c r="AO43" s="3964"/>
      <c r="AP43" s="1414"/>
      <c r="AQ43" s="1414"/>
      <c r="AR43" s="1414"/>
      <c r="AS43" s="1414"/>
      <c r="AT43" s="1414"/>
      <c r="AU43" s="1414"/>
      <c r="AV43" s="1414"/>
      <c r="AW43" s="1414"/>
      <c r="AX43" s="1414"/>
      <c r="AY43" s="1414"/>
      <c r="AZ43" s="1414"/>
      <c r="BA43" s="1414"/>
      <c r="BB43" s="1414"/>
      <c r="BC43" s="1414"/>
      <c r="BD43" s="1414"/>
      <c r="BE43" s="1414"/>
      <c r="BF43" s="1414"/>
      <c r="BG43" s="1414"/>
      <c r="BH43" s="1414"/>
      <c r="BI43" s="1414"/>
      <c r="BJ43" s="1414"/>
      <c r="BK43" s="1414"/>
      <c r="BL43" s="1414"/>
      <c r="BM43" s="1414"/>
      <c r="BN43" s="1414"/>
      <c r="BO43" s="1414"/>
      <c r="BP43" s="1414"/>
      <c r="BQ43" s="1414"/>
      <c r="BR43" s="1414"/>
      <c r="BS43" s="1414"/>
      <c r="BT43" s="1414"/>
      <c r="BU43" s="1414"/>
      <c r="BV43" s="1414"/>
    </row>
    <row r="44" spans="1:74" s="1430" customFormat="1" ht="47.25" customHeight="1" x14ac:dyDescent="0.2">
      <c r="A44" s="1856"/>
      <c r="B44" s="1811"/>
      <c r="C44" s="198"/>
      <c r="D44" s="198"/>
      <c r="E44" s="1812"/>
      <c r="F44" s="1811"/>
      <c r="G44" s="3966"/>
      <c r="H44" s="3967"/>
      <c r="I44" s="3964"/>
      <c r="J44" s="2185"/>
      <c r="K44" s="3964"/>
      <c r="L44" s="3964"/>
      <c r="M44" s="2185"/>
      <c r="N44" s="3974"/>
      <c r="O44" s="3972"/>
      <c r="P44" s="3967"/>
      <c r="Q44" s="2185"/>
      <c r="R44" s="2184"/>
      <c r="S44" s="2140">
        <f>27767253.1725+0.2175-27767253.39</f>
        <v>0</v>
      </c>
      <c r="T44" s="1431" t="s">
        <v>2334</v>
      </c>
      <c r="U44" s="1201">
        <v>4</v>
      </c>
      <c r="V44" s="1201" t="s">
        <v>2302</v>
      </c>
      <c r="W44" s="3979"/>
      <c r="X44" s="3979"/>
      <c r="Y44" s="3979"/>
      <c r="Z44" s="3979"/>
      <c r="AA44" s="3979"/>
      <c r="AB44" s="3979"/>
      <c r="AC44" s="3979"/>
      <c r="AD44" s="3979"/>
      <c r="AE44" s="3979"/>
      <c r="AF44" s="3979"/>
      <c r="AG44" s="3979"/>
      <c r="AH44" s="3979"/>
      <c r="AI44" s="3979"/>
      <c r="AJ44" s="3979"/>
      <c r="AK44" s="3979"/>
      <c r="AL44" s="3979"/>
      <c r="AM44" s="3968"/>
      <c r="AN44" s="3968"/>
      <c r="AO44" s="3964"/>
      <c r="AP44" s="1414"/>
      <c r="AQ44" s="1414"/>
      <c r="AR44" s="1414"/>
      <c r="AS44" s="1414"/>
      <c r="AT44" s="1414"/>
      <c r="AU44" s="1414"/>
      <c r="AV44" s="1414"/>
      <c r="AW44" s="1414"/>
      <c r="AX44" s="1414"/>
      <c r="AY44" s="1414"/>
      <c r="AZ44" s="1414"/>
      <c r="BA44" s="1414"/>
      <c r="BB44" s="1414"/>
      <c r="BC44" s="1414"/>
      <c r="BD44" s="1414"/>
      <c r="BE44" s="1414"/>
      <c r="BF44" s="1414"/>
      <c r="BG44" s="1414"/>
      <c r="BH44" s="1414"/>
      <c r="BI44" s="1414"/>
      <c r="BJ44" s="1414"/>
      <c r="BK44" s="1414"/>
      <c r="BL44" s="1414"/>
      <c r="BM44" s="1414"/>
      <c r="BN44" s="1414"/>
      <c r="BO44" s="1414"/>
      <c r="BP44" s="1414"/>
      <c r="BQ44" s="1414"/>
      <c r="BR44" s="1414"/>
      <c r="BS44" s="1414"/>
      <c r="BT44" s="1414"/>
      <c r="BU44" s="1414"/>
      <c r="BV44" s="1414"/>
    </row>
    <row r="45" spans="1:74" s="1430" customFormat="1" ht="45" customHeight="1" x14ac:dyDescent="0.2">
      <c r="A45" s="1856"/>
      <c r="B45" s="1811"/>
      <c r="C45" s="198"/>
      <c r="D45" s="198"/>
      <c r="E45" s="1812"/>
      <c r="F45" s="1811"/>
      <c r="G45" s="3966"/>
      <c r="H45" s="3967"/>
      <c r="I45" s="3964"/>
      <c r="J45" s="2185"/>
      <c r="K45" s="3964"/>
      <c r="L45" s="3964"/>
      <c r="M45" s="2185"/>
      <c r="N45" s="3974"/>
      <c r="O45" s="3972"/>
      <c r="P45" s="3967"/>
      <c r="Q45" s="2185"/>
      <c r="R45" s="2183" t="s">
        <v>2304</v>
      </c>
      <c r="S45" s="2140">
        <f>14757394.1725-0.38-14757393.79</f>
        <v>2.4999994784593582E-3</v>
      </c>
      <c r="T45" s="1431" t="s">
        <v>2335</v>
      </c>
      <c r="U45" s="1201">
        <v>3</v>
      </c>
      <c r="V45" s="1201" t="s">
        <v>2276</v>
      </c>
      <c r="W45" s="3979"/>
      <c r="X45" s="3979"/>
      <c r="Y45" s="3979"/>
      <c r="Z45" s="3979"/>
      <c r="AA45" s="3979"/>
      <c r="AB45" s="3979"/>
      <c r="AC45" s="3979"/>
      <c r="AD45" s="3979"/>
      <c r="AE45" s="3979"/>
      <c r="AF45" s="3979"/>
      <c r="AG45" s="3979"/>
      <c r="AH45" s="3979"/>
      <c r="AI45" s="3979"/>
      <c r="AJ45" s="3979"/>
      <c r="AK45" s="3979"/>
      <c r="AL45" s="3979"/>
      <c r="AM45" s="3968"/>
      <c r="AN45" s="3968"/>
      <c r="AO45" s="3964"/>
      <c r="AP45" s="1414"/>
      <c r="AQ45" s="1414"/>
      <c r="AR45" s="1414"/>
      <c r="AS45" s="1414"/>
      <c r="AT45" s="1414"/>
      <c r="AU45" s="1414"/>
      <c r="AV45" s="1414"/>
      <c r="AW45" s="1414"/>
      <c r="AX45" s="1414"/>
      <c r="AY45" s="1414"/>
      <c r="AZ45" s="1414"/>
      <c r="BA45" s="1414"/>
      <c r="BB45" s="1414"/>
      <c r="BC45" s="1414"/>
      <c r="BD45" s="1414"/>
      <c r="BE45" s="1414"/>
      <c r="BF45" s="1414"/>
      <c r="BG45" s="1414"/>
      <c r="BH45" s="1414"/>
      <c r="BI45" s="1414"/>
      <c r="BJ45" s="1414"/>
      <c r="BK45" s="1414"/>
      <c r="BL45" s="1414"/>
      <c r="BM45" s="1414"/>
      <c r="BN45" s="1414"/>
      <c r="BO45" s="1414"/>
      <c r="BP45" s="1414"/>
      <c r="BQ45" s="1414"/>
      <c r="BR45" s="1414"/>
      <c r="BS45" s="1414"/>
      <c r="BT45" s="1414"/>
      <c r="BU45" s="1414"/>
      <c r="BV45" s="1414"/>
    </row>
    <row r="46" spans="1:74" s="1430" customFormat="1" ht="45" customHeight="1" x14ac:dyDescent="0.2">
      <c r="A46" s="1856"/>
      <c r="B46" s="1811"/>
      <c r="C46" s="198"/>
      <c r="D46" s="198"/>
      <c r="E46" s="1812"/>
      <c r="F46" s="1811"/>
      <c r="G46" s="3954"/>
      <c r="H46" s="3956"/>
      <c r="I46" s="3944"/>
      <c r="J46" s="3946"/>
      <c r="K46" s="3944"/>
      <c r="L46" s="3964"/>
      <c r="M46" s="2185"/>
      <c r="N46" s="3975"/>
      <c r="O46" s="3972"/>
      <c r="P46" s="3967"/>
      <c r="Q46" s="2185"/>
      <c r="R46" s="2184"/>
      <c r="S46" s="2140">
        <f>2152000.1725+0.1175-2152000.29</f>
        <v>0</v>
      </c>
      <c r="T46" s="1431" t="s">
        <v>2335</v>
      </c>
      <c r="U46" s="1201">
        <v>4</v>
      </c>
      <c r="V46" s="1201" t="s">
        <v>2302</v>
      </c>
      <c r="W46" s="3979"/>
      <c r="X46" s="3979"/>
      <c r="Y46" s="3979"/>
      <c r="Z46" s="3979"/>
      <c r="AA46" s="3979"/>
      <c r="AB46" s="3979"/>
      <c r="AC46" s="3979"/>
      <c r="AD46" s="3979"/>
      <c r="AE46" s="3979"/>
      <c r="AF46" s="3979"/>
      <c r="AG46" s="3979"/>
      <c r="AH46" s="3979"/>
      <c r="AI46" s="3979"/>
      <c r="AJ46" s="3979"/>
      <c r="AK46" s="3979"/>
      <c r="AL46" s="3979"/>
      <c r="AM46" s="3968"/>
      <c r="AN46" s="3968"/>
      <c r="AO46" s="3964"/>
      <c r="AP46" s="1414"/>
      <c r="AQ46" s="1414"/>
      <c r="AR46" s="1414"/>
      <c r="AS46" s="1414"/>
      <c r="AT46" s="1414"/>
      <c r="AU46" s="1414"/>
      <c r="AV46" s="1414"/>
      <c r="AW46" s="1414"/>
      <c r="AX46" s="1414"/>
      <c r="AY46" s="1414"/>
      <c r="AZ46" s="1414"/>
      <c r="BA46" s="1414"/>
      <c r="BB46" s="1414"/>
      <c r="BC46" s="1414"/>
      <c r="BD46" s="1414"/>
      <c r="BE46" s="1414"/>
      <c r="BF46" s="1414"/>
      <c r="BG46" s="1414"/>
      <c r="BH46" s="1414"/>
      <c r="BI46" s="1414"/>
      <c r="BJ46" s="1414"/>
      <c r="BK46" s="1414"/>
      <c r="BL46" s="1414"/>
      <c r="BM46" s="1414"/>
      <c r="BN46" s="1414"/>
      <c r="BO46" s="1414"/>
      <c r="BP46" s="1414"/>
      <c r="BQ46" s="1414"/>
      <c r="BR46" s="1414"/>
      <c r="BS46" s="1414"/>
      <c r="BT46" s="1414"/>
      <c r="BU46" s="1414"/>
      <c r="BV46" s="1414"/>
    </row>
    <row r="47" spans="1:74" s="1430" customFormat="1" ht="51.75" customHeight="1" x14ac:dyDescent="0.2">
      <c r="A47" s="1856" t="s">
        <v>134</v>
      </c>
      <c r="B47" s="1811" t="s">
        <v>134</v>
      </c>
      <c r="C47" s="198"/>
      <c r="D47" s="198"/>
      <c r="E47" s="1812" t="s">
        <v>134</v>
      </c>
      <c r="F47" s="1811" t="s">
        <v>134</v>
      </c>
      <c r="G47" s="3953">
        <v>4001015</v>
      </c>
      <c r="H47" s="3955" t="s">
        <v>619</v>
      </c>
      <c r="I47" s="3943">
        <v>400101500</v>
      </c>
      <c r="J47" s="3945" t="s">
        <v>619</v>
      </c>
      <c r="K47" s="3943">
        <v>50</v>
      </c>
      <c r="L47" s="3964"/>
      <c r="M47" s="2185"/>
      <c r="N47" s="3976">
        <f>SUM(S47:S50)/O26</f>
        <v>8.479163139159071E-2</v>
      </c>
      <c r="O47" s="3972"/>
      <c r="P47" s="3967"/>
      <c r="Q47" s="2185"/>
      <c r="R47" s="2183" t="s">
        <v>619</v>
      </c>
      <c r="S47" s="2140">
        <f>107535901.095-0.475-5029884.63</f>
        <v>102506015.99000001</v>
      </c>
      <c r="T47" s="1431" t="s">
        <v>2336</v>
      </c>
      <c r="U47" s="1201">
        <v>3</v>
      </c>
      <c r="V47" s="1201" t="s">
        <v>2276</v>
      </c>
      <c r="W47" s="3979"/>
      <c r="X47" s="3979"/>
      <c r="Y47" s="3979"/>
      <c r="Z47" s="3979"/>
      <c r="AA47" s="3979"/>
      <c r="AB47" s="3979"/>
      <c r="AC47" s="3979"/>
      <c r="AD47" s="3979"/>
      <c r="AE47" s="3979"/>
      <c r="AF47" s="3979"/>
      <c r="AG47" s="3979"/>
      <c r="AH47" s="3979"/>
      <c r="AI47" s="3979"/>
      <c r="AJ47" s="3979"/>
      <c r="AK47" s="3979"/>
      <c r="AL47" s="3979"/>
      <c r="AM47" s="3968"/>
      <c r="AN47" s="3968"/>
      <c r="AO47" s="3964"/>
      <c r="AP47" s="1414"/>
      <c r="AQ47" s="1414"/>
      <c r="AR47" s="1414"/>
      <c r="AS47" s="1414"/>
      <c r="AT47" s="1414"/>
      <c r="AU47" s="1414"/>
      <c r="AV47" s="1414"/>
      <c r="AW47" s="1414"/>
      <c r="AX47" s="1414"/>
      <c r="AY47" s="1414"/>
      <c r="AZ47" s="1414"/>
      <c r="BA47" s="1414"/>
      <c r="BB47" s="1414"/>
      <c r="BC47" s="1414"/>
      <c r="BD47" s="1414"/>
      <c r="BE47" s="1414"/>
      <c r="BF47" s="1414"/>
      <c r="BG47" s="1414"/>
      <c r="BH47" s="1414"/>
      <c r="BI47" s="1414"/>
      <c r="BJ47" s="1414"/>
      <c r="BK47" s="1414"/>
      <c r="BL47" s="1414"/>
      <c r="BM47" s="1414"/>
      <c r="BN47" s="1414"/>
      <c r="BO47" s="1414"/>
      <c r="BP47" s="1414"/>
      <c r="BQ47" s="1414"/>
      <c r="BR47" s="1414"/>
      <c r="BS47" s="1414"/>
      <c r="BT47" s="1414"/>
      <c r="BU47" s="1414"/>
      <c r="BV47" s="1414"/>
    </row>
    <row r="48" spans="1:74" s="1430" customFormat="1" ht="51.75" customHeight="1" x14ac:dyDescent="0.2">
      <c r="A48" s="1856"/>
      <c r="B48" s="1811"/>
      <c r="C48" s="198"/>
      <c r="D48" s="198"/>
      <c r="E48" s="1812"/>
      <c r="F48" s="1811"/>
      <c r="G48" s="3966"/>
      <c r="H48" s="3967"/>
      <c r="I48" s="3964"/>
      <c r="J48" s="2185"/>
      <c r="K48" s="3964"/>
      <c r="L48" s="3964"/>
      <c r="M48" s="2185"/>
      <c r="N48" s="3974"/>
      <c r="O48" s="3972"/>
      <c r="P48" s="3967"/>
      <c r="Q48" s="2185"/>
      <c r="R48" s="2184"/>
      <c r="S48" s="2140">
        <f>48710731.095-0.115-48710730.98</f>
        <v>0</v>
      </c>
      <c r="T48" s="1431" t="s">
        <v>2336</v>
      </c>
      <c r="U48" s="1201">
        <v>4</v>
      </c>
      <c r="V48" s="1201" t="s">
        <v>2302</v>
      </c>
      <c r="W48" s="3979"/>
      <c r="X48" s="3979"/>
      <c r="Y48" s="3979"/>
      <c r="Z48" s="3979"/>
      <c r="AA48" s="3979"/>
      <c r="AB48" s="3979"/>
      <c r="AC48" s="3979"/>
      <c r="AD48" s="3979"/>
      <c r="AE48" s="3979"/>
      <c r="AF48" s="3979"/>
      <c r="AG48" s="3979"/>
      <c r="AH48" s="3979"/>
      <c r="AI48" s="3979"/>
      <c r="AJ48" s="3979"/>
      <c r="AK48" s="3979"/>
      <c r="AL48" s="3979"/>
      <c r="AM48" s="3968"/>
      <c r="AN48" s="3968"/>
      <c r="AO48" s="3964"/>
      <c r="AP48" s="1414"/>
      <c r="AQ48" s="1414"/>
      <c r="AR48" s="1414"/>
      <c r="AS48" s="1414"/>
      <c r="AT48" s="1414"/>
      <c r="AU48" s="1414"/>
      <c r="AV48" s="1414"/>
      <c r="AW48" s="1414"/>
      <c r="AX48" s="1414"/>
      <c r="AY48" s="1414"/>
      <c r="AZ48" s="1414"/>
      <c r="BA48" s="1414"/>
      <c r="BB48" s="1414"/>
      <c r="BC48" s="1414"/>
      <c r="BD48" s="1414"/>
      <c r="BE48" s="1414"/>
      <c r="BF48" s="1414"/>
      <c r="BG48" s="1414"/>
      <c r="BH48" s="1414"/>
      <c r="BI48" s="1414"/>
      <c r="BJ48" s="1414"/>
      <c r="BK48" s="1414"/>
      <c r="BL48" s="1414"/>
      <c r="BM48" s="1414"/>
      <c r="BN48" s="1414"/>
      <c r="BO48" s="1414"/>
      <c r="BP48" s="1414"/>
      <c r="BQ48" s="1414"/>
      <c r="BR48" s="1414"/>
      <c r="BS48" s="1414"/>
      <c r="BT48" s="1414"/>
      <c r="BU48" s="1414"/>
      <c r="BV48" s="1414"/>
    </row>
    <row r="49" spans="1:74" s="1430" customFormat="1" ht="45" customHeight="1" x14ac:dyDescent="0.2">
      <c r="A49" s="1856"/>
      <c r="B49" s="1811"/>
      <c r="C49" s="198"/>
      <c r="D49" s="198"/>
      <c r="E49" s="1812"/>
      <c r="F49" s="1811"/>
      <c r="G49" s="3966"/>
      <c r="H49" s="3967"/>
      <c r="I49" s="3964"/>
      <c r="J49" s="2185"/>
      <c r="K49" s="3964"/>
      <c r="L49" s="3964"/>
      <c r="M49" s="2185"/>
      <c r="N49" s="3974"/>
      <c r="O49" s="3972"/>
      <c r="P49" s="3967"/>
      <c r="Q49" s="2185"/>
      <c r="R49" s="2183" t="s">
        <v>2304</v>
      </c>
      <c r="S49" s="2140">
        <f>36338563.095+0.305-36338563.4</f>
        <v>0</v>
      </c>
      <c r="T49" s="1431" t="s">
        <v>2337</v>
      </c>
      <c r="U49" s="1201">
        <v>3</v>
      </c>
      <c r="V49" s="1201" t="s">
        <v>2276</v>
      </c>
      <c r="W49" s="3979"/>
      <c r="X49" s="3979"/>
      <c r="Y49" s="3979"/>
      <c r="Z49" s="3979"/>
      <c r="AA49" s="3979"/>
      <c r="AB49" s="3979"/>
      <c r="AC49" s="3979"/>
      <c r="AD49" s="3979"/>
      <c r="AE49" s="3979"/>
      <c r="AF49" s="3979"/>
      <c r="AG49" s="3979"/>
      <c r="AH49" s="3979"/>
      <c r="AI49" s="3979"/>
      <c r="AJ49" s="3979"/>
      <c r="AK49" s="3979"/>
      <c r="AL49" s="3979"/>
      <c r="AM49" s="3968"/>
      <c r="AN49" s="3968"/>
      <c r="AO49" s="3964"/>
      <c r="AP49" s="1414"/>
      <c r="AQ49" s="1414"/>
      <c r="AR49" s="1414"/>
      <c r="AS49" s="1414"/>
      <c r="AT49" s="1414"/>
      <c r="AU49" s="1414"/>
      <c r="AV49" s="1414"/>
      <c r="AW49" s="1414"/>
      <c r="AX49" s="1414"/>
      <c r="AY49" s="1414"/>
      <c r="AZ49" s="1414"/>
      <c r="BA49" s="1414"/>
      <c r="BB49" s="1414"/>
      <c r="BC49" s="1414"/>
      <c r="BD49" s="1414"/>
      <c r="BE49" s="1414"/>
      <c r="BF49" s="1414"/>
      <c r="BG49" s="1414"/>
      <c r="BH49" s="1414"/>
      <c r="BI49" s="1414"/>
      <c r="BJ49" s="1414"/>
      <c r="BK49" s="1414"/>
      <c r="BL49" s="1414"/>
      <c r="BM49" s="1414"/>
      <c r="BN49" s="1414"/>
      <c r="BO49" s="1414"/>
      <c r="BP49" s="1414"/>
      <c r="BQ49" s="1414"/>
      <c r="BR49" s="1414"/>
      <c r="BS49" s="1414"/>
      <c r="BT49" s="1414"/>
      <c r="BU49" s="1414"/>
      <c r="BV49" s="1414"/>
    </row>
    <row r="50" spans="1:74" s="1430" customFormat="1" ht="57" customHeight="1" x14ac:dyDescent="0.2">
      <c r="A50" s="1857"/>
      <c r="B50" s="1201"/>
      <c r="C50" s="1218"/>
      <c r="D50" s="1218"/>
      <c r="E50" s="1850"/>
      <c r="F50" s="1201"/>
      <c r="G50" s="3954"/>
      <c r="H50" s="3956"/>
      <c r="I50" s="3944"/>
      <c r="J50" s="3946"/>
      <c r="K50" s="3944"/>
      <c r="L50" s="3944"/>
      <c r="M50" s="3946"/>
      <c r="N50" s="3977"/>
      <c r="O50" s="3972"/>
      <c r="P50" s="3956"/>
      <c r="Q50" s="2185"/>
      <c r="R50" s="2184"/>
      <c r="S50" s="2140">
        <f>11127776.095+0.285-11127776.38</f>
        <v>0</v>
      </c>
      <c r="T50" s="1431" t="s">
        <v>2337</v>
      </c>
      <c r="U50" s="1201">
        <v>4</v>
      </c>
      <c r="V50" s="1201" t="s">
        <v>2302</v>
      </c>
      <c r="W50" s="3980"/>
      <c r="X50" s="3980"/>
      <c r="Y50" s="3980"/>
      <c r="Z50" s="3980"/>
      <c r="AA50" s="3980"/>
      <c r="AB50" s="3980"/>
      <c r="AC50" s="3980"/>
      <c r="AD50" s="3980"/>
      <c r="AE50" s="3980"/>
      <c r="AF50" s="3980"/>
      <c r="AG50" s="3980"/>
      <c r="AH50" s="3980"/>
      <c r="AI50" s="3980"/>
      <c r="AJ50" s="3980"/>
      <c r="AK50" s="3980"/>
      <c r="AL50" s="3980"/>
      <c r="AM50" s="3952"/>
      <c r="AN50" s="3952"/>
      <c r="AO50" s="3944"/>
      <c r="AP50" s="1414"/>
      <c r="AQ50" s="1414"/>
      <c r="AR50" s="1414"/>
      <c r="AS50" s="1414"/>
      <c r="AT50" s="1414"/>
      <c r="AU50" s="1414"/>
      <c r="AV50" s="1414"/>
      <c r="AW50" s="1414"/>
      <c r="AX50" s="1414"/>
      <c r="AY50" s="1414"/>
      <c r="AZ50" s="1414"/>
      <c r="BA50" s="1414"/>
      <c r="BB50" s="1414"/>
      <c r="BC50" s="1414"/>
      <c r="BD50" s="1414"/>
      <c r="BE50" s="1414"/>
      <c r="BF50" s="1414"/>
      <c r="BG50" s="1414"/>
      <c r="BH50" s="1414"/>
      <c r="BI50" s="1414"/>
      <c r="BJ50" s="1414"/>
      <c r="BK50" s="1414"/>
      <c r="BL50" s="1414"/>
      <c r="BM50" s="1414"/>
      <c r="BN50" s="1414"/>
      <c r="BO50" s="1414"/>
      <c r="BP50" s="1414"/>
      <c r="BQ50" s="1414"/>
      <c r="BR50" s="1414"/>
      <c r="BS50" s="1414"/>
      <c r="BT50" s="1414"/>
      <c r="BU50" s="1414"/>
      <c r="BV50" s="1414"/>
    </row>
    <row r="51" spans="1:74" s="1430" customFormat="1" x14ac:dyDescent="0.25">
      <c r="A51" s="1460" t="s">
        <v>134</v>
      </c>
      <c r="B51" s="1460" t="s">
        <v>134</v>
      </c>
      <c r="C51" s="1460"/>
      <c r="D51" s="1460"/>
      <c r="E51" s="1460" t="s">
        <v>134</v>
      </c>
      <c r="F51" s="1460" t="s">
        <v>134</v>
      </c>
      <c r="G51" s="1460" t="s">
        <v>134</v>
      </c>
      <c r="H51" s="1460" t="s">
        <v>134</v>
      </c>
      <c r="I51" s="1460" t="s">
        <v>134</v>
      </c>
      <c r="J51" s="1460" t="s">
        <v>134</v>
      </c>
      <c r="K51" s="1460" t="s">
        <v>134</v>
      </c>
      <c r="L51" s="1460" t="s">
        <v>134</v>
      </c>
      <c r="M51" s="1460" t="s">
        <v>134</v>
      </c>
      <c r="N51" s="1460" t="s">
        <v>134</v>
      </c>
      <c r="O51" s="1837">
        <f>SUM(O12:O50)</f>
        <v>2195124680.0799999</v>
      </c>
      <c r="P51" s="1460" t="s">
        <v>134</v>
      </c>
      <c r="Q51" s="1460" t="s">
        <v>134</v>
      </c>
      <c r="R51" s="1461" t="s">
        <v>134</v>
      </c>
      <c r="S51" s="1837">
        <f>SUM(S12:S50)</f>
        <v>2195124680.0799999</v>
      </c>
      <c r="T51" s="1460" t="s">
        <v>134</v>
      </c>
      <c r="U51" s="1460" t="s">
        <v>134</v>
      </c>
      <c r="V51" s="1460" t="s">
        <v>134</v>
      </c>
      <c r="W51" s="1462" t="s">
        <v>134</v>
      </c>
      <c r="X51" s="1462" t="s">
        <v>134</v>
      </c>
      <c r="Y51" s="1462" t="s">
        <v>134</v>
      </c>
      <c r="Z51" s="1462" t="s">
        <v>134</v>
      </c>
      <c r="AA51" s="1462" t="s">
        <v>134</v>
      </c>
      <c r="AB51" s="1462" t="s">
        <v>134</v>
      </c>
      <c r="AC51" s="1462" t="s">
        <v>134</v>
      </c>
      <c r="AD51" s="1462" t="s">
        <v>134</v>
      </c>
      <c r="AE51" s="1462" t="s">
        <v>134</v>
      </c>
      <c r="AF51" s="1462" t="s">
        <v>134</v>
      </c>
      <c r="AG51" s="1462" t="s">
        <v>134</v>
      </c>
      <c r="AH51" s="1462" t="s">
        <v>134</v>
      </c>
      <c r="AI51" s="1462" t="s">
        <v>134</v>
      </c>
      <c r="AJ51" s="1462" t="s">
        <v>134</v>
      </c>
      <c r="AK51" s="1462" t="s">
        <v>134</v>
      </c>
      <c r="AL51" s="1462" t="s">
        <v>134</v>
      </c>
      <c r="AM51" s="1463" t="s">
        <v>134</v>
      </c>
      <c r="AN51" s="1463" t="s">
        <v>134</v>
      </c>
      <c r="AO51" s="1464" t="s">
        <v>134</v>
      </c>
      <c r="AP51" s="1413" t="s">
        <v>134</v>
      </c>
      <c r="AQ51" s="1413" t="s">
        <v>134</v>
      </c>
      <c r="AR51" s="1413" t="s">
        <v>134</v>
      </c>
      <c r="AS51" s="1413" t="s">
        <v>134</v>
      </c>
      <c r="AT51" s="1413" t="s">
        <v>134</v>
      </c>
      <c r="AU51" s="1413" t="s">
        <v>134</v>
      </c>
      <c r="AV51" s="1413" t="s">
        <v>134</v>
      </c>
      <c r="AW51" s="1413" t="s">
        <v>134</v>
      </c>
      <c r="AX51" s="1413" t="s">
        <v>134</v>
      </c>
      <c r="AY51" s="1413" t="s">
        <v>134</v>
      </c>
      <c r="AZ51" s="1413" t="s">
        <v>134</v>
      </c>
      <c r="BA51" s="1413" t="s">
        <v>134</v>
      </c>
      <c r="BB51" s="1413" t="s">
        <v>134</v>
      </c>
      <c r="BC51" s="1413" t="s">
        <v>134</v>
      </c>
      <c r="BD51" s="1413" t="s">
        <v>134</v>
      </c>
      <c r="BE51" s="1413" t="s">
        <v>134</v>
      </c>
      <c r="BF51" s="1413" t="s">
        <v>134</v>
      </c>
      <c r="BG51" s="1413" t="s">
        <v>134</v>
      </c>
      <c r="BH51" s="1413" t="s">
        <v>134</v>
      </c>
      <c r="BI51" s="1413" t="s">
        <v>134</v>
      </c>
      <c r="BJ51" s="1413" t="s">
        <v>134</v>
      </c>
      <c r="BK51" s="1413" t="s">
        <v>134</v>
      </c>
      <c r="BL51" s="1413" t="s">
        <v>134</v>
      </c>
      <c r="BM51" s="1413" t="s">
        <v>134</v>
      </c>
      <c r="BN51" s="1413" t="s">
        <v>134</v>
      </c>
      <c r="BO51" s="1413" t="s">
        <v>134</v>
      </c>
      <c r="BP51" s="1413" t="s">
        <v>134</v>
      </c>
      <c r="BQ51" s="1413" t="s">
        <v>134</v>
      </c>
      <c r="BR51" s="1413" t="s">
        <v>134</v>
      </c>
      <c r="BS51" s="1413" t="s">
        <v>134</v>
      </c>
      <c r="BT51" s="1413" t="s">
        <v>134</v>
      </c>
      <c r="BU51" s="1413" t="s">
        <v>134</v>
      </c>
      <c r="BV51" s="1413" t="s">
        <v>134</v>
      </c>
    </row>
  </sheetData>
  <sheetProtection algorithmName="SHA-512" hashValue="vYwcVSuAVK5Cpk+sLLP4o0f6QN4j/gFh2SEmx0OG12X5iWau5xSgS6ZMrgv6gLTmHrKZHfthBc7rsxILO0N6hA==" saltValue="jVmGLCOx9LnuVj4raBIvxg==" spinCount="100000" sheet="1" objects="1" scenarios="1"/>
  <mergeCells count="169">
    <mergeCell ref="AN26:AN50"/>
    <mergeCell ref="AO26:AO50"/>
    <mergeCell ref="G27:G32"/>
    <mergeCell ref="H27:H32"/>
    <mergeCell ref="I27:I32"/>
    <mergeCell ref="J27:J32"/>
    <mergeCell ref="K27:K32"/>
    <mergeCell ref="N27:N32"/>
    <mergeCell ref="R27:R28"/>
    <mergeCell ref="R29:R32"/>
    <mergeCell ref="AH26:AH50"/>
    <mergeCell ref="AI26:AI50"/>
    <mergeCell ref="AJ26:AJ50"/>
    <mergeCell ref="AK26:AK50"/>
    <mergeCell ref="AL26:AL50"/>
    <mergeCell ref="AM26:AM50"/>
    <mergeCell ref="AB26:AB50"/>
    <mergeCell ref="R39:R42"/>
    <mergeCell ref="G43:G46"/>
    <mergeCell ref="H43:H46"/>
    <mergeCell ref="I43:I46"/>
    <mergeCell ref="J43:J46"/>
    <mergeCell ref="K43:K46"/>
    <mergeCell ref="N43:N46"/>
    <mergeCell ref="AC26:AC50"/>
    <mergeCell ref="AD26:AD50"/>
    <mergeCell ref="AE26:AE50"/>
    <mergeCell ref="AF26:AF50"/>
    <mergeCell ref="AG26:AG50"/>
    <mergeCell ref="Q26:Q36"/>
    <mergeCell ref="W26:W50"/>
    <mergeCell ref="X26:X50"/>
    <mergeCell ref="Y26:Y50"/>
    <mergeCell ref="Z26:Z50"/>
    <mergeCell ref="AA26:AA50"/>
    <mergeCell ref="R47:R48"/>
    <mergeCell ref="R49:R50"/>
    <mergeCell ref="R33:R34"/>
    <mergeCell ref="R35:R36"/>
    <mergeCell ref="Q37:Q50"/>
    <mergeCell ref="R43:R44"/>
    <mergeCell ref="R45:R46"/>
    <mergeCell ref="D24:F24"/>
    <mergeCell ref="L26:L50"/>
    <mergeCell ref="M26:M50"/>
    <mergeCell ref="O26:O50"/>
    <mergeCell ref="P26:P50"/>
    <mergeCell ref="G33:G36"/>
    <mergeCell ref="H33:H36"/>
    <mergeCell ref="I33:I36"/>
    <mergeCell ref="J33:J36"/>
    <mergeCell ref="K33:K36"/>
    <mergeCell ref="N33:N36"/>
    <mergeCell ref="G38:G42"/>
    <mergeCell ref="H38:H42"/>
    <mergeCell ref="I38:I42"/>
    <mergeCell ref="G47:G50"/>
    <mergeCell ref="H47:H50"/>
    <mergeCell ref="I47:I50"/>
    <mergeCell ref="J47:J50"/>
    <mergeCell ref="K47:K50"/>
    <mergeCell ref="N47:N50"/>
    <mergeCell ref="N38:N42"/>
    <mergeCell ref="J38:J42"/>
    <mergeCell ref="K38:K42"/>
    <mergeCell ref="AL21:AL23"/>
    <mergeCell ref="AM21:AM23"/>
    <mergeCell ref="AN21:AN23"/>
    <mergeCell ref="AO21:AO23"/>
    <mergeCell ref="Q22:Q23"/>
    <mergeCell ref="R22:R23"/>
    <mergeCell ref="AE21:AE23"/>
    <mergeCell ref="AF21:AF23"/>
    <mergeCell ref="AG21:AG23"/>
    <mergeCell ref="AH21:AH23"/>
    <mergeCell ref="AI21:AI23"/>
    <mergeCell ref="AJ21:AJ23"/>
    <mergeCell ref="Y21:Y23"/>
    <mergeCell ref="Z21:Z23"/>
    <mergeCell ref="AA21:AA23"/>
    <mergeCell ref="AB21:AB23"/>
    <mergeCell ref="AC21:AC23"/>
    <mergeCell ref="AD21:AD23"/>
    <mergeCell ref="M21:M23"/>
    <mergeCell ref="N21:N23"/>
    <mergeCell ref="O21:O23"/>
    <mergeCell ref="P21:P23"/>
    <mergeCell ref="W21:W23"/>
    <mergeCell ref="X21:X23"/>
    <mergeCell ref="AN16:AN17"/>
    <mergeCell ref="AO16:AO17"/>
    <mergeCell ref="B18:F18"/>
    <mergeCell ref="G21:G23"/>
    <mergeCell ref="H21:H23"/>
    <mergeCell ref="I21:I23"/>
    <mergeCell ref="J21:J23"/>
    <mergeCell ref="K21:K23"/>
    <mergeCell ref="L21:L23"/>
    <mergeCell ref="AH16:AH17"/>
    <mergeCell ref="AI16:AI17"/>
    <mergeCell ref="AJ16:AJ17"/>
    <mergeCell ref="AK16:AK17"/>
    <mergeCell ref="AL16:AL17"/>
    <mergeCell ref="AM16:AM17"/>
    <mergeCell ref="AB16:AB17"/>
    <mergeCell ref="AC16:AC17"/>
    <mergeCell ref="AK21:AK23"/>
    <mergeCell ref="AD16:AD17"/>
    <mergeCell ref="AE16:AE17"/>
    <mergeCell ref="AF16:AF17"/>
    <mergeCell ref="AG16:AG17"/>
    <mergeCell ref="P16:P17"/>
    <mergeCell ref="W16:W17"/>
    <mergeCell ref="X16:X17"/>
    <mergeCell ref="Y16:Y17"/>
    <mergeCell ref="Z16:Z17"/>
    <mergeCell ref="AA16:AA17"/>
    <mergeCell ref="G16:G17"/>
    <mergeCell ref="H16:H17"/>
    <mergeCell ref="I16:I17"/>
    <mergeCell ref="J16:J17"/>
    <mergeCell ref="K16:K17"/>
    <mergeCell ref="L16:L17"/>
    <mergeCell ref="M16:M17"/>
    <mergeCell ref="N16:N17"/>
    <mergeCell ref="O16:O17"/>
    <mergeCell ref="AL12:AL13"/>
    <mergeCell ref="AM12:AM13"/>
    <mergeCell ref="AN12:AN13"/>
    <mergeCell ref="AO12:AO13"/>
    <mergeCell ref="AD12:AD13"/>
    <mergeCell ref="AE12:AE13"/>
    <mergeCell ref="AF12:AF13"/>
    <mergeCell ref="AG12:AG13"/>
    <mergeCell ref="AH12:AH13"/>
    <mergeCell ref="AI12:AI13"/>
    <mergeCell ref="A1:AM4"/>
    <mergeCell ref="A5:K6"/>
    <mergeCell ref="B9:D9"/>
    <mergeCell ref="D10:G10"/>
    <mergeCell ref="F11:P11"/>
    <mergeCell ref="G12:G13"/>
    <mergeCell ref="H12:H13"/>
    <mergeCell ref="I12:I13"/>
    <mergeCell ref="J12:J13"/>
    <mergeCell ref="K12:K13"/>
    <mergeCell ref="X12:X13"/>
    <mergeCell ref="Y12:Y13"/>
    <mergeCell ref="Z12:Z13"/>
    <mergeCell ref="AA12:AA13"/>
    <mergeCell ref="AB12:AB13"/>
    <mergeCell ref="AC12:AC13"/>
    <mergeCell ref="L12:L13"/>
    <mergeCell ref="M12:M13"/>
    <mergeCell ref="N12:N13"/>
    <mergeCell ref="O12:O13"/>
    <mergeCell ref="P12:P13"/>
    <mergeCell ref="W12:W13"/>
    <mergeCell ref="AJ12:AJ13"/>
    <mergeCell ref="AK12:AK13"/>
    <mergeCell ref="AM7:AM8"/>
    <mergeCell ref="AN7:AN8"/>
    <mergeCell ref="AO7:AO8"/>
    <mergeCell ref="W7:X7"/>
    <mergeCell ref="T7:V7"/>
    <mergeCell ref="Y7:AA7"/>
    <mergeCell ref="AB7:AH7"/>
    <mergeCell ref="AI7:AK7"/>
    <mergeCell ref="AL7:AL8"/>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BL103"/>
  <sheetViews>
    <sheetView showGridLines="0" topLeftCell="Q1" zoomScale="70" zoomScaleNormal="70" workbookViewId="0">
      <selection activeCell="X8" sqref="X8"/>
    </sheetView>
  </sheetViews>
  <sheetFormatPr baseColWidth="10" defaultColWidth="11.42578125" defaultRowHeight="15" x14ac:dyDescent="0.2"/>
  <cols>
    <col min="1" max="1" width="15.7109375" style="348" customWidth="1"/>
    <col min="2" max="2" width="17.7109375" style="228" customWidth="1"/>
    <col min="3" max="3" width="13.42578125" style="228" customWidth="1"/>
    <col min="4" max="4" width="21.42578125" style="228" customWidth="1"/>
    <col min="5" max="5" width="17" style="228" customWidth="1"/>
    <col min="6" max="6" width="18.85546875" style="228" customWidth="1"/>
    <col min="7" max="7" width="15.85546875" style="228" customWidth="1"/>
    <col min="8" max="8" width="31.5703125" style="228" customWidth="1"/>
    <col min="9" max="9" width="22.7109375" style="228" customWidth="1"/>
    <col min="10" max="10" width="31.5703125" style="228" customWidth="1"/>
    <col min="11" max="11" width="18.7109375" style="228" customWidth="1"/>
    <col min="12" max="12" width="25" style="119" customWidth="1"/>
    <col min="13" max="13" width="24.7109375" style="228" customWidth="1"/>
    <col min="14" max="14" width="25" style="119" customWidth="1"/>
    <col min="15" max="15" width="21.85546875" style="227" customWidth="1"/>
    <col min="16" max="16" width="26.85546875" style="227" customWidth="1"/>
    <col min="17" max="17" width="23" style="245" customWidth="1"/>
    <col min="18" max="18" width="20.28515625" style="349" customWidth="1"/>
    <col min="19" max="19" width="25" style="350" customWidth="1"/>
    <col min="20" max="20" width="34" style="351" customWidth="1"/>
    <col min="21" max="21" width="38.85546875" style="3" customWidth="1"/>
    <col min="22" max="22" width="72.140625" style="119" customWidth="1"/>
    <col min="23" max="23" width="30" style="358" customWidth="1"/>
    <col min="24" max="24" width="55.5703125" style="354" customWidth="1"/>
    <col min="25" max="25" width="16.140625" style="128" customWidth="1"/>
    <col min="26" max="26" width="23.5703125" style="124" customWidth="1"/>
    <col min="27" max="27" width="13.7109375" style="3" customWidth="1"/>
    <col min="28" max="42" width="13.7109375" style="228" customWidth="1"/>
    <col min="43" max="43" width="17.140625" style="228" customWidth="1"/>
    <col min="44" max="44" width="19.5703125" style="355" customWidth="1"/>
    <col min="45" max="45" width="30.5703125" style="356" bestFit="1" customWidth="1"/>
    <col min="46" max="46" width="9.140625" style="228" customWidth="1"/>
    <col min="47" max="16384" width="11.42578125" style="228"/>
  </cols>
  <sheetData>
    <row r="1" spans="1:64" ht="18" customHeight="1" x14ac:dyDescent="0.2">
      <c r="A1" s="2349" t="s">
        <v>183</v>
      </c>
      <c r="B1" s="2349"/>
      <c r="C1" s="2349"/>
      <c r="D1" s="2349"/>
      <c r="E1" s="2349"/>
      <c r="F1" s="2349"/>
      <c r="G1" s="2349"/>
      <c r="H1" s="2349"/>
      <c r="I1" s="2349"/>
      <c r="J1" s="2349"/>
      <c r="K1" s="2349"/>
      <c r="L1" s="2349"/>
      <c r="M1" s="2349"/>
      <c r="N1" s="2349"/>
      <c r="O1" s="2349"/>
      <c r="P1" s="2349"/>
      <c r="Q1" s="2349"/>
      <c r="R1" s="2349"/>
      <c r="S1" s="2349"/>
      <c r="T1" s="2349"/>
      <c r="U1" s="2349"/>
      <c r="V1" s="2349"/>
      <c r="W1" s="2349"/>
      <c r="X1" s="2349"/>
      <c r="Y1" s="2349"/>
      <c r="Z1" s="2349"/>
      <c r="AA1" s="2349"/>
      <c r="AB1" s="2349"/>
      <c r="AC1" s="2349"/>
      <c r="AD1" s="2349"/>
      <c r="AE1" s="2349"/>
      <c r="AF1" s="2349"/>
      <c r="AG1" s="2349"/>
      <c r="AH1" s="2349"/>
      <c r="AI1" s="2349"/>
      <c r="AJ1" s="2349"/>
      <c r="AK1" s="2349"/>
      <c r="AL1" s="2349"/>
      <c r="AM1" s="2349"/>
      <c r="AN1" s="2349"/>
      <c r="AO1" s="2349"/>
      <c r="AP1" s="2349"/>
      <c r="AQ1" s="2349"/>
      <c r="AR1" s="226" t="s">
        <v>1</v>
      </c>
      <c r="AS1" s="226" t="s">
        <v>2</v>
      </c>
      <c r="AT1" s="227"/>
      <c r="AU1" s="227"/>
      <c r="AV1" s="227"/>
      <c r="AW1" s="227"/>
      <c r="AX1" s="227"/>
      <c r="AY1" s="227"/>
      <c r="AZ1" s="227"/>
      <c r="BA1" s="227"/>
      <c r="BB1" s="227"/>
      <c r="BC1" s="227"/>
      <c r="BD1" s="227"/>
      <c r="BE1" s="227"/>
      <c r="BF1" s="227"/>
      <c r="BG1" s="227"/>
      <c r="BH1" s="227"/>
      <c r="BI1" s="227"/>
      <c r="BJ1" s="227"/>
      <c r="BK1" s="227"/>
      <c r="BL1" s="227"/>
    </row>
    <row r="2" spans="1:64" ht="18" customHeight="1" x14ac:dyDescent="0.2">
      <c r="A2" s="2349"/>
      <c r="B2" s="2349"/>
      <c r="C2" s="2349"/>
      <c r="D2" s="2349"/>
      <c r="E2" s="2349"/>
      <c r="F2" s="2349"/>
      <c r="G2" s="2349"/>
      <c r="H2" s="2349"/>
      <c r="I2" s="2349"/>
      <c r="J2" s="2349"/>
      <c r="K2" s="2349"/>
      <c r="L2" s="2349"/>
      <c r="M2" s="2349"/>
      <c r="N2" s="2349"/>
      <c r="O2" s="2349"/>
      <c r="P2" s="2349"/>
      <c r="Q2" s="2349"/>
      <c r="R2" s="2349"/>
      <c r="S2" s="2349"/>
      <c r="T2" s="2349"/>
      <c r="U2" s="2349"/>
      <c r="V2" s="2349"/>
      <c r="W2" s="2349"/>
      <c r="X2" s="2349"/>
      <c r="Y2" s="2349"/>
      <c r="Z2" s="2349"/>
      <c r="AA2" s="2349"/>
      <c r="AB2" s="2349"/>
      <c r="AC2" s="2349"/>
      <c r="AD2" s="2349"/>
      <c r="AE2" s="2349"/>
      <c r="AF2" s="2349"/>
      <c r="AG2" s="2349"/>
      <c r="AH2" s="2349"/>
      <c r="AI2" s="2349"/>
      <c r="AJ2" s="2349"/>
      <c r="AK2" s="2349"/>
      <c r="AL2" s="2349"/>
      <c r="AM2" s="2349"/>
      <c r="AN2" s="2349"/>
      <c r="AO2" s="2349"/>
      <c r="AP2" s="2349"/>
      <c r="AQ2" s="2349"/>
      <c r="AR2" s="229" t="s">
        <v>3</v>
      </c>
      <c r="AS2" s="5">
        <v>9</v>
      </c>
      <c r="AT2" s="227"/>
      <c r="AU2" s="227"/>
      <c r="AV2" s="227"/>
      <c r="AW2" s="227"/>
      <c r="AX2" s="227"/>
      <c r="AY2" s="227"/>
      <c r="AZ2" s="227"/>
      <c r="BA2" s="227"/>
      <c r="BB2" s="227"/>
      <c r="BC2" s="227"/>
      <c r="BD2" s="227"/>
      <c r="BE2" s="227"/>
      <c r="BF2" s="227"/>
      <c r="BG2" s="227"/>
      <c r="BH2" s="227"/>
      <c r="BI2" s="227"/>
      <c r="BJ2" s="227"/>
      <c r="BK2" s="227"/>
      <c r="BL2" s="227"/>
    </row>
    <row r="3" spans="1:64" ht="18" customHeight="1" x14ac:dyDescent="0.2">
      <c r="A3" s="2349"/>
      <c r="B3" s="2349"/>
      <c r="C3" s="2349"/>
      <c r="D3" s="2349"/>
      <c r="E3" s="2349"/>
      <c r="F3" s="2349"/>
      <c r="G3" s="2349"/>
      <c r="H3" s="2349"/>
      <c r="I3" s="2349"/>
      <c r="J3" s="2349"/>
      <c r="K3" s="2349"/>
      <c r="L3" s="2349"/>
      <c r="M3" s="2349"/>
      <c r="N3" s="2349"/>
      <c r="O3" s="2349"/>
      <c r="P3" s="2349"/>
      <c r="Q3" s="2349"/>
      <c r="R3" s="2349"/>
      <c r="S3" s="2349"/>
      <c r="T3" s="2349"/>
      <c r="U3" s="2349"/>
      <c r="V3" s="2349"/>
      <c r="W3" s="2349"/>
      <c r="X3" s="2349"/>
      <c r="Y3" s="2349"/>
      <c r="Z3" s="2349"/>
      <c r="AA3" s="2349"/>
      <c r="AB3" s="2349"/>
      <c r="AC3" s="2349"/>
      <c r="AD3" s="2349"/>
      <c r="AE3" s="2349"/>
      <c r="AF3" s="2349"/>
      <c r="AG3" s="2349"/>
      <c r="AH3" s="2349"/>
      <c r="AI3" s="2349"/>
      <c r="AJ3" s="2349"/>
      <c r="AK3" s="2349"/>
      <c r="AL3" s="2349"/>
      <c r="AM3" s="2349"/>
      <c r="AN3" s="2349"/>
      <c r="AO3" s="2349"/>
      <c r="AP3" s="2349"/>
      <c r="AQ3" s="2349"/>
      <c r="AR3" s="226" t="s">
        <v>4</v>
      </c>
      <c r="AS3" s="6">
        <v>44266</v>
      </c>
      <c r="AT3" s="227"/>
      <c r="AU3" s="227"/>
      <c r="AV3" s="227"/>
      <c r="AW3" s="227"/>
      <c r="AX3" s="227"/>
      <c r="AY3" s="227"/>
      <c r="AZ3" s="227"/>
      <c r="BA3" s="227"/>
      <c r="BB3" s="227"/>
      <c r="BC3" s="227"/>
      <c r="BD3" s="227"/>
      <c r="BE3" s="227"/>
      <c r="BF3" s="227"/>
      <c r="BG3" s="227"/>
      <c r="BH3" s="227"/>
      <c r="BI3" s="227"/>
      <c r="BJ3" s="227"/>
      <c r="BK3" s="227"/>
      <c r="BL3" s="227"/>
    </row>
    <row r="4" spans="1:64" ht="18" customHeight="1" x14ac:dyDescent="0.2">
      <c r="A4" s="2350"/>
      <c r="B4" s="2350"/>
      <c r="C4" s="2350"/>
      <c r="D4" s="2350"/>
      <c r="E4" s="2350"/>
      <c r="F4" s="2350"/>
      <c r="G4" s="2350"/>
      <c r="H4" s="2350"/>
      <c r="I4" s="2350"/>
      <c r="J4" s="2350"/>
      <c r="K4" s="2350"/>
      <c r="L4" s="2350"/>
      <c r="M4" s="2350"/>
      <c r="N4" s="2350"/>
      <c r="O4" s="2350"/>
      <c r="P4" s="2350"/>
      <c r="Q4" s="2350"/>
      <c r="R4" s="2350"/>
      <c r="S4" s="2350"/>
      <c r="T4" s="2350"/>
      <c r="U4" s="2350"/>
      <c r="V4" s="2350"/>
      <c r="W4" s="2350"/>
      <c r="X4" s="2350"/>
      <c r="Y4" s="2350"/>
      <c r="Z4" s="2350"/>
      <c r="AA4" s="2350"/>
      <c r="AB4" s="2350"/>
      <c r="AC4" s="2350"/>
      <c r="AD4" s="2350"/>
      <c r="AE4" s="2350"/>
      <c r="AF4" s="2350"/>
      <c r="AG4" s="2350"/>
      <c r="AH4" s="2350"/>
      <c r="AI4" s="2350"/>
      <c r="AJ4" s="2350"/>
      <c r="AK4" s="2350"/>
      <c r="AL4" s="2350"/>
      <c r="AM4" s="2350"/>
      <c r="AN4" s="2350"/>
      <c r="AO4" s="2350"/>
      <c r="AP4" s="2350"/>
      <c r="AQ4" s="2350"/>
      <c r="AR4" s="226" t="s">
        <v>5</v>
      </c>
      <c r="AS4" s="230" t="s">
        <v>120</v>
      </c>
      <c r="AT4" s="227"/>
      <c r="AU4" s="227"/>
      <c r="AV4" s="227"/>
      <c r="AW4" s="227"/>
      <c r="AX4" s="227"/>
      <c r="AY4" s="227"/>
      <c r="AZ4" s="227"/>
      <c r="BA4" s="227"/>
      <c r="BB4" s="227"/>
      <c r="BC4" s="227"/>
      <c r="BD4" s="227"/>
      <c r="BE4" s="227"/>
      <c r="BF4" s="227"/>
      <c r="BG4" s="227"/>
      <c r="BH4" s="227"/>
      <c r="BI4" s="227"/>
      <c r="BJ4" s="227"/>
      <c r="BK4" s="227"/>
      <c r="BL4" s="227"/>
    </row>
    <row r="5" spans="1:64" ht="12.75" customHeight="1" x14ac:dyDescent="0.2">
      <c r="A5" s="2240" t="s">
        <v>184</v>
      </c>
      <c r="B5" s="2241"/>
      <c r="C5" s="2241"/>
      <c r="D5" s="2241"/>
      <c r="E5" s="2241"/>
      <c r="F5" s="2241"/>
      <c r="G5" s="2241"/>
      <c r="H5" s="2241"/>
      <c r="I5" s="2241"/>
      <c r="J5" s="2241"/>
      <c r="K5" s="2241"/>
      <c r="L5" s="2241"/>
      <c r="M5" s="2241"/>
      <c r="N5" s="2241"/>
      <c r="O5" s="2242"/>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227"/>
      <c r="AU5" s="227"/>
      <c r="AV5" s="227"/>
      <c r="AW5" s="227"/>
      <c r="AX5" s="227"/>
      <c r="AY5" s="227"/>
      <c r="AZ5" s="227"/>
      <c r="BA5" s="227"/>
      <c r="BB5" s="227"/>
      <c r="BC5" s="227"/>
      <c r="BD5" s="227"/>
      <c r="BE5" s="227"/>
      <c r="BF5" s="227"/>
      <c r="BG5" s="227"/>
      <c r="BH5" s="227"/>
      <c r="BI5" s="227"/>
      <c r="BJ5" s="227"/>
      <c r="BK5" s="227"/>
      <c r="BL5" s="227"/>
    </row>
    <row r="6" spans="1:64" ht="16.5" customHeight="1" x14ac:dyDescent="0.2">
      <c r="A6" s="2243"/>
      <c r="B6" s="2238"/>
      <c r="C6" s="2238"/>
      <c r="D6" s="2238"/>
      <c r="E6" s="2238"/>
      <c r="F6" s="2238"/>
      <c r="G6" s="2238"/>
      <c r="H6" s="2238"/>
      <c r="I6" s="2238"/>
      <c r="J6" s="2238"/>
      <c r="K6" s="2238"/>
      <c r="L6" s="2238"/>
      <c r="M6" s="2238"/>
      <c r="N6" s="2238"/>
      <c r="O6" s="2239"/>
      <c r="P6" s="231"/>
      <c r="Q6" s="231"/>
      <c r="R6" s="231"/>
      <c r="S6" s="232"/>
      <c r="T6" s="233"/>
      <c r="U6" s="234"/>
      <c r="V6" s="231"/>
      <c r="W6" s="235"/>
      <c r="X6" s="236"/>
      <c r="Y6" s="231"/>
      <c r="Z6" s="231"/>
      <c r="AA6" s="2243" t="s">
        <v>8</v>
      </c>
      <c r="AB6" s="2238"/>
      <c r="AC6" s="2238"/>
      <c r="AD6" s="2238"/>
      <c r="AE6" s="2238"/>
      <c r="AF6" s="2238"/>
      <c r="AG6" s="2238"/>
      <c r="AH6" s="2238"/>
      <c r="AI6" s="2238"/>
      <c r="AJ6" s="2238"/>
      <c r="AK6" s="2238"/>
      <c r="AL6" s="2238"/>
      <c r="AM6" s="2238"/>
      <c r="AN6" s="2238"/>
      <c r="AO6" s="2239"/>
      <c r="AP6" s="234"/>
      <c r="AQ6" s="231"/>
      <c r="AR6" s="231"/>
      <c r="AS6" s="237"/>
      <c r="AT6" s="227"/>
      <c r="AU6" s="227"/>
      <c r="AV6" s="227"/>
      <c r="AW6" s="227"/>
      <c r="AX6" s="227"/>
      <c r="AY6" s="227"/>
      <c r="AZ6" s="227"/>
      <c r="BA6" s="227"/>
      <c r="BB6" s="227"/>
      <c r="BC6" s="227"/>
      <c r="BD6" s="227"/>
      <c r="BE6" s="227"/>
      <c r="BF6" s="227"/>
      <c r="BG6" s="227"/>
      <c r="BH6" s="227"/>
      <c r="BI6" s="227"/>
      <c r="BJ6" s="227"/>
      <c r="BK6" s="227"/>
      <c r="BL6" s="227"/>
    </row>
    <row r="7" spans="1:64" ht="19.5" customHeight="1" x14ac:dyDescent="0.2">
      <c r="A7" s="2248" t="s">
        <v>9</v>
      </c>
      <c r="B7" s="2351"/>
      <c r="C7" s="2247" t="s">
        <v>10</v>
      </c>
      <c r="D7" s="2351"/>
      <c r="E7" s="2248" t="s">
        <v>11</v>
      </c>
      <c r="F7" s="2351"/>
      <c r="G7" s="2247" t="s">
        <v>12</v>
      </c>
      <c r="H7" s="2248"/>
      <c r="I7" s="2248"/>
      <c r="J7" s="2248"/>
      <c r="K7" s="2247" t="s">
        <v>13</v>
      </c>
      <c r="L7" s="2248"/>
      <c r="M7" s="2248"/>
      <c r="N7" s="2351"/>
      <c r="O7" s="2352" t="s">
        <v>185</v>
      </c>
      <c r="P7" s="2346" t="s">
        <v>14</v>
      </c>
      <c r="Q7" s="2347"/>
      <c r="R7" s="2347"/>
      <c r="S7" s="2347"/>
      <c r="T7" s="2347"/>
      <c r="U7" s="2347"/>
      <c r="V7" s="2348"/>
      <c r="W7" s="238"/>
      <c r="X7" s="2346" t="s">
        <v>15</v>
      </c>
      <c r="Y7" s="2347"/>
      <c r="Z7" s="2348"/>
      <c r="AA7" s="2213" t="s">
        <v>16</v>
      </c>
      <c r="AB7" s="2214"/>
      <c r="AC7" s="2215" t="s">
        <v>17</v>
      </c>
      <c r="AD7" s="2216"/>
      <c r="AE7" s="2216"/>
      <c r="AF7" s="2216"/>
      <c r="AG7" s="2359" t="s">
        <v>18</v>
      </c>
      <c r="AH7" s="2360"/>
      <c r="AI7" s="2360"/>
      <c r="AJ7" s="2360"/>
      <c r="AK7" s="2360"/>
      <c r="AL7" s="2360"/>
      <c r="AM7" s="2361" t="s">
        <v>19</v>
      </c>
      <c r="AN7" s="2362"/>
      <c r="AO7" s="2362"/>
      <c r="AP7" s="2354" t="s">
        <v>20</v>
      </c>
      <c r="AQ7" s="2249" t="s">
        <v>21</v>
      </c>
      <c r="AR7" s="2249" t="s">
        <v>22</v>
      </c>
      <c r="AS7" s="2357" t="s">
        <v>23</v>
      </c>
      <c r="AT7" s="227"/>
      <c r="AU7" s="227"/>
      <c r="AV7" s="227"/>
      <c r="AW7" s="227"/>
      <c r="AX7" s="227"/>
      <c r="AY7" s="227"/>
      <c r="AZ7" s="227"/>
      <c r="BA7" s="227"/>
      <c r="BB7" s="227"/>
      <c r="BC7" s="227"/>
      <c r="BD7" s="227"/>
      <c r="BE7" s="227"/>
      <c r="BF7" s="227"/>
      <c r="BG7" s="227"/>
      <c r="BH7" s="227"/>
      <c r="BI7" s="227"/>
      <c r="BJ7" s="227"/>
      <c r="BK7" s="227"/>
      <c r="BL7" s="227"/>
    </row>
    <row r="8" spans="1:64" s="246" customFormat="1" ht="120.75" customHeight="1" x14ac:dyDescent="0.2">
      <c r="A8" s="239" t="s">
        <v>24</v>
      </c>
      <c r="B8" s="240" t="s">
        <v>25</v>
      </c>
      <c r="C8" s="239" t="s">
        <v>24</v>
      </c>
      <c r="D8" s="240" t="s">
        <v>25</v>
      </c>
      <c r="E8" s="240" t="s">
        <v>24</v>
      </c>
      <c r="F8" s="240" t="s">
        <v>25</v>
      </c>
      <c r="G8" s="240" t="s">
        <v>26</v>
      </c>
      <c r="H8" s="240" t="s">
        <v>27</v>
      </c>
      <c r="I8" s="240" t="s">
        <v>28</v>
      </c>
      <c r="J8" s="240" t="s">
        <v>122</v>
      </c>
      <c r="K8" s="240" t="s">
        <v>26</v>
      </c>
      <c r="L8" s="240" t="s">
        <v>30</v>
      </c>
      <c r="M8" s="240" t="s">
        <v>31</v>
      </c>
      <c r="N8" s="240" t="s">
        <v>32</v>
      </c>
      <c r="O8" s="2353"/>
      <c r="P8" s="240" t="s">
        <v>34</v>
      </c>
      <c r="Q8" s="240" t="s">
        <v>35</v>
      </c>
      <c r="R8" s="241" t="s">
        <v>36</v>
      </c>
      <c r="S8" s="242" t="s">
        <v>186</v>
      </c>
      <c r="T8" s="240" t="s">
        <v>38</v>
      </c>
      <c r="U8" s="240" t="s">
        <v>39</v>
      </c>
      <c r="V8" s="240" t="s">
        <v>40</v>
      </c>
      <c r="W8" s="243" t="s">
        <v>187</v>
      </c>
      <c r="X8" s="240" t="s">
        <v>42</v>
      </c>
      <c r="Y8" s="244" t="s">
        <v>43</v>
      </c>
      <c r="Z8" s="240" t="s">
        <v>25</v>
      </c>
      <c r="AA8" s="19" t="s">
        <v>44</v>
      </c>
      <c r="AB8" s="20" t="s">
        <v>45</v>
      </c>
      <c r="AC8" s="19" t="s">
        <v>46</v>
      </c>
      <c r="AD8" s="19" t="s">
        <v>47</v>
      </c>
      <c r="AE8" s="19" t="s">
        <v>188</v>
      </c>
      <c r="AF8" s="19" t="s">
        <v>49</v>
      </c>
      <c r="AG8" s="19" t="s">
        <v>50</v>
      </c>
      <c r="AH8" s="19" t="s">
        <v>51</v>
      </c>
      <c r="AI8" s="19" t="s">
        <v>52</v>
      </c>
      <c r="AJ8" s="19" t="s">
        <v>189</v>
      </c>
      <c r="AK8" s="19" t="s">
        <v>54</v>
      </c>
      <c r="AL8" s="19" t="s">
        <v>55</v>
      </c>
      <c r="AM8" s="19" t="s">
        <v>56</v>
      </c>
      <c r="AN8" s="19" t="s">
        <v>57</v>
      </c>
      <c r="AO8" s="19" t="s">
        <v>58</v>
      </c>
      <c r="AP8" s="2355"/>
      <c r="AQ8" s="2356"/>
      <c r="AR8" s="2356"/>
      <c r="AS8" s="2358"/>
      <c r="AT8" s="245"/>
      <c r="AU8" s="245"/>
      <c r="AV8" s="245"/>
      <c r="AW8" s="245"/>
      <c r="AX8" s="245"/>
      <c r="AY8" s="245"/>
      <c r="AZ8" s="245"/>
      <c r="BA8" s="245"/>
      <c r="BB8" s="245"/>
      <c r="BC8" s="245"/>
      <c r="BD8" s="245"/>
      <c r="BE8" s="245"/>
      <c r="BF8" s="245"/>
      <c r="BG8" s="245"/>
      <c r="BH8" s="245"/>
      <c r="BI8" s="245"/>
      <c r="BJ8" s="245"/>
      <c r="BK8" s="245"/>
      <c r="BL8" s="245"/>
    </row>
    <row r="9" spans="1:64" ht="21" customHeight="1" x14ac:dyDescent="0.2">
      <c r="A9" s="247">
        <v>4</v>
      </c>
      <c r="B9" s="248" t="s">
        <v>59</v>
      </c>
      <c r="C9" s="249"/>
      <c r="D9" s="249"/>
      <c r="E9" s="250"/>
      <c r="F9" s="251"/>
      <c r="G9" s="251"/>
      <c r="H9" s="251"/>
      <c r="I9" s="251"/>
      <c r="J9" s="251"/>
      <c r="K9" s="251"/>
      <c r="L9" s="252"/>
      <c r="M9" s="251"/>
      <c r="N9" s="252"/>
      <c r="O9" s="251"/>
      <c r="P9" s="251"/>
      <c r="Q9" s="251"/>
      <c r="R9" s="251"/>
      <c r="S9" s="251"/>
      <c r="T9" s="251"/>
      <c r="U9" s="251"/>
      <c r="V9" s="251"/>
      <c r="W9" s="251"/>
      <c r="X9" s="251"/>
      <c r="Y9" s="251"/>
      <c r="Z9" s="253"/>
      <c r="AA9" s="254"/>
      <c r="AB9" s="255"/>
      <c r="AC9" s="251"/>
      <c r="AD9" s="251"/>
      <c r="AE9" s="251"/>
      <c r="AF9" s="251"/>
      <c r="AG9" s="251"/>
      <c r="AH9" s="251"/>
      <c r="AI9" s="251"/>
      <c r="AJ9" s="251"/>
      <c r="AK9" s="251"/>
      <c r="AL9" s="251"/>
      <c r="AM9" s="251"/>
      <c r="AN9" s="251"/>
      <c r="AO9" s="251"/>
      <c r="AP9" s="251"/>
      <c r="AQ9" s="251"/>
      <c r="AR9" s="256"/>
      <c r="AS9" s="256"/>
      <c r="AT9" s="227"/>
      <c r="AU9" s="227"/>
      <c r="AV9" s="227"/>
      <c r="AW9" s="227"/>
      <c r="AX9" s="227"/>
      <c r="AY9" s="227"/>
      <c r="AZ9" s="227"/>
      <c r="BA9" s="227"/>
      <c r="BB9" s="227"/>
      <c r="BC9" s="227"/>
      <c r="BD9" s="227"/>
      <c r="BE9" s="227"/>
      <c r="BF9" s="227"/>
      <c r="BG9" s="227"/>
      <c r="BH9" s="227"/>
      <c r="BI9" s="227"/>
      <c r="BJ9" s="227"/>
    </row>
    <row r="10" spans="1:64" ht="21" customHeight="1" x14ac:dyDescent="0.2">
      <c r="A10" s="257"/>
      <c r="B10" s="258"/>
      <c r="C10" s="259">
        <v>45</v>
      </c>
      <c r="D10" s="260" t="s">
        <v>190</v>
      </c>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27"/>
      <c r="AU10" s="227"/>
      <c r="AV10" s="227"/>
      <c r="AW10" s="227"/>
      <c r="AX10" s="227"/>
      <c r="AY10" s="227"/>
      <c r="AZ10" s="227"/>
      <c r="BA10" s="227"/>
      <c r="BB10" s="227"/>
      <c r="BC10" s="227"/>
      <c r="BD10" s="227"/>
      <c r="BE10" s="227"/>
      <c r="BF10" s="227"/>
      <c r="BG10" s="227"/>
      <c r="BH10" s="227"/>
      <c r="BI10" s="227"/>
      <c r="BJ10" s="227"/>
    </row>
    <row r="11" spans="1:64" ht="21.75" customHeight="1" x14ac:dyDescent="0.2">
      <c r="A11" s="262"/>
      <c r="B11" s="263"/>
      <c r="C11" s="264"/>
      <c r="D11" s="265"/>
      <c r="E11" s="266">
        <v>4502</v>
      </c>
      <c r="F11" s="267" t="s">
        <v>104</v>
      </c>
      <c r="G11" s="268"/>
      <c r="H11" s="268"/>
      <c r="I11" s="268"/>
      <c r="J11" s="268"/>
      <c r="K11" s="269"/>
      <c r="L11" s="270"/>
      <c r="M11" s="269"/>
      <c r="N11" s="270"/>
      <c r="O11" s="270"/>
      <c r="P11" s="271"/>
      <c r="Q11" s="170"/>
      <c r="R11" s="171"/>
      <c r="S11" s="272"/>
      <c r="T11" s="170"/>
      <c r="U11" s="169"/>
      <c r="V11" s="269"/>
      <c r="W11" s="273"/>
      <c r="X11" s="273" t="s">
        <v>191</v>
      </c>
      <c r="Y11" s="273"/>
      <c r="Z11" s="169"/>
      <c r="AA11" s="274"/>
      <c r="AB11" s="270"/>
      <c r="AC11" s="270"/>
      <c r="AD11" s="270"/>
      <c r="AE11" s="270"/>
      <c r="AF11" s="270"/>
      <c r="AG11" s="270"/>
      <c r="AH11" s="270"/>
      <c r="AI11" s="270"/>
      <c r="AJ11" s="270"/>
      <c r="AK11" s="270"/>
      <c r="AL11" s="270"/>
      <c r="AM11" s="270"/>
      <c r="AN11" s="270"/>
      <c r="AO11" s="270"/>
      <c r="AP11" s="270"/>
      <c r="AQ11" s="275"/>
      <c r="AR11" s="275"/>
      <c r="AS11" s="269"/>
      <c r="AU11" s="227"/>
      <c r="AV11" s="227"/>
      <c r="AW11" s="227"/>
      <c r="AX11" s="227"/>
      <c r="AY11" s="227"/>
      <c r="AZ11" s="227"/>
      <c r="BA11" s="227"/>
      <c r="BB11" s="227"/>
      <c r="BC11" s="227"/>
      <c r="BD11" s="227"/>
      <c r="BE11" s="227"/>
      <c r="BF11" s="227"/>
      <c r="BG11" s="227"/>
      <c r="BH11" s="227"/>
      <c r="BI11" s="227"/>
      <c r="BJ11" s="227"/>
    </row>
    <row r="12" spans="1:64" ht="45.75" customHeight="1" x14ac:dyDescent="0.2">
      <c r="A12" s="262"/>
      <c r="B12" s="263"/>
      <c r="C12" s="262"/>
      <c r="D12" s="276"/>
      <c r="E12" s="277"/>
      <c r="F12" s="277"/>
      <c r="G12" s="2344" t="s">
        <v>62</v>
      </c>
      <c r="H12" s="2345" t="s">
        <v>192</v>
      </c>
      <c r="I12" s="2344">
        <v>4502001</v>
      </c>
      <c r="J12" s="2345" t="s">
        <v>193</v>
      </c>
      <c r="K12" s="2311" t="s">
        <v>62</v>
      </c>
      <c r="L12" s="2313" t="s">
        <v>194</v>
      </c>
      <c r="M12" s="2311">
        <v>450200100</v>
      </c>
      <c r="N12" s="2313" t="s">
        <v>195</v>
      </c>
      <c r="O12" s="2197">
        <v>1</v>
      </c>
      <c r="P12" s="2321" t="s">
        <v>196</v>
      </c>
      <c r="Q12" s="2257" t="s">
        <v>197</v>
      </c>
      <c r="R12" s="2160">
        <f>SUM(W12:W32)/S12</f>
        <v>1</v>
      </c>
      <c r="S12" s="2317">
        <f>SUM(W12:W32)</f>
        <v>143333529</v>
      </c>
      <c r="T12" s="2182" t="s">
        <v>198</v>
      </c>
      <c r="U12" s="2319" t="s">
        <v>199</v>
      </c>
      <c r="V12" s="2331" t="s">
        <v>200</v>
      </c>
      <c r="W12" s="278">
        <f>5000000-5000000</f>
        <v>0</v>
      </c>
      <c r="X12" s="279" t="s">
        <v>201</v>
      </c>
      <c r="Y12" s="280">
        <v>20</v>
      </c>
      <c r="Z12" s="281" t="s">
        <v>202</v>
      </c>
      <c r="AA12" s="2170">
        <v>295972</v>
      </c>
      <c r="AB12" s="2260">
        <v>285580</v>
      </c>
      <c r="AC12" s="2314">
        <v>135545</v>
      </c>
      <c r="AD12" s="2339">
        <v>44254</v>
      </c>
      <c r="AE12" s="2340">
        <v>309146</v>
      </c>
      <c r="AF12" s="2339">
        <v>92607</v>
      </c>
      <c r="AG12" s="2314">
        <v>2145</v>
      </c>
      <c r="AH12" s="2339">
        <v>12718</v>
      </c>
      <c r="AI12" s="2337">
        <v>26</v>
      </c>
      <c r="AJ12" s="2338">
        <v>37</v>
      </c>
      <c r="AK12" s="2337">
        <v>0</v>
      </c>
      <c r="AL12" s="2338">
        <v>0</v>
      </c>
      <c r="AM12" s="2314">
        <v>44350</v>
      </c>
      <c r="AN12" s="2339">
        <v>21944</v>
      </c>
      <c r="AO12" s="2314">
        <v>75687</v>
      </c>
      <c r="AP12" s="2315">
        <f>+AA12+AB12</f>
        <v>581552</v>
      </c>
      <c r="AQ12" s="2316">
        <v>44197</v>
      </c>
      <c r="AR12" s="2327">
        <v>44561</v>
      </c>
      <c r="AS12" s="2328" t="s">
        <v>203</v>
      </c>
    </row>
    <row r="13" spans="1:64" ht="48" customHeight="1" x14ac:dyDescent="0.2">
      <c r="A13" s="262"/>
      <c r="B13" s="263"/>
      <c r="C13" s="262"/>
      <c r="D13" s="276"/>
      <c r="E13" s="277"/>
      <c r="F13" s="277"/>
      <c r="G13" s="2201"/>
      <c r="H13" s="2199"/>
      <c r="I13" s="2201"/>
      <c r="J13" s="2199"/>
      <c r="K13" s="2311"/>
      <c r="L13" s="2313"/>
      <c r="M13" s="2311"/>
      <c r="N13" s="2313"/>
      <c r="O13" s="2197"/>
      <c r="P13" s="2321"/>
      <c r="Q13" s="2257"/>
      <c r="R13" s="2160"/>
      <c r="S13" s="2317"/>
      <c r="T13" s="2182"/>
      <c r="U13" s="2319"/>
      <c r="V13" s="2331"/>
      <c r="W13" s="278">
        <f>10000000-10000000</f>
        <v>0</v>
      </c>
      <c r="X13" s="279" t="s">
        <v>204</v>
      </c>
      <c r="Y13" s="280">
        <v>20</v>
      </c>
      <c r="Z13" s="281" t="s">
        <v>202</v>
      </c>
      <c r="AA13" s="2171"/>
      <c r="AB13" s="2260"/>
      <c r="AC13" s="2314"/>
      <c r="AD13" s="2339"/>
      <c r="AE13" s="2341"/>
      <c r="AF13" s="2339"/>
      <c r="AG13" s="2314"/>
      <c r="AH13" s="2339"/>
      <c r="AI13" s="2337"/>
      <c r="AJ13" s="2338"/>
      <c r="AK13" s="2337"/>
      <c r="AL13" s="2338"/>
      <c r="AM13" s="2314"/>
      <c r="AN13" s="2339"/>
      <c r="AO13" s="2314"/>
      <c r="AP13" s="2315"/>
      <c r="AQ13" s="2316"/>
      <c r="AR13" s="2327"/>
      <c r="AS13" s="2328"/>
    </row>
    <row r="14" spans="1:64" ht="45" customHeight="1" x14ac:dyDescent="0.2">
      <c r="A14" s="262"/>
      <c r="B14" s="263"/>
      <c r="C14" s="262"/>
      <c r="D14" s="276"/>
      <c r="E14" s="277"/>
      <c r="F14" s="277"/>
      <c r="G14" s="2201"/>
      <c r="H14" s="2199"/>
      <c r="I14" s="2201"/>
      <c r="J14" s="2199"/>
      <c r="K14" s="2311"/>
      <c r="L14" s="2313"/>
      <c r="M14" s="2311"/>
      <c r="N14" s="2313"/>
      <c r="O14" s="2197"/>
      <c r="P14" s="2321"/>
      <c r="Q14" s="2257"/>
      <c r="R14" s="2160"/>
      <c r="S14" s="2317"/>
      <c r="T14" s="2182"/>
      <c r="U14" s="2319"/>
      <c r="V14" s="2329" t="s">
        <v>205</v>
      </c>
      <c r="W14" s="278">
        <f>5000000+5000000</f>
        <v>10000000</v>
      </c>
      <c r="X14" s="279" t="s">
        <v>201</v>
      </c>
      <c r="Y14" s="280">
        <v>20</v>
      </c>
      <c r="Z14" s="281" t="s">
        <v>202</v>
      </c>
      <c r="AA14" s="2171"/>
      <c r="AB14" s="2260"/>
      <c r="AC14" s="2314"/>
      <c r="AD14" s="2339"/>
      <c r="AE14" s="2341"/>
      <c r="AF14" s="2339"/>
      <c r="AG14" s="2314"/>
      <c r="AH14" s="2339"/>
      <c r="AI14" s="2337"/>
      <c r="AJ14" s="2338"/>
      <c r="AK14" s="2337"/>
      <c r="AL14" s="2338"/>
      <c r="AM14" s="2314"/>
      <c r="AN14" s="2339"/>
      <c r="AO14" s="2314"/>
      <c r="AP14" s="2315"/>
      <c r="AQ14" s="2316"/>
      <c r="AR14" s="2327"/>
      <c r="AS14" s="2328"/>
    </row>
    <row r="15" spans="1:64" ht="39" customHeight="1" x14ac:dyDescent="0.2">
      <c r="A15" s="262"/>
      <c r="B15" s="263"/>
      <c r="C15" s="262"/>
      <c r="D15" s="276"/>
      <c r="E15" s="277"/>
      <c r="F15" s="277"/>
      <c r="G15" s="2201"/>
      <c r="H15" s="2199"/>
      <c r="I15" s="2201"/>
      <c r="J15" s="2199"/>
      <c r="K15" s="2311"/>
      <c r="L15" s="2313"/>
      <c r="M15" s="2311"/>
      <c r="N15" s="2313"/>
      <c r="O15" s="2197"/>
      <c r="P15" s="2321"/>
      <c r="Q15" s="2257"/>
      <c r="R15" s="2160"/>
      <c r="S15" s="2317"/>
      <c r="T15" s="2182"/>
      <c r="U15" s="2319"/>
      <c r="V15" s="2329"/>
      <c r="W15" s="278">
        <f>5000000+10000000</f>
        <v>15000000</v>
      </c>
      <c r="X15" s="279" t="s">
        <v>204</v>
      </c>
      <c r="Y15" s="280">
        <v>20</v>
      </c>
      <c r="Z15" s="281" t="s">
        <v>202</v>
      </c>
      <c r="AA15" s="2171"/>
      <c r="AB15" s="2260"/>
      <c r="AC15" s="2314"/>
      <c r="AD15" s="2339"/>
      <c r="AE15" s="2341"/>
      <c r="AF15" s="2339"/>
      <c r="AG15" s="2314"/>
      <c r="AH15" s="2339"/>
      <c r="AI15" s="2337"/>
      <c r="AJ15" s="2338"/>
      <c r="AK15" s="2337"/>
      <c r="AL15" s="2338"/>
      <c r="AM15" s="2314"/>
      <c r="AN15" s="2339"/>
      <c r="AO15" s="2314"/>
      <c r="AP15" s="2315"/>
      <c r="AQ15" s="2316"/>
      <c r="AR15" s="2327"/>
      <c r="AS15" s="2328"/>
    </row>
    <row r="16" spans="1:64" ht="83.25" customHeight="1" x14ac:dyDescent="0.2">
      <c r="A16" s="262"/>
      <c r="B16" s="263"/>
      <c r="C16" s="262"/>
      <c r="D16" s="276"/>
      <c r="E16" s="277"/>
      <c r="F16" s="277"/>
      <c r="G16" s="2201"/>
      <c r="H16" s="2199"/>
      <c r="I16" s="2201"/>
      <c r="J16" s="2199"/>
      <c r="K16" s="2311"/>
      <c r="L16" s="2313"/>
      <c r="M16" s="2311"/>
      <c r="N16" s="2313"/>
      <c r="O16" s="2197"/>
      <c r="P16" s="2321"/>
      <c r="Q16" s="2257"/>
      <c r="R16" s="2160"/>
      <c r="S16" s="2317"/>
      <c r="T16" s="2182"/>
      <c r="U16" s="2319"/>
      <c r="V16" s="2329"/>
      <c r="W16" s="278">
        <f>5000000-5000000</f>
        <v>0</v>
      </c>
      <c r="X16" s="279" t="s">
        <v>206</v>
      </c>
      <c r="Y16" s="280">
        <v>20</v>
      </c>
      <c r="Z16" s="281" t="s">
        <v>202</v>
      </c>
      <c r="AA16" s="2171"/>
      <c r="AB16" s="2260"/>
      <c r="AC16" s="2314"/>
      <c r="AD16" s="2339"/>
      <c r="AE16" s="2341"/>
      <c r="AF16" s="2339"/>
      <c r="AG16" s="2314"/>
      <c r="AH16" s="2339"/>
      <c r="AI16" s="2337"/>
      <c r="AJ16" s="2338"/>
      <c r="AK16" s="2337"/>
      <c r="AL16" s="2338"/>
      <c r="AM16" s="2314"/>
      <c r="AN16" s="2339"/>
      <c r="AO16" s="2314"/>
      <c r="AP16" s="2315"/>
      <c r="AQ16" s="2316"/>
      <c r="AR16" s="2327"/>
      <c r="AS16" s="2328"/>
    </row>
    <row r="17" spans="1:45" ht="69" customHeight="1" x14ac:dyDescent="0.2">
      <c r="A17" s="262"/>
      <c r="B17" s="263"/>
      <c r="C17" s="262"/>
      <c r="D17" s="276"/>
      <c r="E17" s="277"/>
      <c r="F17" s="277"/>
      <c r="G17" s="2201"/>
      <c r="H17" s="2199"/>
      <c r="I17" s="2201"/>
      <c r="J17" s="2199"/>
      <c r="K17" s="2311"/>
      <c r="L17" s="2313"/>
      <c r="M17" s="2311"/>
      <c r="N17" s="2313"/>
      <c r="O17" s="2197"/>
      <c r="P17" s="2321"/>
      <c r="Q17" s="2257"/>
      <c r="R17" s="2160"/>
      <c r="S17" s="2317"/>
      <c r="T17" s="2182"/>
      <c r="U17" s="2319"/>
      <c r="V17" s="2330" t="s">
        <v>207</v>
      </c>
      <c r="W17" s="278">
        <f>10000000-10000000</f>
        <v>0</v>
      </c>
      <c r="X17" s="279" t="s">
        <v>206</v>
      </c>
      <c r="Y17" s="280">
        <v>20</v>
      </c>
      <c r="Z17" s="281" t="s">
        <v>202</v>
      </c>
      <c r="AA17" s="2171"/>
      <c r="AB17" s="2260"/>
      <c r="AC17" s="2314"/>
      <c r="AD17" s="2339"/>
      <c r="AE17" s="2341"/>
      <c r="AF17" s="2339"/>
      <c r="AG17" s="2314"/>
      <c r="AH17" s="2339"/>
      <c r="AI17" s="2337"/>
      <c r="AJ17" s="2338"/>
      <c r="AK17" s="2337"/>
      <c r="AL17" s="2338"/>
      <c r="AM17" s="2314"/>
      <c r="AN17" s="2339"/>
      <c r="AO17" s="2314"/>
      <c r="AP17" s="2315"/>
      <c r="AQ17" s="2316"/>
      <c r="AR17" s="2327"/>
      <c r="AS17" s="2328"/>
    </row>
    <row r="18" spans="1:45" ht="69" customHeight="1" x14ac:dyDescent="0.2">
      <c r="A18" s="262"/>
      <c r="B18" s="263"/>
      <c r="C18" s="262"/>
      <c r="D18" s="276"/>
      <c r="E18" s="277"/>
      <c r="F18" s="277"/>
      <c r="G18" s="2201"/>
      <c r="H18" s="2199"/>
      <c r="I18" s="2201"/>
      <c r="J18" s="2199"/>
      <c r="K18" s="2311"/>
      <c r="L18" s="2313"/>
      <c r="M18" s="2311"/>
      <c r="N18" s="2313"/>
      <c r="O18" s="2197"/>
      <c r="P18" s="2321"/>
      <c r="Q18" s="2257"/>
      <c r="R18" s="2160"/>
      <c r="S18" s="2317"/>
      <c r="T18" s="2182"/>
      <c r="U18" s="2319"/>
      <c r="V18" s="2330"/>
      <c r="W18" s="278">
        <f>5000000-5000000</f>
        <v>0</v>
      </c>
      <c r="X18" s="279" t="s">
        <v>204</v>
      </c>
      <c r="Y18" s="280">
        <v>20</v>
      </c>
      <c r="Z18" s="281" t="s">
        <v>202</v>
      </c>
      <c r="AA18" s="2171"/>
      <c r="AB18" s="2260"/>
      <c r="AC18" s="2314"/>
      <c r="AD18" s="2339"/>
      <c r="AE18" s="2341"/>
      <c r="AF18" s="2339"/>
      <c r="AG18" s="2314"/>
      <c r="AH18" s="2339"/>
      <c r="AI18" s="2337"/>
      <c r="AJ18" s="2338"/>
      <c r="AK18" s="2337"/>
      <c r="AL18" s="2338"/>
      <c r="AM18" s="2314"/>
      <c r="AN18" s="2339"/>
      <c r="AO18" s="2314"/>
      <c r="AP18" s="2315"/>
      <c r="AQ18" s="2316"/>
      <c r="AR18" s="2327"/>
      <c r="AS18" s="2328"/>
    </row>
    <row r="19" spans="1:45" ht="54.75" customHeight="1" x14ac:dyDescent="0.2">
      <c r="A19" s="262"/>
      <c r="B19" s="263"/>
      <c r="C19" s="262"/>
      <c r="D19" s="276"/>
      <c r="E19" s="277"/>
      <c r="F19" s="277"/>
      <c r="G19" s="2201"/>
      <c r="H19" s="2199"/>
      <c r="I19" s="2201"/>
      <c r="J19" s="2199"/>
      <c r="K19" s="2311"/>
      <c r="L19" s="2313"/>
      <c r="M19" s="2311"/>
      <c r="N19" s="2313"/>
      <c r="O19" s="2197"/>
      <c r="P19" s="2321"/>
      <c r="Q19" s="2257"/>
      <c r="R19" s="2160"/>
      <c r="S19" s="2317"/>
      <c r="T19" s="2182"/>
      <c r="U19" s="2319"/>
      <c r="V19" s="2331" t="s">
        <v>208</v>
      </c>
      <c r="W19" s="278">
        <v>1500000</v>
      </c>
      <c r="X19" s="279" t="s">
        <v>209</v>
      </c>
      <c r="Y19" s="280">
        <v>20</v>
      </c>
      <c r="Z19" s="281" t="s">
        <v>202</v>
      </c>
      <c r="AA19" s="2171"/>
      <c r="AB19" s="2260"/>
      <c r="AC19" s="2314"/>
      <c r="AD19" s="2339"/>
      <c r="AE19" s="2341"/>
      <c r="AF19" s="2339"/>
      <c r="AG19" s="2314"/>
      <c r="AH19" s="2339"/>
      <c r="AI19" s="2337"/>
      <c r="AJ19" s="2338"/>
      <c r="AK19" s="2337"/>
      <c r="AL19" s="2338"/>
      <c r="AM19" s="2314"/>
      <c r="AN19" s="2339"/>
      <c r="AO19" s="2314"/>
      <c r="AP19" s="2315"/>
      <c r="AQ19" s="2316"/>
      <c r="AR19" s="2327"/>
      <c r="AS19" s="2328"/>
    </row>
    <row r="20" spans="1:45" ht="45.75" customHeight="1" x14ac:dyDescent="0.2">
      <c r="A20" s="262"/>
      <c r="B20" s="263"/>
      <c r="C20" s="262"/>
      <c r="D20" s="276"/>
      <c r="E20" s="277"/>
      <c r="F20" s="277"/>
      <c r="G20" s="2201"/>
      <c r="H20" s="2199"/>
      <c r="I20" s="2201"/>
      <c r="J20" s="2199"/>
      <c r="K20" s="2311"/>
      <c r="L20" s="2313"/>
      <c r="M20" s="2311"/>
      <c r="N20" s="2313"/>
      <c r="O20" s="2197"/>
      <c r="P20" s="2321"/>
      <c r="Q20" s="2257"/>
      <c r="R20" s="2160"/>
      <c r="S20" s="2317"/>
      <c r="T20" s="2182"/>
      <c r="U20" s="2319"/>
      <c r="V20" s="2331"/>
      <c r="W20" s="278">
        <v>7500000</v>
      </c>
      <c r="X20" s="279" t="s">
        <v>210</v>
      </c>
      <c r="Y20" s="280">
        <v>20</v>
      </c>
      <c r="Z20" s="281" t="s">
        <v>202</v>
      </c>
      <c r="AA20" s="2171"/>
      <c r="AB20" s="2260"/>
      <c r="AC20" s="2314"/>
      <c r="AD20" s="2339"/>
      <c r="AE20" s="2341"/>
      <c r="AF20" s="2339"/>
      <c r="AG20" s="2314"/>
      <c r="AH20" s="2339"/>
      <c r="AI20" s="2337"/>
      <c r="AJ20" s="2338"/>
      <c r="AK20" s="2337"/>
      <c r="AL20" s="2338"/>
      <c r="AM20" s="2314"/>
      <c r="AN20" s="2339"/>
      <c r="AO20" s="2314"/>
      <c r="AP20" s="2315"/>
      <c r="AQ20" s="2316"/>
      <c r="AR20" s="2327"/>
      <c r="AS20" s="2328"/>
    </row>
    <row r="21" spans="1:45" ht="45.75" customHeight="1" x14ac:dyDescent="0.2">
      <c r="A21" s="262"/>
      <c r="B21" s="263"/>
      <c r="C21" s="262"/>
      <c r="D21" s="276"/>
      <c r="E21" s="277"/>
      <c r="F21" s="277"/>
      <c r="G21" s="2201"/>
      <c r="H21" s="2199"/>
      <c r="I21" s="2201"/>
      <c r="J21" s="2199"/>
      <c r="K21" s="2311"/>
      <c r="L21" s="2313"/>
      <c r="M21" s="2311"/>
      <c r="N21" s="2313"/>
      <c r="O21" s="2197"/>
      <c r="P21" s="2321"/>
      <c r="Q21" s="2257"/>
      <c r="R21" s="2160"/>
      <c r="S21" s="2317"/>
      <c r="T21" s="2182"/>
      <c r="U21" s="2319"/>
      <c r="V21" s="2332" t="s">
        <v>211</v>
      </c>
      <c r="W21" s="278">
        <v>9000000</v>
      </c>
      <c r="X21" s="279" t="s">
        <v>212</v>
      </c>
      <c r="Y21" s="280">
        <v>20</v>
      </c>
      <c r="Z21" s="281" t="s">
        <v>202</v>
      </c>
      <c r="AA21" s="2171"/>
      <c r="AB21" s="2260"/>
      <c r="AC21" s="2314"/>
      <c r="AD21" s="2339"/>
      <c r="AE21" s="2341"/>
      <c r="AF21" s="2339"/>
      <c r="AG21" s="2314"/>
      <c r="AH21" s="2339"/>
      <c r="AI21" s="2337"/>
      <c r="AJ21" s="2338"/>
      <c r="AK21" s="2337"/>
      <c r="AL21" s="2338"/>
      <c r="AM21" s="2314"/>
      <c r="AN21" s="2339"/>
      <c r="AO21" s="2314"/>
      <c r="AP21" s="2315"/>
      <c r="AQ21" s="2316"/>
      <c r="AR21" s="2327"/>
      <c r="AS21" s="2328"/>
    </row>
    <row r="22" spans="1:45" ht="45.75" customHeight="1" x14ac:dyDescent="0.2">
      <c r="A22" s="262"/>
      <c r="B22" s="263"/>
      <c r="C22" s="262"/>
      <c r="D22" s="276"/>
      <c r="E22" s="277"/>
      <c r="F22" s="277"/>
      <c r="G22" s="2201"/>
      <c r="H22" s="2199"/>
      <c r="I22" s="2201"/>
      <c r="J22" s="2199"/>
      <c r="K22" s="2311"/>
      <c r="L22" s="2313"/>
      <c r="M22" s="2311"/>
      <c r="N22" s="2313"/>
      <c r="O22" s="2197"/>
      <c r="P22" s="2321"/>
      <c r="Q22" s="2257"/>
      <c r="R22" s="2160"/>
      <c r="S22" s="2317"/>
      <c r="T22" s="2182"/>
      <c r="U22" s="2319"/>
      <c r="V22" s="2333"/>
      <c r="W22" s="278">
        <v>5000000</v>
      </c>
      <c r="X22" s="279" t="s">
        <v>204</v>
      </c>
      <c r="Y22" s="280">
        <v>20</v>
      </c>
      <c r="Z22" s="281" t="s">
        <v>202</v>
      </c>
      <c r="AA22" s="2171"/>
      <c r="AB22" s="2260"/>
      <c r="AC22" s="2314"/>
      <c r="AD22" s="2339"/>
      <c r="AE22" s="2341"/>
      <c r="AF22" s="2339"/>
      <c r="AG22" s="2314"/>
      <c r="AH22" s="2339"/>
      <c r="AI22" s="2337"/>
      <c r="AJ22" s="2338"/>
      <c r="AK22" s="2337"/>
      <c r="AL22" s="2338"/>
      <c r="AM22" s="2314"/>
      <c r="AN22" s="2339"/>
      <c r="AO22" s="2314"/>
      <c r="AP22" s="2315"/>
      <c r="AQ22" s="2316"/>
      <c r="AR22" s="2327"/>
      <c r="AS22" s="2328"/>
    </row>
    <row r="23" spans="1:45" ht="45.75" customHeight="1" x14ac:dyDescent="0.2">
      <c r="A23" s="262"/>
      <c r="B23" s="263"/>
      <c r="C23" s="262"/>
      <c r="D23" s="276"/>
      <c r="E23" s="277"/>
      <c r="F23" s="277"/>
      <c r="G23" s="2201"/>
      <c r="H23" s="2199"/>
      <c r="I23" s="2201"/>
      <c r="J23" s="2199"/>
      <c r="K23" s="2311"/>
      <c r="L23" s="2313"/>
      <c r="M23" s="2311"/>
      <c r="N23" s="2313"/>
      <c r="O23" s="2197"/>
      <c r="P23" s="2321"/>
      <c r="Q23" s="2257"/>
      <c r="R23" s="2160"/>
      <c r="S23" s="2317"/>
      <c r="T23" s="2182"/>
      <c r="U23" s="2319"/>
      <c r="V23" s="282" t="s">
        <v>213</v>
      </c>
      <c r="W23" s="278">
        <v>15000000</v>
      </c>
      <c r="X23" s="279" t="s">
        <v>214</v>
      </c>
      <c r="Y23" s="280">
        <v>20</v>
      </c>
      <c r="Z23" s="281" t="s">
        <v>202</v>
      </c>
      <c r="AA23" s="2171"/>
      <c r="AB23" s="2260"/>
      <c r="AC23" s="2314"/>
      <c r="AD23" s="2339"/>
      <c r="AE23" s="2341"/>
      <c r="AF23" s="2339"/>
      <c r="AG23" s="2314"/>
      <c r="AH23" s="2339"/>
      <c r="AI23" s="2337"/>
      <c r="AJ23" s="2338"/>
      <c r="AK23" s="2337"/>
      <c r="AL23" s="2338"/>
      <c r="AM23" s="2314"/>
      <c r="AN23" s="2339"/>
      <c r="AO23" s="2314"/>
      <c r="AP23" s="2315"/>
      <c r="AQ23" s="2316"/>
      <c r="AR23" s="2327"/>
      <c r="AS23" s="2328"/>
    </row>
    <row r="24" spans="1:45" ht="45.75" customHeight="1" x14ac:dyDescent="0.2">
      <c r="A24" s="262"/>
      <c r="B24" s="263"/>
      <c r="C24" s="262"/>
      <c r="D24" s="276"/>
      <c r="E24" s="277"/>
      <c r="F24" s="277"/>
      <c r="G24" s="2201"/>
      <c r="H24" s="2199"/>
      <c r="I24" s="2201"/>
      <c r="J24" s="2199"/>
      <c r="K24" s="2311"/>
      <c r="L24" s="2313"/>
      <c r="M24" s="2311"/>
      <c r="N24" s="2313"/>
      <c r="O24" s="2197"/>
      <c r="P24" s="2321"/>
      <c r="Q24" s="2257"/>
      <c r="R24" s="2160"/>
      <c r="S24" s="2317"/>
      <c r="T24" s="2182"/>
      <c r="U24" s="2319"/>
      <c r="V24" s="283" t="s">
        <v>215</v>
      </c>
      <c r="W24" s="278">
        <v>11000000</v>
      </c>
      <c r="X24" s="279" t="s">
        <v>216</v>
      </c>
      <c r="Y24" s="280">
        <v>20</v>
      </c>
      <c r="Z24" s="281" t="s">
        <v>202</v>
      </c>
      <c r="AA24" s="2171"/>
      <c r="AB24" s="2260"/>
      <c r="AC24" s="2314"/>
      <c r="AD24" s="2339"/>
      <c r="AE24" s="2341"/>
      <c r="AF24" s="2339"/>
      <c r="AG24" s="2314"/>
      <c r="AH24" s="2339"/>
      <c r="AI24" s="2337"/>
      <c r="AJ24" s="2338"/>
      <c r="AK24" s="2337"/>
      <c r="AL24" s="2338"/>
      <c r="AM24" s="2314"/>
      <c r="AN24" s="2339"/>
      <c r="AO24" s="2314"/>
      <c r="AP24" s="2315"/>
      <c r="AQ24" s="2316"/>
      <c r="AR24" s="2327"/>
      <c r="AS24" s="2328"/>
    </row>
    <row r="25" spans="1:45" ht="45.75" customHeight="1" x14ac:dyDescent="0.2">
      <c r="A25" s="262"/>
      <c r="B25" s="263"/>
      <c r="C25" s="262"/>
      <c r="D25" s="276"/>
      <c r="E25" s="277"/>
      <c r="F25" s="277"/>
      <c r="G25" s="2201"/>
      <c r="H25" s="2199"/>
      <c r="I25" s="2201"/>
      <c r="J25" s="2199"/>
      <c r="K25" s="2311"/>
      <c r="L25" s="2313"/>
      <c r="M25" s="2311"/>
      <c r="N25" s="2313"/>
      <c r="O25" s="2197"/>
      <c r="P25" s="2321"/>
      <c r="Q25" s="2257"/>
      <c r="R25" s="2160"/>
      <c r="S25" s="2317"/>
      <c r="T25" s="2182"/>
      <c r="U25" s="2319"/>
      <c r="V25" s="283" t="s">
        <v>217</v>
      </c>
      <c r="W25" s="278">
        <v>14000000</v>
      </c>
      <c r="X25" s="279" t="s">
        <v>218</v>
      </c>
      <c r="Y25" s="280">
        <v>20</v>
      </c>
      <c r="Z25" s="281" t="s">
        <v>202</v>
      </c>
      <c r="AA25" s="2171"/>
      <c r="AB25" s="2260"/>
      <c r="AC25" s="2314"/>
      <c r="AD25" s="2339"/>
      <c r="AE25" s="2341"/>
      <c r="AF25" s="2339"/>
      <c r="AG25" s="2314"/>
      <c r="AH25" s="2339"/>
      <c r="AI25" s="2337"/>
      <c r="AJ25" s="2338"/>
      <c r="AK25" s="2337"/>
      <c r="AL25" s="2338"/>
      <c r="AM25" s="2314"/>
      <c r="AN25" s="2339"/>
      <c r="AO25" s="2314"/>
      <c r="AP25" s="2315"/>
      <c r="AQ25" s="2316"/>
      <c r="AR25" s="2327"/>
      <c r="AS25" s="2328"/>
    </row>
    <row r="26" spans="1:45" ht="45.75" customHeight="1" x14ac:dyDescent="0.2">
      <c r="A26" s="262"/>
      <c r="B26" s="263"/>
      <c r="C26" s="262"/>
      <c r="D26" s="276"/>
      <c r="E26" s="277"/>
      <c r="F26" s="277"/>
      <c r="G26" s="2201"/>
      <c r="H26" s="2199"/>
      <c r="I26" s="2201"/>
      <c r="J26" s="2199"/>
      <c r="K26" s="2311"/>
      <c r="L26" s="2313"/>
      <c r="M26" s="2311"/>
      <c r="N26" s="2313"/>
      <c r="O26" s="2197"/>
      <c r="P26" s="2321"/>
      <c r="Q26" s="2257"/>
      <c r="R26" s="2160"/>
      <c r="S26" s="2317"/>
      <c r="T26" s="2182"/>
      <c r="U26" s="2319"/>
      <c r="V26" s="282" t="s">
        <v>219</v>
      </c>
      <c r="W26" s="278">
        <f>15000000+3000000</f>
        <v>18000000</v>
      </c>
      <c r="X26" s="284" t="s">
        <v>220</v>
      </c>
      <c r="Y26" s="280">
        <v>20</v>
      </c>
      <c r="Z26" s="281" t="s">
        <v>202</v>
      </c>
      <c r="AA26" s="2171"/>
      <c r="AB26" s="2260"/>
      <c r="AC26" s="2314"/>
      <c r="AD26" s="2339"/>
      <c r="AE26" s="2341"/>
      <c r="AF26" s="2339"/>
      <c r="AG26" s="2314"/>
      <c r="AH26" s="2339"/>
      <c r="AI26" s="2337"/>
      <c r="AJ26" s="2338"/>
      <c r="AK26" s="2337"/>
      <c r="AL26" s="2338"/>
      <c r="AM26" s="2314"/>
      <c r="AN26" s="2339"/>
      <c r="AO26" s="2314"/>
      <c r="AP26" s="2315"/>
      <c r="AQ26" s="2316"/>
      <c r="AR26" s="2327"/>
      <c r="AS26" s="2328"/>
    </row>
    <row r="27" spans="1:45" ht="45.75" customHeight="1" x14ac:dyDescent="0.2">
      <c r="A27" s="262"/>
      <c r="B27" s="263"/>
      <c r="C27" s="262"/>
      <c r="D27" s="276"/>
      <c r="E27" s="277"/>
      <c r="F27" s="277"/>
      <c r="G27" s="2201"/>
      <c r="H27" s="2199"/>
      <c r="I27" s="2201"/>
      <c r="J27" s="2199"/>
      <c r="K27" s="2311"/>
      <c r="L27" s="2313"/>
      <c r="M27" s="2311"/>
      <c r="N27" s="2313"/>
      <c r="O27" s="2197"/>
      <c r="P27" s="2321"/>
      <c r="Q27" s="2257"/>
      <c r="R27" s="2160"/>
      <c r="S27" s="2317"/>
      <c r="T27" s="2182"/>
      <c r="U27" s="2319"/>
      <c r="V27" s="282" t="s">
        <v>221</v>
      </c>
      <c r="W27" s="278">
        <f>12000000-8000000</f>
        <v>4000000</v>
      </c>
      <c r="X27" s="284" t="s">
        <v>220</v>
      </c>
      <c r="Y27" s="280">
        <v>20</v>
      </c>
      <c r="Z27" s="281" t="s">
        <v>202</v>
      </c>
      <c r="AA27" s="2171"/>
      <c r="AB27" s="2260"/>
      <c r="AC27" s="2314"/>
      <c r="AD27" s="2339"/>
      <c r="AE27" s="2341"/>
      <c r="AF27" s="2339"/>
      <c r="AG27" s="2314"/>
      <c r="AH27" s="2339"/>
      <c r="AI27" s="2337"/>
      <c r="AJ27" s="2338"/>
      <c r="AK27" s="2337"/>
      <c r="AL27" s="2338"/>
      <c r="AM27" s="2314"/>
      <c r="AN27" s="2339"/>
      <c r="AO27" s="2314"/>
      <c r="AP27" s="2315"/>
      <c r="AQ27" s="2316"/>
      <c r="AR27" s="2327"/>
      <c r="AS27" s="2328"/>
    </row>
    <row r="28" spans="1:45" ht="36" customHeight="1" x14ac:dyDescent="0.2">
      <c r="A28" s="262"/>
      <c r="B28" s="263"/>
      <c r="C28" s="262"/>
      <c r="D28" s="276"/>
      <c r="E28" s="277"/>
      <c r="F28" s="277"/>
      <c r="G28" s="2201"/>
      <c r="H28" s="2199"/>
      <c r="I28" s="2201"/>
      <c r="J28" s="2199"/>
      <c r="K28" s="2311"/>
      <c r="L28" s="2313"/>
      <c r="M28" s="2311"/>
      <c r="N28" s="2313"/>
      <c r="O28" s="2197"/>
      <c r="P28" s="2321"/>
      <c r="Q28" s="2257"/>
      <c r="R28" s="2160"/>
      <c r="S28" s="2317"/>
      <c r="T28" s="2182"/>
      <c r="U28" s="2319"/>
      <c r="V28" s="285" t="s">
        <v>222</v>
      </c>
      <c r="W28" s="278">
        <f>3000000+5000000</f>
        <v>8000000</v>
      </c>
      <c r="X28" s="284" t="s">
        <v>220</v>
      </c>
      <c r="Y28" s="280">
        <v>20</v>
      </c>
      <c r="Z28" s="281" t="s">
        <v>202</v>
      </c>
      <c r="AA28" s="2171"/>
      <c r="AB28" s="2260"/>
      <c r="AC28" s="2314"/>
      <c r="AD28" s="2339"/>
      <c r="AE28" s="2341"/>
      <c r="AF28" s="2339"/>
      <c r="AG28" s="2314"/>
      <c r="AH28" s="2339"/>
      <c r="AI28" s="2337"/>
      <c r="AJ28" s="2338"/>
      <c r="AK28" s="2337"/>
      <c r="AL28" s="2338"/>
      <c r="AM28" s="2314"/>
      <c r="AN28" s="2339"/>
      <c r="AO28" s="2314"/>
      <c r="AP28" s="2315"/>
      <c r="AQ28" s="2316"/>
      <c r="AR28" s="2327"/>
      <c r="AS28" s="2328"/>
    </row>
    <row r="29" spans="1:45" ht="28.5" customHeight="1" x14ac:dyDescent="0.2">
      <c r="A29" s="262"/>
      <c r="B29" s="263"/>
      <c r="C29" s="262"/>
      <c r="D29" s="276"/>
      <c r="E29" s="277"/>
      <c r="F29" s="277"/>
      <c r="G29" s="2201"/>
      <c r="H29" s="2199"/>
      <c r="I29" s="2201"/>
      <c r="J29" s="2199"/>
      <c r="K29" s="2311"/>
      <c r="L29" s="2313"/>
      <c r="M29" s="2311"/>
      <c r="N29" s="2313"/>
      <c r="O29" s="2197"/>
      <c r="P29" s="2322"/>
      <c r="Q29" s="2280"/>
      <c r="R29" s="2323"/>
      <c r="S29" s="2318"/>
      <c r="T29" s="2196"/>
      <c r="U29" s="2320"/>
      <c r="V29" s="2334" t="s">
        <v>223</v>
      </c>
      <c r="W29" s="278">
        <v>7000000</v>
      </c>
      <c r="X29" s="279" t="s">
        <v>209</v>
      </c>
      <c r="Y29" s="280">
        <v>20</v>
      </c>
      <c r="Z29" s="281" t="s">
        <v>202</v>
      </c>
      <c r="AA29" s="2171"/>
      <c r="AB29" s="2260"/>
      <c r="AC29" s="2314"/>
      <c r="AD29" s="2339"/>
      <c r="AE29" s="2341"/>
      <c r="AF29" s="2339"/>
      <c r="AG29" s="2314"/>
      <c r="AH29" s="2339"/>
      <c r="AI29" s="2337"/>
      <c r="AJ29" s="2338"/>
      <c r="AK29" s="2337"/>
      <c r="AL29" s="2338"/>
      <c r="AM29" s="2314"/>
      <c r="AN29" s="2339"/>
      <c r="AO29" s="2314"/>
      <c r="AP29" s="2315"/>
      <c r="AQ29" s="2316"/>
      <c r="AR29" s="2327"/>
      <c r="AS29" s="2328"/>
    </row>
    <row r="30" spans="1:45" ht="28.5" customHeight="1" x14ac:dyDescent="0.2">
      <c r="A30" s="262"/>
      <c r="B30" s="263"/>
      <c r="C30" s="262"/>
      <c r="D30" s="276"/>
      <c r="E30" s="277"/>
      <c r="F30" s="277"/>
      <c r="G30" s="2201"/>
      <c r="H30" s="2199"/>
      <c r="I30" s="2201"/>
      <c r="J30" s="2199"/>
      <c r="K30" s="2311"/>
      <c r="L30" s="2313"/>
      <c r="M30" s="2311"/>
      <c r="N30" s="2313"/>
      <c r="O30" s="2197"/>
      <c r="P30" s="2322"/>
      <c r="Q30" s="2280"/>
      <c r="R30" s="2323"/>
      <c r="S30" s="2318"/>
      <c r="T30" s="2196"/>
      <c r="U30" s="2320"/>
      <c r="V30" s="2335"/>
      <c r="W30" s="278">
        <v>3333529</v>
      </c>
      <c r="X30" s="279" t="s">
        <v>224</v>
      </c>
      <c r="Y30" s="280">
        <v>88</v>
      </c>
      <c r="Z30" s="281" t="s">
        <v>149</v>
      </c>
      <c r="AA30" s="2171"/>
      <c r="AB30" s="2260"/>
      <c r="AC30" s="2314"/>
      <c r="AD30" s="2339"/>
      <c r="AE30" s="2341"/>
      <c r="AF30" s="2339"/>
      <c r="AG30" s="2314"/>
      <c r="AH30" s="2339"/>
      <c r="AI30" s="2337"/>
      <c r="AJ30" s="2338"/>
      <c r="AK30" s="2337"/>
      <c r="AL30" s="2338"/>
      <c r="AM30" s="2314"/>
      <c r="AN30" s="2339"/>
      <c r="AO30" s="2314"/>
      <c r="AP30" s="2315"/>
      <c r="AQ30" s="2316"/>
      <c r="AR30" s="2327"/>
      <c r="AS30" s="2328"/>
    </row>
    <row r="31" spans="1:45" ht="28.5" customHeight="1" x14ac:dyDescent="0.2">
      <c r="A31" s="262"/>
      <c r="B31" s="263"/>
      <c r="C31" s="262"/>
      <c r="D31" s="276"/>
      <c r="E31" s="277"/>
      <c r="F31" s="277"/>
      <c r="G31" s="2201"/>
      <c r="H31" s="2199"/>
      <c r="I31" s="2201"/>
      <c r="J31" s="2199"/>
      <c r="K31" s="2311"/>
      <c r="L31" s="2313"/>
      <c r="M31" s="2311"/>
      <c r="N31" s="2313"/>
      <c r="O31" s="2197"/>
      <c r="P31" s="2322"/>
      <c r="Q31" s="2280"/>
      <c r="R31" s="2323"/>
      <c r="S31" s="2318"/>
      <c r="T31" s="2196"/>
      <c r="U31" s="2320"/>
      <c r="V31" s="2336"/>
      <c r="W31" s="278">
        <v>8000000</v>
      </c>
      <c r="X31" s="279" t="s">
        <v>206</v>
      </c>
      <c r="Y31" s="286">
        <v>20</v>
      </c>
      <c r="Z31" s="287" t="s">
        <v>202</v>
      </c>
      <c r="AA31" s="2171"/>
      <c r="AB31" s="2260"/>
      <c r="AC31" s="2314"/>
      <c r="AD31" s="2339"/>
      <c r="AE31" s="2341"/>
      <c r="AF31" s="2339"/>
      <c r="AG31" s="2314"/>
      <c r="AH31" s="2339"/>
      <c r="AI31" s="2337"/>
      <c r="AJ31" s="2338"/>
      <c r="AK31" s="2337"/>
      <c r="AL31" s="2338"/>
      <c r="AM31" s="2314"/>
      <c r="AN31" s="2339"/>
      <c r="AO31" s="2314"/>
      <c r="AP31" s="2315"/>
      <c r="AQ31" s="2316"/>
      <c r="AR31" s="2327"/>
      <c r="AS31" s="2328"/>
    </row>
    <row r="32" spans="1:45" ht="43.5" customHeight="1" x14ac:dyDescent="0.2">
      <c r="A32" s="262"/>
      <c r="B32" s="263"/>
      <c r="C32" s="262"/>
      <c r="D32" s="276"/>
      <c r="E32" s="277"/>
      <c r="F32" s="277"/>
      <c r="G32" s="2201"/>
      <c r="H32" s="2199"/>
      <c r="I32" s="2201"/>
      <c r="J32" s="2199"/>
      <c r="K32" s="2311"/>
      <c r="L32" s="2313"/>
      <c r="M32" s="2311"/>
      <c r="N32" s="2313"/>
      <c r="O32" s="2197"/>
      <c r="P32" s="2322"/>
      <c r="Q32" s="2280"/>
      <c r="R32" s="2323"/>
      <c r="S32" s="2318"/>
      <c r="T32" s="2196"/>
      <c r="U32" s="2320"/>
      <c r="V32" s="288" t="s">
        <v>225</v>
      </c>
      <c r="W32" s="278">
        <v>7000000</v>
      </c>
      <c r="X32" s="279" t="s">
        <v>206</v>
      </c>
      <c r="Y32" s="286">
        <v>20</v>
      </c>
      <c r="Z32" s="289" t="s">
        <v>202</v>
      </c>
      <c r="AA32" s="2343"/>
      <c r="AB32" s="2260"/>
      <c r="AC32" s="2314"/>
      <c r="AD32" s="2339"/>
      <c r="AE32" s="2342"/>
      <c r="AF32" s="2339"/>
      <c r="AG32" s="2314"/>
      <c r="AH32" s="2339"/>
      <c r="AI32" s="2337"/>
      <c r="AJ32" s="2338"/>
      <c r="AK32" s="2337"/>
      <c r="AL32" s="2338"/>
      <c r="AM32" s="2314"/>
      <c r="AN32" s="2339"/>
      <c r="AO32" s="2314"/>
      <c r="AP32" s="2315"/>
      <c r="AQ32" s="2316"/>
      <c r="AR32" s="2327"/>
      <c r="AS32" s="2328"/>
    </row>
    <row r="33" spans="1:45" ht="66.75" customHeight="1" x14ac:dyDescent="0.2">
      <c r="A33" s="262"/>
      <c r="B33" s="263"/>
      <c r="C33" s="262"/>
      <c r="D33" s="276"/>
      <c r="E33" s="277"/>
      <c r="F33" s="277"/>
      <c r="G33" s="2311" t="s">
        <v>62</v>
      </c>
      <c r="H33" s="2312" t="s">
        <v>226</v>
      </c>
      <c r="I33" s="2311">
        <v>4502001</v>
      </c>
      <c r="J33" s="2312" t="s">
        <v>193</v>
      </c>
      <c r="K33" s="2311" t="s">
        <v>62</v>
      </c>
      <c r="L33" s="2313" t="s">
        <v>227</v>
      </c>
      <c r="M33" s="2311" t="s">
        <v>62</v>
      </c>
      <c r="N33" s="2313" t="s">
        <v>228</v>
      </c>
      <c r="O33" s="2197">
        <v>12</v>
      </c>
      <c r="P33" s="2305" t="s">
        <v>229</v>
      </c>
      <c r="Q33" s="2306" t="s">
        <v>230</v>
      </c>
      <c r="R33" s="2307">
        <f>SUM(W33:W37)/S33</f>
        <v>1</v>
      </c>
      <c r="S33" s="2326">
        <f>SUM(W33:W37)</f>
        <v>35000000</v>
      </c>
      <c r="T33" s="2168" t="s">
        <v>231</v>
      </c>
      <c r="U33" s="2324" t="s">
        <v>232</v>
      </c>
      <c r="V33" s="281" t="s">
        <v>233</v>
      </c>
      <c r="W33" s="290">
        <v>6000000</v>
      </c>
      <c r="X33" s="291" t="s">
        <v>234</v>
      </c>
      <c r="Y33" s="71">
        <v>20</v>
      </c>
      <c r="Z33" s="292" t="s">
        <v>202</v>
      </c>
      <c r="AA33" s="2310">
        <v>295972</v>
      </c>
      <c r="AB33" s="2310">
        <v>285580</v>
      </c>
      <c r="AC33" s="2310">
        <v>135545</v>
      </c>
      <c r="AD33" s="2310">
        <v>44254</v>
      </c>
      <c r="AE33" s="2310">
        <v>309146</v>
      </c>
      <c r="AF33" s="2310">
        <v>92607</v>
      </c>
      <c r="AG33" s="2310">
        <v>2145</v>
      </c>
      <c r="AH33" s="2310">
        <v>12718</v>
      </c>
      <c r="AI33" s="2310">
        <v>26</v>
      </c>
      <c r="AJ33" s="2310">
        <v>37</v>
      </c>
      <c r="AK33" s="2310">
        <v>0</v>
      </c>
      <c r="AL33" s="2310">
        <v>0</v>
      </c>
      <c r="AM33" s="2310">
        <v>44350</v>
      </c>
      <c r="AN33" s="2310">
        <v>21944</v>
      </c>
      <c r="AO33" s="2310">
        <v>75687</v>
      </c>
      <c r="AP33" s="2310">
        <f>AA33+AB33</f>
        <v>581552</v>
      </c>
      <c r="AQ33" s="2325">
        <v>44197</v>
      </c>
      <c r="AR33" s="2310" t="s">
        <v>235</v>
      </c>
      <c r="AS33" s="2310" t="s">
        <v>203</v>
      </c>
    </row>
    <row r="34" spans="1:45" ht="66.75" customHeight="1" x14ac:dyDescent="0.2">
      <c r="A34" s="262"/>
      <c r="B34" s="263"/>
      <c r="C34" s="262"/>
      <c r="D34" s="276"/>
      <c r="E34" s="277"/>
      <c r="F34" s="277"/>
      <c r="G34" s="2311"/>
      <c r="H34" s="2312"/>
      <c r="I34" s="2311"/>
      <c r="J34" s="2312"/>
      <c r="K34" s="2311"/>
      <c r="L34" s="2313"/>
      <c r="M34" s="2311"/>
      <c r="N34" s="2313"/>
      <c r="O34" s="2197"/>
      <c r="P34" s="2305"/>
      <c r="Q34" s="2306"/>
      <c r="R34" s="2307"/>
      <c r="S34" s="2326"/>
      <c r="T34" s="2168"/>
      <c r="U34" s="2324"/>
      <c r="V34" s="281" t="s">
        <v>236</v>
      </c>
      <c r="W34" s="290">
        <v>3000000</v>
      </c>
      <c r="X34" s="291" t="s">
        <v>234</v>
      </c>
      <c r="Y34" s="71">
        <v>20</v>
      </c>
      <c r="Z34" s="292" t="s">
        <v>202</v>
      </c>
      <c r="AA34" s="2308"/>
      <c r="AB34" s="2308"/>
      <c r="AC34" s="2308"/>
      <c r="AD34" s="2308"/>
      <c r="AE34" s="2308"/>
      <c r="AF34" s="2308"/>
      <c r="AG34" s="2308"/>
      <c r="AH34" s="2308"/>
      <c r="AI34" s="2308"/>
      <c r="AJ34" s="2308"/>
      <c r="AK34" s="2308"/>
      <c r="AL34" s="2308"/>
      <c r="AM34" s="2308"/>
      <c r="AN34" s="2308"/>
      <c r="AO34" s="2308"/>
      <c r="AP34" s="2308"/>
      <c r="AQ34" s="2308"/>
      <c r="AR34" s="2308"/>
      <c r="AS34" s="2308"/>
    </row>
    <row r="35" spans="1:45" ht="87" customHeight="1" x14ac:dyDescent="0.2">
      <c r="A35" s="262"/>
      <c r="B35" s="263"/>
      <c r="C35" s="262"/>
      <c r="D35" s="276"/>
      <c r="E35" s="277"/>
      <c r="F35" s="277"/>
      <c r="G35" s="2311"/>
      <c r="H35" s="2312"/>
      <c r="I35" s="2311"/>
      <c r="J35" s="2312"/>
      <c r="K35" s="2311"/>
      <c r="L35" s="2313"/>
      <c r="M35" s="2311"/>
      <c r="N35" s="2313"/>
      <c r="O35" s="2197"/>
      <c r="P35" s="2305"/>
      <c r="Q35" s="2306"/>
      <c r="R35" s="2307"/>
      <c r="S35" s="2326"/>
      <c r="T35" s="2168"/>
      <c r="U35" s="2324"/>
      <c r="V35" s="281" t="s">
        <v>237</v>
      </c>
      <c r="W35" s="290">
        <v>15000000</v>
      </c>
      <c r="X35" s="291" t="s">
        <v>234</v>
      </c>
      <c r="Y35" s="71">
        <v>20</v>
      </c>
      <c r="Z35" s="292" t="s">
        <v>202</v>
      </c>
      <c r="AA35" s="2308"/>
      <c r="AB35" s="2308"/>
      <c r="AC35" s="2308"/>
      <c r="AD35" s="2308"/>
      <c r="AE35" s="2308"/>
      <c r="AF35" s="2308"/>
      <c r="AG35" s="2308"/>
      <c r="AH35" s="2308"/>
      <c r="AI35" s="2308"/>
      <c r="AJ35" s="2308"/>
      <c r="AK35" s="2308"/>
      <c r="AL35" s="2308"/>
      <c r="AM35" s="2308"/>
      <c r="AN35" s="2308"/>
      <c r="AO35" s="2308"/>
      <c r="AP35" s="2308"/>
      <c r="AQ35" s="2308"/>
      <c r="AR35" s="2308"/>
      <c r="AS35" s="2308"/>
    </row>
    <row r="36" spans="1:45" ht="66.75" customHeight="1" x14ac:dyDescent="0.2">
      <c r="A36" s="262"/>
      <c r="B36" s="263"/>
      <c r="C36" s="262"/>
      <c r="D36" s="276"/>
      <c r="E36" s="277"/>
      <c r="F36" s="277"/>
      <c r="G36" s="2311"/>
      <c r="H36" s="2312"/>
      <c r="I36" s="2311"/>
      <c r="J36" s="2312"/>
      <c r="K36" s="2311"/>
      <c r="L36" s="2313"/>
      <c r="M36" s="2311"/>
      <c r="N36" s="2313"/>
      <c r="O36" s="2197"/>
      <c r="P36" s="2305"/>
      <c r="Q36" s="2306"/>
      <c r="R36" s="2307"/>
      <c r="S36" s="2326"/>
      <c r="T36" s="2168"/>
      <c r="U36" s="2324"/>
      <c r="V36" s="281" t="s">
        <v>238</v>
      </c>
      <c r="W36" s="290">
        <v>3000000</v>
      </c>
      <c r="X36" s="291" t="s">
        <v>234</v>
      </c>
      <c r="Y36" s="71">
        <v>20</v>
      </c>
      <c r="Z36" s="292" t="s">
        <v>202</v>
      </c>
      <c r="AA36" s="2308"/>
      <c r="AB36" s="2308"/>
      <c r="AC36" s="2308"/>
      <c r="AD36" s="2308"/>
      <c r="AE36" s="2308"/>
      <c r="AF36" s="2308"/>
      <c r="AG36" s="2308"/>
      <c r="AH36" s="2308"/>
      <c r="AI36" s="2308"/>
      <c r="AJ36" s="2308"/>
      <c r="AK36" s="2308"/>
      <c r="AL36" s="2308"/>
      <c r="AM36" s="2308"/>
      <c r="AN36" s="2308"/>
      <c r="AO36" s="2308"/>
      <c r="AP36" s="2308"/>
      <c r="AQ36" s="2308"/>
      <c r="AR36" s="2308"/>
      <c r="AS36" s="2308"/>
    </row>
    <row r="37" spans="1:45" ht="48.75" customHeight="1" x14ac:dyDescent="0.2">
      <c r="A37" s="262"/>
      <c r="B37" s="263"/>
      <c r="C37" s="262"/>
      <c r="D37" s="276"/>
      <c r="E37" s="277"/>
      <c r="F37" s="277"/>
      <c r="G37" s="2311"/>
      <c r="H37" s="2312"/>
      <c r="I37" s="2311"/>
      <c r="J37" s="2312"/>
      <c r="K37" s="2311"/>
      <c r="L37" s="2313"/>
      <c r="M37" s="2311"/>
      <c r="N37" s="2313"/>
      <c r="O37" s="2197"/>
      <c r="P37" s="2305"/>
      <c r="Q37" s="2306"/>
      <c r="R37" s="2307"/>
      <c r="S37" s="2326"/>
      <c r="T37" s="2168"/>
      <c r="U37" s="2324"/>
      <c r="V37" s="281" t="s">
        <v>239</v>
      </c>
      <c r="W37" s="290">
        <v>8000000</v>
      </c>
      <c r="X37" s="291" t="s">
        <v>240</v>
      </c>
      <c r="Y37" s="71">
        <v>20</v>
      </c>
      <c r="Z37" s="292" t="s">
        <v>202</v>
      </c>
      <c r="AA37" s="2309"/>
      <c r="AB37" s="2309"/>
      <c r="AC37" s="2309"/>
      <c r="AD37" s="2309"/>
      <c r="AE37" s="2309"/>
      <c r="AF37" s="2309"/>
      <c r="AG37" s="2309"/>
      <c r="AH37" s="2309"/>
      <c r="AI37" s="2309"/>
      <c r="AJ37" s="2309"/>
      <c r="AK37" s="2309"/>
      <c r="AL37" s="2309"/>
      <c r="AM37" s="2309"/>
      <c r="AN37" s="2309"/>
      <c r="AO37" s="2309"/>
      <c r="AP37" s="2309"/>
      <c r="AQ37" s="2309"/>
      <c r="AR37" s="2309"/>
      <c r="AS37" s="2309"/>
    </row>
    <row r="38" spans="1:45" ht="22.5" customHeight="1" x14ac:dyDescent="0.2">
      <c r="A38" s="262"/>
      <c r="B38" s="263"/>
      <c r="C38" s="262"/>
      <c r="D38" s="276"/>
      <c r="E38" s="167">
        <v>4599</v>
      </c>
      <c r="F38" s="293" t="s">
        <v>124</v>
      </c>
      <c r="G38" s="100"/>
      <c r="H38" s="294"/>
      <c r="I38" s="100"/>
      <c r="J38" s="294"/>
      <c r="K38" s="96"/>
      <c r="L38" s="96"/>
      <c r="M38" s="96"/>
      <c r="N38" s="96"/>
      <c r="O38" s="96"/>
      <c r="P38" s="295"/>
      <c r="Q38" s="296"/>
      <c r="R38" s="297"/>
      <c r="S38" s="298"/>
      <c r="T38" s="296"/>
      <c r="U38" s="299"/>
      <c r="V38" s="96"/>
      <c r="W38" s="300"/>
      <c r="X38" s="300"/>
      <c r="Y38" s="300"/>
      <c r="Z38" s="96"/>
      <c r="AA38" s="101"/>
      <c r="AB38" s="101"/>
      <c r="AC38" s="101"/>
      <c r="AD38" s="101"/>
      <c r="AE38" s="101"/>
      <c r="AF38" s="101"/>
      <c r="AG38" s="101"/>
      <c r="AH38" s="101"/>
      <c r="AI38" s="101"/>
      <c r="AJ38" s="101"/>
      <c r="AK38" s="101"/>
      <c r="AL38" s="101"/>
      <c r="AM38" s="101"/>
      <c r="AN38" s="101"/>
      <c r="AO38" s="101"/>
      <c r="AP38" s="101"/>
      <c r="AQ38" s="101"/>
      <c r="AR38" s="101"/>
      <c r="AS38" s="102"/>
    </row>
    <row r="39" spans="1:45" ht="105.75" customHeight="1" x14ac:dyDescent="0.2">
      <c r="A39" s="262"/>
      <c r="B39" s="263"/>
      <c r="C39" s="262"/>
      <c r="D39" s="276"/>
      <c r="E39" s="301"/>
      <c r="F39" s="258"/>
      <c r="G39" s="2256" t="s">
        <v>62</v>
      </c>
      <c r="H39" s="2257" t="s">
        <v>241</v>
      </c>
      <c r="I39" s="2195">
        <v>4599018</v>
      </c>
      <c r="J39" s="2257" t="s">
        <v>242</v>
      </c>
      <c r="K39" s="2195" t="s">
        <v>62</v>
      </c>
      <c r="L39" s="2257" t="s">
        <v>243</v>
      </c>
      <c r="M39" s="2195">
        <v>459901800</v>
      </c>
      <c r="N39" s="2257" t="s">
        <v>244</v>
      </c>
      <c r="O39" s="2195">
        <v>5</v>
      </c>
      <c r="P39" s="2195" t="s">
        <v>245</v>
      </c>
      <c r="Q39" s="2257" t="s">
        <v>246</v>
      </c>
      <c r="R39" s="2286">
        <f>SUM(W39:W44)/S39</f>
        <v>1</v>
      </c>
      <c r="S39" s="2258">
        <f>SUM(W39:W44)</f>
        <v>222682500</v>
      </c>
      <c r="T39" s="2257" t="s">
        <v>247</v>
      </c>
      <c r="U39" s="2259" t="s">
        <v>248</v>
      </c>
      <c r="V39" s="283" t="s">
        <v>249</v>
      </c>
      <c r="W39" s="302">
        <f>36000000-12900000</f>
        <v>23100000</v>
      </c>
      <c r="X39" s="303" t="s">
        <v>250</v>
      </c>
      <c r="Y39" s="71">
        <v>20</v>
      </c>
      <c r="Z39" s="292" t="s">
        <v>202</v>
      </c>
      <c r="AA39" s="2261">
        <v>295972</v>
      </c>
      <c r="AB39" s="2261">
        <v>285580</v>
      </c>
      <c r="AC39" s="2261">
        <v>135545</v>
      </c>
      <c r="AD39" s="2261">
        <v>44254</v>
      </c>
      <c r="AE39" s="2261">
        <v>309146</v>
      </c>
      <c r="AF39" s="2261">
        <v>92607</v>
      </c>
      <c r="AG39" s="2261">
        <v>2145</v>
      </c>
      <c r="AH39" s="2261">
        <v>12718</v>
      </c>
      <c r="AI39" s="2261">
        <v>26</v>
      </c>
      <c r="AJ39" s="2261">
        <v>37</v>
      </c>
      <c r="AK39" s="2261">
        <v>0</v>
      </c>
      <c r="AL39" s="2261">
        <v>0</v>
      </c>
      <c r="AM39" s="2261">
        <v>44350</v>
      </c>
      <c r="AN39" s="2261">
        <v>21944</v>
      </c>
      <c r="AO39" s="2261">
        <v>75687</v>
      </c>
      <c r="AP39" s="2261">
        <f>SUM(AA39,AB39)</f>
        <v>581552</v>
      </c>
      <c r="AQ39" s="2270">
        <v>44197</v>
      </c>
      <c r="AR39" s="2270">
        <v>44561</v>
      </c>
      <c r="AS39" s="2198" t="s">
        <v>203</v>
      </c>
    </row>
    <row r="40" spans="1:45" ht="102" customHeight="1" x14ac:dyDescent="0.2">
      <c r="A40" s="262"/>
      <c r="B40" s="263"/>
      <c r="C40" s="262"/>
      <c r="D40" s="276"/>
      <c r="E40" s="277"/>
      <c r="F40" s="304"/>
      <c r="G40" s="2256"/>
      <c r="H40" s="2257"/>
      <c r="I40" s="2195"/>
      <c r="J40" s="2257"/>
      <c r="K40" s="2195"/>
      <c r="L40" s="2257"/>
      <c r="M40" s="2195"/>
      <c r="N40" s="2257"/>
      <c r="O40" s="2195"/>
      <c r="P40" s="2195"/>
      <c r="Q40" s="2257"/>
      <c r="R40" s="2286"/>
      <c r="S40" s="2258"/>
      <c r="T40" s="2257"/>
      <c r="U40" s="2259"/>
      <c r="V40" s="283" t="s">
        <v>251</v>
      </c>
      <c r="W40" s="305">
        <f>18000000+12900000-5785000</f>
        <v>25115000</v>
      </c>
      <c r="X40" s="303" t="s">
        <v>250</v>
      </c>
      <c r="Y40" s="71">
        <v>20</v>
      </c>
      <c r="Z40" s="292" t="s">
        <v>202</v>
      </c>
      <c r="AA40" s="2262"/>
      <c r="AB40" s="2262"/>
      <c r="AC40" s="2262"/>
      <c r="AD40" s="2262"/>
      <c r="AE40" s="2262"/>
      <c r="AF40" s="2262"/>
      <c r="AG40" s="2262"/>
      <c r="AH40" s="2262"/>
      <c r="AI40" s="2262"/>
      <c r="AJ40" s="2262"/>
      <c r="AK40" s="2262"/>
      <c r="AL40" s="2262"/>
      <c r="AM40" s="2262"/>
      <c r="AN40" s="2262"/>
      <c r="AO40" s="2262"/>
      <c r="AP40" s="2262"/>
      <c r="AQ40" s="2262"/>
      <c r="AR40" s="2262"/>
      <c r="AS40" s="2308"/>
    </row>
    <row r="41" spans="1:45" ht="90" customHeight="1" x14ac:dyDescent="0.2">
      <c r="A41" s="262"/>
      <c r="B41" s="263"/>
      <c r="C41" s="262"/>
      <c r="D41" s="276"/>
      <c r="E41" s="277"/>
      <c r="F41" s="304"/>
      <c r="G41" s="2256"/>
      <c r="H41" s="2257"/>
      <c r="I41" s="2195"/>
      <c r="J41" s="2257"/>
      <c r="K41" s="2195"/>
      <c r="L41" s="2257"/>
      <c r="M41" s="2195"/>
      <c r="N41" s="2257"/>
      <c r="O41" s="2195"/>
      <c r="P41" s="2195"/>
      <c r="Q41" s="2257"/>
      <c r="R41" s="2286"/>
      <c r="S41" s="2258"/>
      <c r="T41" s="2257"/>
      <c r="U41" s="2259"/>
      <c r="V41" s="283" t="s">
        <v>252</v>
      </c>
      <c r="W41" s="305">
        <v>36000000</v>
      </c>
      <c r="X41" s="303" t="s">
        <v>250</v>
      </c>
      <c r="Y41" s="71">
        <v>20</v>
      </c>
      <c r="Z41" s="292" t="s">
        <v>202</v>
      </c>
      <c r="AA41" s="2262"/>
      <c r="AB41" s="2262"/>
      <c r="AC41" s="2262"/>
      <c r="AD41" s="2262"/>
      <c r="AE41" s="2262"/>
      <c r="AF41" s="2262"/>
      <c r="AG41" s="2262"/>
      <c r="AH41" s="2262"/>
      <c r="AI41" s="2262"/>
      <c r="AJ41" s="2262"/>
      <c r="AK41" s="2262"/>
      <c r="AL41" s="2262"/>
      <c r="AM41" s="2262"/>
      <c r="AN41" s="2262"/>
      <c r="AO41" s="2262"/>
      <c r="AP41" s="2262"/>
      <c r="AQ41" s="2262"/>
      <c r="AR41" s="2262"/>
      <c r="AS41" s="2308"/>
    </row>
    <row r="42" spans="1:45" ht="59.25" customHeight="1" x14ac:dyDescent="0.2">
      <c r="A42" s="262"/>
      <c r="B42" s="263"/>
      <c r="C42" s="262"/>
      <c r="D42" s="276"/>
      <c r="E42" s="277"/>
      <c r="F42" s="304"/>
      <c r="G42" s="2256"/>
      <c r="H42" s="2257"/>
      <c r="I42" s="2195"/>
      <c r="J42" s="2257"/>
      <c r="K42" s="2195"/>
      <c r="L42" s="2257"/>
      <c r="M42" s="2195"/>
      <c r="N42" s="2257"/>
      <c r="O42" s="2195"/>
      <c r="P42" s="2195"/>
      <c r="Q42" s="2257"/>
      <c r="R42" s="2286"/>
      <c r="S42" s="2258"/>
      <c r="T42" s="2257"/>
      <c r="U42" s="2259"/>
      <c r="V42" s="283" t="s">
        <v>253</v>
      </c>
      <c r="W42" s="305">
        <v>28252000</v>
      </c>
      <c r="X42" s="303" t="s">
        <v>250</v>
      </c>
      <c r="Y42" s="71">
        <v>20</v>
      </c>
      <c r="Z42" s="292" t="s">
        <v>202</v>
      </c>
      <c r="AA42" s="2262"/>
      <c r="AB42" s="2262"/>
      <c r="AC42" s="2262"/>
      <c r="AD42" s="2262"/>
      <c r="AE42" s="2262"/>
      <c r="AF42" s="2262"/>
      <c r="AG42" s="2262"/>
      <c r="AH42" s="2262"/>
      <c r="AI42" s="2262"/>
      <c r="AJ42" s="2262"/>
      <c r="AK42" s="2262"/>
      <c r="AL42" s="2262"/>
      <c r="AM42" s="2262"/>
      <c r="AN42" s="2262"/>
      <c r="AO42" s="2262"/>
      <c r="AP42" s="2262"/>
      <c r="AQ42" s="2262"/>
      <c r="AR42" s="2262"/>
      <c r="AS42" s="2308"/>
    </row>
    <row r="43" spans="1:45" ht="93.75" customHeight="1" x14ac:dyDescent="0.2">
      <c r="A43" s="262"/>
      <c r="B43" s="263"/>
      <c r="C43" s="262"/>
      <c r="D43" s="276"/>
      <c r="E43" s="277"/>
      <c r="F43" s="304"/>
      <c r="G43" s="2256"/>
      <c r="H43" s="2257"/>
      <c r="I43" s="2195"/>
      <c r="J43" s="2257"/>
      <c r="K43" s="2195"/>
      <c r="L43" s="2257"/>
      <c r="M43" s="2195"/>
      <c r="N43" s="2257"/>
      <c r="O43" s="2195"/>
      <c r="P43" s="2195"/>
      <c r="Q43" s="2257"/>
      <c r="R43" s="2286"/>
      <c r="S43" s="2258"/>
      <c r="T43" s="2257"/>
      <c r="U43" s="2259"/>
      <c r="V43" s="283" t="s">
        <v>254</v>
      </c>
      <c r="W43" s="305">
        <f>15000000-11652000+78682500</f>
        <v>82030500</v>
      </c>
      <c r="X43" s="303" t="s">
        <v>250</v>
      </c>
      <c r="Y43" s="71">
        <v>20</v>
      </c>
      <c r="Z43" s="292" t="s">
        <v>202</v>
      </c>
      <c r="AA43" s="2262"/>
      <c r="AB43" s="2262"/>
      <c r="AC43" s="2262"/>
      <c r="AD43" s="2262"/>
      <c r="AE43" s="2262"/>
      <c r="AF43" s="2262"/>
      <c r="AG43" s="2262"/>
      <c r="AH43" s="2262"/>
      <c r="AI43" s="2262"/>
      <c r="AJ43" s="2262"/>
      <c r="AK43" s="2262"/>
      <c r="AL43" s="2262"/>
      <c r="AM43" s="2262"/>
      <c r="AN43" s="2262"/>
      <c r="AO43" s="2262"/>
      <c r="AP43" s="2262"/>
      <c r="AQ43" s="2262"/>
      <c r="AR43" s="2262"/>
      <c r="AS43" s="2308"/>
    </row>
    <row r="44" spans="1:45" ht="86.25" customHeight="1" x14ac:dyDescent="0.2">
      <c r="A44" s="262"/>
      <c r="B44" s="263"/>
      <c r="C44" s="262"/>
      <c r="D44" s="276"/>
      <c r="E44" s="277"/>
      <c r="F44" s="304"/>
      <c r="G44" s="2256"/>
      <c r="H44" s="2257"/>
      <c r="I44" s="2195"/>
      <c r="J44" s="2257"/>
      <c r="K44" s="2195"/>
      <c r="L44" s="2257"/>
      <c r="M44" s="2195"/>
      <c r="N44" s="2257"/>
      <c r="O44" s="2195"/>
      <c r="P44" s="2195"/>
      <c r="Q44" s="2257"/>
      <c r="R44" s="2286"/>
      <c r="S44" s="2258"/>
      <c r="T44" s="2257"/>
      <c r="U44" s="2259"/>
      <c r="V44" s="283" t="s">
        <v>255</v>
      </c>
      <c r="W44" s="305">
        <f>10748000+11652000+5785000</f>
        <v>28185000</v>
      </c>
      <c r="X44" s="303" t="s">
        <v>250</v>
      </c>
      <c r="Y44" s="71">
        <v>20</v>
      </c>
      <c r="Z44" s="292" t="s">
        <v>202</v>
      </c>
      <c r="AA44" s="2263"/>
      <c r="AB44" s="2263"/>
      <c r="AC44" s="2263"/>
      <c r="AD44" s="2263"/>
      <c r="AE44" s="2263"/>
      <c r="AF44" s="2263"/>
      <c r="AG44" s="2263"/>
      <c r="AH44" s="2263"/>
      <c r="AI44" s="2263"/>
      <c r="AJ44" s="2263"/>
      <c r="AK44" s="2263"/>
      <c r="AL44" s="2263"/>
      <c r="AM44" s="2263"/>
      <c r="AN44" s="2263"/>
      <c r="AO44" s="2263"/>
      <c r="AP44" s="2263"/>
      <c r="AQ44" s="2263"/>
      <c r="AR44" s="2263"/>
      <c r="AS44" s="2309"/>
    </row>
    <row r="45" spans="1:45" ht="138.75" customHeight="1" x14ac:dyDescent="0.2">
      <c r="A45" s="306"/>
      <c r="C45" s="307"/>
      <c r="D45" s="308"/>
      <c r="F45" s="308"/>
      <c r="G45" s="2195" t="s">
        <v>62</v>
      </c>
      <c r="H45" s="2257" t="s">
        <v>256</v>
      </c>
      <c r="I45" s="2195">
        <v>4599025</v>
      </c>
      <c r="J45" s="2257" t="s">
        <v>257</v>
      </c>
      <c r="K45" s="2195" t="s">
        <v>62</v>
      </c>
      <c r="L45" s="2257" t="s">
        <v>258</v>
      </c>
      <c r="M45" s="2195">
        <v>459902500</v>
      </c>
      <c r="N45" s="2257" t="s">
        <v>259</v>
      </c>
      <c r="O45" s="2195">
        <v>1</v>
      </c>
      <c r="P45" s="2195" t="s">
        <v>260</v>
      </c>
      <c r="Q45" s="2257" t="s">
        <v>261</v>
      </c>
      <c r="R45" s="2288">
        <f>SUM(W45:W47)/S45</f>
        <v>1</v>
      </c>
      <c r="S45" s="2275">
        <f>SUM(W45:W47)</f>
        <v>52000000</v>
      </c>
      <c r="T45" s="2257" t="s">
        <v>262</v>
      </c>
      <c r="U45" s="2259" t="s">
        <v>263</v>
      </c>
      <c r="V45" s="283" t="s">
        <v>264</v>
      </c>
      <c r="W45" s="309">
        <f>30000000-9805000</f>
        <v>20195000</v>
      </c>
      <c r="X45" s="303" t="s">
        <v>265</v>
      </c>
      <c r="Y45" s="71">
        <v>20</v>
      </c>
      <c r="Z45" s="292" t="s">
        <v>202</v>
      </c>
      <c r="AA45" s="2253">
        <v>295972</v>
      </c>
      <c r="AB45" s="2268">
        <v>285580</v>
      </c>
      <c r="AC45" s="2268">
        <v>135545</v>
      </c>
      <c r="AD45" s="2268">
        <v>44254</v>
      </c>
      <c r="AE45" s="2268">
        <v>309146</v>
      </c>
      <c r="AF45" s="2268">
        <v>92607</v>
      </c>
      <c r="AG45" s="2268">
        <v>2145</v>
      </c>
      <c r="AH45" s="2268">
        <v>12718</v>
      </c>
      <c r="AI45" s="2268">
        <v>26</v>
      </c>
      <c r="AJ45" s="2268">
        <v>37</v>
      </c>
      <c r="AK45" s="2268">
        <v>0</v>
      </c>
      <c r="AL45" s="2268">
        <v>0</v>
      </c>
      <c r="AM45" s="2268">
        <v>44350</v>
      </c>
      <c r="AN45" s="2268">
        <v>21944</v>
      </c>
      <c r="AO45" s="2268">
        <v>75687</v>
      </c>
      <c r="AP45" s="2268">
        <v>581552</v>
      </c>
      <c r="AQ45" s="2269">
        <v>44197</v>
      </c>
      <c r="AR45" s="2269">
        <v>44561</v>
      </c>
      <c r="AS45" s="2293" t="s">
        <v>203</v>
      </c>
    </row>
    <row r="46" spans="1:45" ht="64.5" customHeight="1" x14ac:dyDescent="0.2">
      <c r="A46" s="306"/>
      <c r="C46" s="307"/>
      <c r="D46" s="308"/>
      <c r="F46" s="308"/>
      <c r="G46" s="2195"/>
      <c r="H46" s="2257"/>
      <c r="I46" s="2195"/>
      <c r="J46" s="2257"/>
      <c r="K46" s="2195"/>
      <c r="L46" s="2257"/>
      <c r="M46" s="2195"/>
      <c r="N46" s="2257"/>
      <c r="O46" s="2195"/>
      <c r="P46" s="2195"/>
      <c r="Q46" s="2257"/>
      <c r="R46" s="2289"/>
      <c r="S46" s="2276"/>
      <c r="T46" s="2257"/>
      <c r="U46" s="2259"/>
      <c r="V46" s="88" t="s">
        <v>266</v>
      </c>
      <c r="W46" s="302">
        <f>30000000-3965000</f>
        <v>26035000</v>
      </c>
      <c r="X46" s="303" t="s">
        <v>265</v>
      </c>
      <c r="Y46" s="71">
        <v>20</v>
      </c>
      <c r="Z46" s="292" t="s">
        <v>202</v>
      </c>
      <c r="AA46" s="2254"/>
      <c r="AB46" s="2268"/>
      <c r="AC46" s="2268"/>
      <c r="AD46" s="2268"/>
      <c r="AE46" s="2268"/>
      <c r="AF46" s="2268"/>
      <c r="AG46" s="2268"/>
      <c r="AH46" s="2268"/>
      <c r="AI46" s="2268"/>
      <c r="AJ46" s="2268"/>
      <c r="AK46" s="2268"/>
      <c r="AL46" s="2268"/>
      <c r="AM46" s="2268"/>
      <c r="AN46" s="2268"/>
      <c r="AO46" s="2268"/>
      <c r="AP46" s="2268"/>
      <c r="AQ46" s="2268"/>
      <c r="AR46" s="2268"/>
      <c r="AS46" s="2266"/>
    </row>
    <row r="47" spans="1:45" ht="87.75" customHeight="1" x14ac:dyDescent="0.2">
      <c r="A47" s="306"/>
      <c r="C47" s="307"/>
      <c r="D47" s="308"/>
      <c r="F47" s="308"/>
      <c r="G47" s="2195"/>
      <c r="H47" s="2257"/>
      <c r="I47" s="2195"/>
      <c r="J47" s="2257"/>
      <c r="K47" s="2195"/>
      <c r="L47" s="2280"/>
      <c r="M47" s="2287"/>
      <c r="N47" s="2280"/>
      <c r="O47" s="2195"/>
      <c r="P47" s="2195"/>
      <c r="Q47" s="2257"/>
      <c r="R47" s="2289"/>
      <c r="S47" s="2276"/>
      <c r="T47" s="2257"/>
      <c r="U47" s="2259"/>
      <c r="V47" s="283" t="s">
        <v>267</v>
      </c>
      <c r="W47" s="302">
        <f>12000000-6230000</f>
        <v>5770000</v>
      </c>
      <c r="X47" s="303" t="s">
        <v>265</v>
      </c>
      <c r="Y47" s="71">
        <v>20</v>
      </c>
      <c r="Z47" s="292" t="s">
        <v>202</v>
      </c>
      <c r="AA47" s="2255"/>
      <c r="AB47" s="2268"/>
      <c r="AC47" s="2268"/>
      <c r="AD47" s="2268"/>
      <c r="AE47" s="2268"/>
      <c r="AF47" s="2268"/>
      <c r="AG47" s="2268"/>
      <c r="AH47" s="2268"/>
      <c r="AI47" s="2268"/>
      <c r="AJ47" s="2268"/>
      <c r="AK47" s="2268"/>
      <c r="AL47" s="2268"/>
      <c r="AM47" s="2268"/>
      <c r="AN47" s="2268"/>
      <c r="AO47" s="2268"/>
      <c r="AP47" s="2268"/>
      <c r="AQ47" s="2268"/>
      <c r="AR47" s="2268"/>
      <c r="AS47" s="2267"/>
    </row>
    <row r="48" spans="1:45" ht="99" customHeight="1" x14ac:dyDescent="0.2">
      <c r="A48" s="306"/>
      <c r="C48" s="307"/>
      <c r="D48" s="308"/>
      <c r="F48" s="308"/>
      <c r="G48" s="2294" t="s">
        <v>62</v>
      </c>
      <c r="H48" s="2172" t="s">
        <v>268</v>
      </c>
      <c r="I48" s="2298">
        <v>4599025</v>
      </c>
      <c r="J48" s="2172" t="s">
        <v>257</v>
      </c>
      <c r="K48" s="2298" t="s">
        <v>62</v>
      </c>
      <c r="L48" s="2172" t="s">
        <v>269</v>
      </c>
      <c r="M48" s="2298">
        <v>459902500</v>
      </c>
      <c r="N48" s="2172" t="s">
        <v>259</v>
      </c>
      <c r="O48" s="2301">
        <v>1</v>
      </c>
      <c r="P48" s="2287" t="s">
        <v>270</v>
      </c>
      <c r="Q48" s="2280" t="s">
        <v>271</v>
      </c>
      <c r="R48" s="2290">
        <f>SUM(W48:W58)/S48</f>
        <v>1</v>
      </c>
      <c r="S48" s="2278">
        <f>SUM(W48:W58)</f>
        <v>295900000</v>
      </c>
      <c r="T48" s="2280" t="s">
        <v>272</v>
      </c>
      <c r="U48" s="2283" t="s">
        <v>273</v>
      </c>
      <c r="V48" s="88" t="s">
        <v>274</v>
      </c>
      <c r="W48" s="290">
        <f>40321000+15119000+5440000</f>
        <v>60880000</v>
      </c>
      <c r="X48" s="291" t="s">
        <v>275</v>
      </c>
      <c r="Y48" s="71">
        <v>20</v>
      </c>
      <c r="Z48" s="292" t="s">
        <v>202</v>
      </c>
      <c r="AA48" s="2253">
        <v>295972</v>
      </c>
      <c r="AB48" s="2253">
        <v>285580</v>
      </c>
      <c r="AC48" s="2253">
        <v>135545</v>
      </c>
      <c r="AD48" s="2253">
        <v>44254</v>
      </c>
      <c r="AE48" s="2253">
        <v>309146</v>
      </c>
      <c r="AF48" s="2253">
        <v>92607</v>
      </c>
      <c r="AG48" s="2268">
        <v>2145</v>
      </c>
      <c r="AH48" s="2268">
        <v>12718</v>
      </c>
      <c r="AI48" s="2268">
        <v>26</v>
      </c>
      <c r="AJ48" s="2268">
        <v>37</v>
      </c>
      <c r="AK48" s="2268">
        <v>0</v>
      </c>
      <c r="AL48" s="2268">
        <v>0</v>
      </c>
      <c r="AM48" s="2268">
        <v>44350</v>
      </c>
      <c r="AN48" s="2268">
        <v>21944</v>
      </c>
      <c r="AO48" s="2268">
        <v>75687</v>
      </c>
      <c r="AP48" s="2268">
        <v>581552</v>
      </c>
      <c r="AQ48" s="2269">
        <v>44197</v>
      </c>
      <c r="AR48" s="2269">
        <v>44561</v>
      </c>
      <c r="AS48" s="2274" t="s">
        <v>203</v>
      </c>
    </row>
    <row r="49" spans="1:45" ht="96.75" customHeight="1" x14ac:dyDescent="0.2">
      <c r="A49" s="306"/>
      <c r="C49" s="307"/>
      <c r="D49" s="308"/>
      <c r="F49" s="308"/>
      <c r="G49" s="2295"/>
      <c r="H49" s="2173"/>
      <c r="I49" s="2299"/>
      <c r="J49" s="2173"/>
      <c r="K49" s="2299"/>
      <c r="L49" s="2173"/>
      <c r="M49" s="2299"/>
      <c r="N49" s="2173"/>
      <c r="O49" s="2302"/>
      <c r="P49" s="2157"/>
      <c r="Q49" s="2281"/>
      <c r="R49" s="2291"/>
      <c r="S49" s="2279"/>
      <c r="T49" s="2281"/>
      <c r="U49" s="2284"/>
      <c r="V49" s="88" t="s">
        <v>276</v>
      </c>
      <c r="W49" s="310">
        <f>34650999+10460000</f>
        <v>45110999</v>
      </c>
      <c r="X49" s="291" t="s">
        <v>275</v>
      </c>
      <c r="Y49" s="71">
        <v>20</v>
      </c>
      <c r="Z49" s="292" t="s">
        <v>202</v>
      </c>
      <c r="AA49" s="2254"/>
      <c r="AB49" s="2254"/>
      <c r="AC49" s="2254"/>
      <c r="AD49" s="2254"/>
      <c r="AE49" s="2254"/>
      <c r="AF49" s="2254"/>
      <c r="AG49" s="2268"/>
      <c r="AH49" s="2268"/>
      <c r="AI49" s="2268"/>
      <c r="AJ49" s="2268"/>
      <c r="AK49" s="2268"/>
      <c r="AL49" s="2268"/>
      <c r="AM49" s="2268"/>
      <c r="AN49" s="2268"/>
      <c r="AO49" s="2268"/>
      <c r="AP49" s="2268"/>
      <c r="AQ49" s="2269"/>
      <c r="AR49" s="2269"/>
      <c r="AS49" s="2274"/>
    </row>
    <row r="50" spans="1:45" ht="85.5" customHeight="1" x14ac:dyDescent="0.2">
      <c r="A50" s="306"/>
      <c r="C50" s="307"/>
      <c r="D50" s="308"/>
      <c r="F50" s="308"/>
      <c r="G50" s="2295"/>
      <c r="H50" s="2173"/>
      <c r="I50" s="2299"/>
      <c r="J50" s="2173"/>
      <c r="K50" s="2299"/>
      <c r="L50" s="2173"/>
      <c r="M50" s="2299"/>
      <c r="N50" s="2173"/>
      <c r="O50" s="2302"/>
      <c r="P50" s="2157"/>
      <c r="Q50" s="2281"/>
      <c r="R50" s="2291"/>
      <c r="S50" s="2279"/>
      <c r="T50" s="2281"/>
      <c r="U50" s="2284"/>
      <c r="V50" s="88" t="s">
        <v>277</v>
      </c>
      <c r="W50" s="310">
        <f>73041890-14137140</f>
        <v>58904750</v>
      </c>
      <c r="X50" s="291" t="s">
        <v>275</v>
      </c>
      <c r="Y50" s="71">
        <v>20</v>
      </c>
      <c r="Z50" s="292" t="s">
        <v>202</v>
      </c>
      <c r="AA50" s="2254"/>
      <c r="AB50" s="2254"/>
      <c r="AC50" s="2254"/>
      <c r="AD50" s="2254"/>
      <c r="AE50" s="2254"/>
      <c r="AF50" s="2254"/>
      <c r="AG50" s="2268"/>
      <c r="AH50" s="2268"/>
      <c r="AI50" s="2268"/>
      <c r="AJ50" s="2268"/>
      <c r="AK50" s="2268"/>
      <c r="AL50" s="2268"/>
      <c r="AM50" s="2268"/>
      <c r="AN50" s="2268"/>
      <c r="AO50" s="2268"/>
      <c r="AP50" s="2268"/>
      <c r="AQ50" s="2269"/>
      <c r="AR50" s="2269"/>
      <c r="AS50" s="2274"/>
    </row>
    <row r="51" spans="1:45" ht="135" customHeight="1" x14ac:dyDescent="0.2">
      <c r="A51" s="306"/>
      <c r="C51" s="307"/>
      <c r="D51" s="308"/>
      <c r="F51" s="308"/>
      <c r="G51" s="2295"/>
      <c r="H51" s="2173"/>
      <c r="I51" s="2299"/>
      <c r="J51" s="2173"/>
      <c r="K51" s="2299"/>
      <c r="L51" s="2173"/>
      <c r="M51" s="2299"/>
      <c r="N51" s="2173"/>
      <c r="O51" s="2302"/>
      <c r="P51" s="2157"/>
      <c r="Q51" s="2281"/>
      <c r="R51" s="2291"/>
      <c r="S51" s="2279"/>
      <c r="T51" s="2281"/>
      <c r="U51" s="2284"/>
      <c r="V51" s="88" t="s">
        <v>278</v>
      </c>
      <c r="W51" s="310">
        <v>25965000</v>
      </c>
      <c r="X51" s="291" t="s">
        <v>275</v>
      </c>
      <c r="Y51" s="71">
        <v>20</v>
      </c>
      <c r="Z51" s="292" t="s">
        <v>202</v>
      </c>
      <c r="AA51" s="2254"/>
      <c r="AB51" s="2254"/>
      <c r="AC51" s="2254"/>
      <c r="AD51" s="2254"/>
      <c r="AE51" s="2254"/>
      <c r="AF51" s="2254"/>
      <c r="AG51" s="2268"/>
      <c r="AH51" s="2268"/>
      <c r="AI51" s="2268"/>
      <c r="AJ51" s="2268"/>
      <c r="AK51" s="2268"/>
      <c r="AL51" s="2268"/>
      <c r="AM51" s="2268"/>
      <c r="AN51" s="2268"/>
      <c r="AO51" s="2268"/>
      <c r="AP51" s="2268"/>
      <c r="AQ51" s="2269"/>
      <c r="AR51" s="2269"/>
      <c r="AS51" s="2274"/>
    </row>
    <row r="52" spans="1:45" ht="95.25" customHeight="1" x14ac:dyDescent="0.2">
      <c r="A52" s="306"/>
      <c r="C52" s="307"/>
      <c r="D52" s="308"/>
      <c r="F52" s="308"/>
      <c r="G52" s="2295"/>
      <c r="H52" s="2173"/>
      <c r="I52" s="2299"/>
      <c r="J52" s="2173"/>
      <c r="K52" s="2299"/>
      <c r="L52" s="2173"/>
      <c r="M52" s="2299"/>
      <c r="N52" s="2173"/>
      <c r="O52" s="2302"/>
      <c r="P52" s="2157"/>
      <c r="Q52" s="2281"/>
      <c r="R52" s="2291"/>
      <c r="S52" s="2279"/>
      <c r="T52" s="2281"/>
      <c r="U52" s="2284"/>
      <c r="V52" s="88" t="s">
        <v>279</v>
      </c>
      <c r="W52" s="310">
        <v>25965000</v>
      </c>
      <c r="X52" s="291" t="s">
        <v>275</v>
      </c>
      <c r="Y52" s="71">
        <v>20</v>
      </c>
      <c r="Z52" s="292" t="s">
        <v>202</v>
      </c>
      <c r="AA52" s="2254"/>
      <c r="AB52" s="2254"/>
      <c r="AC52" s="2254"/>
      <c r="AD52" s="2254"/>
      <c r="AE52" s="2254"/>
      <c r="AF52" s="2254"/>
      <c r="AG52" s="2268"/>
      <c r="AH52" s="2268"/>
      <c r="AI52" s="2268"/>
      <c r="AJ52" s="2268"/>
      <c r="AK52" s="2268"/>
      <c r="AL52" s="2268"/>
      <c r="AM52" s="2268"/>
      <c r="AN52" s="2268"/>
      <c r="AO52" s="2268"/>
      <c r="AP52" s="2268"/>
      <c r="AQ52" s="2269"/>
      <c r="AR52" s="2269"/>
      <c r="AS52" s="2274"/>
    </row>
    <row r="53" spans="1:45" ht="80.25" customHeight="1" x14ac:dyDescent="0.2">
      <c r="A53" s="306"/>
      <c r="C53" s="307"/>
      <c r="D53" s="308"/>
      <c r="F53" s="308"/>
      <c r="G53" s="2295"/>
      <c r="H53" s="2173"/>
      <c r="I53" s="2299"/>
      <c r="J53" s="2173"/>
      <c r="K53" s="2299"/>
      <c r="L53" s="2173"/>
      <c r="M53" s="2299"/>
      <c r="N53" s="2173"/>
      <c r="O53" s="2302"/>
      <c r="P53" s="2157"/>
      <c r="Q53" s="2281"/>
      <c r="R53" s="2291"/>
      <c r="S53" s="2279"/>
      <c r="T53" s="2281"/>
      <c r="U53" s="2284"/>
      <c r="V53" s="88" t="s">
        <v>280</v>
      </c>
      <c r="W53" s="310">
        <v>34620000</v>
      </c>
      <c r="X53" s="291" t="s">
        <v>275</v>
      </c>
      <c r="Y53" s="71">
        <v>20</v>
      </c>
      <c r="Z53" s="292" t="s">
        <v>202</v>
      </c>
      <c r="AA53" s="2254"/>
      <c r="AB53" s="2254"/>
      <c r="AC53" s="2254"/>
      <c r="AD53" s="2254"/>
      <c r="AE53" s="2254"/>
      <c r="AF53" s="2254"/>
      <c r="AG53" s="2268"/>
      <c r="AH53" s="2268"/>
      <c r="AI53" s="2268"/>
      <c r="AJ53" s="2268"/>
      <c r="AK53" s="2268"/>
      <c r="AL53" s="2268"/>
      <c r="AM53" s="2268"/>
      <c r="AN53" s="2268"/>
      <c r="AO53" s="2268"/>
      <c r="AP53" s="2268"/>
      <c r="AQ53" s="2269"/>
      <c r="AR53" s="2269"/>
      <c r="AS53" s="2274"/>
    </row>
    <row r="54" spans="1:45" ht="105" customHeight="1" x14ac:dyDescent="0.2">
      <c r="A54" s="306"/>
      <c r="C54" s="307"/>
      <c r="D54" s="308"/>
      <c r="F54" s="308"/>
      <c r="G54" s="2295"/>
      <c r="H54" s="2173"/>
      <c r="I54" s="2299"/>
      <c r="J54" s="2173"/>
      <c r="K54" s="2299"/>
      <c r="L54" s="2173"/>
      <c r="M54" s="2299"/>
      <c r="N54" s="2173"/>
      <c r="O54" s="2302"/>
      <c r="P54" s="2157"/>
      <c r="Q54" s="2281"/>
      <c r="R54" s="2291"/>
      <c r="S54" s="2279"/>
      <c r="T54" s="2281"/>
      <c r="U54" s="2284"/>
      <c r="V54" s="88" t="s">
        <v>281</v>
      </c>
      <c r="W54" s="310">
        <f>1660000+1660000</f>
        <v>3320000</v>
      </c>
      <c r="X54" s="291" t="s">
        <v>275</v>
      </c>
      <c r="Y54" s="71">
        <v>20</v>
      </c>
      <c r="Z54" s="292" t="s">
        <v>202</v>
      </c>
      <c r="AA54" s="2254"/>
      <c r="AB54" s="2254"/>
      <c r="AC54" s="2254"/>
      <c r="AD54" s="2254"/>
      <c r="AE54" s="2254"/>
      <c r="AF54" s="2254"/>
      <c r="AG54" s="2268"/>
      <c r="AH54" s="2268"/>
      <c r="AI54" s="2268"/>
      <c r="AJ54" s="2268"/>
      <c r="AK54" s="2268"/>
      <c r="AL54" s="2268"/>
      <c r="AM54" s="2268"/>
      <c r="AN54" s="2268"/>
      <c r="AO54" s="2268"/>
      <c r="AP54" s="2268"/>
      <c r="AQ54" s="2269"/>
      <c r="AR54" s="2269"/>
      <c r="AS54" s="2274"/>
    </row>
    <row r="55" spans="1:45" ht="148.5" customHeight="1" x14ac:dyDescent="0.2">
      <c r="A55" s="306"/>
      <c r="C55" s="307"/>
      <c r="D55" s="308"/>
      <c r="F55" s="308"/>
      <c r="G55" s="2295"/>
      <c r="H55" s="2173"/>
      <c r="I55" s="2299"/>
      <c r="J55" s="2173"/>
      <c r="K55" s="2299"/>
      <c r="L55" s="2173"/>
      <c r="M55" s="2299"/>
      <c r="N55" s="2173"/>
      <c r="O55" s="2302"/>
      <c r="P55" s="2157"/>
      <c r="Q55" s="2281"/>
      <c r="R55" s="2291"/>
      <c r="S55" s="2279"/>
      <c r="T55" s="2281"/>
      <c r="U55" s="2284"/>
      <c r="V55" s="88" t="s">
        <v>282</v>
      </c>
      <c r="W55" s="310">
        <f>9120000+8512000-7904000</f>
        <v>9728000</v>
      </c>
      <c r="X55" s="291" t="s">
        <v>275</v>
      </c>
      <c r="Y55" s="71">
        <v>20</v>
      </c>
      <c r="Z55" s="292" t="s">
        <v>202</v>
      </c>
      <c r="AA55" s="2254"/>
      <c r="AB55" s="2254"/>
      <c r="AC55" s="2254"/>
      <c r="AD55" s="2254"/>
      <c r="AE55" s="2254"/>
      <c r="AF55" s="2254"/>
      <c r="AG55" s="2268"/>
      <c r="AH55" s="2268"/>
      <c r="AI55" s="2268"/>
      <c r="AJ55" s="2268"/>
      <c r="AK55" s="2268"/>
      <c r="AL55" s="2268"/>
      <c r="AM55" s="2268"/>
      <c r="AN55" s="2268"/>
      <c r="AO55" s="2268"/>
      <c r="AP55" s="2268"/>
      <c r="AQ55" s="2269"/>
      <c r="AR55" s="2269"/>
      <c r="AS55" s="2274"/>
    </row>
    <row r="56" spans="1:45" ht="144" customHeight="1" x14ac:dyDescent="0.2">
      <c r="A56" s="306"/>
      <c r="C56" s="307"/>
      <c r="D56" s="308"/>
      <c r="F56" s="308"/>
      <c r="G56" s="2295"/>
      <c r="H56" s="2173"/>
      <c r="I56" s="2299"/>
      <c r="J56" s="2173"/>
      <c r="K56" s="2299"/>
      <c r="L56" s="2173"/>
      <c r="M56" s="2299"/>
      <c r="N56" s="2173"/>
      <c r="O56" s="2302"/>
      <c r="P56" s="2157"/>
      <c r="Q56" s="2281"/>
      <c r="R56" s="2291"/>
      <c r="S56" s="2279"/>
      <c r="T56" s="2281"/>
      <c r="U56" s="2284"/>
      <c r="V56" s="88" t="s">
        <v>283</v>
      </c>
      <c r="W56" s="310">
        <f>0+17440111</f>
        <v>17440111</v>
      </c>
      <c r="X56" s="291" t="s">
        <v>275</v>
      </c>
      <c r="Y56" s="71">
        <v>20</v>
      </c>
      <c r="Z56" s="292" t="s">
        <v>202</v>
      </c>
      <c r="AA56" s="2254"/>
      <c r="AB56" s="2254"/>
      <c r="AC56" s="2254"/>
      <c r="AD56" s="2254"/>
      <c r="AE56" s="2254"/>
      <c r="AF56" s="2254"/>
      <c r="AG56" s="2268"/>
      <c r="AH56" s="2268"/>
      <c r="AI56" s="2268"/>
      <c r="AJ56" s="2268"/>
      <c r="AK56" s="2268"/>
      <c r="AL56" s="2268"/>
      <c r="AM56" s="2268"/>
      <c r="AN56" s="2268"/>
      <c r="AO56" s="2268"/>
      <c r="AP56" s="2268"/>
      <c r="AQ56" s="2269"/>
      <c r="AR56" s="2269"/>
      <c r="AS56" s="2274"/>
    </row>
    <row r="57" spans="1:45" ht="100.5" customHeight="1" x14ac:dyDescent="0.2">
      <c r="A57" s="306"/>
      <c r="C57" s="307"/>
      <c r="D57" s="308"/>
      <c r="F57" s="308"/>
      <c r="G57" s="2295"/>
      <c r="H57" s="2173"/>
      <c r="I57" s="2299"/>
      <c r="J57" s="2173"/>
      <c r="K57" s="2299"/>
      <c r="L57" s="2173"/>
      <c r="M57" s="2299"/>
      <c r="N57" s="2173"/>
      <c r="O57" s="2302"/>
      <c r="P57" s="2157"/>
      <c r="Q57" s="2281"/>
      <c r="R57" s="2291"/>
      <c r="S57" s="2279"/>
      <c r="T57" s="2281"/>
      <c r="U57" s="2284"/>
      <c r="V57" s="88" t="s">
        <v>284</v>
      </c>
      <c r="W57" s="310">
        <f>8704000-2641860</f>
        <v>6062140</v>
      </c>
      <c r="X57" s="291" t="s">
        <v>275</v>
      </c>
      <c r="Y57" s="71">
        <v>20</v>
      </c>
      <c r="Z57" s="292" t="s">
        <v>202</v>
      </c>
      <c r="AA57" s="2254"/>
      <c r="AB57" s="2254"/>
      <c r="AC57" s="2254"/>
      <c r="AD57" s="2254"/>
      <c r="AE57" s="2254"/>
      <c r="AF57" s="2254"/>
      <c r="AG57" s="2268"/>
      <c r="AH57" s="2268"/>
      <c r="AI57" s="2268"/>
      <c r="AJ57" s="2268"/>
      <c r="AK57" s="2268"/>
      <c r="AL57" s="2268"/>
      <c r="AM57" s="2268"/>
      <c r="AN57" s="2268"/>
      <c r="AO57" s="2268"/>
      <c r="AP57" s="2268"/>
      <c r="AQ57" s="2269"/>
      <c r="AR57" s="2269"/>
      <c r="AS57" s="2274"/>
    </row>
    <row r="58" spans="1:45" ht="78" customHeight="1" x14ac:dyDescent="0.2">
      <c r="A58" s="306"/>
      <c r="C58" s="307"/>
      <c r="D58" s="308"/>
      <c r="F58" s="308"/>
      <c r="G58" s="2296"/>
      <c r="H58" s="2297"/>
      <c r="I58" s="2300"/>
      <c r="J58" s="2297"/>
      <c r="K58" s="2300"/>
      <c r="L58" s="2297"/>
      <c r="M58" s="2300"/>
      <c r="N58" s="2297"/>
      <c r="O58" s="2303"/>
      <c r="P58" s="2304"/>
      <c r="Q58" s="2282"/>
      <c r="R58" s="2292"/>
      <c r="S58" s="2279"/>
      <c r="T58" s="2282"/>
      <c r="U58" s="2285"/>
      <c r="V58" s="311" t="s">
        <v>285</v>
      </c>
      <c r="W58" s="310">
        <v>7904000</v>
      </c>
      <c r="X58" s="291" t="s">
        <v>275</v>
      </c>
      <c r="Y58" s="71">
        <v>20</v>
      </c>
      <c r="Z58" s="292" t="s">
        <v>202</v>
      </c>
      <c r="AA58" s="2255"/>
      <c r="AB58" s="2254"/>
      <c r="AC58" s="2254"/>
      <c r="AD58" s="2254"/>
      <c r="AE58" s="2254"/>
      <c r="AF58" s="2254"/>
      <c r="AG58" s="2268"/>
      <c r="AH58" s="2268"/>
      <c r="AI58" s="2268"/>
      <c r="AJ58" s="2268"/>
      <c r="AK58" s="2268"/>
      <c r="AL58" s="2268"/>
      <c r="AM58" s="2268"/>
      <c r="AN58" s="2268"/>
      <c r="AO58" s="2268"/>
      <c r="AP58" s="2268"/>
      <c r="AQ58" s="2269"/>
      <c r="AR58" s="2269"/>
      <c r="AS58" s="2274"/>
    </row>
    <row r="59" spans="1:45" ht="97.5" customHeight="1" x14ac:dyDescent="0.2">
      <c r="A59" s="306"/>
      <c r="C59" s="307"/>
      <c r="D59" s="308"/>
      <c r="F59" s="308"/>
      <c r="G59" s="312" t="s">
        <v>62</v>
      </c>
      <c r="H59" s="313" t="s">
        <v>286</v>
      </c>
      <c r="I59" s="314">
        <v>4599031</v>
      </c>
      <c r="J59" s="313" t="s">
        <v>287</v>
      </c>
      <c r="K59" s="314" t="s">
        <v>62</v>
      </c>
      <c r="L59" s="313" t="s">
        <v>288</v>
      </c>
      <c r="M59" s="314">
        <v>459903101</v>
      </c>
      <c r="N59" s="313" t="s">
        <v>289</v>
      </c>
      <c r="O59" s="315">
        <v>12</v>
      </c>
      <c r="P59" s="2195" t="s">
        <v>290</v>
      </c>
      <c r="Q59" s="2257" t="s">
        <v>291</v>
      </c>
      <c r="R59" s="316">
        <f>W59/S59</f>
        <v>0.21763114543503559</v>
      </c>
      <c r="S59" s="2275">
        <f>SUM(W59:W64)</f>
        <v>165417500</v>
      </c>
      <c r="T59" s="2257" t="s">
        <v>292</v>
      </c>
      <c r="U59" s="2259" t="s">
        <v>293</v>
      </c>
      <c r="V59" s="88" t="s">
        <v>294</v>
      </c>
      <c r="W59" s="317">
        <v>36000000</v>
      </c>
      <c r="X59" s="318" t="s">
        <v>295</v>
      </c>
      <c r="Y59" s="71">
        <v>20</v>
      </c>
      <c r="Z59" s="292" t="s">
        <v>202</v>
      </c>
      <c r="AA59" s="2261">
        <v>295972</v>
      </c>
      <c r="AB59" s="2261">
        <v>285580</v>
      </c>
      <c r="AC59" s="2261">
        <v>135545</v>
      </c>
      <c r="AD59" s="2261">
        <v>44254</v>
      </c>
      <c r="AE59" s="2261">
        <v>309146</v>
      </c>
      <c r="AF59" s="2261">
        <v>92607</v>
      </c>
      <c r="AG59" s="2261">
        <v>2145</v>
      </c>
      <c r="AH59" s="2261">
        <v>12718</v>
      </c>
      <c r="AI59" s="2261">
        <v>26</v>
      </c>
      <c r="AJ59" s="2261">
        <v>37</v>
      </c>
      <c r="AK59" s="2261">
        <v>0</v>
      </c>
      <c r="AL59" s="2261">
        <v>0</v>
      </c>
      <c r="AM59" s="2261">
        <v>44350</v>
      </c>
      <c r="AN59" s="2261">
        <v>21944</v>
      </c>
      <c r="AO59" s="2261">
        <v>75687</v>
      </c>
      <c r="AP59" s="2261">
        <f>SUM(AA59,AB59)</f>
        <v>581552</v>
      </c>
      <c r="AQ59" s="2270">
        <v>44197</v>
      </c>
      <c r="AR59" s="2271">
        <v>44561</v>
      </c>
      <c r="AS59" s="2260" t="s">
        <v>203</v>
      </c>
    </row>
    <row r="60" spans="1:45" ht="75" x14ac:dyDescent="0.2">
      <c r="A60" s="306"/>
      <c r="C60" s="307"/>
      <c r="D60" s="308"/>
      <c r="F60" s="308"/>
      <c r="G60" s="312" t="s">
        <v>62</v>
      </c>
      <c r="H60" s="319" t="s">
        <v>296</v>
      </c>
      <c r="I60" s="320">
        <v>4599031</v>
      </c>
      <c r="J60" s="313" t="s">
        <v>287</v>
      </c>
      <c r="K60" s="314" t="s">
        <v>62</v>
      </c>
      <c r="L60" s="319" t="s">
        <v>297</v>
      </c>
      <c r="M60" s="320">
        <v>459903101</v>
      </c>
      <c r="N60" s="319" t="s">
        <v>289</v>
      </c>
      <c r="O60" s="315">
        <v>12</v>
      </c>
      <c r="P60" s="2195"/>
      <c r="Q60" s="2257"/>
      <c r="R60" s="316">
        <f>W60/S59</f>
        <v>0.15696646364501943</v>
      </c>
      <c r="S60" s="2276"/>
      <c r="T60" s="2257"/>
      <c r="U60" s="2259"/>
      <c r="V60" s="283" t="s">
        <v>298</v>
      </c>
      <c r="W60" s="317">
        <f>36000000-10035000</f>
        <v>25965000</v>
      </c>
      <c r="X60" s="318" t="s">
        <v>299</v>
      </c>
      <c r="Y60" s="71">
        <v>20</v>
      </c>
      <c r="Z60" s="292" t="s">
        <v>202</v>
      </c>
      <c r="AA60" s="2262"/>
      <c r="AB60" s="2262"/>
      <c r="AC60" s="2262"/>
      <c r="AD60" s="2262"/>
      <c r="AE60" s="2262"/>
      <c r="AF60" s="2262"/>
      <c r="AG60" s="2262"/>
      <c r="AH60" s="2262"/>
      <c r="AI60" s="2262"/>
      <c r="AJ60" s="2262"/>
      <c r="AK60" s="2262"/>
      <c r="AL60" s="2262"/>
      <c r="AM60" s="2262"/>
      <c r="AN60" s="2262"/>
      <c r="AO60" s="2262"/>
      <c r="AP60" s="2262"/>
      <c r="AQ60" s="2262"/>
      <c r="AR60" s="2272"/>
      <c r="AS60" s="2260"/>
    </row>
    <row r="61" spans="1:45" ht="69.75" customHeight="1" x14ac:dyDescent="0.2">
      <c r="A61" s="306"/>
      <c r="C61" s="307"/>
      <c r="D61" s="308"/>
      <c r="F61" s="308"/>
      <c r="G61" s="312" t="s">
        <v>62</v>
      </c>
      <c r="H61" s="319" t="s">
        <v>300</v>
      </c>
      <c r="I61" s="320">
        <v>4599031</v>
      </c>
      <c r="J61" s="313" t="s">
        <v>287</v>
      </c>
      <c r="K61" s="314" t="s">
        <v>62</v>
      </c>
      <c r="L61" s="319" t="s">
        <v>297</v>
      </c>
      <c r="M61" s="320">
        <v>459903101</v>
      </c>
      <c r="N61" s="319" t="s">
        <v>289</v>
      </c>
      <c r="O61" s="315">
        <v>12</v>
      </c>
      <c r="P61" s="2195"/>
      <c r="Q61" s="2257"/>
      <c r="R61" s="316">
        <f>W61/S59</f>
        <v>0.15696646364501943</v>
      </c>
      <c r="S61" s="2276"/>
      <c r="T61" s="2257"/>
      <c r="U61" s="2259"/>
      <c r="V61" s="283" t="s">
        <v>301</v>
      </c>
      <c r="W61" s="317">
        <f>36000000-10035000</f>
        <v>25965000</v>
      </c>
      <c r="X61" s="318" t="s">
        <v>302</v>
      </c>
      <c r="Y61" s="321">
        <v>20</v>
      </c>
      <c r="Z61" s="322" t="s">
        <v>202</v>
      </c>
      <c r="AA61" s="2262"/>
      <c r="AB61" s="2262"/>
      <c r="AC61" s="2262"/>
      <c r="AD61" s="2262"/>
      <c r="AE61" s="2262"/>
      <c r="AF61" s="2262"/>
      <c r="AG61" s="2262"/>
      <c r="AH61" s="2262"/>
      <c r="AI61" s="2262"/>
      <c r="AJ61" s="2262"/>
      <c r="AK61" s="2262"/>
      <c r="AL61" s="2262"/>
      <c r="AM61" s="2262"/>
      <c r="AN61" s="2262"/>
      <c r="AO61" s="2262"/>
      <c r="AP61" s="2262"/>
      <c r="AQ61" s="2262"/>
      <c r="AR61" s="2272"/>
      <c r="AS61" s="2260"/>
    </row>
    <row r="62" spans="1:45" ht="300.75" customHeight="1" x14ac:dyDescent="0.2">
      <c r="A62" s="306"/>
      <c r="C62" s="307"/>
      <c r="D62" s="308"/>
      <c r="F62" s="308"/>
      <c r="G62" s="312" t="s">
        <v>62</v>
      </c>
      <c r="H62" s="319" t="s">
        <v>303</v>
      </c>
      <c r="I62" s="320">
        <v>4599031</v>
      </c>
      <c r="J62" s="313" t="s">
        <v>287</v>
      </c>
      <c r="K62" s="314" t="s">
        <v>62</v>
      </c>
      <c r="L62" s="323" t="s">
        <v>297</v>
      </c>
      <c r="M62" s="320">
        <v>459903101</v>
      </c>
      <c r="N62" s="323" t="s">
        <v>289</v>
      </c>
      <c r="O62" s="315">
        <v>12</v>
      </c>
      <c r="P62" s="2195"/>
      <c r="Q62" s="2257"/>
      <c r="R62" s="316">
        <f>W62/S59</f>
        <v>0.14824610455362947</v>
      </c>
      <c r="S62" s="2276"/>
      <c r="T62" s="2257"/>
      <c r="U62" s="2259"/>
      <c r="V62" s="324" t="s">
        <v>304</v>
      </c>
      <c r="W62" s="317">
        <f>36000000-11477500</f>
        <v>24522500</v>
      </c>
      <c r="X62" s="325" t="s">
        <v>305</v>
      </c>
      <c r="Y62" s="321">
        <v>20</v>
      </c>
      <c r="Z62" s="322" t="s">
        <v>202</v>
      </c>
      <c r="AA62" s="2262"/>
      <c r="AB62" s="2262"/>
      <c r="AC62" s="2262"/>
      <c r="AD62" s="2262"/>
      <c r="AE62" s="2262"/>
      <c r="AF62" s="2262"/>
      <c r="AG62" s="2262"/>
      <c r="AH62" s="2262"/>
      <c r="AI62" s="2262"/>
      <c r="AJ62" s="2262"/>
      <c r="AK62" s="2262"/>
      <c r="AL62" s="2262"/>
      <c r="AM62" s="2262"/>
      <c r="AN62" s="2262"/>
      <c r="AO62" s="2262"/>
      <c r="AP62" s="2262"/>
      <c r="AQ62" s="2262"/>
      <c r="AR62" s="2272"/>
      <c r="AS62" s="2260"/>
    </row>
    <row r="63" spans="1:45" ht="178.5" customHeight="1" x14ac:dyDescent="0.2">
      <c r="A63" s="306"/>
      <c r="C63" s="307"/>
      <c r="D63" s="308"/>
      <c r="F63" s="308"/>
      <c r="G63" s="312" t="s">
        <v>62</v>
      </c>
      <c r="H63" s="319" t="s">
        <v>306</v>
      </c>
      <c r="I63" s="320">
        <v>4599031</v>
      </c>
      <c r="J63" s="313" t="s">
        <v>287</v>
      </c>
      <c r="K63" s="314" t="s">
        <v>62</v>
      </c>
      <c r="L63" s="319" t="s">
        <v>297</v>
      </c>
      <c r="M63" s="320">
        <v>459903101</v>
      </c>
      <c r="N63" s="319" t="s">
        <v>289</v>
      </c>
      <c r="O63" s="315">
        <v>12</v>
      </c>
      <c r="P63" s="2195"/>
      <c r="Q63" s="2257"/>
      <c r="R63" s="316">
        <f>W63/S59</f>
        <v>0.16322335907627669</v>
      </c>
      <c r="S63" s="2276"/>
      <c r="T63" s="2257"/>
      <c r="U63" s="2259"/>
      <c r="V63" s="326" t="s">
        <v>307</v>
      </c>
      <c r="W63" s="317">
        <f>60000000-33000000</f>
        <v>27000000</v>
      </c>
      <c r="X63" s="318" t="s">
        <v>308</v>
      </c>
      <c r="Y63" s="71">
        <v>20</v>
      </c>
      <c r="Z63" s="292" t="s">
        <v>202</v>
      </c>
      <c r="AA63" s="2262"/>
      <c r="AB63" s="2262"/>
      <c r="AC63" s="2262"/>
      <c r="AD63" s="2262"/>
      <c r="AE63" s="2262"/>
      <c r="AF63" s="2262"/>
      <c r="AG63" s="2262"/>
      <c r="AH63" s="2262"/>
      <c r="AI63" s="2262"/>
      <c r="AJ63" s="2262"/>
      <c r="AK63" s="2262"/>
      <c r="AL63" s="2262"/>
      <c r="AM63" s="2262"/>
      <c r="AN63" s="2262"/>
      <c r="AO63" s="2262"/>
      <c r="AP63" s="2262"/>
      <c r="AQ63" s="2262"/>
      <c r="AR63" s="2272"/>
      <c r="AS63" s="2260"/>
    </row>
    <row r="64" spans="1:45" ht="98.25" customHeight="1" x14ac:dyDescent="0.2">
      <c r="A64" s="306"/>
      <c r="C64" s="307"/>
      <c r="D64" s="308"/>
      <c r="F64" s="308"/>
      <c r="G64" s="312" t="s">
        <v>62</v>
      </c>
      <c r="H64" s="319" t="s">
        <v>309</v>
      </c>
      <c r="I64" s="320">
        <v>4599031</v>
      </c>
      <c r="J64" s="313" t="s">
        <v>287</v>
      </c>
      <c r="K64" s="314" t="s">
        <v>62</v>
      </c>
      <c r="L64" s="319" t="s">
        <v>297</v>
      </c>
      <c r="M64" s="320">
        <v>459903101</v>
      </c>
      <c r="N64" s="319" t="s">
        <v>289</v>
      </c>
      <c r="O64" s="315">
        <v>12</v>
      </c>
      <c r="P64" s="2195"/>
      <c r="Q64" s="2257"/>
      <c r="R64" s="316">
        <f>W64/S59</f>
        <v>0.15696646364501943</v>
      </c>
      <c r="S64" s="2277"/>
      <c r="T64" s="2257"/>
      <c r="U64" s="2259"/>
      <c r="V64" s="283" t="s">
        <v>310</v>
      </c>
      <c r="W64" s="317">
        <f>36000000-10035000</f>
        <v>25965000</v>
      </c>
      <c r="X64" s="318" t="s">
        <v>311</v>
      </c>
      <c r="Y64" s="71">
        <v>20</v>
      </c>
      <c r="Z64" s="292" t="s">
        <v>202</v>
      </c>
      <c r="AA64" s="2263"/>
      <c r="AB64" s="2263"/>
      <c r="AC64" s="2263"/>
      <c r="AD64" s="2263"/>
      <c r="AE64" s="2263"/>
      <c r="AF64" s="2263"/>
      <c r="AG64" s="2263"/>
      <c r="AH64" s="2263"/>
      <c r="AI64" s="2263"/>
      <c r="AJ64" s="2263"/>
      <c r="AK64" s="2263"/>
      <c r="AL64" s="2263"/>
      <c r="AM64" s="2263"/>
      <c r="AN64" s="2263"/>
      <c r="AO64" s="2263"/>
      <c r="AP64" s="2263"/>
      <c r="AQ64" s="2263"/>
      <c r="AR64" s="2273"/>
      <c r="AS64" s="2260"/>
    </row>
    <row r="65" spans="1:45" ht="42.75" customHeight="1" x14ac:dyDescent="0.2">
      <c r="A65" s="306"/>
      <c r="C65" s="307"/>
      <c r="D65" s="308"/>
      <c r="F65" s="308"/>
      <c r="G65" s="2256" t="s">
        <v>62</v>
      </c>
      <c r="H65" s="2257" t="s">
        <v>63</v>
      </c>
      <c r="I65" s="2195">
        <v>4599023</v>
      </c>
      <c r="J65" s="2257" t="s">
        <v>312</v>
      </c>
      <c r="K65" s="2195" t="s">
        <v>62</v>
      </c>
      <c r="L65" s="2257" t="s">
        <v>65</v>
      </c>
      <c r="M65" s="2195">
        <v>459902300</v>
      </c>
      <c r="N65" s="2257" t="s">
        <v>313</v>
      </c>
      <c r="O65" s="2195">
        <v>18</v>
      </c>
      <c r="P65" s="2195" t="s">
        <v>314</v>
      </c>
      <c r="Q65" s="2257" t="s">
        <v>315</v>
      </c>
      <c r="R65" s="2264">
        <f>SUM(W65:W91)/S65</f>
        <v>1</v>
      </c>
      <c r="S65" s="2258">
        <f>SUM(W65:W91)</f>
        <v>72000000</v>
      </c>
      <c r="T65" s="2257" t="s">
        <v>316</v>
      </c>
      <c r="U65" s="2259" t="s">
        <v>317</v>
      </c>
      <c r="V65" s="88" t="s">
        <v>318</v>
      </c>
      <c r="W65" s="317">
        <v>500000</v>
      </c>
      <c r="X65" s="303" t="s">
        <v>319</v>
      </c>
      <c r="Y65" s="71">
        <v>20</v>
      </c>
      <c r="Z65" s="292" t="s">
        <v>202</v>
      </c>
      <c r="AA65" s="2253">
        <v>295972</v>
      </c>
      <c r="AB65" s="2253">
        <v>285580</v>
      </c>
      <c r="AC65" s="2253">
        <v>135545</v>
      </c>
      <c r="AD65" s="2253">
        <v>44254</v>
      </c>
      <c r="AE65" s="2253">
        <v>309146</v>
      </c>
      <c r="AF65" s="2253">
        <v>92607</v>
      </c>
      <c r="AG65" s="2253">
        <v>2145</v>
      </c>
      <c r="AH65" s="2253">
        <v>12718</v>
      </c>
      <c r="AI65" s="2253">
        <v>26</v>
      </c>
      <c r="AJ65" s="2253">
        <v>37</v>
      </c>
      <c r="AK65" s="2253">
        <v>0</v>
      </c>
      <c r="AL65" s="2253">
        <v>0</v>
      </c>
      <c r="AM65" s="2253">
        <v>44350</v>
      </c>
      <c r="AN65" s="2253">
        <v>21944</v>
      </c>
      <c r="AO65" s="2253">
        <v>75687</v>
      </c>
      <c r="AP65" s="2253">
        <v>581552</v>
      </c>
      <c r="AQ65" s="2265">
        <v>44197</v>
      </c>
      <c r="AR65" s="2265">
        <v>44561</v>
      </c>
      <c r="AS65" s="2266" t="s">
        <v>203</v>
      </c>
    </row>
    <row r="66" spans="1:45" ht="42.75" customHeight="1" x14ac:dyDescent="0.2">
      <c r="A66" s="306"/>
      <c r="C66" s="307"/>
      <c r="D66" s="308"/>
      <c r="F66" s="308"/>
      <c r="G66" s="2256"/>
      <c r="H66" s="2257"/>
      <c r="I66" s="2195"/>
      <c r="J66" s="2257"/>
      <c r="K66" s="2195"/>
      <c r="L66" s="2257"/>
      <c r="M66" s="2195"/>
      <c r="N66" s="2257"/>
      <c r="O66" s="2195"/>
      <c r="P66" s="2195"/>
      <c r="Q66" s="2257"/>
      <c r="R66" s="2264"/>
      <c r="S66" s="2258"/>
      <c r="T66" s="2257"/>
      <c r="U66" s="2259"/>
      <c r="V66" s="88" t="s">
        <v>320</v>
      </c>
      <c r="W66" s="317">
        <v>500000</v>
      </c>
      <c r="X66" s="303" t="s">
        <v>319</v>
      </c>
      <c r="Y66" s="71">
        <v>20</v>
      </c>
      <c r="Z66" s="292" t="s">
        <v>202</v>
      </c>
      <c r="AA66" s="2254"/>
      <c r="AB66" s="2254"/>
      <c r="AC66" s="2254"/>
      <c r="AD66" s="2254"/>
      <c r="AE66" s="2254"/>
      <c r="AF66" s="2254"/>
      <c r="AG66" s="2254"/>
      <c r="AH66" s="2254"/>
      <c r="AI66" s="2254"/>
      <c r="AJ66" s="2254"/>
      <c r="AK66" s="2254"/>
      <c r="AL66" s="2254"/>
      <c r="AM66" s="2254"/>
      <c r="AN66" s="2254"/>
      <c r="AO66" s="2254"/>
      <c r="AP66" s="2254"/>
      <c r="AQ66" s="2254"/>
      <c r="AR66" s="2254"/>
      <c r="AS66" s="2266"/>
    </row>
    <row r="67" spans="1:45" ht="42.75" customHeight="1" x14ac:dyDescent="0.2">
      <c r="A67" s="306"/>
      <c r="C67" s="307"/>
      <c r="D67" s="308"/>
      <c r="F67" s="308"/>
      <c r="G67" s="2256"/>
      <c r="H67" s="2257"/>
      <c r="I67" s="2195"/>
      <c r="J67" s="2257"/>
      <c r="K67" s="2195"/>
      <c r="L67" s="2257"/>
      <c r="M67" s="2195"/>
      <c r="N67" s="2257"/>
      <c r="O67" s="2195"/>
      <c r="P67" s="2195"/>
      <c r="Q67" s="2257"/>
      <c r="R67" s="2264"/>
      <c r="S67" s="2258"/>
      <c r="T67" s="2257"/>
      <c r="U67" s="2259"/>
      <c r="V67" s="88" t="s">
        <v>321</v>
      </c>
      <c r="W67" s="317">
        <v>500000</v>
      </c>
      <c r="X67" s="303" t="s">
        <v>319</v>
      </c>
      <c r="Y67" s="71">
        <v>20</v>
      </c>
      <c r="Z67" s="292" t="s">
        <v>202</v>
      </c>
      <c r="AA67" s="2254"/>
      <c r="AB67" s="2254"/>
      <c r="AC67" s="2254"/>
      <c r="AD67" s="2254"/>
      <c r="AE67" s="2254"/>
      <c r="AF67" s="2254"/>
      <c r="AG67" s="2254"/>
      <c r="AH67" s="2254"/>
      <c r="AI67" s="2254"/>
      <c r="AJ67" s="2254"/>
      <c r="AK67" s="2254"/>
      <c r="AL67" s="2254"/>
      <c r="AM67" s="2254"/>
      <c r="AN67" s="2254"/>
      <c r="AO67" s="2254"/>
      <c r="AP67" s="2254"/>
      <c r="AQ67" s="2254"/>
      <c r="AR67" s="2254"/>
      <c r="AS67" s="2266"/>
    </row>
    <row r="68" spans="1:45" ht="42.75" customHeight="1" x14ac:dyDescent="0.2">
      <c r="A68" s="306"/>
      <c r="C68" s="307"/>
      <c r="D68" s="308"/>
      <c r="F68" s="308"/>
      <c r="G68" s="2256"/>
      <c r="H68" s="2257"/>
      <c r="I68" s="2195"/>
      <c r="J68" s="2257"/>
      <c r="K68" s="2195"/>
      <c r="L68" s="2257"/>
      <c r="M68" s="2195"/>
      <c r="N68" s="2257"/>
      <c r="O68" s="2195"/>
      <c r="P68" s="2195"/>
      <c r="Q68" s="2257"/>
      <c r="R68" s="2264"/>
      <c r="S68" s="2258"/>
      <c r="T68" s="2257"/>
      <c r="U68" s="2259"/>
      <c r="V68" s="88" t="s">
        <v>322</v>
      </c>
      <c r="W68" s="317">
        <v>500000</v>
      </c>
      <c r="X68" s="303" t="s">
        <v>319</v>
      </c>
      <c r="Y68" s="71">
        <v>20</v>
      </c>
      <c r="Z68" s="292" t="s">
        <v>202</v>
      </c>
      <c r="AA68" s="2254"/>
      <c r="AB68" s="2254"/>
      <c r="AC68" s="2254"/>
      <c r="AD68" s="2254"/>
      <c r="AE68" s="2254"/>
      <c r="AF68" s="2254"/>
      <c r="AG68" s="2254"/>
      <c r="AH68" s="2254"/>
      <c r="AI68" s="2254"/>
      <c r="AJ68" s="2254"/>
      <c r="AK68" s="2254"/>
      <c r="AL68" s="2254"/>
      <c r="AM68" s="2254"/>
      <c r="AN68" s="2254"/>
      <c r="AO68" s="2254"/>
      <c r="AP68" s="2254"/>
      <c r="AQ68" s="2254"/>
      <c r="AR68" s="2254"/>
      <c r="AS68" s="2266"/>
    </row>
    <row r="69" spans="1:45" ht="42.75" customHeight="1" x14ac:dyDescent="0.2">
      <c r="A69" s="306"/>
      <c r="C69" s="307"/>
      <c r="D69" s="308"/>
      <c r="F69" s="308"/>
      <c r="G69" s="2256"/>
      <c r="H69" s="2257"/>
      <c r="I69" s="2195"/>
      <c r="J69" s="2257"/>
      <c r="K69" s="2195"/>
      <c r="L69" s="2257"/>
      <c r="M69" s="2195"/>
      <c r="N69" s="2257"/>
      <c r="O69" s="2195"/>
      <c r="P69" s="2195"/>
      <c r="Q69" s="2257"/>
      <c r="R69" s="2264"/>
      <c r="S69" s="2258"/>
      <c r="T69" s="2257"/>
      <c r="U69" s="2259"/>
      <c r="V69" s="88" t="s">
        <v>323</v>
      </c>
      <c r="W69" s="317">
        <v>500000</v>
      </c>
      <c r="X69" s="303" t="s">
        <v>319</v>
      </c>
      <c r="Y69" s="71">
        <v>20</v>
      </c>
      <c r="Z69" s="292" t="s">
        <v>202</v>
      </c>
      <c r="AA69" s="2254"/>
      <c r="AB69" s="2254"/>
      <c r="AC69" s="2254"/>
      <c r="AD69" s="2254"/>
      <c r="AE69" s="2254"/>
      <c r="AF69" s="2254"/>
      <c r="AG69" s="2254"/>
      <c r="AH69" s="2254"/>
      <c r="AI69" s="2254"/>
      <c r="AJ69" s="2254"/>
      <c r="AK69" s="2254"/>
      <c r="AL69" s="2254"/>
      <c r="AM69" s="2254"/>
      <c r="AN69" s="2254"/>
      <c r="AO69" s="2254"/>
      <c r="AP69" s="2254"/>
      <c r="AQ69" s="2254"/>
      <c r="AR69" s="2254"/>
      <c r="AS69" s="2266"/>
    </row>
    <row r="70" spans="1:45" ht="42.75" customHeight="1" x14ac:dyDescent="0.2">
      <c r="A70" s="306"/>
      <c r="C70" s="307"/>
      <c r="D70" s="308"/>
      <c r="F70" s="308"/>
      <c r="G70" s="2256"/>
      <c r="H70" s="2257"/>
      <c r="I70" s="2195"/>
      <c r="J70" s="2257"/>
      <c r="K70" s="2195"/>
      <c r="L70" s="2257"/>
      <c r="M70" s="2195"/>
      <c r="N70" s="2257"/>
      <c r="O70" s="2195"/>
      <c r="P70" s="2195"/>
      <c r="Q70" s="2257"/>
      <c r="R70" s="2264"/>
      <c r="S70" s="2258"/>
      <c r="T70" s="2257"/>
      <c r="U70" s="2259"/>
      <c r="V70" s="88" t="s">
        <v>324</v>
      </c>
      <c r="W70" s="317">
        <v>500000</v>
      </c>
      <c r="X70" s="303" t="s">
        <v>319</v>
      </c>
      <c r="Y70" s="71">
        <v>20</v>
      </c>
      <c r="Z70" s="292" t="s">
        <v>202</v>
      </c>
      <c r="AA70" s="2254"/>
      <c r="AB70" s="2254"/>
      <c r="AC70" s="2254"/>
      <c r="AD70" s="2254"/>
      <c r="AE70" s="2254"/>
      <c r="AF70" s="2254"/>
      <c r="AG70" s="2254"/>
      <c r="AH70" s="2254"/>
      <c r="AI70" s="2254"/>
      <c r="AJ70" s="2254"/>
      <c r="AK70" s="2254"/>
      <c r="AL70" s="2254"/>
      <c r="AM70" s="2254"/>
      <c r="AN70" s="2254"/>
      <c r="AO70" s="2254"/>
      <c r="AP70" s="2254"/>
      <c r="AQ70" s="2254"/>
      <c r="AR70" s="2254"/>
      <c r="AS70" s="2266"/>
    </row>
    <row r="71" spans="1:45" ht="42.75" customHeight="1" x14ac:dyDescent="0.2">
      <c r="A71" s="306"/>
      <c r="C71" s="307"/>
      <c r="D71" s="308"/>
      <c r="F71" s="308"/>
      <c r="G71" s="2256"/>
      <c r="H71" s="2257"/>
      <c r="I71" s="2195"/>
      <c r="J71" s="2257"/>
      <c r="K71" s="2195"/>
      <c r="L71" s="2257"/>
      <c r="M71" s="2195"/>
      <c r="N71" s="2257"/>
      <c r="O71" s="2195"/>
      <c r="P71" s="2195"/>
      <c r="Q71" s="2257"/>
      <c r="R71" s="2264"/>
      <c r="S71" s="2258"/>
      <c r="T71" s="2257"/>
      <c r="U71" s="2259"/>
      <c r="V71" s="88" t="s">
        <v>325</v>
      </c>
      <c r="W71" s="317">
        <v>500000</v>
      </c>
      <c r="X71" s="303" t="s">
        <v>319</v>
      </c>
      <c r="Y71" s="71">
        <v>20</v>
      </c>
      <c r="Z71" s="292" t="s">
        <v>202</v>
      </c>
      <c r="AA71" s="2254"/>
      <c r="AB71" s="2254"/>
      <c r="AC71" s="2254"/>
      <c r="AD71" s="2254"/>
      <c r="AE71" s="2254"/>
      <c r="AF71" s="2254"/>
      <c r="AG71" s="2254"/>
      <c r="AH71" s="2254"/>
      <c r="AI71" s="2254"/>
      <c r="AJ71" s="2254"/>
      <c r="AK71" s="2254"/>
      <c r="AL71" s="2254"/>
      <c r="AM71" s="2254"/>
      <c r="AN71" s="2254"/>
      <c r="AO71" s="2254"/>
      <c r="AP71" s="2254"/>
      <c r="AQ71" s="2254"/>
      <c r="AR71" s="2254"/>
      <c r="AS71" s="2266"/>
    </row>
    <row r="72" spans="1:45" ht="42.75" customHeight="1" x14ac:dyDescent="0.2">
      <c r="A72" s="306"/>
      <c r="C72" s="307"/>
      <c r="D72" s="308"/>
      <c r="F72" s="308"/>
      <c r="G72" s="2256"/>
      <c r="H72" s="2257"/>
      <c r="I72" s="2195"/>
      <c r="J72" s="2257"/>
      <c r="K72" s="2195"/>
      <c r="L72" s="2257"/>
      <c r="M72" s="2195"/>
      <c r="N72" s="2257"/>
      <c r="O72" s="2195"/>
      <c r="P72" s="2195"/>
      <c r="Q72" s="2257"/>
      <c r="R72" s="2264"/>
      <c r="S72" s="2258"/>
      <c r="T72" s="2257"/>
      <c r="U72" s="2259"/>
      <c r="V72" s="88" t="s">
        <v>326</v>
      </c>
      <c r="W72" s="317">
        <v>5500000</v>
      </c>
      <c r="X72" s="303" t="s">
        <v>319</v>
      </c>
      <c r="Y72" s="71">
        <v>20</v>
      </c>
      <c r="Z72" s="292" t="s">
        <v>202</v>
      </c>
      <c r="AA72" s="2254"/>
      <c r="AB72" s="2254"/>
      <c r="AC72" s="2254"/>
      <c r="AD72" s="2254"/>
      <c r="AE72" s="2254"/>
      <c r="AF72" s="2254"/>
      <c r="AG72" s="2254"/>
      <c r="AH72" s="2254"/>
      <c r="AI72" s="2254"/>
      <c r="AJ72" s="2254"/>
      <c r="AK72" s="2254"/>
      <c r="AL72" s="2254"/>
      <c r="AM72" s="2254"/>
      <c r="AN72" s="2254"/>
      <c r="AO72" s="2254"/>
      <c r="AP72" s="2254"/>
      <c r="AQ72" s="2254"/>
      <c r="AR72" s="2254"/>
      <c r="AS72" s="2266"/>
    </row>
    <row r="73" spans="1:45" ht="42.75" customHeight="1" x14ac:dyDescent="0.2">
      <c r="A73" s="306"/>
      <c r="C73" s="307"/>
      <c r="D73" s="308"/>
      <c r="F73" s="308"/>
      <c r="G73" s="2256"/>
      <c r="H73" s="2257"/>
      <c r="I73" s="2195"/>
      <c r="J73" s="2257"/>
      <c r="K73" s="2195"/>
      <c r="L73" s="2257"/>
      <c r="M73" s="2195"/>
      <c r="N73" s="2257"/>
      <c r="O73" s="2195"/>
      <c r="P73" s="2195"/>
      <c r="Q73" s="2257"/>
      <c r="R73" s="2264"/>
      <c r="S73" s="2258"/>
      <c r="T73" s="2257"/>
      <c r="U73" s="2259"/>
      <c r="V73" s="88" t="s">
        <v>327</v>
      </c>
      <c r="W73" s="317">
        <v>2200000</v>
      </c>
      <c r="X73" s="303" t="s">
        <v>319</v>
      </c>
      <c r="Y73" s="71">
        <v>20</v>
      </c>
      <c r="Z73" s="292" t="s">
        <v>202</v>
      </c>
      <c r="AA73" s="2254"/>
      <c r="AB73" s="2254"/>
      <c r="AC73" s="2254"/>
      <c r="AD73" s="2254"/>
      <c r="AE73" s="2254"/>
      <c r="AF73" s="2254"/>
      <c r="AG73" s="2254"/>
      <c r="AH73" s="2254"/>
      <c r="AI73" s="2254"/>
      <c r="AJ73" s="2254"/>
      <c r="AK73" s="2254"/>
      <c r="AL73" s="2254"/>
      <c r="AM73" s="2254"/>
      <c r="AN73" s="2254"/>
      <c r="AO73" s="2254"/>
      <c r="AP73" s="2254"/>
      <c r="AQ73" s="2254"/>
      <c r="AR73" s="2254"/>
      <c r="AS73" s="2266"/>
    </row>
    <row r="74" spans="1:45" s="328" customFormat="1" ht="42.75" customHeight="1" x14ac:dyDescent="0.2">
      <c r="A74" s="327"/>
      <c r="C74" s="329"/>
      <c r="D74" s="330"/>
      <c r="F74" s="330"/>
      <c r="G74" s="2256"/>
      <c r="H74" s="2257"/>
      <c r="I74" s="2195"/>
      <c r="J74" s="2257"/>
      <c r="K74" s="2195"/>
      <c r="L74" s="2257"/>
      <c r="M74" s="2195"/>
      <c r="N74" s="2257"/>
      <c r="O74" s="2195"/>
      <c r="P74" s="2195"/>
      <c r="Q74" s="2257"/>
      <c r="R74" s="2264"/>
      <c r="S74" s="2258"/>
      <c r="T74" s="2257"/>
      <c r="U74" s="2259"/>
      <c r="V74" s="88" t="s">
        <v>328</v>
      </c>
      <c r="W74" s="317">
        <f>2200000+500000</f>
        <v>2700000</v>
      </c>
      <c r="X74" s="303" t="s">
        <v>319</v>
      </c>
      <c r="Y74" s="280">
        <v>20</v>
      </c>
      <c r="Z74" s="281" t="s">
        <v>202</v>
      </c>
      <c r="AA74" s="2254"/>
      <c r="AB74" s="2254"/>
      <c r="AC74" s="2254"/>
      <c r="AD74" s="2254"/>
      <c r="AE74" s="2254"/>
      <c r="AF74" s="2254"/>
      <c r="AG74" s="2254"/>
      <c r="AH74" s="2254"/>
      <c r="AI74" s="2254"/>
      <c r="AJ74" s="2254"/>
      <c r="AK74" s="2254"/>
      <c r="AL74" s="2254"/>
      <c r="AM74" s="2254"/>
      <c r="AN74" s="2254"/>
      <c r="AO74" s="2254"/>
      <c r="AP74" s="2254"/>
      <c r="AQ74" s="2254"/>
      <c r="AR74" s="2254"/>
      <c r="AS74" s="2266"/>
    </row>
    <row r="75" spans="1:45" ht="42.75" customHeight="1" x14ac:dyDescent="0.2">
      <c r="A75" s="306"/>
      <c r="C75" s="307"/>
      <c r="D75" s="308"/>
      <c r="F75" s="308"/>
      <c r="G75" s="2256"/>
      <c r="H75" s="2257"/>
      <c r="I75" s="2195"/>
      <c r="J75" s="2257"/>
      <c r="K75" s="2195"/>
      <c r="L75" s="2257"/>
      <c r="M75" s="2195"/>
      <c r="N75" s="2257"/>
      <c r="O75" s="2195"/>
      <c r="P75" s="2195"/>
      <c r="Q75" s="2257"/>
      <c r="R75" s="2264"/>
      <c r="S75" s="2258"/>
      <c r="T75" s="2257"/>
      <c r="U75" s="2259"/>
      <c r="V75" s="88" t="s">
        <v>329</v>
      </c>
      <c r="W75" s="317">
        <v>2200000</v>
      </c>
      <c r="X75" s="303" t="s">
        <v>319</v>
      </c>
      <c r="Y75" s="71">
        <v>20</v>
      </c>
      <c r="Z75" s="292" t="s">
        <v>202</v>
      </c>
      <c r="AA75" s="2254"/>
      <c r="AB75" s="2254"/>
      <c r="AC75" s="2254"/>
      <c r="AD75" s="2254"/>
      <c r="AE75" s="2254"/>
      <c r="AF75" s="2254"/>
      <c r="AG75" s="2254"/>
      <c r="AH75" s="2254"/>
      <c r="AI75" s="2254"/>
      <c r="AJ75" s="2254"/>
      <c r="AK75" s="2254"/>
      <c r="AL75" s="2254"/>
      <c r="AM75" s="2254"/>
      <c r="AN75" s="2254"/>
      <c r="AO75" s="2254"/>
      <c r="AP75" s="2254"/>
      <c r="AQ75" s="2254"/>
      <c r="AR75" s="2254"/>
      <c r="AS75" s="2266"/>
    </row>
    <row r="76" spans="1:45" ht="42.75" customHeight="1" x14ac:dyDescent="0.2">
      <c r="A76" s="306"/>
      <c r="C76" s="307"/>
      <c r="D76" s="308"/>
      <c r="F76" s="308"/>
      <c r="G76" s="2256"/>
      <c r="H76" s="2257"/>
      <c r="I76" s="2195"/>
      <c r="J76" s="2257"/>
      <c r="K76" s="2195"/>
      <c r="L76" s="2257"/>
      <c r="M76" s="2195"/>
      <c r="N76" s="2257"/>
      <c r="O76" s="2195"/>
      <c r="P76" s="2195"/>
      <c r="Q76" s="2257"/>
      <c r="R76" s="2264"/>
      <c r="S76" s="2258"/>
      <c r="T76" s="2257"/>
      <c r="U76" s="2259"/>
      <c r="V76" s="88" t="s">
        <v>330</v>
      </c>
      <c r="W76" s="317">
        <v>4400000</v>
      </c>
      <c r="X76" s="303" t="s">
        <v>319</v>
      </c>
      <c r="Y76" s="71">
        <v>20</v>
      </c>
      <c r="Z76" s="292" t="s">
        <v>202</v>
      </c>
      <c r="AA76" s="2254"/>
      <c r="AB76" s="2254"/>
      <c r="AC76" s="2254"/>
      <c r="AD76" s="2254"/>
      <c r="AE76" s="2254"/>
      <c r="AF76" s="2254"/>
      <c r="AG76" s="2254"/>
      <c r="AH76" s="2254"/>
      <c r="AI76" s="2254"/>
      <c r="AJ76" s="2254"/>
      <c r="AK76" s="2254"/>
      <c r="AL76" s="2254"/>
      <c r="AM76" s="2254"/>
      <c r="AN76" s="2254"/>
      <c r="AO76" s="2254"/>
      <c r="AP76" s="2254"/>
      <c r="AQ76" s="2254"/>
      <c r="AR76" s="2254"/>
      <c r="AS76" s="2266"/>
    </row>
    <row r="77" spans="1:45" ht="42.75" customHeight="1" x14ac:dyDescent="0.2">
      <c r="A77" s="306"/>
      <c r="C77" s="307"/>
      <c r="D77" s="308"/>
      <c r="F77" s="308"/>
      <c r="G77" s="2256"/>
      <c r="H77" s="2257"/>
      <c r="I77" s="2195"/>
      <c r="J77" s="2257"/>
      <c r="K77" s="2195"/>
      <c r="L77" s="2257"/>
      <c r="M77" s="2195"/>
      <c r="N77" s="2257"/>
      <c r="O77" s="2195"/>
      <c r="P77" s="2195"/>
      <c r="Q77" s="2257"/>
      <c r="R77" s="2264"/>
      <c r="S77" s="2258"/>
      <c r="T77" s="2257"/>
      <c r="U77" s="2259"/>
      <c r="V77" s="88" t="s">
        <v>331</v>
      </c>
      <c r="W77" s="317">
        <v>2200000</v>
      </c>
      <c r="X77" s="303" t="s">
        <v>319</v>
      </c>
      <c r="Y77" s="71">
        <v>20</v>
      </c>
      <c r="Z77" s="292" t="s">
        <v>202</v>
      </c>
      <c r="AA77" s="2254"/>
      <c r="AB77" s="2254"/>
      <c r="AC77" s="2254"/>
      <c r="AD77" s="2254"/>
      <c r="AE77" s="2254"/>
      <c r="AF77" s="2254"/>
      <c r="AG77" s="2254"/>
      <c r="AH77" s="2254"/>
      <c r="AI77" s="2254"/>
      <c r="AJ77" s="2254"/>
      <c r="AK77" s="2254"/>
      <c r="AL77" s="2254"/>
      <c r="AM77" s="2254"/>
      <c r="AN77" s="2254"/>
      <c r="AO77" s="2254"/>
      <c r="AP77" s="2254"/>
      <c r="AQ77" s="2254"/>
      <c r="AR77" s="2254"/>
      <c r="AS77" s="2266"/>
    </row>
    <row r="78" spans="1:45" ht="42.75" customHeight="1" x14ac:dyDescent="0.2">
      <c r="A78" s="306"/>
      <c r="C78" s="307"/>
      <c r="D78" s="308"/>
      <c r="F78" s="308"/>
      <c r="G78" s="2256"/>
      <c r="H78" s="2257"/>
      <c r="I78" s="2195"/>
      <c r="J78" s="2257"/>
      <c r="K78" s="2195"/>
      <c r="L78" s="2257"/>
      <c r="M78" s="2195"/>
      <c r="N78" s="2257"/>
      <c r="O78" s="2195"/>
      <c r="P78" s="2195"/>
      <c r="Q78" s="2257"/>
      <c r="R78" s="2264"/>
      <c r="S78" s="2258"/>
      <c r="T78" s="2257"/>
      <c r="U78" s="2259"/>
      <c r="V78" s="88" t="s">
        <v>332</v>
      </c>
      <c r="W78" s="317">
        <v>2200000</v>
      </c>
      <c r="X78" s="303" t="s">
        <v>319</v>
      </c>
      <c r="Y78" s="71">
        <v>20</v>
      </c>
      <c r="Z78" s="292" t="s">
        <v>202</v>
      </c>
      <c r="AA78" s="2254"/>
      <c r="AB78" s="2254"/>
      <c r="AC78" s="2254"/>
      <c r="AD78" s="2254"/>
      <c r="AE78" s="2254"/>
      <c r="AF78" s="2254"/>
      <c r="AG78" s="2254"/>
      <c r="AH78" s="2254"/>
      <c r="AI78" s="2254"/>
      <c r="AJ78" s="2254"/>
      <c r="AK78" s="2254"/>
      <c r="AL78" s="2254"/>
      <c r="AM78" s="2254"/>
      <c r="AN78" s="2254"/>
      <c r="AO78" s="2254"/>
      <c r="AP78" s="2254"/>
      <c r="AQ78" s="2254"/>
      <c r="AR78" s="2254"/>
      <c r="AS78" s="2266"/>
    </row>
    <row r="79" spans="1:45" ht="42.75" customHeight="1" x14ac:dyDescent="0.2">
      <c r="A79" s="306"/>
      <c r="C79" s="307"/>
      <c r="D79" s="308"/>
      <c r="F79" s="308"/>
      <c r="G79" s="2256"/>
      <c r="H79" s="2257"/>
      <c r="I79" s="2195"/>
      <c r="J79" s="2257"/>
      <c r="K79" s="2195"/>
      <c r="L79" s="2257"/>
      <c r="M79" s="2195"/>
      <c r="N79" s="2257"/>
      <c r="O79" s="2195"/>
      <c r="P79" s="2195"/>
      <c r="Q79" s="2257"/>
      <c r="R79" s="2264"/>
      <c r="S79" s="2258"/>
      <c r="T79" s="2257"/>
      <c r="U79" s="2259"/>
      <c r="V79" s="88" t="s">
        <v>333</v>
      </c>
      <c r="W79" s="317">
        <v>2200000</v>
      </c>
      <c r="X79" s="303" t="s">
        <v>319</v>
      </c>
      <c r="Y79" s="71">
        <v>20</v>
      </c>
      <c r="Z79" s="292" t="s">
        <v>202</v>
      </c>
      <c r="AA79" s="2254"/>
      <c r="AB79" s="2254"/>
      <c r="AC79" s="2254"/>
      <c r="AD79" s="2254"/>
      <c r="AE79" s="2254"/>
      <c r="AF79" s="2254"/>
      <c r="AG79" s="2254"/>
      <c r="AH79" s="2254"/>
      <c r="AI79" s="2254"/>
      <c r="AJ79" s="2254"/>
      <c r="AK79" s="2254"/>
      <c r="AL79" s="2254"/>
      <c r="AM79" s="2254"/>
      <c r="AN79" s="2254"/>
      <c r="AO79" s="2254"/>
      <c r="AP79" s="2254"/>
      <c r="AQ79" s="2254"/>
      <c r="AR79" s="2254"/>
      <c r="AS79" s="2266"/>
    </row>
    <row r="80" spans="1:45" ht="42.75" customHeight="1" x14ac:dyDescent="0.2">
      <c r="A80" s="306"/>
      <c r="C80" s="307"/>
      <c r="D80" s="308"/>
      <c r="F80" s="308"/>
      <c r="G80" s="2256"/>
      <c r="H80" s="2257"/>
      <c r="I80" s="2195"/>
      <c r="J80" s="2257"/>
      <c r="K80" s="2195"/>
      <c r="L80" s="2257"/>
      <c r="M80" s="2195"/>
      <c r="N80" s="2257"/>
      <c r="O80" s="2195"/>
      <c r="P80" s="2195"/>
      <c r="Q80" s="2257"/>
      <c r="R80" s="2264"/>
      <c r="S80" s="2258"/>
      <c r="T80" s="2257"/>
      <c r="U80" s="2259"/>
      <c r="V80" s="88" t="s">
        <v>334</v>
      </c>
      <c r="W80" s="317">
        <v>5500000</v>
      </c>
      <c r="X80" s="303" t="s">
        <v>319</v>
      </c>
      <c r="Y80" s="71">
        <v>20</v>
      </c>
      <c r="Z80" s="292" t="s">
        <v>202</v>
      </c>
      <c r="AA80" s="2254"/>
      <c r="AB80" s="2254"/>
      <c r="AC80" s="2254"/>
      <c r="AD80" s="2254"/>
      <c r="AE80" s="2254"/>
      <c r="AF80" s="2254"/>
      <c r="AG80" s="2254"/>
      <c r="AH80" s="2254"/>
      <c r="AI80" s="2254"/>
      <c r="AJ80" s="2254"/>
      <c r="AK80" s="2254"/>
      <c r="AL80" s="2254"/>
      <c r="AM80" s="2254"/>
      <c r="AN80" s="2254"/>
      <c r="AO80" s="2254"/>
      <c r="AP80" s="2254"/>
      <c r="AQ80" s="2254"/>
      <c r="AR80" s="2254"/>
      <c r="AS80" s="2266"/>
    </row>
    <row r="81" spans="1:45" ht="42.75" customHeight="1" x14ac:dyDescent="0.2">
      <c r="A81" s="306"/>
      <c r="C81" s="307"/>
      <c r="D81" s="308"/>
      <c r="F81" s="308"/>
      <c r="G81" s="2256"/>
      <c r="H81" s="2257"/>
      <c r="I81" s="2195"/>
      <c r="J81" s="2257"/>
      <c r="K81" s="2195"/>
      <c r="L81" s="2257"/>
      <c r="M81" s="2195"/>
      <c r="N81" s="2257"/>
      <c r="O81" s="2195"/>
      <c r="P81" s="2195"/>
      <c r="Q81" s="2257"/>
      <c r="R81" s="2264"/>
      <c r="S81" s="2258"/>
      <c r="T81" s="2257"/>
      <c r="U81" s="2259"/>
      <c r="V81" s="88" t="s">
        <v>335</v>
      </c>
      <c r="W81" s="317">
        <v>4400000</v>
      </c>
      <c r="X81" s="303" t="s">
        <v>319</v>
      </c>
      <c r="Y81" s="71">
        <v>20</v>
      </c>
      <c r="Z81" s="292" t="s">
        <v>202</v>
      </c>
      <c r="AA81" s="2254"/>
      <c r="AB81" s="2254"/>
      <c r="AC81" s="2254"/>
      <c r="AD81" s="2254"/>
      <c r="AE81" s="2254"/>
      <c r="AF81" s="2254"/>
      <c r="AG81" s="2254"/>
      <c r="AH81" s="2254"/>
      <c r="AI81" s="2254"/>
      <c r="AJ81" s="2254"/>
      <c r="AK81" s="2254"/>
      <c r="AL81" s="2254"/>
      <c r="AM81" s="2254"/>
      <c r="AN81" s="2254"/>
      <c r="AO81" s="2254"/>
      <c r="AP81" s="2254"/>
      <c r="AQ81" s="2254"/>
      <c r="AR81" s="2254"/>
      <c r="AS81" s="2266"/>
    </row>
    <row r="82" spans="1:45" ht="42.75" customHeight="1" x14ac:dyDescent="0.2">
      <c r="A82" s="306"/>
      <c r="C82" s="307"/>
      <c r="D82" s="308"/>
      <c r="F82" s="308"/>
      <c r="G82" s="2256"/>
      <c r="H82" s="2257"/>
      <c r="I82" s="2195"/>
      <c r="J82" s="2257"/>
      <c r="K82" s="2195"/>
      <c r="L82" s="2257"/>
      <c r="M82" s="2195"/>
      <c r="N82" s="2257"/>
      <c r="O82" s="2195"/>
      <c r="P82" s="2195"/>
      <c r="Q82" s="2257"/>
      <c r="R82" s="2264"/>
      <c r="S82" s="2258"/>
      <c r="T82" s="2257"/>
      <c r="U82" s="2259"/>
      <c r="V82" s="88" t="s">
        <v>336</v>
      </c>
      <c r="W82" s="317">
        <v>4400000</v>
      </c>
      <c r="X82" s="303" t="s">
        <v>319</v>
      </c>
      <c r="Y82" s="71">
        <v>20</v>
      </c>
      <c r="Z82" s="292" t="s">
        <v>202</v>
      </c>
      <c r="AA82" s="2254"/>
      <c r="AB82" s="2254"/>
      <c r="AC82" s="2254"/>
      <c r="AD82" s="2254"/>
      <c r="AE82" s="2254"/>
      <c r="AF82" s="2254"/>
      <c r="AG82" s="2254"/>
      <c r="AH82" s="2254"/>
      <c r="AI82" s="2254"/>
      <c r="AJ82" s="2254"/>
      <c r="AK82" s="2254"/>
      <c r="AL82" s="2254"/>
      <c r="AM82" s="2254"/>
      <c r="AN82" s="2254"/>
      <c r="AO82" s="2254"/>
      <c r="AP82" s="2254"/>
      <c r="AQ82" s="2254"/>
      <c r="AR82" s="2254"/>
      <c r="AS82" s="2266"/>
    </row>
    <row r="83" spans="1:45" ht="42.75" customHeight="1" x14ac:dyDescent="0.2">
      <c r="A83" s="306"/>
      <c r="C83" s="307"/>
      <c r="D83" s="308"/>
      <c r="F83" s="308"/>
      <c r="G83" s="2256"/>
      <c r="H83" s="2257"/>
      <c r="I83" s="2195"/>
      <c r="J83" s="2257"/>
      <c r="K83" s="2195"/>
      <c r="L83" s="2257"/>
      <c r="M83" s="2195"/>
      <c r="N83" s="2257"/>
      <c r="O83" s="2195"/>
      <c r="P83" s="2195"/>
      <c r="Q83" s="2257"/>
      <c r="R83" s="2264"/>
      <c r="S83" s="2258"/>
      <c r="T83" s="2257"/>
      <c r="U83" s="2259"/>
      <c r="V83" s="88" t="s">
        <v>337</v>
      </c>
      <c r="W83" s="317">
        <v>4400000</v>
      </c>
      <c r="X83" s="303" t="s">
        <v>319</v>
      </c>
      <c r="Y83" s="71">
        <v>20</v>
      </c>
      <c r="Z83" s="292" t="s">
        <v>202</v>
      </c>
      <c r="AA83" s="2254"/>
      <c r="AB83" s="2254"/>
      <c r="AC83" s="2254"/>
      <c r="AD83" s="2254"/>
      <c r="AE83" s="2254"/>
      <c r="AF83" s="2254"/>
      <c r="AG83" s="2254"/>
      <c r="AH83" s="2254"/>
      <c r="AI83" s="2254"/>
      <c r="AJ83" s="2254"/>
      <c r="AK83" s="2254"/>
      <c r="AL83" s="2254"/>
      <c r="AM83" s="2254"/>
      <c r="AN83" s="2254"/>
      <c r="AO83" s="2254"/>
      <c r="AP83" s="2254"/>
      <c r="AQ83" s="2254"/>
      <c r="AR83" s="2254"/>
      <c r="AS83" s="2266"/>
    </row>
    <row r="84" spans="1:45" ht="42.75" customHeight="1" x14ac:dyDescent="0.2">
      <c r="A84" s="306"/>
      <c r="C84" s="307"/>
      <c r="D84" s="308"/>
      <c r="F84" s="308"/>
      <c r="G84" s="2256"/>
      <c r="H84" s="2257"/>
      <c r="I84" s="2195"/>
      <c r="J84" s="2257"/>
      <c r="K84" s="2195"/>
      <c r="L84" s="2257"/>
      <c r="M84" s="2195"/>
      <c r="N84" s="2257"/>
      <c r="O84" s="2195"/>
      <c r="P84" s="2195"/>
      <c r="Q84" s="2257"/>
      <c r="R84" s="2264"/>
      <c r="S84" s="2258"/>
      <c r="T84" s="2257"/>
      <c r="U84" s="2259"/>
      <c r="V84" s="88" t="s">
        <v>338</v>
      </c>
      <c r="W84" s="317">
        <v>4400000</v>
      </c>
      <c r="X84" s="303" t="s">
        <v>319</v>
      </c>
      <c r="Y84" s="71">
        <v>20</v>
      </c>
      <c r="Z84" s="292" t="s">
        <v>202</v>
      </c>
      <c r="AA84" s="2254"/>
      <c r="AB84" s="2254"/>
      <c r="AC84" s="2254"/>
      <c r="AD84" s="2254"/>
      <c r="AE84" s="2254"/>
      <c r="AF84" s="2254"/>
      <c r="AG84" s="2254"/>
      <c r="AH84" s="2254"/>
      <c r="AI84" s="2254"/>
      <c r="AJ84" s="2254"/>
      <c r="AK84" s="2254"/>
      <c r="AL84" s="2254"/>
      <c r="AM84" s="2254"/>
      <c r="AN84" s="2254"/>
      <c r="AO84" s="2254"/>
      <c r="AP84" s="2254"/>
      <c r="AQ84" s="2254"/>
      <c r="AR84" s="2254"/>
      <c r="AS84" s="2266"/>
    </row>
    <row r="85" spans="1:45" ht="42.75" customHeight="1" x14ac:dyDescent="0.2">
      <c r="A85" s="306"/>
      <c r="C85" s="307"/>
      <c r="D85" s="308"/>
      <c r="F85" s="308"/>
      <c r="G85" s="2256"/>
      <c r="H85" s="2257"/>
      <c r="I85" s="2195"/>
      <c r="J85" s="2257"/>
      <c r="K85" s="2195"/>
      <c r="L85" s="2257"/>
      <c r="M85" s="2195"/>
      <c r="N85" s="2257"/>
      <c r="O85" s="2195"/>
      <c r="P85" s="2195"/>
      <c r="Q85" s="2257"/>
      <c r="R85" s="2264"/>
      <c r="S85" s="2258"/>
      <c r="T85" s="2257"/>
      <c r="U85" s="2259"/>
      <c r="V85" s="88" t="s">
        <v>339</v>
      </c>
      <c r="W85" s="317">
        <v>2200000</v>
      </c>
      <c r="X85" s="303" t="s">
        <v>319</v>
      </c>
      <c r="Y85" s="71">
        <v>20</v>
      </c>
      <c r="Z85" s="292" t="s">
        <v>202</v>
      </c>
      <c r="AA85" s="2254"/>
      <c r="AB85" s="2254"/>
      <c r="AC85" s="2254"/>
      <c r="AD85" s="2254"/>
      <c r="AE85" s="2254"/>
      <c r="AF85" s="2254"/>
      <c r="AG85" s="2254"/>
      <c r="AH85" s="2254"/>
      <c r="AI85" s="2254"/>
      <c r="AJ85" s="2254"/>
      <c r="AK85" s="2254"/>
      <c r="AL85" s="2254"/>
      <c r="AM85" s="2254"/>
      <c r="AN85" s="2254"/>
      <c r="AO85" s="2254"/>
      <c r="AP85" s="2254"/>
      <c r="AQ85" s="2254"/>
      <c r="AR85" s="2254"/>
      <c r="AS85" s="2266"/>
    </row>
    <row r="86" spans="1:45" ht="42.75" customHeight="1" x14ac:dyDescent="0.2">
      <c r="A86" s="306"/>
      <c r="C86" s="307"/>
      <c r="D86" s="308"/>
      <c r="F86" s="308"/>
      <c r="G86" s="2256"/>
      <c r="H86" s="2257"/>
      <c r="I86" s="2195"/>
      <c r="J86" s="2257"/>
      <c r="K86" s="2195"/>
      <c r="L86" s="2257"/>
      <c r="M86" s="2195"/>
      <c r="N86" s="2257"/>
      <c r="O86" s="2195"/>
      <c r="P86" s="2195"/>
      <c r="Q86" s="2257"/>
      <c r="R86" s="2264"/>
      <c r="S86" s="2258"/>
      <c r="T86" s="2257"/>
      <c r="U86" s="2259"/>
      <c r="V86" s="88" t="s">
        <v>340</v>
      </c>
      <c r="W86" s="317">
        <v>3300000</v>
      </c>
      <c r="X86" s="303" t="s">
        <v>319</v>
      </c>
      <c r="Y86" s="71">
        <v>20</v>
      </c>
      <c r="Z86" s="292" t="s">
        <v>202</v>
      </c>
      <c r="AA86" s="2254"/>
      <c r="AB86" s="2254"/>
      <c r="AC86" s="2254"/>
      <c r="AD86" s="2254"/>
      <c r="AE86" s="2254"/>
      <c r="AF86" s="2254"/>
      <c r="AG86" s="2254"/>
      <c r="AH86" s="2254"/>
      <c r="AI86" s="2254"/>
      <c r="AJ86" s="2254"/>
      <c r="AK86" s="2254"/>
      <c r="AL86" s="2254"/>
      <c r="AM86" s="2254"/>
      <c r="AN86" s="2254"/>
      <c r="AO86" s="2254"/>
      <c r="AP86" s="2254"/>
      <c r="AQ86" s="2254"/>
      <c r="AR86" s="2254"/>
      <c r="AS86" s="2266"/>
    </row>
    <row r="87" spans="1:45" ht="42.75" customHeight="1" x14ac:dyDescent="0.2">
      <c r="A87" s="306"/>
      <c r="C87" s="307"/>
      <c r="D87" s="308"/>
      <c r="F87" s="308"/>
      <c r="G87" s="2256"/>
      <c r="H87" s="2257"/>
      <c r="I87" s="2195"/>
      <c r="J87" s="2257"/>
      <c r="K87" s="2195"/>
      <c r="L87" s="2257"/>
      <c r="M87" s="2195"/>
      <c r="N87" s="2257"/>
      <c r="O87" s="2195"/>
      <c r="P87" s="2195"/>
      <c r="Q87" s="2257"/>
      <c r="R87" s="2264"/>
      <c r="S87" s="2258"/>
      <c r="T87" s="2257"/>
      <c r="U87" s="2259"/>
      <c r="V87" s="88" t="s">
        <v>341</v>
      </c>
      <c r="W87" s="317">
        <v>2200000</v>
      </c>
      <c r="X87" s="303" t="s">
        <v>319</v>
      </c>
      <c r="Y87" s="71">
        <v>20</v>
      </c>
      <c r="Z87" s="292" t="s">
        <v>202</v>
      </c>
      <c r="AA87" s="2254"/>
      <c r="AB87" s="2254"/>
      <c r="AC87" s="2254"/>
      <c r="AD87" s="2254"/>
      <c r="AE87" s="2254"/>
      <c r="AF87" s="2254"/>
      <c r="AG87" s="2254"/>
      <c r="AH87" s="2254"/>
      <c r="AI87" s="2254"/>
      <c r="AJ87" s="2254"/>
      <c r="AK87" s="2254"/>
      <c r="AL87" s="2254"/>
      <c r="AM87" s="2254"/>
      <c r="AN87" s="2254"/>
      <c r="AO87" s="2254"/>
      <c r="AP87" s="2254"/>
      <c r="AQ87" s="2254"/>
      <c r="AR87" s="2254"/>
      <c r="AS87" s="2266"/>
    </row>
    <row r="88" spans="1:45" s="328" customFormat="1" ht="42.75" customHeight="1" x14ac:dyDescent="0.2">
      <c r="A88" s="327"/>
      <c r="C88" s="329"/>
      <c r="D88" s="330"/>
      <c r="F88" s="330"/>
      <c r="G88" s="2256"/>
      <c r="H88" s="2257"/>
      <c r="I88" s="2195"/>
      <c r="J88" s="2257"/>
      <c r="K88" s="2195"/>
      <c r="L88" s="2257"/>
      <c r="M88" s="2195"/>
      <c r="N88" s="2257"/>
      <c r="O88" s="2195"/>
      <c r="P88" s="2195"/>
      <c r="Q88" s="2257"/>
      <c r="R88" s="2264"/>
      <c r="S88" s="2258"/>
      <c r="T88" s="2257"/>
      <c r="U88" s="2259"/>
      <c r="V88" s="88" t="s">
        <v>342</v>
      </c>
      <c r="W88" s="317">
        <f>5500000-500000</f>
        <v>5000000</v>
      </c>
      <c r="X88" s="303" t="s">
        <v>319</v>
      </c>
      <c r="Y88" s="280">
        <v>20</v>
      </c>
      <c r="Z88" s="281" t="s">
        <v>202</v>
      </c>
      <c r="AA88" s="2254"/>
      <c r="AB88" s="2254"/>
      <c r="AC88" s="2254"/>
      <c r="AD88" s="2254"/>
      <c r="AE88" s="2254"/>
      <c r="AF88" s="2254"/>
      <c r="AG88" s="2254"/>
      <c r="AH88" s="2254"/>
      <c r="AI88" s="2254"/>
      <c r="AJ88" s="2254"/>
      <c r="AK88" s="2254"/>
      <c r="AL88" s="2254"/>
      <c r="AM88" s="2254"/>
      <c r="AN88" s="2254"/>
      <c r="AO88" s="2254"/>
      <c r="AP88" s="2254"/>
      <c r="AQ88" s="2254"/>
      <c r="AR88" s="2254"/>
      <c r="AS88" s="2266"/>
    </row>
    <row r="89" spans="1:45" ht="42.75" customHeight="1" x14ac:dyDescent="0.2">
      <c r="A89" s="306"/>
      <c r="C89" s="307"/>
      <c r="D89" s="308"/>
      <c r="F89" s="308"/>
      <c r="G89" s="2256"/>
      <c r="H89" s="2257"/>
      <c r="I89" s="2195"/>
      <c r="J89" s="2257"/>
      <c r="K89" s="2195"/>
      <c r="L89" s="2257"/>
      <c r="M89" s="2195"/>
      <c r="N89" s="2257"/>
      <c r="O89" s="2195"/>
      <c r="P89" s="2195"/>
      <c r="Q89" s="2257"/>
      <c r="R89" s="2264"/>
      <c r="S89" s="2258"/>
      <c r="T89" s="2257"/>
      <c r="U89" s="2259"/>
      <c r="V89" s="88" t="s">
        <v>343</v>
      </c>
      <c r="W89" s="317">
        <v>4600000</v>
      </c>
      <c r="X89" s="303" t="s">
        <v>319</v>
      </c>
      <c r="Y89" s="71">
        <v>20</v>
      </c>
      <c r="Z89" s="292" t="s">
        <v>202</v>
      </c>
      <c r="AA89" s="2254"/>
      <c r="AB89" s="2254"/>
      <c r="AC89" s="2254"/>
      <c r="AD89" s="2254"/>
      <c r="AE89" s="2254"/>
      <c r="AF89" s="2254"/>
      <c r="AG89" s="2254"/>
      <c r="AH89" s="2254"/>
      <c r="AI89" s="2254"/>
      <c r="AJ89" s="2254"/>
      <c r="AK89" s="2254"/>
      <c r="AL89" s="2254"/>
      <c r="AM89" s="2254"/>
      <c r="AN89" s="2254"/>
      <c r="AO89" s="2254"/>
      <c r="AP89" s="2254"/>
      <c r="AQ89" s="2254"/>
      <c r="AR89" s="2254"/>
      <c r="AS89" s="2266"/>
    </row>
    <row r="90" spans="1:45" ht="42.75" customHeight="1" x14ac:dyDescent="0.2">
      <c r="A90" s="306"/>
      <c r="C90" s="307"/>
      <c r="D90" s="308"/>
      <c r="F90" s="308"/>
      <c r="G90" s="2256"/>
      <c r="H90" s="2257"/>
      <c r="I90" s="2195"/>
      <c r="J90" s="2257"/>
      <c r="K90" s="2195"/>
      <c r="L90" s="2257"/>
      <c r="M90" s="2195"/>
      <c r="N90" s="2257"/>
      <c r="O90" s="2195"/>
      <c r="P90" s="2195"/>
      <c r="Q90" s="2257"/>
      <c r="R90" s="2264"/>
      <c r="S90" s="2258"/>
      <c r="T90" s="2257"/>
      <c r="U90" s="2259"/>
      <c r="V90" s="331" t="s">
        <v>344</v>
      </c>
      <c r="W90" s="317">
        <v>2400000</v>
      </c>
      <c r="X90" s="303" t="s">
        <v>319</v>
      </c>
      <c r="Y90" s="71">
        <v>20</v>
      </c>
      <c r="Z90" s="292" t="s">
        <v>202</v>
      </c>
      <c r="AA90" s="2254"/>
      <c r="AB90" s="2254"/>
      <c r="AC90" s="2254"/>
      <c r="AD90" s="2254"/>
      <c r="AE90" s="2254"/>
      <c r="AF90" s="2254"/>
      <c r="AG90" s="2254"/>
      <c r="AH90" s="2254"/>
      <c r="AI90" s="2254"/>
      <c r="AJ90" s="2254"/>
      <c r="AK90" s="2254"/>
      <c r="AL90" s="2254"/>
      <c r="AM90" s="2254"/>
      <c r="AN90" s="2254"/>
      <c r="AO90" s="2254"/>
      <c r="AP90" s="2254"/>
      <c r="AQ90" s="2254"/>
      <c r="AR90" s="2254"/>
      <c r="AS90" s="2266"/>
    </row>
    <row r="91" spans="1:45" ht="42.75" customHeight="1" x14ac:dyDescent="0.2">
      <c r="A91" s="306"/>
      <c r="C91" s="307"/>
      <c r="D91" s="308"/>
      <c r="F91" s="308"/>
      <c r="G91" s="2256"/>
      <c r="H91" s="2257"/>
      <c r="I91" s="2195"/>
      <c r="J91" s="2257"/>
      <c r="K91" s="2195"/>
      <c r="L91" s="2257"/>
      <c r="M91" s="2195"/>
      <c r="N91" s="2257"/>
      <c r="O91" s="2195"/>
      <c r="P91" s="2195"/>
      <c r="Q91" s="2257"/>
      <c r="R91" s="2264"/>
      <c r="S91" s="2258"/>
      <c r="T91" s="2257"/>
      <c r="U91" s="2259"/>
      <c r="V91" s="331" t="s">
        <v>345</v>
      </c>
      <c r="W91" s="317">
        <v>2100000</v>
      </c>
      <c r="X91" s="303" t="s">
        <v>319</v>
      </c>
      <c r="Y91" s="71">
        <v>20</v>
      </c>
      <c r="Z91" s="292" t="s">
        <v>202</v>
      </c>
      <c r="AA91" s="2255"/>
      <c r="AB91" s="2255"/>
      <c r="AC91" s="2255"/>
      <c r="AD91" s="2255"/>
      <c r="AE91" s="2255"/>
      <c r="AF91" s="2255"/>
      <c r="AG91" s="2255"/>
      <c r="AH91" s="2255"/>
      <c r="AI91" s="2255"/>
      <c r="AJ91" s="2255"/>
      <c r="AK91" s="2255"/>
      <c r="AL91" s="2255"/>
      <c r="AM91" s="2255"/>
      <c r="AN91" s="2255"/>
      <c r="AO91" s="2255"/>
      <c r="AP91" s="2255"/>
      <c r="AQ91" s="2255"/>
      <c r="AR91" s="2255"/>
      <c r="AS91" s="2267"/>
    </row>
    <row r="92" spans="1:45" s="347" customFormat="1" ht="33" customHeight="1" x14ac:dyDescent="0.25">
      <c r="A92" s="332"/>
      <c r="B92" s="333"/>
      <c r="C92" s="334"/>
      <c r="D92" s="335"/>
      <c r="E92" s="333"/>
      <c r="F92" s="335"/>
      <c r="G92" s="336"/>
      <c r="H92" s="337"/>
      <c r="I92" s="337"/>
      <c r="J92" s="337"/>
      <c r="K92" s="337"/>
      <c r="L92" s="337"/>
      <c r="M92" s="337"/>
      <c r="N92" s="337"/>
      <c r="O92" s="337"/>
      <c r="P92" s="337"/>
      <c r="Q92" s="338"/>
      <c r="R92" s="283"/>
      <c r="S92" s="339">
        <f>SUM(S9:S91)</f>
        <v>986333529</v>
      </c>
      <c r="T92" s="340"/>
      <c r="U92" s="338"/>
      <c r="V92" s="341" t="s">
        <v>118</v>
      </c>
      <c r="W92" s="342">
        <f>SUM(W9:W91)</f>
        <v>986333529</v>
      </c>
      <c r="X92" s="343"/>
      <c r="Y92" s="344"/>
      <c r="Z92" s="345"/>
      <c r="AA92" s="337"/>
      <c r="AB92" s="337"/>
      <c r="AC92" s="337"/>
      <c r="AD92" s="337"/>
      <c r="AE92" s="337"/>
      <c r="AF92" s="337"/>
      <c r="AG92" s="337"/>
      <c r="AH92" s="337"/>
      <c r="AI92" s="337"/>
      <c r="AJ92" s="337"/>
      <c r="AK92" s="337"/>
      <c r="AL92" s="337"/>
      <c r="AM92" s="337"/>
      <c r="AN92" s="337"/>
      <c r="AO92" s="337"/>
      <c r="AP92" s="337"/>
      <c r="AQ92" s="337"/>
      <c r="AR92" s="346"/>
      <c r="AS92" s="346"/>
    </row>
    <row r="93" spans="1:45" x14ac:dyDescent="0.2">
      <c r="Q93" s="119"/>
      <c r="V93" s="352"/>
      <c r="W93" s="353"/>
    </row>
    <row r="94" spans="1:45" x14ac:dyDescent="0.2">
      <c r="V94" s="352"/>
      <c r="W94" s="357"/>
    </row>
    <row r="102" spans="1:64" ht="15.75" x14ac:dyDescent="0.25">
      <c r="X102" s="359" t="s">
        <v>346</v>
      </c>
    </row>
    <row r="103" spans="1:64" s="227" customFormat="1" x14ac:dyDescent="0.2">
      <c r="A103" s="348"/>
      <c r="B103" s="228"/>
      <c r="C103" s="228"/>
      <c r="D103" s="228"/>
      <c r="E103" s="228"/>
      <c r="F103" s="228"/>
      <c r="G103" s="228"/>
      <c r="H103" s="228"/>
      <c r="I103" s="228"/>
      <c r="J103" s="228"/>
      <c r="K103" s="228"/>
      <c r="L103" s="119"/>
      <c r="M103" s="228"/>
      <c r="N103" s="119"/>
      <c r="Q103" s="245"/>
      <c r="R103" s="349"/>
      <c r="S103" s="350"/>
      <c r="T103" s="351"/>
      <c r="U103" s="3"/>
      <c r="V103" s="119"/>
      <c r="W103" s="358"/>
      <c r="X103" s="360" t="s">
        <v>347</v>
      </c>
      <c r="Y103" s="128"/>
      <c r="Z103" s="124"/>
      <c r="AA103" s="3"/>
      <c r="AB103" s="228"/>
      <c r="AC103" s="228"/>
      <c r="AD103" s="228"/>
      <c r="AE103" s="228"/>
      <c r="AF103" s="228"/>
      <c r="AG103" s="228"/>
      <c r="AH103" s="228"/>
      <c r="AI103" s="228"/>
      <c r="AJ103" s="228"/>
      <c r="AK103" s="228"/>
      <c r="AL103" s="228"/>
      <c r="AM103" s="228"/>
      <c r="AN103" s="228"/>
      <c r="AO103" s="228"/>
      <c r="AP103" s="228"/>
      <c r="AQ103" s="228"/>
      <c r="AR103" s="355"/>
      <c r="AS103" s="356"/>
      <c r="AT103" s="228"/>
      <c r="AU103" s="228"/>
      <c r="AV103" s="228"/>
      <c r="AW103" s="228"/>
      <c r="AX103" s="228"/>
      <c r="AY103" s="228"/>
      <c r="AZ103" s="228"/>
      <c r="BA103" s="228"/>
      <c r="BB103" s="228"/>
      <c r="BC103" s="228"/>
      <c r="BD103" s="228"/>
      <c r="BE103" s="228"/>
      <c r="BF103" s="228"/>
      <c r="BG103" s="228"/>
      <c r="BH103" s="228"/>
      <c r="BI103" s="228"/>
      <c r="BJ103" s="228"/>
      <c r="BK103" s="228"/>
      <c r="BL103" s="228"/>
    </row>
  </sheetData>
  <sheetProtection algorithmName="SHA-512" hashValue="bjAaNXJ2xLJ8Pg/iRmUpbxrpJR3WsTXmSandF3kqxnxIWIgLzuRjt/4dlFnc++U148fZzjDNQvJ9gtUMLa2f5g==" saltValue="Ai6kAJaq0zludhvgiPnJjg==" spinCount="100000" sheet="1" formatCells="0" selectLockedCells="1" selectUnlockedCells="1"/>
  <autoFilter ref="X11:X92"/>
  <mergeCells count="254">
    <mergeCell ref="A1:AQ4"/>
    <mergeCell ref="A5:O6"/>
    <mergeCell ref="P5:AS5"/>
    <mergeCell ref="AA6:AO6"/>
    <mergeCell ref="A7:B7"/>
    <mergeCell ref="C7:D7"/>
    <mergeCell ref="E7:F7"/>
    <mergeCell ref="G7:J7"/>
    <mergeCell ref="K7:N7"/>
    <mergeCell ref="O7:O8"/>
    <mergeCell ref="AP7:AP8"/>
    <mergeCell ref="AQ7:AQ8"/>
    <mergeCell ref="AR7:AR8"/>
    <mergeCell ref="AS7:AS8"/>
    <mergeCell ref="AC7:AF7"/>
    <mergeCell ref="AG7:AL7"/>
    <mergeCell ref="AM7:AO7"/>
    <mergeCell ref="G12:G32"/>
    <mergeCell ref="H12:H32"/>
    <mergeCell ref="I12:I32"/>
    <mergeCell ref="J12:J32"/>
    <mergeCell ref="K12:K32"/>
    <mergeCell ref="L12:L32"/>
    <mergeCell ref="P7:V7"/>
    <mergeCell ref="X7:Z7"/>
    <mergeCell ref="AA7:AB7"/>
    <mergeCell ref="AR12:AR32"/>
    <mergeCell ref="AS12:AS32"/>
    <mergeCell ref="V14:V16"/>
    <mergeCell ref="V17:V18"/>
    <mergeCell ref="V19:V20"/>
    <mergeCell ref="V21:V22"/>
    <mergeCell ref="V29:V31"/>
    <mergeCell ref="AI12:AI32"/>
    <mergeCell ref="AJ12:AJ32"/>
    <mergeCell ref="AK12:AK32"/>
    <mergeCell ref="AL12:AL32"/>
    <mergeCell ref="AM12:AM32"/>
    <mergeCell ref="AN12:AN32"/>
    <mergeCell ref="AC12:AC32"/>
    <mergeCell ref="AD12:AD32"/>
    <mergeCell ref="AE12:AE32"/>
    <mergeCell ref="AF12:AF32"/>
    <mergeCell ref="AG12:AG32"/>
    <mergeCell ref="AH12:AH32"/>
    <mergeCell ref="V12:V13"/>
    <mergeCell ref="AA12:AA32"/>
    <mergeCell ref="AB12:AB32"/>
    <mergeCell ref="K33:K37"/>
    <mergeCell ref="L33:L37"/>
    <mergeCell ref="AO12:AO32"/>
    <mergeCell ref="AP12:AP32"/>
    <mergeCell ref="AQ12:AQ32"/>
    <mergeCell ref="S12:S32"/>
    <mergeCell ref="T12:T32"/>
    <mergeCell ref="U12:U32"/>
    <mergeCell ref="M12:M32"/>
    <mergeCell ref="N12:N32"/>
    <mergeCell ref="O12:O32"/>
    <mergeCell ref="P12:P32"/>
    <mergeCell ref="Q12:Q32"/>
    <mergeCell ref="R12:R32"/>
    <mergeCell ref="U33:U37"/>
    <mergeCell ref="AA33:AA37"/>
    <mergeCell ref="AB33:AB37"/>
    <mergeCell ref="AC33:AC37"/>
    <mergeCell ref="M33:M37"/>
    <mergeCell ref="N33:N37"/>
    <mergeCell ref="AP33:AP37"/>
    <mergeCell ref="AQ33:AQ37"/>
    <mergeCell ref="S33:S37"/>
    <mergeCell ref="T33:T37"/>
    <mergeCell ref="AR33:AR37"/>
    <mergeCell ref="AS33:AS37"/>
    <mergeCell ref="G39:G44"/>
    <mergeCell ref="H39:H44"/>
    <mergeCell ref="I39:I44"/>
    <mergeCell ref="J39:J44"/>
    <mergeCell ref="K39:K44"/>
    <mergeCell ref="L39:L44"/>
    <mergeCell ref="AJ33:AJ37"/>
    <mergeCell ref="AK33:AK37"/>
    <mergeCell ref="AL33:AL37"/>
    <mergeCell ref="AM33:AM37"/>
    <mergeCell ref="AN33:AN37"/>
    <mergeCell ref="AO33:AO37"/>
    <mergeCell ref="AD33:AD37"/>
    <mergeCell ref="AE33:AE37"/>
    <mergeCell ref="AF33:AF37"/>
    <mergeCell ref="AG33:AG37"/>
    <mergeCell ref="G33:G37"/>
    <mergeCell ref="H33:H37"/>
    <mergeCell ref="I33:I37"/>
    <mergeCell ref="J33:J37"/>
    <mergeCell ref="AH33:AH37"/>
    <mergeCell ref="AI33:AI37"/>
    <mergeCell ref="O33:O37"/>
    <mergeCell ref="P33:P37"/>
    <mergeCell ref="Q33:Q37"/>
    <mergeCell ref="R33:R37"/>
    <mergeCell ref="AP39:AP44"/>
    <mergeCell ref="AQ39:AQ44"/>
    <mergeCell ref="AR39:AR44"/>
    <mergeCell ref="AS39:AS44"/>
    <mergeCell ref="G45:G47"/>
    <mergeCell ref="H45:H47"/>
    <mergeCell ref="I45:I47"/>
    <mergeCell ref="J45:J47"/>
    <mergeCell ref="K45:K47"/>
    <mergeCell ref="L45:L47"/>
    <mergeCell ref="AJ39:AJ44"/>
    <mergeCell ref="AK39:AK44"/>
    <mergeCell ref="AL39:AL44"/>
    <mergeCell ref="AM39:AM44"/>
    <mergeCell ref="AN39:AN44"/>
    <mergeCell ref="AO39:AO44"/>
    <mergeCell ref="AD39:AD44"/>
    <mergeCell ref="AE39:AE44"/>
    <mergeCell ref="AF39:AF44"/>
    <mergeCell ref="AG39:AG44"/>
    <mergeCell ref="AS45:AS47"/>
    <mergeCell ref="G48:G58"/>
    <mergeCell ref="H48:H58"/>
    <mergeCell ref="I48:I58"/>
    <mergeCell ref="J48:J58"/>
    <mergeCell ref="K48:K58"/>
    <mergeCell ref="L48:L58"/>
    <mergeCell ref="AJ45:AJ47"/>
    <mergeCell ref="AK45:AK47"/>
    <mergeCell ref="AL45:AL47"/>
    <mergeCell ref="AM45:AM47"/>
    <mergeCell ref="AN45:AN47"/>
    <mergeCell ref="AO45:AO47"/>
    <mergeCell ref="AD45:AD47"/>
    <mergeCell ref="AE45:AE47"/>
    <mergeCell ref="AF45:AF47"/>
    <mergeCell ref="AG45:AG47"/>
    <mergeCell ref="AH45:AH47"/>
    <mergeCell ref="AI45:AI47"/>
    <mergeCell ref="S45:S47"/>
    <mergeCell ref="M48:M58"/>
    <mergeCell ref="N48:N58"/>
    <mergeCell ref="O48:O58"/>
    <mergeCell ref="P48:P58"/>
    <mergeCell ref="Q48:Q58"/>
    <mergeCell ref="R48:R58"/>
    <mergeCell ref="AH39:AH44"/>
    <mergeCell ref="AI39:AI44"/>
    <mergeCell ref="S39:S44"/>
    <mergeCell ref="T39:T44"/>
    <mergeCell ref="U39:U44"/>
    <mergeCell ref="AA39:AA44"/>
    <mergeCell ref="AB39:AB44"/>
    <mergeCell ref="AC39:AC44"/>
    <mergeCell ref="M39:M44"/>
    <mergeCell ref="N39:N44"/>
    <mergeCell ref="O39:O44"/>
    <mergeCell ref="P39:P44"/>
    <mergeCell ref="Q39:Q44"/>
    <mergeCell ref="R39:R44"/>
    <mergeCell ref="AP45:AP47"/>
    <mergeCell ref="AQ45:AQ47"/>
    <mergeCell ref="AR45:AR47"/>
    <mergeCell ref="AC45:AC47"/>
    <mergeCell ref="M45:M47"/>
    <mergeCell ref="N45:N47"/>
    <mergeCell ref="O45:O47"/>
    <mergeCell ref="P45:P47"/>
    <mergeCell ref="Q45:Q47"/>
    <mergeCell ref="R45:R47"/>
    <mergeCell ref="T45:T47"/>
    <mergeCell ref="U45:U47"/>
    <mergeCell ref="AA45:AA47"/>
    <mergeCell ref="AB45:AB47"/>
    <mergeCell ref="AS48:AS58"/>
    <mergeCell ref="P59:P64"/>
    <mergeCell ref="Q59:Q64"/>
    <mergeCell ref="S59:S64"/>
    <mergeCell ref="T59:T64"/>
    <mergeCell ref="U59:U64"/>
    <mergeCell ref="AA59:AA64"/>
    <mergeCell ref="AJ48:AJ58"/>
    <mergeCell ref="AK48:AK58"/>
    <mergeCell ref="AL48:AL58"/>
    <mergeCell ref="AM48:AM58"/>
    <mergeCell ref="AN48:AN58"/>
    <mergeCell ref="AO48:AO58"/>
    <mergeCell ref="AD48:AD58"/>
    <mergeCell ref="AE48:AE58"/>
    <mergeCell ref="AF48:AF58"/>
    <mergeCell ref="AG48:AG58"/>
    <mergeCell ref="AH48:AH58"/>
    <mergeCell ref="AI48:AI58"/>
    <mergeCell ref="S48:S58"/>
    <mergeCell ref="T48:T58"/>
    <mergeCell ref="U48:U58"/>
    <mergeCell ref="AA48:AA58"/>
    <mergeCell ref="AB48:AB58"/>
    <mergeCell ref="AB59:AB64"/>
    <mergeCell ref="AC59:AC64"/>
    <mergeCell ref="AD59:AD64"/>
    <mergeCell ref="AE59:AE64"/>
    <mergeCell ref="AF59:AF64"/>
    <mergeCell ref="AG59:AG64"/>
    <mergeCell ref="AP48:AP58"/>
    <mergeCell ref="AQ48:AQ58"/>
    <mergeCell ref="AR48:AR58"/>
    <mergeCell ref="AC48:AC58"/>
    <mergeCell ref="AN59:AN64"/>
    <mergeCell ref="AO59:AO64"/>
    <mergeCell ref="AP59:AP64"/>
    <mergeCell ref="AQ59:AQ64"/>
    <mergeCell ref="AR59:AR64"/>
    <mergeCell ref="AS59:AS64"/>
    <mergeCell ref="AH59:AH64"/>
    <mergeCell ref="AI59:AI64"/>
    <mergeCell ref="AJ59:AJ64"/>
    <mergeCell ref="AK59:AK64"/>
    <mergeCell ref="AL59:AL64"/>
    <mergeCell ref="AM59:AM64"/>
    <mergeCell ref="M65:M91"/>
    <mergeCell ref="N65:N91"/>
    <mergeCell ref="O65:O91"/>
    <mergeCell ref="P65:P91"/>
    <mergeCell ref="Q65:Q91"/>
    <mergeCell ref="R65:R91"/>
    <mergeCell ref="AG65:AG91"/>
    <mergeCell ref="AH65:AH91"/>
    <mergeCell ref="AI65:AI91"/>
    <mergeCell ref="AP65:AP91"/>
    <mergeCell ref="AQ65:AQ91"/>
    <mergeCell ref="AR65:AR91"/>
    <mergeCell ref="AS65:AS91"/>
    <mergeCell ref="AJ65:AJ91"/>
    <mergeCell ref="AK65:AK91"/>
    <mergeCell ref="AL65:AL91"/>
    <mergeCell ref="AM65:AM91"/>
    <mergeCell ref="AN65:AN91"/>
    <mergeCell ref="AO65:AO91"/>
    <mergeCell ref="G65:G91"/>
    <mergeCell ref="H65:H91"/>
    <mergeCell ref="I65:I91"/>
    <mergeCell ref="J65:J91"/>
    <mergeCell ref="K65:K91"/>
    <mergeCell ref="L65:L91"/>
    <mergeCell ref="AD65:AD91"/>
    <mergeCell ref="AE65:AE91"/>
    <mergeCell ref="AF65:AF91"/>
    <mergeCell ref="S65:S91"/>
    <mergeCell ref="T65:T91"/>
    <mergeCell ref="U65:U91"/>
    <mergeCell ref="AA65:AA91"/>
    <mergeCell ref="AB65:AB91"/>
    <mergeCell ref="AC65:AC9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BM55"/>
  <sheetViews>
    <sheetView showGridLines="0" topLeftCell="T1" zoomScale="70" zoomScaleNormal="70" workbookViewId="0">
      <selection activeCell="AE8" sqref="AE8"/>
    </sheetView>
  </sheetViews>
  <sheetFormatPr baseColWidth="10" defaultColWidth="11.42578125" defaultRowHeight="25.5" customHeight="1" x14ac:dyDescent="0.25"/>
  <cols>
    <col min="1" max="1" width="12.5703125" style="132" customWidth="1"/>
    <col min="2" max="2" width="15.5703125" style="4" customWidth="1"/>
    <col min="3" max="3" width="13.28515625" style="4" customWidth="1"/>
    <col min="4" max="4" width="13.7109375" style="4" customWidth="1"/>
    <col min="5" max="5" width="13.85546875" style="4" customWidth="1"/>
    <col min="6" max="6" width="13.5703125" style="4" customWidth="1"/>
    <col min="7" max="7" width="15.5703125" style="4" customWidth="1"/>
    <col min="8" max="8" width="28.140625" style="118" customWidth="1"/>
    <col min="9" max="9" width="25.42578125" style="4" customWidth="1"/>
    <col min="10" max="10" width="28.140625" style="118" customWidth="1"/>
    <col min="11" max="11" width="16.42578125" style="4" customWidth="1"/>
    <col min="12" max="12" width="26.85546875" style="119" customWidth="1"/>
    <col min="13" max="13" width="25.42578125" style="3" customWidth="1"/>
    <col min="14" max="14" width="26.85546875" style="119" customWidth="1"/>
    <col min="15" max="15" width="13.5703125" style="3" customWidth="1"/>
    <col min="16" max="16" width="31.85546875" style="3" customWidth="1"/>
    <col min="17" max="17" width="23" style="119" customWidth="1"/>
    <col min="18" max="18" width="14.7109375" style="120" customWidth="1"/>
    <col min="19" max="19" width="31.85546875" style="121" customWidth="1"/>
    <col min="20" max="20" width="36.42578125" style="122" customWidth="1"/>
    <col min="21" max="21" width="39.140625" style="119" customWidth="1"/>
    <col min="22" max="22" width="33.28515625" style="119" customWidth="1"/>
    <col min="23" max="23" width="32" style="3" customWidth="1"/>
    <col min="24" max="24" width="53.7109375" style="119" customWidth="1"/>
    <col min="25" max="25" width="27.28515625" style="128" customWidth="1"/>
    <col min="26" max="26" width="30.5703125" style="215" customWidth="1"/>
    <col min="27" max="27" width="16.42578125" style="3" customWidth="1"/>
    <col min="28" max="29" width="10.85546875" style="4" bestFit="1" customWidth="1"/>
    <col min="30" max="30" width="9.42578125" style="4" bestFit="1" customWidth="1"/>
    <col min="31" max="31" width="10.42578125" style="4" bestFit="1" customWidth="1"/>
    <col min="32" max="32" width="9.42578125" style="4" bestFit="1" customWidth="1"/>
    <col min="33" max="33" width="7.5703125" style="4" bestFit="1" customWidth="1"/>
    <col min="34" max="35" width="8.42578125" style="4" bestFit="1" customWidth="1"/>
    <col min="36" max="39" width="7.42578125" style="4" customWidth="1"/>
    <col min="40" max="40" width="9.42578125" style="4" bestFit="1" customWidth="1"/>
    <col min="41" max="41" width="9" style="4" bestFit="1" customWidth="1"/>
    <col min="42" max="42" width="9.42578125" style="4" bestFit="1" customWidth="1"/>
    <col min="43" max="43" width="13.28515625" style="4" customWidth="1"/>
    <col min="44" max="44" width="16.7109375" style="4" customWidth="1"/>
    <col min="45" max="45" width="21.140625" style="133" customWidth="1"/>
    <col min="46" max="46" width="24.42578125" style="134" customWidth="1"/>
    <col min="47" max="47" width="9.140625" style="4" customWidth="1"/>
    <col min="48" max="16384" width="11.42578125" style="4"/>
  </cols>
  <sheetData>
    <row r="1" spans="1:65" ht="15.75" customHeight="1" x14ac:dyDescent="0.25">
      <c r="A1" s="2235" t="s">
        <v>119</v>
      </c>
      <c r="B1" s="2235"/>
      <c r="C1" s="2235"/>
      <c r="D1" s="2235"/>
      <c r="E1" s="2235"/>
      <c r="F1" s="2235"/>
      <c r="G1" s="2235"/>
      <c r="H1" s="2235"/>
      <c r="I1" s="2235"/>
      <c r="J1" s="2235"/>
      <c r="K1" s="2235"/>
      <c r="L1" s="2235"/>
      <c r="M1" s="2235"/>
      <c r="N1" s="2235"/>
      <c r="O1" s="2235"/>
      <c r="P1" s="2235"/>
      <c r="Q1" s="2235"/>
      <c r="R1" s="2235"/>
      <c r="S1" s="2235"/>
      <c r="T1" s="2235"/>
      <c r="U1" s="2235"/>
      <c r="V1" s="2235"/>
      <c r="W1" s="2235"/>
      <c r="X1" s="2235"/>
      <c r="Y1" s="2235"/>
      <c r="Z1" s="2235"/>
      <c r="AA1" s="2235"/>
      <c r="AB1" s="2235"/>
      <c r="AC1" s="2235"/>
      <c r="AD1" s="2235"/>
      <c r="AE1" s="2235"/>
      <c r="AF1" s="2235"/>
      <c r="AG1" s="2235"/>
      <c r="AH1" s="2235"/>
      <c r="AI1" s="2235"/>
      <c r="AJ1" s="2235"/>
      <c r="AK1" s="2235"/>
      <c r="AL1" s="2235"/>
      <c r="AM1" s="2235"/>
      <c r="AN1" s="2235"/>
      <c r="AO1" s="2235"/>
      <c r="AP1" s="2235"/>
      <c r="AQ1" s="2235"/>
      <c r="AR1" s="2235"/>
      <c r="AS1" s="135" t="s">
        <v>1</v>
      </c>
      <c r="AT1" s="1" t="s">
        <v>2</v>
      </c>
      <c r="AU1" s="3"/>
      <c r="AV1" s="3"/>
      <c r="AW1" s="3"/>
      <c r="AX1" s="3"/>
      <c r="AY1" s="3"/>
      <c r="AZ1" s="3"/>
      <c r="BA1" s="3"/>
      <c r="BB1" s="3"/>
      <c r="BC1" s="3"/>
      <c r="BD1" s="3"/>
      <c r="BE1" s="3"/>
      <c r="BF1" s="3"/>
      <c r="BG1" s="3"/>
      <c r="BH1" s="3"/>
      <c r="BI1" s="3"/>
      <c r="BJ1" s="3"/>
      <c r="BK1" s="3"/>
      <c r="BL1" s="3"/>
      <c r="BM1" s="3"/>
    </row>
    <row r="2" spans="1:65" ht="15.75" x14ac:dyDescent="0.25">
      <c r="A2" s="2235"/>
      <c r="B2" s="2235"/>
      <c r="C2" s="2235"/>
      <c r="D2" s="2235"/>
      <c r="E2" s="2235"/>
      <c r="F2" s="2235"/>
      <c r="G2" s="2235"/>
      <c r="H2" s="2235"/>
      <c r="I2" s="2235"/>
      <c r="J2" s="2235"/>
      <c r="K2" s="2235"/>
      <c r="L2" s="2235"/>
      <c r="M2" s="2235"/>
      <c r="N2" s="2235"/>
      <c r="O2" s="2235"/>
      <c r="P2" s="2235"/>
      <c r="Q2" s="2235"/>
      <c r="R2" s="2235"/>
      <c r="S2" s="2235"/>
      <c r="T2" s="2235"/>
      <c r="U2" s="2235"/>
      <c r="V2" s="2235"/>
      <c r="W2" s="2235"/>
      <c r="X2" s="2235"/>
      <c r="Y2" s="2235"/>
      <c r="Z2" s="2235"/>
      <c r="AA2" s="2235"/>
      <c r="AB2" s="2235"/>
      <c r="AC2" s="2235"/>
      <c r="AD2" s="2235"/>
      <c r="AE2" s="2235"/>
      <c r="AF2" s="2235"/>
      <c r="AG2" s="2235"/>
      <c r="AH2" s="2235"/>
      <c r="AI2" s="2235"/>
      <c r="AJ2" s="2235"/>
      <c r="AK2" s="2235"/>
      <c r="AL2" s="2235"/>
      <c r="AM2" s="2235"/>
      <c r="AN2" s="2235"/>
      <c r="AO2" s="2235"/>
      <c r="AP2" s="2235"/>
      <c r="AQ2" s="2235"/>
      <c r="AR2" s="2235"/>
      <c r="AS2" s="135" t="s">
        <v>3</v>
      </c>
      <c r="AT2" s="136">
        <v>9</v>
      </c>
      <c r="AU2" s="3"/>
      <c r="AV2" s="3"/>
      <c r="AW2" s="3"/>
      <c r="AX2" s="3"/>
      <c r="AY2" s="3"/>
      <c r="AZ2" s="3"/>
      <c r="BA2" s="3"/>
      <c r="BB2" s="3"/>
      <c r="BC2" s="3"/>
      <c r="BD2" s="3"/>
      <c r="BE2" s="3"/>
      <c r="BF2" s="3"/>
      <c r="BG2" s="3"/>
      <c r="BH2" s="3"/>
      <c r="BI2" s="3"/>
      <c r="BJ2" s="3"/>
      <c r="BK2" s="3"/>
      <c r="BL2" s="3"/>
      <c r="BM2" s="3"/>
    </row>
    <row r="3" spans="1:65" ht="15.75" x14ac:dyDescent="0.25">
      <c r="A3" s="2235"/>
      <c r="B3" s="2235"/>
      <c r="C3" s="2235"/>
      <c r="D3" s="2235"/>
      <c r="E3" s="2235"/>
      <c r="F3" s="2235"/>
      <c r="G3" s="2235"/>
      <c r="H3" s="2235"/>
      <c r="I3" s="2235"/>
      <c r="J3" s="2235"/>
      <c r="K3" s="2235"/>
      <c r="L3" s="2235"/>
      <c r="M3" s="2235"/>
      <c r="N3" s="2235"/>
      <c r="O3" s="2235"/>
      <c r="P3" s="2235"/>
      <c r="Q3" s="2235"/>
      <c r="R3" s="2235"/>
      <c r="S3" s="2235"/>
      <c r="T3" s="2235"/>
      <c r="U3" s="2235"/>
      <c r="V3" s="2235"/>
      <c r="W3" s="2235"/>
      <c r="X3" s="2235"/>
      <c r="Y3" s="2235"/>
      <c r="Z3" s="2235"/>
      <c r="AA3" s="2235"/>
      <c r="AB3" s="2235"/>
      <c r="AC3" s="2235"/>
      <c r="AD3" s="2235"/>
      <c r="AE3" s="2235"/>
      <c r="AF3" s="2235"/>
      <c r="AG3" s="2235"/>
      <c r="AH3" s="2235"/>
      <c r="AI3" s="2235"/>
      <c r="AJ3" s="2235"/>
      <c r="AK3" s="2235"/>
      <c r="AL3" s="2235"/>
      <c r="AM3" s="2235"/>
      <c r="AN3" s="2235"/>
      <c r="AO3" s="2235"/>
      <c r="AP3" s="2235"/>
      <c r="AQ3" s="2235"/>
      <c r="AR3" s="2235"/>
      <c r="AS3" s="135" t="s">
        <v>4</v>
      </c>
      <c r="AT3" s="137">
        <v>44266</v>
      </c>
      <c r="AU3" s="3"/>
      <c r="AV3" s="3"/>
      <c r="AW3" s="3"/>
      <c r="AX3" s="3"/>
      <c r="AY3" s="3"/>
      <c r="AZ3" s="3"/>
      <c r="BA3" s="3"/>
      <c r="BB3" s="3"/>
      <c r="BC3" s="3"/>
      <c r="BD3" s="3"/>
      <c r="BE3" s="3"/>
      <c r="BF3" s="3"/>
      <c r="BG3" s="3"/>
      <c r="BH3" s="3"/>
      <c r="BI3" s="3"/>
      <c r="BJ3" s="3"/>
      <c r="BK3" s="3"/>
      <c r="BL3" s="3"/>
      <c r="BM3" s="3"/>
    </row>
    <row r="4" spans="1:65" ht="15.75" x14ac:dyDescent="0.25">
      <c r="A4" s="2350"/>
      <c r="B4" s="2350"/>
      <c r="C4" s="2350"/>
      <c r="D4" s="2350"/>
      <c r="E4" s="2350"/>
      <c r="F4" s="2350"/>
      <c r="G4" s="2350"/>
      <c r="H4" s="2350"/>
      <c r="I4" s="2350"/>
      <c r="J4" s="2350"/>
      <c r="K4" s="2350"/>
      <c r="L4" s="2350"/>
      <c r="M4" s="2350"/>
      <c r="N4" s="2350"/>
      <c r="O4" s="2350"/>
      <c r="P4" s="2350"/>
      <c r="Q4" s="2350"/>
      <c r="R4" s="2350"/>
      <c r="S4" s="2350"/>
      <c r="T4" s="2350"/>
      <c r="U4" s="2350"/>
      <c r="V4" s="2350"/>
      <c r="W4" s="2350"/>
      <c r="X4" s="2350"/>
      <c r="Y4" s="2350"/>
      <c r="Z4" s="2350"/>
      <c r="AA4" s="2350"/>
      <c r="AB4" s="2350"/>
      <c r="AC4" s="2350"/>
      <c r="AD4" s="2350"/>
      <c r="AE4" s="2350"/>
      <c r="AF4" s="2350"/>
      <c r="AG4" s="2350"/>
      <c r="AH4" s="2350"/>
      <c r="AI4" s="2350"/>
      <c r="AJ4" s="2350"/>
      <c r="AK4" s="2350"/>
      <c r="AL4" s="2350"/>
      <c r="AM4" s="2350"/>
      <c r="AN4" s="2350"/>
      <c r="AO4" s="2350"/>
      <c r="AP4" s="2350"/>
      <c r="AQ4" s="2350"/>
      <c r="AR4" s="2350"/>
      <c r="AS4" s="135" t="s">
        <v>5</v>
      </c>
      <c r="AT4" s="138" t="s">
        <v>120</v>
      </c>
      <c r="AU4" s="3"/>
      <c r="AV4" s="3"/>
      <c r="AW4" s="3"/>
      <c r="AX4" s="3"/>
      <c r="AY4" s="3"/>
      <c r="AZ4" s="3"/>
      <c r="BA4" s="3"/>
      <c r="BB4" s="3"/>
      <c r="BC4" s="3"/>
      <c r="BD4" s="3"/>
      <c r="BE4" s="3"/>
      <c r="BF4" s="3"/>
      <c r="BG4" s="3"/>
      <c r="BH4" s="3"/>
      <c r="BI4" s="3"/>
      <c r="BJ4" s="3"/>
      <c r="BK4" s="3"/>
      <c r="BL4" s="3"/>
      <c r="BM4" s="3"/>
    </row>
    <row r="5" spans="1:65" ht="15.75" x14ac:dyDescent="0.25">
      <c r="A5" s="2240" t="s">
        <v>121</v>
      </c>
      <c r="B5" s="2241"/>
      <c r="C5" s="2241"/>
      <c r="D5" s="2241"/>
      <c r="E5" s="2241"/>
      <c r="F5" s="2241"/>
      <c r="G5" s="2241"/>
      <c r="H5" s="2241"/>
      <c r="I5" s="2241"/>
      <c r="J5" s="2241"/>
      <c r="K5" s="2241"/>
      <c r="L5" s="2241"/>
      <c r="M5" s="2241"/>
      <c r="N5" s="2241"/>
      <c r="O5" s="2242"/>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2245"/>
      <c r="AU5" s="3"/>
      <c r="AV5" s="3"/>
      <c r="AW5" s="3"/>
      <c r="AX5" s="3"/>
      <c r="AY5" s="3"/>
      <c r="AZ5" s="3"/>
      <c r="BA5" s="3"/>
      <c r="BB5" s="3"/>
      <c r="BC5" s="3"/>
      <c r="BD5" s="3"/>
      <c r="BE5" s="3"/>
      <c r="BF5" s="3"/>
      <c r="BG5" s="3"/>
      <c r="BH5" s="3"/>
      <c r="BI5" s="3"/>
      <c r="BJ5" s="3"/>
      <c r="BK5" s="3"/>
      <c r="BL5" s="3"/>
      <c r="BM5" s="3"/>
    </row>
    <row r="6" spans="1:65" ht="15.75" x14ac:dyDescent="0.25">
      <c r="A6" s="2243"/>
      <c r="B6" s="2238"/>
      <c r="C6" s="2238"/>
      <c r="D6" s="2238"/>
      <c r="E6" s="2238"/>
      <c r="F6" s="2238"/>
      <c r="G6" s="2238"/>
      <c r="H6" s="2238"/>
      <c r="I6" s="2238"/>
      <c r="J6" s="2238"/>
      <c r="K6" s="2238"/>
      <c r="L6" s="2238"/>
      <c r="M6" s="2238"/>
      <c r="N6" s="2238"/>
      <c r="O6" s="2239"/>
      <c r="P6" s="12"/>
      <c r="Q6" s="13"/>
      <c r="R6" s="12"/>
      <c r="S6" s="12"/>
      <c r="T6" s="13"/>
      <c r="U6" s="13"/>
      <c r="V6" s="13"/>
      <c r="W6" s="12"/>
      <c r="X6" s="13"/>
      <c r="Y6" s="12"/>
      <c r="Z6" s="13"/>
      <c r="AA6" s="2246" t="s">
        <v>8</v>
      </c>
      <c r="AB6" s="2236"/>
      <c r="AC6" s="2236"/>
      <c r="AD6" s="2236"/>
      <c r="AE6" s="2236"/>
      <c r="AF6" s="2236"/>
      <c r="AG6" s="2236"/>
      <c r="AH6" s="2236"/>
      <c r="AI6" s="2236"/>
      <c r="AJ6" s="2236"/>
      <c r="AK6" s="2236"/>
      <c r="AL6" s="2236"/>
      <c r="AM6" s="2236"/>
      <c r="AN6" s="2236"/>
      <c r="AO6" s="2236"/>
      <c r="AP6" s="2237"/>
      <c r="AQ6" s="12"/>
      <c r="AR6" s="12"/>
      <c r="AS6" s="12"/>
      <c r="AT6" s="14"/>
      <c r="AU6" s="3"/>
      <c r="AV6" s="3"/>
      <c r="AW6" s="3"/>
      <c r="AX6" s="3"/>
      <c r="AY6" s="3"/>
      <c r="AZ6" s="3"/>
      <c r="BA6" s="3"/>
      <c r="BB6" s="3"/>
      <c r="BC6" s="3"/>
      <c r="BD6" s="3"/>
      <c r="BE6" s="3"/>
      <c r="BF6" s="3"/>
      <c r="BG6" s="3"/>
      <c r="BH6" s="3"/>
      <c r="BI6" s="3"/>
      <c r="BJ6" s="3"/>
      <c r="BK6" s="3"/>
      <c r="BL6" s="3"/>
      <c r="BM6" s="3"/>
    </row>
    <row r="7" spans="1:65" ht="15.75" customHeight="1" x14ac:dyDescent="0.25">
      <c r="A7" s="2212" t="s">
        <v>9</v>
      </c>
      <c r="B7" s="2212"/>
      <c r="C7" s="2212" t="s">
        <v>10</v>
      </c>
      <c r="D7" s="2212"/>
      <c r="E7" s="2212" t="s">
        <v>11</v>
      </c>
      <c r="F7" s="2212"/>
      <c r="G7" s="2212" t="s">
        <v>12</v>
      </c>
      <c r="H7" s="2212"/>
      <c r="I7" s="2212"/>
      <c r="J7" s="2212"/>
      <c r="K7" s="2212" t="s">
        <v>13</v>
      </c>
      <c r="L7" s="2212"/>
      <c r="M7" s="2212"/>
      <c r="N7" s="2247"/>
      <c r="O7" s="2403" t="s">
        <v>14</v>
      </c>
      <c r="P7" s="2403"/>
      <c r="Q7" s="2403"/>
      <c r="R7" s="2403"/>
      <c r="S7" s="2403"/>
      <c r="T7" s="2403"/>
      <c r="U7" s="2403"/>
      <c r="V7" s="2403"/>
      <c r="W7" s="2403"/>
      <c r="X7" s="2212" t="s">
        <v>15</v>
      </c>
      <c r="Y7" s="2212"/>
      <c r="Z7" s="2212"/>
      <c r="AA7" s="2401" t="s">
        <v>16</v>
      </c>
      <c r="AB7" s="2401"/>
      <c r="AC7" s="2218" t="s">
        <v>17</v>
      </c>
      <c r="AD7" s="2218"/>
      <c r="AE7" s="2218"/>
      <c r="AF7" s="2218"/>
      <c r="AG7" s="2217" t="s">
        <v>18</v>
      </c>
      <c r="AH7" s="2217"/>
      <c r="AI7" s="2217"/>
      <c r="AJ7" s="2217"/>
      <c r="AK7" s="2217"/>
      <c r="AL7" s="2217"/>
      <c r="AM7" s="2217"/>
      <c r="AN7" s="2218" t="s">
        <v>19</v>
      </c>
      <c r="AO7" s="2218"/>
      <c r="AP7" s="2218"/>
      <c r="AQ7" s="2219" t="s">
        <v>20</v>
      </c>
      <c r="AR7" s="2404" t="s">
        <v>21</v>
      </c>
      <c r="AS7" s="2405" t="s">
        <v>22</v>
      </c>
      <c r="AT7" s="2251" t="s">
        <v>23</v>
      </c>
      <c r="AU7" s="3"/>
      <c r="AV7" s="3"/>
      <c r="AW7" s="3"/>
      <c r="AX7" s="3"/>
      <c r="AY7" s="3"/>
      <c r="AZ7" s="3"/>
      <c r="BA7" s="3"/>
      <c r="BB7" s="3"/>
      <c r="BC7" s="3"/>
      <c r="BD7" s="3"/>
      <c r="BE7" s="3"/>
      <c r="BF7" s="3"/>
      <c r="BG7" s="3"/>
      <c r="BH7" s="3"/>
      <c r="BI7" s="3"/>
      <c r="BJ7" s="3"/>
      <c r="BK7" s="3"/>
      <c r="BL7" s="3"/>
      <c r="BM7" s="3"/>
    </row>
    <row r="8" spans="1:65" ht="132.75" customHeight="1" x14ac:dyDescent="0.25">
      <c r="A8" s="15" t="s">
        <v>24</v>
      </c>
      <c r="B8" s="15" t="s">
        <v>25</v>
      </c>
      <c r="C8" s="15" t="s">
        <v>24</v>
      </c>
      <c r="D8" s="15" t="s">
        <v>25</v>
      </c>
      <c r="E8" s="15" t="s">
        <v>24</v>
      </c>
      <c r="F8" s="15" t="s">
        <v>25</v>
      </c>
      <c r="G8" s="15" t="s">
        <v>26</v>
      </c>
      <c r="H8" s="139" t="s">
        <v>27</v>
      </c>
      <c r="I8" s="15" t="s">
        <v>28</v>
      </c>
      <c r="J8" s="139" t="s">
        <v>122</v>
      </c>
      <c r="K8" s="15" t="s">
        <v>26</v>
      </c>
      <c r="L8" s="15" t="s">
        <v>30</v>
      </c>
      <c r="M8" s="15" t="s">
        <v>31</v>
      </c>
      <c r="N8" s="140" t="s">
        <v>32</v>
      </c>
      <c r="O8" s="141" t="s">
        <v>33</v>
      </c>
      <c r="P8" s="15" t="s">
        <v>34</v>
      </c>
      <c r="Q8" s="139" t="s">
        <v>35</v>
      </c>
      <c r="R8" s="15" t="s">
        <v>36</v>
      </c>
      <c r="S8" s="15" t="s">
        <v>37</v>
      </c>
      <c r="T8" s="139" t="s">
        <v>38</v>
      </c>
      <c r="U8" s="139" t="s">
        <v>39</v>
      </c>
      <c r="V8" s="139" t="s">
        <v>40</v>
      </c>
      <c r="W8" s="17" t="s">
        <v>123</v>
      </c>
      <c r="X8" s="139" t="s">
        <v>42</v>
      </c>
      <c r="Y8" s="15" t="s">
        <v>43</v>
      </c>
      <c r="Z8" s="139" t="s">
        <v>25</v>
      </c>
      <c r="AA8" s="142" t="s">
        <v>44</v>
      </c>
      <c r="AB8" s="21" t="s">
        <v>45</v>
      </c>
      <c r="AC8" s="21" t="s">
        <v>46</v>
      </c>
      <c r="AD8" s="21" t="s">
        <v>47</v>
      </c>
      <c r="AE8" s="20" t="s">
        <v>48</v>
      </c>
      <c r="AF8" s="21" t="s">
        <v>49</v>
      </c>
      <c r="AG8" s="21" t="s">
        <v>50</v>
      </c>
      <c r="AH8" s="2252" t="s">
        <v>51</v>
      </c>
      <c r="AI8" s="2252"/>
      <c r="AJ8" s="21" t="s">
        <v>52</v>
      </c>
      <c r="AK8" s="21" t="s">
        <v>53</v>
      </c>
      <c r="AL8" s="21" t="s">
        <v>54</v>
      </c>
      <c r="AM8" s="21" t="s">
        <v>55</v>
      </c>
      <c r="AN8" s="21" t="s">
        <v>56</v>
      </c>
      <c r="AO8" s="21" t="s">
        <v>57</v>
      </c>
      <c r="AP8" s="21" t="s">
        <v>58</v>
      </c>
      <c r="AQ8" s="2219"/>
      <c r="AR8" s="2404"/>
      <c r="AS8" s="2405"/>
      <c r="AT8" s="2251"/>
      <c r="AU8" s="3"/>
      <c r="AV8" s="3"/>
      <c r="AW8" s="3"/>
      <c r="AX8" s="3"/>
      <c r="AY8" s="3"/>
      <c r="AZ8" s="3"/>
      <c r="BA8" s="3"/>
      <c r="BB8" s="3"/>
      <c r="BC8" s="3"/>
      <c r="BD8" s="3"/>
      <c r="BE8" s="3"/>
      <c r="BF8" s="3"/>
      <c r="BG8" s="3"/>
      <c r="BH8" s="3"/>
      <c r="BI8" s="3"/>
      <c r="BJ8" s="3"/>
      <c r="BK8" s="3"/>
      <c r="BL8" s="3"/>
      <c r="BM8" s="3"/>
    </row>
    <row r="9" spans="1:65" s="33" customFormat="1" ht="15.75" x14ac:dyDescent="0.25">
      <c r="A9" s="143">
        <v>4</v>
      </c>
      <c r="B9" s="2402" t="s">
        <v>59</v>
      </c>
      <c r="C9" s="2402"/>
      <c r="D9" s="2402"/>
      <c r="E9" s="2402"/>
      <c r="F9" s="2402"/>
      <c r="G9" s="2402"/>
      <c r="H9" s="2402"/>
      <c r="I9" s="2402"/>
      <c r="J9" s="144"/>
      <c r="K9" s="145"/>
      <c r="L9" s="144"/>
      <c r="M9" s="145"/>
      <c r="N9" s="146"/>
      <c r="O9" s="145"/>
      <c r="P9" s="145"/>
      <c r="Q9" s="144"/>
      <c r="R9" s="147"/>
      <c r="S9" s="148"/>
      <c r="T9" s="149"/>
      <c r="U9" s="144"/>
      <c r="V9" s="144"/>
      <c r="W9" s="145"/>
      <c r="X9" s="144"/>
      <c r="Y9" s="150"/>
      <c r="Z9" s="151"/>
      <c r="AA9" s="145"/>
      <c r="AB9" s="145"/>
      <c r="AC9" s="145"/>
      <c r="AD9" s="145"/>
      <c r="AE9" s="145"/>
      <c r="AF9" s="145"/>
      <c r="AG9" s="145"/>
      <c r="AH9" s="145"/>
      <c r="AI9" s="145"/>
      <c r="AJ9" s="145"/>
      <c r="AK9" s="145"/>
      <c r="AL9" s="145"/>
      <c r="AM9" s="145"/>
      <c r="AN9" s="145"/>
      <c r="AO9" s="145"/>
      <c r="AP9" s="145"/>
      <c r="AQ9" s="145"/>
      <c r="AR9" s="145"/>
      <c r="AS9" s="152"/>
      <c r="AT9" s="152"/>
      <c r="AU9" s="3"/>
      <c r="AV9" s="3"/>
      <c r="AW9" s="3"/>
      <c r="AX9" s="3"/>
      <c r="AY9" s="3"/>
      <c r="AZ9" s="3"/>
      <c r="BA9" s="3"/>
      <c r="BB9" s="3"/>
      <c r="BC9" s="3"/>
      <c r="BD9" s="3"/>
      <c r="BE9" s="3"/>
      <c r="BF9" s="3"/>
      <c r="BG9" s="3"/>
      <c r="BH9" s="3"/>
      <c r="BI9" s="3"/>
      <c r="BJ9" s="3"/>
      <c r="BK9" s="3"/>
    </row>
    <row r="10" spans="1:65" s="73" customFormat="1" ht="15.75" x14ac:dyDescent="0.25">
      <c r="A10" s="153"/>
      <c r="B10" s="154"/>
      <c r="C10" s="155">
        <v>45</v>
      </c>
      <c r="D10" s="2399" t="s">
        <v>60</v>
      </c>
      <c r="E10" s="2400"/>
      <c r="F10" s="2400"/>
      <c r="G10" s="2400"/>
      <c r="H10" s="2400"/>
      <c r="I10" s="2400"/>
      <c r="J10" s="2400"/>
      <c r="K10" s="156"/>
      <c r="L10" s="157"/>
      <c r="M10" s="156"/>
      <c r="N10" s="157"/>
      <c r="O10" s="158"/>
      <c r="P10" s="158"/>
      <c r="Q10" s="159"/>
      <c r="R10" s="160"/>
      <c r="S10" s="161"/>
      <c r="T10" s="162"/>
      <c r="U10" s="159"/>
      <c r="V10" s="159"/>
      <c r="W10" s="158"/>
      <c r="X10" s="159"/>
      <c r="Y10" s="163"/>
      <c r="Z10" s="164"/>
      <c r="AA10" s="158"/>
      <c r="AB10" s="158"/>
      <c r="AC10" s="158"/>
      <c r="AD10" s="158"/>
      <c r="AE10" s="158"/>
      <c r="AF10" s="158"/>
      <c r="AG10" s="158"/>
      <c r="AH10" s="158"/>
      <c r="AI10" s="158"/>
      <c r="AJ10" s="158"/>
      <c r="AK10" s="158"/>
      <c r="AL10" s="158"/>
      <c r="AM10" s="158"/>
      <c r="AN10" s="158"/>
      <c r="AO10" s="158"/>
      <c r="AP10" s="158"/>
      <c r="AQ10" s="158"/>
      <c r="AR10" s="158"/>
      <c r="AS10" s="165"/>
      <c r="AT10" s="165"/>
      <c r="AU10" s="74"/>
      <c r="AV10" s="74"/>
      <c r="AW10" s="74"/>
      <c r="AX10" s="74"/>
      <c r="AY10" s="74"/>
      <c r="AZ10" s="74"/>
      <c r="BA10" s="74"/>
      <c r="BB10" s="74"/>
      <c r="BC10" s="74"/>
      <c r="BD10" s="74"/>
      <c r="BE10" s="74"/>
      <c r="BF10" s="74"/>
      <c r="BG10" s="74"/>
      <c r="BH10" s="74"/>
      <c r="BI10" s="74"/>
      <c r="BJ10" s="74"/>
      <c r="BK10" s="74"/>
    </row>
    <row r="11" spans="1:65" ht="15.75" x14ac:dyDescent="0.25">
      <c r="A11" s="48"/>
      <c r="B11" s="49"/>
      <c r="C11" s="166"/>
      <c r="D11" s="51"/>
      <c r="E11" s="167">
        <v>4599</v>
      </c>
      <c r="F11" s="2397" t="s">
        <v>124</v>
      </c>
      <c r="G11" s="2398"/>
      <c r="H11" s="2398"/>
      <c r="I11" s="2398"/>
      <c r="J11" s="2398"/>
      <c r="K11" s="2398"/>
      <c r="L11" s="2398"/>
      <c r="M11" s="2398"/>
      <c r="N11" s="2398"/>
      <c r="O11" s="168"/>
      <c r="P11" s="169"/>
      <c r="Q11" s="170"/>
      <c r="R11" s="171"/>
      <c r="S11" s="172"/>
      <c r="T11" s="173"/>
      <c r="U11" s="173"/>
      <c r="V11" s="173"/>
      <c r="W11" s="172"/>
      <c r="X11" s="173"/>
      <c r="Y11" s="174"/>
      <c r="Z11" s="173"/>
      <c r="AA11" s="169"/>
      <c r="AB11" s="169"/>
      <c r="AC11" s="169"/>
      <c r="AD11" s="169"/>
      <c r="AE11" s="169"/>
      <c r="AF11" s="169"/>
      <c r="AG11" s="169"/>
      <c r="AH11" s="169"/>
      <c r="AI11" s="169"/>
      <c r="AJ11" s="169"/>
      <c r="AK11" s="169"/>
      <c r="AL11" s="169"/>
      <c r="AM11" s="169"/>
      <c r="AN11" s="169"/>
      <c r="AO11" s="169"/>
      <c r="AP11" s="169"/>
      <c r="AQ11" s="169"/>
      <c r="AR11" s="175"/>
      <c r="AS11" s="175"/>
      <c r="AT11" s="169"/>
      <c r="AU11" s="33"/>
      <c r="AV11" s="66"/>
      <c r="AW11" s="3"/>
      <c r="AX11" s="3"/>
      <c r="AY11" s="3"/>
      <c r="AZ11" s="3"/>
      <c r="BA11" s="3"/>
      <c r="BB11" s="3"/>
      <c r="BC11" s="3"/>
      <c r="BD11" s="3"/>
      <c r="BE11" s="3"/>
      <c r="BF11" s="3"/>
      <c r="BG11" s="3"/>
      <c r="BH11" s="3"/>
      <c r="BI11" s="3"/>
      <c r="BJ11" s="3"/>
      <c r="BK11" s="3"/>
    </row>
    <row r="12" spans="1:65" s="74" customFormat="1" ht="31.5" customHeight="1" x14ac:dyDescent="0.25">
      <c r="A12" s="176"/>
      <c r="B12" s="177"/>
      <c r="C12" s="178"/>
      <c r="D12" s="177"/>
      <c r="E12" s="179"/>
      <c r="F12" s="180"/>
      <c r="G12" s="2220" t="s">
        <v>62</v>
      </c>
      <c r="H12" s="2368" t="s">
        <v>125</v>
      </c>
      <c r="I12" s="2220">
        <v>4599002</v>
      </c>
      <c r="J12" s="2368" t="s">
        <v>82</v>
      </c>
      <c r="K12" s="2220" t="s">
        <v>62</v>
      </c>
      <c r="L12" s="2257" t="s">
        <v>126</v>
      </c>
      <c r="M12" s="2220">
        <v>459900201</v>
      </c>
      <c r="N12" s="2257" t="s">
        <v>127</v>
      </c>
      <c r="O12" s="2152">
        <v>1</v>
      </c>
      <c r="P12" s="2257" t="s">
        <v>128</v>
      </c>
      <c r="Q12" s="2257" t="s">
        <v>129</v>
      </c>
      <c r="R12" s="2396">
        <v>1</v>
      </c>
      <c r="S12" s="2380">
        <f>SUM(W12:W41)</f>
        <v>2569625342.8400002</v>
      </c>
      <c r="T12" s="2379" t="s">
        <v>130</v>
      </c>
      <c r="U12" s="2183" t="s">
        <v>131</v>
      </c>
      <c r="V12" s="2183" t="s">
        <v>132</v>
      </c>
      <c r="W12" s="181">
        <v>250000000</v>
      </c>
      <c r="X12" s="182" t="s">
        <v>133</v>
      </c>
      <c r="Y12" s="183">
        <v>20</v>
      </c>
      <c r="Z12" s="184" t="s">
        <v>73</v>
      </c>
      <c r="AA12" s="2393">
        <v>295972</v>
      </c>
      <c r="AB12" s="2393">
        <v>295974</v>
      </c>
      <c r="AC12" s="2393">
        <v>295976</v>
      </c>
      <c r="AD12" s="2370">
        <v>44254</v>
      </c>
      <c r="AE12" s="2370">
        <v>309146</v>
      </c>
      <c r="AF12" s="2370">
        <v>92607</v>
      </c>
      <c r="AG12" s="2370">
        <v>2145</v>
      </c>
      <c r="AH12" s="2370">
        <v>12718</v>
      </c>
      <c r="AI12" s="2370">
        <v>12718</v>
      </c>
      <c r="AJ12" s="2370">
        <v>26</v>
      </c>
      <c r="AK12" s="2370">
        <v>37</v>
      </c>
      <c r="AL12" s="2370" t="s">
        <v>134</v>
      </c>
      <c r="AM12" s="2370" t="s">
        <v>134</v>
      </c>
      <c r="AN12" s="2370">
        <v>44350</v>
      </c>
      <c r="AO12" s="2370">
        <v>21944</v>
      </c>
      <c r="AP12" s="2370">
        <v>75687</v>
      </c>
      <c r="AQ12" s="2370">
        <v>581552</v>
      </c>
      <c r="AR12" s="2373">
        <v>44201</v>
      </c>
      <c r="AS12" s="2373">
        <v>44560</v>
      </c>
      <c r="AT12" s="2376" t="s">
        <v>135</v>
      </c>
      <c r="AU12" s="73"/>
      <c r="AV12" s="73"/>
    </row>
    <row r="13" spans="1:65" s="74" customFormat="1" ht="30" x14ac:dyDescent="0.25">
      <c r="A13" s="176"/>
      <c r="B13" s="177"/>
      <c r="C13" s="178"/>
      <c r="D13" s="177"/>
      <c r="E13" s="185"/>
      <c r="F13" s="75"/>
      <c r="G13" s="2220"/>
      <c r="H13" s="2368"/>
      <c r="I13" s="2220"/>
      <c r="J13" s="2368"/>
      <c r="K13" s="2220"/>
      <c r="L13" s="2257"/>
      <c r="M13" s="2220"/>
      <c r="N13" s="2257"/>
      <c r="O13" s="2152"/>
      <c r="P13" s="2257"/>
      <c r="Q13" s="2257"/>
      <c r="R13" s="2396"/>
      <c r="S13" s="2380"/>
      <c r="T13" s="2379"/>
      <c r="U13" s="2185"/>
      <c r="V13" s="2185"/>
      <c r="W13" s="181">
        <v>5000000</v>
      </c>
      <c r="X13" s="182" t="s">
        <v>136</v>
      </c>
      <c r="Y13" s="183">
        <v>56</v>
      </c>
      <c r="Z13" s="184" t="s">
        <v>137</v>
      </c>
      <c r="AA13" s="2394"/>
      <c r="AB13" s="2394"/>
      <c r="AC13" s="2394"/>
      <c r="AD13" s="2371"/>
      <c r="AE13" s="2371"/>
      <c r="AF13" s="2371"/>
      <c r="AG13" s="2371"/>
      <c r="AH13" s="2371"/>
      <c r="AI13" s="2371"/>
      <c r="AJ13" s="2371"/>
      <c r="AK13" s="2371"/>
      <c r="AL13" s="2371"/>
      <c r="AM13" s="2371"/>
      <c r="AN13" s="2371"/>
      <c r="AO13" s="2371"/>
      <c r="AP13" s="2371"/>
      <c r="AQ13" s="2371"/>
      <c r="AR13" s="2374"/>
      <c r="AS13" s="2374"/>
      <c r="AT13" s="2377"/>
      <c r="AU13" s="73"/>
      <c r="AV13" s="73"/>
    </row>
    <row r="14" spans="1:65" s="74" customFormat="1" ht="30" x14ac:dyDescent="0.25">
      <c r="A14" s="176"/>
      <c r="B14" s="177"/>
      <c r="C14" s="178"/>
      <c r="D14" s="177"/>
      <c r="E14" s="185"/>
      <c r="F14" s="75"/>
      <c r="G14" s="2220"/>
      <c r="H14" s="2368"/>
      <c r="I14" s="2220"/>
      <c r="J14" s="2368"/>
      <c r="K14" s="2220"/>
      <c r="L14" s="2257"/>
      <c r="M14" s="2220"/>
      <c r="N14" s="2257"/>
      <c r="O14" s="2152"/>
      <c r="P14" s="2257"/>
      <c r="Q14" s="2257"/>
      <c r="R14" s="2396"/>
      <c r="S14" s="2380"/>
      <c r="T14" s="2379"/>
      <c r="U14" s="2185"/>
      <c r="V14" s="2185"/>
      <c r="W14" s="181">
        <v>0</v>
      </c>
      <c r="X14" s="182" t="s">
        <v>138</v>
      </c>
      <c r="Y14" s="183">
        <v>56</v>
      </c>
      <c r="Z14" s="184" t="s">
        <v>137</v>
      </c>
      <c r="AA14" s="2394"/>
      <c r="AB14" s="2394"/>
      <c r="AC14" s="2394"/>
      <c r="AD14" s="2371"/>
      <c r="AE14" s="2371"/>
      <c r="AF14" s="2371"/>
      <c r="AG14" s="2371"/>
      <c r="AH14" s="2371"/>
      <c r="AI14" s="2371"/>
      <c r="AJ14" s="2371"/>
      <c r="AK14" s="2371"/>
      <c r="AL14" s="2371"/>
      <c r="AM14" s="2371"/>
      <c r="AN14" s="2371"/>
      <c r="AO14" s="2371"/>
      <c r="AP14" s="2371"/>
      <c r="AQ14" s="2371"/>
      <c r="AR14" s="2374"/>
      <c r="AS14" s="2374"/>
      <c r="AT14" s="2377"/>
      <c r="AU14" s="73"/>
      <c r="AV14" s="73"/>
    </row>
    <row r="15" spans="1:65" s="74" customFormat="1" ht="37.5" customHeight="1" x14ac:dyDescent="0.25">
      <c r="A15" s="176"/>
      <c r="B15" s="177"/>
      <c r="C15" s="178"/>
      <c r="D15" s="177"/>
      <c r="E15" s="185"/>
      <c r="F15" s="75"/>
      <c r="G15" s="2220"/>
      <c r="H15" s="2368"/>
      <c r="I15" s="2220"/>
      <c r="J15" s="2368"/>
      <c r="K15" s="2220"/>
      <c r="L15" s="2257"/>
      <c r="M15" s="2220"/>
      <c r="N15" s="2257"/>
      <c r="O15" s="2152"/>
      <c r="P15" s="2257"/>
      <c r="Q15" s="2257"/>
      <c r="R15" s="2396"/>
      <c r="S15" s="2380"/>
      <c r="T15" s="2379"/>
      <c r="U15" s="2185"/>
      <c r="V15" s="2185"/>
      <c r="W15" s="181">
        <v>2000000</v>
      </c>
      <c r="X15" s="182" t="s">
        <v>139</v>
      </c>
      <c r="Y15" s="183">
        <v>20</v>
      </c>
      <c r="Z15" s="184" t="s">
        <v>73</v>
      </c>
      <c r="AA15" s="2394"/>
      <c r="AB15" s="2394"/>
      <c r="AC15" s="2394"/>
      <c r="AD15" s="2371"/>
      <c r="AE15" s="2371"/>
      <c r="AF15" s="2371"/>
      <c r="AG15" s="2371"/>
      <c r="AH15" s="2371"/>
      <c r="AI15" s="2371"/>
      <c r="AJ15" s="2371"/>
      <c r="AK15" s="2371"/>
      <c r="AL15" s="2371"/>
      <c r="AM15" s="2371"/>
      <c r="AN15" s="2371"/>
      <c r="AO15" s="2371"/>
      <c r="AP15" s="2371"/>
      <c r="AQ15" s="2371"/>
      <c r="AR15" s="2374"/>
      <c r="AS15" s="2374"/>
      <c r="AT15" s="2377"/>
      <c r="AU15" s="73"/>
      <c r="AV15" s="73"/>
    </row>
    <row r="16" spans="1:65" s="74" customFormat="1" ht="30" x14ac:dyDescent="0.25">
      <c r="A16" s="176"/>
      <c r="B16" s="177"/>
      <c r="C16" s="178"/>
      <c r="D16" s="177"/>
      <c r="E16" s="185"/>
      <c r="F16" s="75"/>
      <c r="G16" s="2220"/>
      <c r="H16" s="2368"/>
      <c r="I16" s="2220"/>
      <c r="J16" s="2368"/>
      <c r="K16" s="2220"/>
      <c r="L16" s="2257"/>
      <c r="M16" s="2220"/>
      <c r="N16" s="2257"/>
      <c r="O16" s="2152"/>
      <c r="P16" s="2257"/>
      <c r="Q16" s="2257"/>
      <c r="R16" s="2396"/>
      <c r="S16" s="2380"/>
      <c r="T16" s="2379"/>
      <c r="U16" s="2185"/>
      <c r="V16" s="2185"/>
      <c r="W16" s="181">
        <v>250000</v>
      </c>
      <c r="X16" s="182" t="s">
        <v>140</v>
      </c>
      <c r="Y16" s="183">
        <v>56</v>
      </c>
      <c r="Z16" s="184" t="s">
        <v>137</v>
      </c>
      <c r="AA16" s="2394"/>
      <c r="AB16" s="2394"/>
      <c r="AC16" s="2394"/>
      <c r="AD16" s="2371"/>
      <c r="AE16" s="2371"/>
      <c r="AF16" s="2371"/>
      <c r="AG16" s="2371"/>
      <c r="AH16" s="2371"/>
      <c r="AI16" s="2371"/>
      <c r="AJ16" s="2371"/>
      <c r="AK16" s="2371"/>
      <c r="AL16" s="2371"/>
      <c r="AM16" s="2371"/>
      <c r="AN16" s="2371"/>
      <c r="AO16" s="2371"/>
      <c r="AP16" s="2371"/>
      <c r="AQ16" s="2371"/>
      <c r="AR16" s="2374"/>
      <c r="AS16" s="2374"/>
      <c r="AT16" s="2377"/>
      <c r="AU16" s="73"/>
      <c r="AV16" s="73"/>
    </row>
    <row r="17" spans="1:48" s="74" customFormat="1" ht="30" x14ac:dyDescent="0.25">
      <c r="A17" s="176"/>
      <c r="B17" s="177"/>
      <c r="C17" s="178"/>
      <c r="D17" s="177"/>
      <c r="E17" s="185"/>
      <c r="F17" s="75"/>
      <c r="G17" s="2220"/>
      <c r="H17" s="2368"/>
      <c r="I17" s="2220"/>
      <c r="J17" s="2368"/>
      <c r="K17" s="2220"/>
      <c r="L17" s="2257"/>
      <c r="M17" s="2220"/>
      <c r="N17" s="2257"/>
      <c r="O17" s="2152"/>
      <c r="P17" s="2257"/>
      <c r="Q17" s="2257"/>
      <c r="R17" s="2396"/>
      <c r="S17" s="2380"/>
      <c r="T17" s="2379"/>
      <c r="U17" s="2185"/>
      <c r="V17" s="2185"/>
      <c r="W17" s="181">
        <v>4750000</v>
      </c>
      <c r="X17" s="182" t="s">
        <v>141</v>
      </c>
      <c r="Y17" s="183">
        <v>56</v>
      </c>
      <c r="Z17" s="184" t="s">
        <v>137</v>
      </c>
      <c r="AA17" s="2394"/>
      <c r="AB17" s="2394"/>
      <c r="AC17" s="2394"/>
      <c r="AD17" s="2371"/>
      <c r="AE17" s="2371"/>
      <c r="AF17" s="2371"/>
      <c r="AG17" s="2371"/>
      <c r="AH17" s="2371"/>
      <c r="AI17" s="2371"/>
      <c r="AJ17" s="2371"/>
      <c r="AK17" s="2371"/>
      <c r="AL17" s="2371"/>
      <c r="AM17" s="2371"/>
      <c r="AN17" s="2371"/>
      <c r="AO17" s="2371"/>
      <c r="AP17" s="2371"/>
      <c r="AQ17" s="2371"/>
      <c r="AR17" s="2374"/>
      <c r="AS17" s="2374"/>
      <c r="AT17" s="2377"/>
      <c r="AU17" s="73"/>
      <c r="AV17" s="73"/>
    </row>
    <row r="18" spans="1:48" s="74" customFormat="1" ht="38.25" customHeight="1" x14ac:dyDescent="0.25">
      <c r="A18" s="176"/>
      <c r="B18" s="177"/>
      <c r="C18" s="178"/>
      <c r="D18" s="177"/>
      <c r="E18" s="185"/>
      <c r="F18" s="75"/>
      <c r="G18" s="2220"/>
      <c r="H18" s="2368"/>
      <c r="I18" s="2220"/>
      <c r="J18" s="2368"/>
      <c r="K18" s="2220"/>
      <c r="L18" s="2257"/>
      <c r="M18" s="2220"/>
      <c r="N18" s="2257"/>
      <c r="O18" s="2152"/>
      <c r="P18" s="2257"/>
      <c r="Q18" s="2257"/>
      <c r="R18" s="2396"/>
      <c r="S18" s="2380"/>
      <c r="T18" s="2379"/>
      <c r="U18" s="2185"/>
      <c r="V18" s="2185"/>
      <c r="W18" s="181">
        <v>0</v>
      </c>
      <c r="X18" s="182" t="s">
        <v>142</v>
      </c>
      <c r="Y18" s="183">
        <v>56</v>
      </c>
      <c r="Z18" s="184" t="s">
        <v>137</v>
      </c>
      <c r="AA18" s="2394"/>
      <c r="AB18" s="2394"/>
      <c r="AC18" s="2394"/>
      <c r="AD18" s="2371"/>
      <c r="AE18" s="2371"/>
      <c r="AF18" s="2371"/>
      <c r="AG18" s="2371"/>
      <c r="AH18" s="2371"/>
      <c r="AI18" s="2371"/>
      <c r="AJ18" s="2371"/>
      <c r="AK18" s="2371"/>
      <c r="AL18" s="2371"/>
      <c r="AM18" s="2371"/>
      <c r="AN18" s="2371"/>
      <c r="AO18" s="2371"/>
      <c r="AP18" s="2371"/>
      <c r="AQ18" s="2371"/>
      <c r="AR18" s="2374"/>
      <c r="AS18" s="2374"/>
      <c r="AT18" s="2377"/>
      <c r="AU18" s="73"/>
      <c r="AV18" s="73"/>
    </row>
    <row r="19" spans="1:48" s="74" customFormat="1" ht="58.5" customHeight="1" x14ac:dyDescent="0.25">
      <c r="A19" s="176"/>
      <c r="B19" s="177"/>
      <c r="C19" s="178"/>
      <c r="D19" s="177"/>
      <c r="E19" s="185"/>
      <c r="F19" s="75"/>
      <c r="G19" s="2220"/>
      <c r="H19" s="2368"/>
      <c r="I19" s="2220"/>
      <c r="J19" s="2368"/>
      <c r="K19" s="2220"/>
      <c r="L19" s="2257"/>
      <c r="M19" s="2220"/>
      <c r="N19" s="2257"/>
      <c r="O19" s="2152"/>
      <c r="P19" s="2257"/>
      <c r="Q19" s="2257"/>
      <c r="R19" s="2396"/>
      <c r="S19" s="2380"/>
      <c r="T19" s="2379"/>
      <c r="U19" s="2185"/>
      <c r="V19" s="2185"/>
      <c r="W19" s="181">
        <v>20000000</v>
      </c>
      <c r="X19" s="182" t="s">
        <v>143</v>
      </c>
      <c r="Y19" s="183">
        <v>20</v>
      </c>
      <c r="Z19" s="184" t="s">
        <v>73</v>
      </c>
      <c r="AA19" s="2394"/>
      <c r="AB19" s="2394"/>
      <c r="AC19" s="2394"/>
      <c r="AD19" s="2371"/>
      <c r="AE19" s="2371"/>
      <c r="AF19" s="2371"/>
      <c r="AG19" s="2371"/>
      <c r="AH19" s="2371"/>
      <c r="AI19" s="2371"/>
      <c r="AJ19" s="2371"/>
      <c r="AK19" s="2371"/>
      <c r="AL19" s="2371"/>
      <c r="AM19" s="2371"/>
      <c r="AN19" s="2371"/>
      <c r="AO19" s="2371"/>
      <c r="AP19" s="2371"/>
      <c r="AQ19" s="2371"/>
      <c r="AR19" s="2374"/>
      <c r="AS19" s="2374"/>
      <c r="AT19" s="2377"/>
      <c r="AU19" s="73"/>
      <c r="AV19" s="73"/>
    </row>
    <row r="20" spans="1:48" s="74" customFormat="1" ht="42" customHeight="1" x14ac:dyDescent="0.25">
      <c r="A20" s="176"/>
      <c r="B20" s="177"/>
      <c r="C20" s="178"/>
      <c r="D20" s="177"/>
      <c r="E20" s="185"/>
      <c r="F20" s="75"/>
      <c r="G20" s="2220"/>
      <c r="H20" s="2368"/>
      <c r="I20" s="2220"/>
      <c r="J20" s="2368"/>
      <c r="K20" s="2220"/>
      <c r="L20" s="2257"/>
      <c r="M20" s="2220"/>
      <c r="N20" s="2257"/>
      <c r="O20" s="2152"/>
      <c r="P20" s="2257"/>
      <c r="Q20" s="2257"/>
      <c r="R20" s="2396"/>
      <c r="S20" s="2380"/>
      <c r="T20" s="2379"/>
      <c r="U20" s="2185"/>
      <c r="V20" s="2185"/>
      <c r="W20" s="186">
        <v>964442398</v>
      </c>
      <c r="X20" s="182" t="s">
        <v>144</v>
      </c>
      <c r="Y20" s="183">
        <v>20</v>
      </c>
      <c r="Z20" s="184" t="s">
        <v>73</v>
      </c>
      <c r="AA20" s="2394"/>
      <c r="AB20" s="2394"/>
      <c r="AC20" s="2394"/>
      <c r="AD20" s="2371"/>
      <c r="AE20" s="2371"/>
      <c r="AF20" s="2371"/>
      <c r="AG20" s="2371"/>
      <c r="AH20" s="2371"/>
      <c r="AI20" s="2371"/>
      <c r="AJ20" s="2371"/>
      <c r="AK20" s="2371"/>
      <c r="AL20" s="2371"/>
      <c r="AM20" s="2371"/>
      <c r="AN20" s="2371"/>
      <c r="AO20" s="2371"/>
      <c r="AP20" s="2371"/>
      <c r="AQ20" s="2371"/>
      <c r="AR20" s="2374"/>
      <c r="AS20" s="2374"/>
      <c r="AT20" s="2377"/>
      <c r="AU20" s="73"/>
      <c r="AV20" s="73"/>
    </row>
    <row r="21" spans="1:48" s="74" customFormat="1" ht="45.75" customHeight="1" x14ac:dyDescent="0.25">
      <c r="A21" s="176"/>
      <c r="B21" s="177"/>
      <c r="C21" s="178"/>
      <c r="D21" s="177"/>
      <c r="E21" s="185"/>
      <c r="F21" s="75"/>
      <c r="G21" s="2220"/>
      <c r="H21" s="2368"/>
      <c r="I21" s="2220"/>
      <c r="J21" s="2368"/>
      <c r="K21" s="2220"/>
      <c r="L21" s="2257"/>
      <c r="M21" s="2220"/>
      <c r="N21" s="2257"/>
      <c r="O21" s="2152"/>
      <c r="P21" s="2257"/>
      <c r="Q21" s="2257"/>
      <c r="R21" s="2396"/>
      <c r="S21" s="2380"/>
      <c r="T21" s="2379"/>
      <c r="U21" s="2185"/>
      <c r="V21" s="2185"/>
      <c r="W21" s="181">
        <v>10000000</v>
      </c>
      <c r="X21" s="182" t="s">
        <v>145</v>
      </c>
      <c r="Y21" s="183">
        <v>20</v>
      </c>
      <c r="Z21" s="184" t="s">
        <v>73</v>
      </c>
      <c r="AA21" s="2394"/>
      <c r="AB21" s="2394"/>
      <c r="AC21" s="2394"/>
      <c r="AD21" s="2371"/>
      <c r="AE21" s="2371"/>
      <c r="AF21" s="2371"/>
      <c r="AG21" s="2371"/>
      <c r="AH21" s="2371"/>
      <c r="AI21" s="2371"/>
      <c r="AJ21" s="2371"/>
      <c r="AK21" s="2371"/>
      <c r="AL21" s="2371"/>
      <c r="AM21" s="2371"/>
      <c r="AN21" s="2371"/>
      <c r="AO21" s="2371"/>
      <c r="AP21" s="2371"/>
      <c r="AQ21" s="2371"/>
      <c r="AR21" s="2374"/>
      <c r="AS21" s="2374"/>
      <c r="AT21" s="2377"/>
      <c r="AU21" s="73"/>
      <c r="AV21" s="73"/>
    </row>
    <row r="22" spans="1:48" s="74" customFormat="1" ht="52.5" customHeight="1" x14ac:dyDescent="0.25">
      <c r="A22" s="176"/>
      <c r="B22" s="177"/>
      <c r="C22" s="178"/>
      <c r="D22" s="177"/>
      <c r="E22" s="185"/>
      <c r="F22" s="75"/>
      <c r="G22" s="2220"/>
      <c r="H22" s="2368"/>
      <c r="I22" s="2220"/>
      <c r="J22" s="2368"/>
      <c r="K22" s="2220"/>
      <c r="L22" s="2257"/>
      <c r="M22" s="2220"/>
      <c r="N22" s="2257"/>
      <c r="O22" s="2152"/>
      <c r="P22" s="2257"/>
      <c r="Q22" s="2257"/>
      <c r="R22" s="2396"/>
      <c r="S22" s="2380"/>
      <c r="T22" s="2379"/>
      <c r="U22" s="2185"/>
      <c r="V22" s="2185"/>
      <c r="W22" s="181">
        <v>305940187.83999997</v>
      </c>
      <c r="X22" s="182" t="s">
        <v>146</v>
      </c>
      <c r="Y22" s="183">
        <v>56</v>
      </c>
      <c r="Z22" s="184" t="s">
        <v>137</v>
      </c>
      <c r="AA22" s="2394"/>
      <c r="AB22" s="2394"/>
      <c r="AC22" s="2394"/>
      <c r="AD22" s="2371"/>
      <c r="AE22" s="2371"/>
      <c r="AF22" s="2371"/>
      <c r="AG22" s="2371"/>
      <c r="AH22" s="2371"/>
      <c r="AI22" s="2371"/>
      <c r="AJ22" s="2371"/>
      <c r="AK22" s="2371"/>
      <c r="AL22" s="2371"/>
      <c r="AM22" s="2371"/>
      <c r="AN22" s="2371"/>
      <c r="AO22" s="2371"/>
      <c r="AP22" s="2371"/>
      <c r="AQ22" s="2371"/>
      <c r="AR22" s="2374"/>
      <c r="AS22" s="2374"/>
      <c r="AT22" s="2377"/>
      <c r="AU22" s="73"/>
      <c r="AV22" s="73"/>
    </row>
    <row r="23" spans="1:48" s="74" customFormat="1" ht="63.75" customHeight="1" x14ac:dyDescent="0.25">
      <c r="A23" s="176"/>
      <c r="B23" s="177"/>
      <c r="C23" s="178"/>
      <c r="D23" s="177"/>
      <c r="E23" s="185"/>
      <c r="F23" s="75"/>
      <c r="G23" s="2220"/>
      <c r="H23" s="2368"/>
      <c r="I23" s="2220"/>
      <c r="J23" s="2368"/>
      <c r="K23" s="2220"/>
      <c r="L23" s="2257"/>
      <c r="M23" s="2220"/>
      <c r="N23" s="2257"/>
      <c r="O23" s="2152"/>
      <c r="P23" s="2257"/>
      <c r="Q23" s="2257"/>
      <c r="R23" s="2396"/>
      <c r="S23" s="2380"/>
      <c r="T23" s="2379"/>
      <c r="U23" s="2185"/>
      <c r="V23" s="2185"/>
      <c r="W23" s="181">
        <v>6500000</v>
      </c>
      <c r="X23" s="182" t="s">
        <v>147</v>
      </c>
      <c r="Y23" s="183">
        <v>56</v>
      </c>
      <c r="Z23" s="184" t="s">
        <v>137</v>
      </c>
      <c r="AA23" s="2394"/>
      <c r="AB23" s="2394"/>
      <c r="AC23" s="2394"/>
      <c r="AD23" s="2371"/>
      <c r="AE23" s="2371"/>
      <c r="AF23" s="2371"/>
      <c r="AG23" s="2371"/>
      <c r="AH23" s="2371"/>
      <c r="AI23" s="2371"/>
      <c r="AJ23" s="2371"/>
      <c r="AK23" s="2371"/>
      <c r="AL23" s="2371"/>
      <c r="AM23" s="2371"/>
      <c r="AN23" s="2371"/>
      <c r="AO23" s="2371"/>
      <c r="AP23" s="2371"/>
      <c r="AQ23" s="2371"/>
      <c r="AR23" s="2374"/>
      <c r="AS23" s="2374"/>
      <c r="AT23" s="2377"/>
      <c r="AU23" s="73"/>
      <c r="AV23" s="73"/>
    </row>
    <row r="24" spans="1:48" s="74" customFormat="1" ht="58.5" customHeight="1" x14ac:dyDescent="0.25">
      <c r="A24" s="176"/>
      <c r="B24" s="177"/>
      <c r="C24" s="178"/>
      <c r="D24" s="177"/>
      <c r="E24" s="185"/>
      <c r="F24" s="75"/>
      <c r="G24" s="2220"/>
      <c r="H24" s="2368"/>
      <c r="I24" s="2220"/>
      <c r="J24" s="2368"/>
      <c r="K24" s="2220"/>
      <c r="L24" s="2257"/>
      <c r="M24" s="2220"/>
      <c r="N24" s="2257"/>
      <c r="O24" s="2152"/>
      <c r="P24" s="2257"/>
      <c r="Q24" s="2257"/>
      <c r="R24" s="2396"/>
      <c r="S24" s="2380"/>
      <c r="T24" s="2379"/>
      <c r="U24" s="2185"/>
      <c r="V24" s="2185"/>
      <c r="W24" s="181">
        <v>500000000</v>
      </c>
      <c r="X24" s="182" t="s">
        <v>148</v>
      </c>
      <c r="Y24" s="187">
        <v>88</v>
      </c>
      <c r="Z24" s="184" t="s">
        <v>149</v>
      </c>
      <c r="AA24" s="2394"/>
      <c r="AB24" s="2394"/>
      <c r="AC24" s="2394"/>
      <c r="AD24" s="2371"/>
      <c r="AE24" s="2371"/>
      <c r="AF24" s="2371"/>
      <c r="AG24" s="2371"/>
      <c r="AH24" s="2371"/>
      <c r="AI24" s="2371"/>
      <c r="AJ24" s="2371"/>
      <c r="AK24" s="2371"/>
      <c r="AL24" s="2371"/>
      <c r="AM24" s="2371"/>
      <c r="AN24" s="2371"/>
      <c r="AO24" s="2371"/>
      <c r="AP24" s="2371"/>
      <c r="AQ24" s="2371"/>
      <c r="AR24" s="2374"/>
      <c r="AS24" s="2374"/>
      <c r="AT24" s="2377"/>
      <c r="AU24" s="73"/>
      <c r="AV24" s="73"/>
    </row>
    <row r="25" spans="1:48" s="74" customFormat="1" ht="57.75" customHeight="1" x14ac:dyDescent="0.25">
      <c r="A25" s="176"/>
      <c r="B25" s="177"/>
      <c r="C25" s="178"/>
      <c r="D25" s="177"/>
      <c r="E25" s="185"/>
      <c r="F25" s="75"/>
      <c r="G25" s="2220"/>
      <c r="H25" s="2368"/>
      <c r="I25" s="2220"/>
      <c r="J25" s="2368"/>
      <c r="K25" s="2220"/>
      <c r="L25" s="2257"/>
      <c r="M25" s="2220"/>
      <c r="N25" s="2257"/>
      <c r="O25" s="2152"/>
      <c r="P25" s="2257"/>
      <c r="Q25" s="2257"/>
      <c r="R25" s="2396"/>
      <c r="S25" s="2380"/>
      <c r="T25" s="2379"/>
      <c r="U25" s="2185"/>
      <c r="V25" s="2185"/>
      <c r="W25" s="181">
        <v>1416148</v>
      </c>
      <c r="X25" s="182" t="s">
        <v>150</v>
      </c>
      <c r="Y25" s="187">
        <v>88</v>
      </c>
      <c r="Z25" s="184" t="s">
        <v>149</v>
      </c>
      <c r="AA25" s="2394"/>
      <c r="AB25" s="2394"/>
      <c r="AC25" s="2394"/>
      <c r="AD25" s="2371"/>
      <c r="AE25" s="2371"/>
      <c r="AF25" s="2371"/>
      <c r="AG25" s="2371"/>
      <c r="AH25" s="2371"/>
      <c r="AI25" s="2371"/>
      <c r="AJ25" s="2371"/>
      <c r="AK25" s="2371"/>
      <c r="AL25" s="2371"/>
      <c r="AM25" s="2371"/>
      <c r="AN25" s="2371"/>
      <c r="AO25" s="2371"/>
      <c r="AP25" s="2371"/>
      <c r="AQ25" s="2371"/>
      <c r="AR25" s="2374"/>
      <c r="AS25" s="2374"/>
      <c r="AT25" s="2377"/>
      <c r="AU25" s="73"/>
      <c r="AV25" s="73"/>
    </row>
    <row r="26" spans="1:48" s="74" customFormat="1" ht="48.75" customHeight="1" x14ac:dyDescent="0.25">
      <c r="A26" s="176"/>
      <c r="B26" s="177"/>
      <c r="C26" s="178"/>
      <c r="D26" s="177"/>
      <c r="E26" s="185"/>
      <c r="F26" s="75"/>
      <c r="G26" s="2220"/>
      <c r="H26" s="2368"/>
      <c r="I26" s="2220"/>
      <c r="J26" s="2368"/>
      <c r="K26" s="2220"/>
      <c r="L26" s="2257"/>
      <c r="M26" s="2220"/>
      <c r="N26" s="2257"/>
      <c r="O26" s="2152"/>
      <c r="P26" s="2257"/>
      <c r="Q26" s="2257"/>
      <c r="R26" s="2396"/>
      <c r="S26" s="2380"/>
      <c r="T26" s="2379"/>
      <c r="U26" s="2185"/>
      <c r="V26" s="2185"/>
      <c r="W26" s="181">
        <v>1979731</v>
      </c>
      <c r="X26" s="182" t="s">
        <v>151</v>
      </c>
      <c r="Y26" s="187">
        <v>88</v>
      </c>
      <c r="Z26" s="184" t="s">
        <v>149</v>
      </c>
      <c r="AA26" s="2394"/>
      <c r="AB26" s="2394"/>
      <c r="AC26" s="2394"/>
      <c r="AD26" s="2371"/>
      <c r="AE26" s="2371"/>
      <c r="AF26" s="2371"/>
      <c r="AG26" s="2371"/>
      <c r="AH26" s="2371"/>
      <c r="AI26" s="2371"/>
      <c r="AJ26" s="2371"/>
      <c r="AK26" s="2371"/>
      <c r="AL26" s="2371"/>
      <c r="AM26" s="2371"/>
      <c r="AN26" s="2371"/>
      <c r="AO26" s="2371"/>
      <c r="AP26" s="2371"/>
      <c r="AQ26" s="2371"/>
      <c r="AR26" s="2374"/>
      <c r="AS26" s="2374"/>
      <c r="AT26" s="2377"/>
      <c r="AU26" s="73"/>
      <c r="AV26" s="73"/>
    </row>
    <row r="27" spans="1:48" s="74" customFormat="1" ht="44.25" customHeight="1" x14ac:dyDescent="0.25">
      <c r="A27" s="176"/>
      <c r="B27" s="177"/>
      <c r="C27" s="178"/>
      <c r="D27" s="177"/>
      <c r="E27" s="185"/>
      <c r="F27" s="75"/>
      <c r="G27" s="2220"/>
      <c r="H27" s="2368"/>
      <c r="I27" s="2220"/>
      <c r="J27" s="2368"/>
      <c r="K27" s="2220"/>
      <c r="L27" s="2257"/>
      <c r="M27" s="2220"/>
      <c r="N27" s="2257"/>
      <c r="O27" s="2152"/>
      <c r="P27" s="2257"/>
      <c r="Q27" s="2257"/>
      <c r="R27" s="2396"/>
      <c r="S27" s="2380"/>
      <c r="T27" s="2379"/>
      <c r="U27" s="2185"/>
      <c r="V27" s="2185"/>
      <c r="W27" s="181">
        <v>5000000</v>
      </c>
      <c r="X27" s="182" t="s">
        <v>152</v>
      </c>
      <c r="Y27" s="187">
        <v>20</v>
      </c>
      <c r="Z27" s="184" t="s">
        <v>73</v>
      </c>
      <c r="AA27" s="2394"/>
      <c r="AB27" s="2394"/>
      <c r="AC27" s="2394"/>
      <c r="AD27" s="2371"/>
      <c r="AE27" s="2371"/>
      <c r="AF27" s="2371"/>
      <c r="AG27" s="2371"/>
      <c r="AH27" s="2371"/>
      <c r="AI27" s="2371"/>
      <c r="AJ27" s="2371"/>
      <c r="AK27" s="2371"/>
      <c r="AL27" s="2371"/>
      <c r="AM27" s="2371"/>
      <c r="AN27" s="2371"/>
      <c r="AO27" s="2371"/>
      <c r="AP27" s="2371"/>
      <c r="AQ27" s="2371"/>
      <c r="AR27" s="2374"/>
      <c r="AS27" s="2374"/>
      <c r="AT27" s="2377"/>
      <c r="AU27" s="73"/>
      <c r="AV27" s="73"/>
    </row>
    <row r="28" spans="1:48" s="74" customFormat="1" ht="47.25" customHeight="1" x14ac:dyDescent="0.25">
      <c r="A28" s="176"/>
      <c r="B28" s="177"/>
      <c r="C28" s="178"/>
      <c r="D28" s="177"/>
      <c r="E28" s="185"/>
      <c r="F28" s="75"/>
      <c r="G28" s="2220"/>
      <c r="H28" s="2368"/>
      <c r="I28" s="2220"/>
      <c r="J28" s="2368"/>
      <c r="K28" s="2220"/>
      <c r="L28" s="2257"/>
      <c r="M28" s="2220"/>
      <c r="N28" s="2257"/>
      <c r="O28" s="2152"/>
      <c r="P28" s="2257"/>
      <c r="Q28" s="2257"/>
      <c r="R28" s="2396"/>
      <c r="S28" s="2380"/>
      <c r="T28" s="2379"/>
      <c r="U28" s="2185"/>
      <c r="V28" s="2185"/>
      <c r="W28" s="181">
        <v>5000000</v>
      </c>
      <c r="X28" s="182" t="s">
        <v>153</v>
      </c>
      <c r="Y28" s="187">
        <v>20</v>
      </c>
      <c r="Z28" s="184" t="s">
        <v>73</v>
      </c>
      <c r="AA28" s="2394"/>
      <c r="AB28" s="2394"/>
      <c r="AC28" s="2394"/>
      <c r="AD28" s="2371"/>
      <c r="AE28" s="2371"/>
      <c r="AF28" s="2371"/>
      <c r="AG28" s="2371"/>
      <c r="AH28" s="2371"/>
      <c r="AI28" s="2371"/>
      <c r="AJ28" s="2371"/>
      <c r="AK28" s="2371"/>
      <c r="AL28" s="2371"/>
      <c r="AM28" s="2371"/>
      <c r="AN28" s="2371"/>
      <c r="AO28" s="2371"/>
      <c r="AP28" s="2371"/>
      <c r="AQ28" s="2371"/>
      <c r="AR28" s="2374"/>
      <c r="AS28" s="2374"/>
      <c r="AT28" s="2377"/>
      <c r="AU28" s="73"/>
      <c r="AV28" s="73"/>
    </row>
    <row r="29" spans="1:48" s="74" customFormat="1" ht="50.25" customHeight="1" x14ac:dyDescent="0.25">
      <c r="A29" s="176"/>
      <c r="B29" s="177"/>
      <c r="C29" s="178"/>
      <c r="D29" s="177"/>
      <c r="E29" s="185"/>
      <c r="F29" s="75"/>
      <c r="G29" s="2220"/>
      <c r="H29" s="2368"/>
      <c r="I29" s="2220"/>
      <c r="J29" s="2368"/>
      <c r="K29" s="2220"/>
      <c r="L29" s="2257"/>
      <c r="M29" s="2220"/>
      <c r="N29" s="2257"/>
      <c r="O29" s="2152"/>
      <c r="P29" s="2257"/>
      <c r="Q29" s="2257"/>
      <c r="R29" s="2396"/>
      <c r="S29" s="2380"/>
      <c r="T29" s="2379"/>
      <c r="U29" s="2185"/>
      <c r="V29" s="2185"/>
      <c r="W29" s="181">
        <v>305557602</v>
      </c>
      <c r="X29" s="182" t="s">
        <v>154</v>
      </c>
      <c r="Y29" s="187">
        <v>20</v>
      </c>
      <c r="Z29" s="184" t="s">
        <v>73</v>
      </c>
      <c r="AA29" s="2394"/>
      <c r="AB29" s="2394"/>
      <c r="AC29" s="2394"/>
      <c r="AD29" s="2371"/>
      <c r="AE29" s="2371"/>
      <c r="AF29" s="2371"/>
      <c r="AG29" s="2371"/>
      <c r="AH29" s="2371"/>
      <c r="AI29" s="2371"/>
      <c r="AJ29" s="2371"/>
      <c r="AK29" s="2371"/>
      <c r="AL29" s="2371"/>
      <c r="AM29" s="2371"/>
      <c r="AN29" s="2371"/>
      <c r="AO29" s="2371"/>
      <c r="AP29" s="2371"/>
      <c r="AQ29" s="2371"/>
      <c r="AR29" s="2374"/>
      <c r="AS29" s="2374"/>
      <c r="AT29" s="2377"/>
      <c r="AU29" s="73"/>
      <c r="AV29" s="73"/>
    </row>
    <row r="30" spans="1:48" s="74" customFormat="1" ht="47.25" customHeight="1" x14ac:dyDescent="0.25">
      <c r="A30" s="176"/>
      <c r="B30" s="177"/>
      <c r="C30" s="178"/>
      <c r="D30" s="177"/>
      <c r="E30" s="185"/>
      <c r="F30" s="75"/>
      <c r="G30" s="2220"/>
      <c r="H30" s="2368"/>
      <c r="I30" s="2220"/>
      <c r="J30" s="2368"/>
      <c r="K30" s="2220"/>
      <c r="L30" s="2257"/>
      <c r="M30" s="2220"/>
      <c r="N30" s="2257"/>
      <c r="O30" s="2152"/>
      <c r="P30" s="2257"/>
      <c r="Q30" s="2257"/>
      <c r="R30" s="2396"/>
      <c r="S30" s="2380"/>
      <c r="T30" s="2379"/>
      <c r="U30" s="2185"/>
      <c r="V30" s="2185"/>
      <c r="W30" s="181">
        <v>0</v>
      </c>
      <c r="X30" s="182" t="s">
        <v>155</v>
      </c>
      <c r="Y30" s="187">
        <v>56</v>
      </c>
      <c r="Z30" s="184" t="s">
        <v>137</v>
      </c>
      <c r="AA30" s="2394"/>
      <c r="AB30" s="2394"/>
      <c r="AC30" s="2394"/>
      <c r="AD30" s="2371"/>
      <c r="AE30" s="2371"/>
      <c r="AF30" s="2371"/>
      <c r="AG30" s="2371"/>
      <c r="AH30" s="2371"/>
      <c r="AI30" s="2371"/>
      <c r="AJ30" s="2371"/>
      <c r="AK30" s="2371"/>
      <c r="AL30" s="2371"/>
      <c r="AM30" s="2371"/>
      <c r="AN30" s="2371"/>
      <c r="AO30" s="2371"/>
      <c r="AP30" s="2371"/>
      <c r="AQ30" s="2371"/>
      <c r="AR30" s="2374"/>
      <c r="AS30" s="2374"/>
      <c r="AT30" s="2377"/>
      <c r="AU30" s="73"/>
      <c r="AV30" s="73"/>
    </row>
    <row r="31" spans="1:48" s="74" customFormat="1" ht="47.25" customHeight="1" x14ac:dyDescent="0.25">
      <c r="A31" s="176"/>
      <c r="B31" s="177"/>
      <c r="C31" s="178"/>
      <c r="D31" s="177"/>
      <c r="E31" s="185"/>
      <c r="F31" s="75"/>
      <c r="G31" s="2220"/>
      <c r="H31" s="2368"/>
      <c r="I31" s="2220"/>
      <c r="J31" s="2368"/>
      <c r="K31" s="2220"/>
      <c r="L31" s="2257"/>
      <c r="M31" s="2220"/>
      <c r="N31" s="2257"/>
      <c r="O31" s="2152"/>
      <c r="P31" s="2257"/>
      <c r="Q31" s="2257"/>
      <c r="R31" s="2396"/>
      <c r="S31" s="2380"/>
      <c r="T31" s="2379"/>
      <c r="U31" s="2185"/>
      <c r="V31" s="2185"/>
      <c r="W31" s="181">
        <v>74789276</v>
      </c>
      <c r="X31" s="182" t="s">
        <v>156</v>
      </c>
      <c r="Y31" s="187">
        <v>95</v>
      </c>
      <c r="Z31" s="184" t="s">
        <v>157</v>
      </c>
      <c r="AA31" s="2394"/>
      <c r="AB31" s="2394"/>
      <c r="AC31" s="2394"/>
      <c r="AD31" s="2371"/>
      <c r="AE31" s="2371"/>
      <c r="AF31" s="2371"/>
      <c r="AG31" s="2371"/>
      <c r="AH31" s="2371"/>
      <c r="AI31" s="2371"/>
      <c r="AJ31" s="2371"/>
      <c r="AK31" s="2371"/>
      <c r="AL31" s="2371"/>
      <c r="AM31" s="2371"/>
      <c r="AN31" s="2371"/>
      <c r="AO31" s="2371"/>
      <c r="AP31" s="2371"/>
      <c r="AQ31" s="2371"/>
      <c r="AR31" s="2374"/>
      <c r="AS31" s="2374"/>
      <c r="AT31" s="2377"/>
      <c r="AU31" s="73"/>
      <c r="AV31" s="73"/>
    </row>
    <row r="32" spans="1:48" s="74" customFormat="1" ht="36.75" customHeight="1" x14ac:dyDescent="0.25">
      <c r="A32" s="176"/>
      <c r="B32" s="177"/>
      <c r="C32" s="178"/>
      <c r="D32" s="177"/>
      <c r="E32" s="185"/>
      <c r="F32" s="75"/>
      <c r="G32" s="2220"/>
      <c r="H32" s="2368"/>
      <c r="I32" s="2220"/>
      <c r="J32" s="2368"/>
      <c r="K32" s="2220"/>
      <c r="L32" s="2257"/>
      <c r="M32" s="2220"/>
      <c r="N32" s="2257"/>
      <c r="O32" s="2152"/>
      <c r="P32" s="2257"/>
      <c r="Q32" s="2257"/>
      <c r="R32" s="2396"/>
      <c r="S32" s="2380"/>
      <c r="T32" s="2379"/>
      <c r="U32" s="2185"/>
      <c r="V32" s="2185"/>
      <c r="W32" s="181">
        <v>50000000</v>
      </c>
      <c r="X32" s="182" t="s">
        <v>158</v>
      </c>
      <c r="Y32" s="187">
        <v>56</v>
      </c>
      <c r="Z32" s="184" t="s">
        <v>137</v>
      </c>
      <c r="AA32" s="2394"/>
      <c r="AB32" s="2394"/>
      <c r="AC32" s="2394"/>
      <c r="AD32" s="2371"/>
      <c r="AE32" s="2371"/>
      <c r="AF32" s="2371"/>
      <c r="AG32" s="2371"/>
      <c r="AH32" s="2371"/>
      <c r="AI32" s="2371"/>
      <c r="AJ32" s="2371"/>
      <c r="AK32" s="2371"/>
      <c r="AL32" s="2371"/>
      <c r="AM32" s="2371"/>
      <c r="AN32" s="2371"/>
      <c r="AO32" s="2371"/>
      <c r="AP32" s="2371"/>
      <c r="AQ32" s="2371"/>
      <c r="AR32" s="2374"/>
      <c r="AS32" s="2374"/>
      <c r="AT32" s="2377"/>
      <c r="AU32" s="73"/>
      <c r="AV32" s="73"/>
    </row>
    <row r="33" spans="1:48" s="74" customFormat="1" ht="36.75" customHeight="1" x14ac:dyDescent="0.25">
      <c r="A33" s="176"/>
      <c r="B33" s="177"/>
      <c r="C33" s="178"/>
      <c r="D33" s="177"/>
      <c r="E33" s="185"/>
      <c r="F33" s="75"/>
      <c r="G33" s="2220"/>
      <c r="H33" s="2368"/>
      <c r="I33" s="2220"/>
      <c r="J33" s="2368"/>
      <c r="K33" s="2220"/>
      <c r="L33" s="2257"/>
      <c r="M33" s="2220"/>
      <c r="N33" s="2257"/>
      <c r="O33" s="2152"/>
      <c r="P33" s="2257"/>
      <c r="Q33" s="2257"/>
      <c r="R33" s="2396"/>
      <c r="S33" s="2380"/>
      <c r="T33" s="2379"/>
      <c r="U33" s="2185"/>
      <c r="V33" s="2185"/>
      <c r="W33" s="181">
        <v>22000000</v>
      </c>
      <c r="X33" s="188" t="s">
        <v>159</v>
      </c>
      <c r="Y33" s="187">
        <v>56</v>
      </c>
      <c r="Z33" s="184" t="s">
        <v>137</v>
      </c>
      <c r="AA33" s="2394"/>
      <c r="AB33" s="2394"/>
      <c r="AC33" s="2394"/>
      <c r="AD33" s="2371"/>
      <c r="AE33" s="2371"/>
      <c r="AF33" s="2371"/>
      <c r="AG33" s="2371"/>
      <c r="AH33" s="2371"/>
      <c r="AI33" s="2371"/>
      <c r="AJ33" s="2371"/>
      <c r="AK33" s="2371"/>
      <c r="AL33" s="2371"/>
      <c r="AM33" s="2371"/>
      <c r="AN33" s="2371"/>
      <c r="AO33" s="2371"/>
      <c r="AP33" s="2371"/>
      <c r="AQ33" s="2371"/>
      <c r="AR33" s="2374"/>
      <c r="AS33" s="2374"/>
      <c r="AT33" s="2377"/>
      <c r="AU33" s="73"/>
      <c r="AV33" s="73"/>
    </row>
    <row r="34" spans="1:48" s="74" customFormat="1" ht="36.75" customHeight="1" x14ac:dyDescent="0.25">
      <c r="A34" s="176"/>
      <c r="B34" s="177"/>
      <c r="C34" s="178"/>
      <c r="D34" s="177"/>
      <c r="E34" s="185"/>
      <c r="F34" s="75"/>
      <c r="G34" s="2220"/>
      <c r="H34" s="2368"/>
      <c r="I34" s="2220"/>
      <c r="J34" s="2368"/>
      <c r="K34" s="2220"/>
      <c r="L34" s="2257"/>
      <c r="M34" s="2220"/>
      <c r="N34" s="2257"/>
      <c r="O34" s="2152"/>
      <c r="P34" s="2257"/>
      <c r="Q34" s="2257"/>
      <c r="R34" s="2396"/>
      <c r="S34" s="2380"/>
      <c r="T34" s="2379"/>
      <c r="U34" s="2185"/>
      <c r="V34" s="2185"/>
      <c r="W34" s="181">
        <v>900000</v>
      </c>
      <c r="X34" s="188" t="s">
        <v>160</v>
      </c>
      <c r="Y34" s="187">
        <v>56</v>
      </c>
      <c r="Z34" s="184" t="s">
        <v>137</v>
      </c>
      <c r="AA34" s="2394"/>
      <c r="AB34" s="2394"/>
      <c r="AC34" s="2394"/>
      <c r="AD34" s="2371"/>
      <c r="AE34" s="2371"/>
      <c r="AF34" s="2371"/>
      <c r="AG34" s="2371"/>
      <c r="AH34" s="2371"/>
      <c r="AI34" s="2371"/>
      <c r="AJ34" s="2371"/>
      <c r="AK34" s="2371"/>
      <c r="AL34" s="2371"/>
      <c r="AM34" s="2371"/>
      <c r="AN34" s="2371"/>
      <c r="AO34" s="2371"/>
      <c r="AP34" s="2371"/>
      <c r="AQ34" s="2371"/>
      <c r="AR34" s="2374"/>
      <c r="AS34" s="2374"/>
      <c r="AT34" s="2377"/>
      <c r="AU34" s="73"/>
      <c r="AV34" s="73"/>
    </row>
    <row r="35" spans="1:48" s="74" customFormat="1" ht="36.75" customHeight="1" x14ac:dyDescent="0.25">
      <c r="A35" s="176"/>
      <c r="B35" s="177"/>
      <c r="C35" s="178"/>
      <c r="D35" s="177"/>
      <c r="E35" s="185"/>
      <c r="F35" s="75"/>
      <c r="G35" s="2220"/>
      <c r="H35" s="2368"/>
      <c r="I35" s="2220"/>
      <c r="J35" s="2368"/>
      <c r="K35" s="2220"/>
      <c r="L35" s="2257"/>
      <c r="M35" s="2220"/>
      <c r="N35" s="2257"/>
      <c r="O35" s="2152"/>
      <c r="P35" s="2257"/>
      <c r="Q35" s="2257"/>
      <c r="R35" s="2396"/>
      <c r="S35" s="2380"/>
      <c r="T35" s="2379"/>
      <c r="U35" s="2185"/>
      <c r="V35" s="2185"/>
      <c r="W35" s="181">
        <v>200000</v>
      </c>
      <c r="X35" s="188" t="s">
        <v>161</v>
      </c>
      <c r="Y35" s="187">
        <v>56</v>
      </c>
      <c r="Z35" s="184" t="s">
        <v>137</v>
      </c>
      <c r="AA35" s="2394"/>
      <c r="AB35" s="2394"/>
      <c r="AC35" s="2394"/>
      <c r="AD35" s="2371"/>
      <c r="AE35" s="2371"/>
      <c r="AF35" s="2371"/>
      <c r="AG35" s="2371"/>
      <c r="AH35" s="2371"/>
      <c r="AI35" s="2371"/>
      <c r="AJ35" s="2371"/>
      <c r="AK35" s="2371"/>
      <c r="AL35" s="2371"/>
      <c r="AM35" s="2371"/>
      <c r="AN35" s="2371"/>
      <c r="AO35" s="2371"/>
      <c r="AP35" s="2371"/>
      <c r="AQ35" s="2371"/>
      <c r="AR35" s="2374"/>
      <c r="AS35" s="2374"/>
      <c r="AT35" s="2377"/>
      <c r="AU35" s="73"/>
      <c r="AV35" s="73"/>
    </row>
    <row r="36" spans="1:48" s="74" customFormat="1" ht="36.75" customHeight="1" x14ac:dyDescent="0.25">
      <c r="A36" s="176"/>
      <c r="B36" s="177"/>
      <c r="C36" s="178"/>
      <c r="D36" s="177"/>
      <c r="E36" s="185"/>
      <c r="F36" s="75"/>
      <c r="G36" s="2220"/>
      <c r="H36" s="2368"/>
      <c r="I36" s="2220"/>
      <c r="J36" s="2368"/>
      <c r="K36" s="2220"/>
      <c r="L36" s="2257"/>
      <c r="M36" s="2220"/>
      <c r="N36" s="2257"/>
      <c r="O36" s="2152"/>
      <c r="P36" s="2257"/>
      <c r="Q36" s="2257"/>
      <c r="R36" s="2396"/>
      <c r="S36" s="2380"/>
      <c r="T36" s="2379"/>
      <c r="U36" s="2185"/>
      <c r="V36" s="2185"/>
      <c r="W36" s="181">
        <v>2000000</v>
      </c>
      <c r="X36" s="188" t="s">
        <v>162</v>
      </c>
      <c r="Y36" s="187">
        <v>56</v>
      </c>
      <c r="Z36" s="184" t="s">
        <v>137</v>
      </c>
      <c r="AA36" s="2394"/>
      <c r="AB36" s="2394"/>
      <c r="AC36" s="2394"/>
      <c r="AD36" s="2371"/>
      <c r="AE36" s="2371"/>
      <c r="AF36" s="2371"/>
      <c r="AG36" s="2371"/>
      <c r="AH36" s="2371"/>
      <c r="AI36" s="2371"/>
      <c r="AJ36" s="2371"/>
      <c r="AK36" s="2371"/>
      <c r="AL36" s="2371"/>
      <c r="AM36" s="2371"/>
      <c r="AN36" s="2371"/>
      <c r="AO36" s="2371"/>
      <c r="AP36" s="2371"/>
      <c r="AQ36" s="2371"/>
      <c r="AR36" s="2374"/>
      <c r="AS36" s="2374"/>
      <c r="AT36" s="2377"/>
      <c r="AU36" s="73"/>
      <c r="AV36" s="73"/>
    </row>
    <row r="37" spans="1:48" s="74" customFormat="1" ht="36.75" customHeight="1" x14ac:dyDescent="0.25">
      <c r="A37" s="176"/>
      <c r="B37" s="177"/>
      <c r="C37" s="178"/>
      <c r="D37" s="177"/>
      <c r="E37" s="185"/>
      <c r="F37" s="75"/>
      <c r="G37" s="2220"/>
      <c r="H37" s="2368"/>
      <c r="I37" s="2220"/>
      <c r="J37" s="2368"/>
      <c r="K37" s="2220"/>
      <c r="L37" s="2257"/>
      <c r="M37" s="2220"/>
      <c r="N37" s="2257"/>
      <c r="O37" s="2152"/>
      <c r="P37" s="2257"/>
      <c r="Q37" s="2257"/>
      <c r="R37" s="2396"/>
      <c r="S37" s="2380"/>
      <c r="T37" s="2379"/>
      <c r="U37" s="2185"/>
      <c r="V37" s="2185"/>
      <c r="W37" s="181">
        <v>2700000</v>
      </c>
      <c r="X37" s="188" t="s">
        <v>163</v>
      </c>
      <c r="Y37" s="187">
        <v>56</v>
      </c>
      <c r="Z37" s="184" t="s">
        <v>137</v>
      </c>
      <c r="AA37" s="2394"/>
      <c r="AB37" s="2394"/>
      <c r="AC37" s="2394"/>
      <c r="AD37" s="2371"/>
      <c r="AE37" s="2371"/>
      <c r="AF37" s="2371"/>
      <c r="AG37" s="2371"/>
      <c r="AH37" s="2371"/>
      <c r="AI37" s="2371"/>
      <c r="AJ37" s="2371"/>
      <c r="AK37" s="2371"/>
      <c r="AL37" s="2371"/>
      <c r="AM37" s="2371"/>
      <c r="AN37" s="2371"/>
      <c r="AO37" s="2371"/>
      <c r="AP37" s="2371"/>
      <c r="AQ37" s="2371"/>
      <c r="AR37" s="2374"/>
      <c r="AS37" s="2374"/>
      <c r="AT37" s="2377"/>
      <c r="AU37" s="73"/>
      <c r="AV37" s="73"/>
    </row>
    <row r="38" spans="1:48" s="74" customFormat="1" ht="36.75" customHeight="1" x14ac:dyDescent="0.25">
      <c r="A38" s="176"/>
      <c r="B38" s="177"/>
      <c r="C38" s="178"/>
      <c r="D38" s="177"/>
      <c r="E38" s="185"/>
      <c r="F38" s="75"/>
      <c r="G38" s="2220"/>
      <c r="H38" s="2368"/>
      <c r="I38" s="2220"/>
      <c r="J38" s="2368"/>
      <c r="K38" s="2220"/>
      <c r="L38" s="2257"/>
      <c r="M38" s="2220"/>
      <c r="N38" s="2257"/>
      <c r="O38" s="2152"/>
      <c r="P38" s="2257"/>
      <c r="Q38" s="2257"/>
      <c r="R38" s="2396"/>
      <c r="S38" s="2380"/>
      <c r="T38" s="2379"/>
      <c r="U38" s="2185"/>
      <c r="V38" s="2185"/>
      <c r="W38" s="181">
        <v>2200000</v>
      </c>
      <c r="X38" s="188" t="s">
        <v>164</v>
      </c>
      <c r="Y38" s="187">
        <v>56</v>
      </c>
      <c r="Z38" s="184" t="s">
        <v>137</v>
      </c>
      <c r="AA38" s="2394"/>
      <c r="AB38" s="2394"/>
      <c r="AC38" s="2394"/>
      <c r="AD38" s="2371"/>
      <c r="AE38" s="2371"/>
      <c r="AF38" s="2371"/>
      <c r="AG38" s="2371"/>
      <c r="AH38" s="2371"/>
      <c r="AI38" s="2371"/>
      <c r="AJ38" s="2371"/>
      <c r="AK38" s="2371"/>
      <c r="AL38" s="2371"/>
      <c r="AM38" s="2371"/>
      <c r="AN38" s="2371"/>
      <c r="AO38" s="2371"/>
      <c r="AP38" s="2371"/>
      <c r="AQ38" s="2371"/>
      <c r="AR38" s="2374"/>
      <c r="AS38" s="2374"/>
      <c r="AT38" s="2377"/>
      <c r="AU38" s="73"/>
      <c r="AV38" s="73"/>
    </row>
    <row r="39" spans="1:48" s="74" customFormat="1" ht="36.75" customHeight="1" x14ac:dyDescent="0.25">
      <c r="A39" s="176"/>
      <c r="B39" s="177"/>
      <c r="C39" s="178"/>
      <c r="D39" s="177"/>
      <c r="E39" s="185"/>
      <c r="F39" s="75"/>
      <c r="G39" s="2220"/>
      <c r="H39" s="2368"/>
      <c r="I39" s="2220"/>
      <c r="J39" s="2368"/>
      <c r="K39" s="2220"/>
      <c r="L39" s="2257"/>
      <c r="M39" s="2220"/>
      <c r="N39" s="2257"/>
      <c r="O39" s="2152"/>
      <c r="P39" s="2257"/>
      <c r="Q39" s="2257"/>
      <c r="R39" s="2396"/>
      <c r="S39" s="2380"/>
      <c r="T39" s="2379"/>
      <c r="U39" s="2185"/>
      <c r="V39" s="2185"/>
      <c r="W39" s="181">
        <v>5000000</v>
      </c>
      <c r="X39" s="188" t="s">
        <v>165</v>
      </c>
      <c r="Y39" s="187">
        <v>56</v>
      </c>
      <c r="Z39" s="184" t="s">
        <v>137</v>
      </c>
      <c r="AA39" s="2394"/>
      <c r="AB39" s="2394"/>
      <c r="AC39" s="2394"/>
      <c r="AD39" s="2371"/>
      <c r="AE39" s="2371"/>
      <c r="AF39" s="2371"/>
      <c r="AG39" s="2371"/>
      <c r="AH39" s="2371"/>
      <c r="AI39" s="2371"/>
      <c r="AJ39" s="2371"/>
      <c r="AK39" s="2371"/>
      <c r="AL39" s="2371"/>
      <c r="AM39" s="2371"/>
      <c r="AN39" s="2371"/>
      <c r="AO39" s="2371"/>
      <c r="AP39" s="2371"/>
      <c r="AQ39" s="2371"/>
      <c r="AR39" s="2374"/>
      <c r="AS39" s="2374"/>
      <c r="AT39" s="2377"/>
      <c r="AU39" s="73"/>
      <c r="AV39" s="73"/>
    </row>
    <row r="40" spans="1:48" s="74" customFormat="1" ht="36.75" customHeight="1" x14ac:dyDescent="0.25">
      <c r="A40" s="176"/>
      <c r="B40" s="177"/>
      <c r="C40" s="178"/>
      <c r="D40" s="177"/>
      <c r="E40" s="185"/>
      <c r="F40" s="75"/>
      <c r="G40" s="2220"/>
      <c r="H40" s="2368"/>
      <c r="I40" s="2220"/>
      <c r="J40" s="2368"/>
      <c r="K40" s="2220"/>
      <c r="L40" s="2257"/>
      <c r="M40" s="2220"/>
      <c r="N40" s="2257"/>
      <c r="O40" s="2152"/>
      <c r="P40" s="2257"/>
      <c r="Q40" s="2257"/>
      <c r="R40" s="2396"/>
      <c r="S40" s="2380"/>
      <c r="T40" s="2379"/>
      <c r="U40" s="2185"/>
      <c r="V40" s="2185"/>
      <c r="W40" s="181">
        <v>21000000</v>
      </c>
      <c r="X40" s="188" t="s">
        <v>166</v>
      </c>
      <c r="Y40" s="187">
        <v>56</v>
      </c>
      <c r="Z40" s="184" t="s">
        <v>137</v>
      </c>
      <c r="AA40" s="2394"/>
      <c r="AB40" s="2394"/>
      <c r="AC40" s="2394"/>
      <c r="AD40" s="2371"/>
      <c r="AE40" s="2371"/>
      <c r="AF40" s="2371"/>
      <c r="AG40" s="2371"/>
      <c r="AH40" s="2371"/>
      <c r="AI40" s="2371"/>
      <c r="AJ40" s="2371"/>
      <c r="AK40" s="2371"/>
      <c r="AL40" s="2371"/>
      <c r="AM40" s="2371"/>
      <c r="AN40" s="2371"/>
      <c r="AO40" s="2371"/>
      <c r="AP40" s="2371"/>
      <c r="AQ40" s="2371"/>
      <c r="AR40" s="2374"/>
      <c r="AS40" s="2374"/>
      <c r="AT40" s="2377"/>
      <c r="AU40" s="73"/>
      <c r="AV40" s="73"/>
    </row>
    <row r="41" spans="1:48" s="74" customFormat="1" ht="36.75" customHeight="1" x14ac:dyDescent="0.25">
      <c r="A41" s="176"/>
      <c r="B41" s="177"/>
      <c r="C41" s="178"/>
      <c r="D41" s="177"/>
      <c r="E41" s="185"/>
      <c r="F41" s="75"/>
      <c r="G41" s="2220"/>
      <c r="H41" s="2368"/>
      <c r="I41" s="2220"/>
      <c r="J41" s="2368"/>
      <c r="K41" s="2220"/>
      <c r="L41" s="2257"/>
      <c r="M41" s="2220"/>
      <c r="N41" s="2257"/>
      <c r="O41" s="2152"/>
      <c r="P41" s="2257"/>
      <c r="Q41" s="2257"/>
      <c r="R41" s="2396"/>
      <c r="S41" s="2380"/>
      <c r="T41" s="2379"/>
      <c r="U41" s="2184"/>
      <c r="V41" s="2184"/>
      <c r="W41" s="189">
        <v>1000000</v>
      </c>
      <c r="X41" s="190" t="s">
        <v>167</v>
      </c>
      <c r="Y41" s="187">
        <v>56</v>
      </c>
      <c r="Z41" s="184" t="s">
        <v>137</v>
      </c>
      <c r="AA41" s="2395"/>
      <c r="AB41" s="2395"/>
      <c r="AC41" s="2395"/>
      <c r="AD41" s="2372"/>
      <c r="AE41" s="2372"/>
      <c r="AF41" s="2372"/>
      <c r="AG41" s="2372"/>
      <c r="AH41" s="2372"/>
      <c r="AI41" s="2372"/>
      <c r="AJ41" s="2372"/>
      <c r="AK41" s="2372"/>
      <c r="AL41" s="2372"/>
      <c r="AM41" s="2372"/>
      <c r="AN41" s="2372"/>
      <c r="AO41" s="2372"/>
      <c r="AP41" s="2372"/>
      <c r="AQ41" s="2372"/>
      <c r="AR41" s="2375"/>
      <c r="AS41" s="2375"/>
      <c r="AT41" s="2378"/>
      <c r="AU41" s="73"/>
      <c r="AV41" s="73"/>
    </row>
    <row r="42" spans="1:48" s="74" customFormat="1" ht="62.25" customHeight="1" x14ac:dyDescent="0.25">
      <c r="A42" s="176"/>
      <c r="B42" s="177"/>
      <c r="C42" s="178"/>
      <c r="D42" s="177"/>
      <c r="E42" s="185"/>
      <c r="F42" s="191"/>
      <c r="G42" s="2382" t="s">
        <v>62</v>
      </c>
      <c r="H42" s="2385" t="s">
        <v>168</v>
      </c>
      <c r="I42" s="2382">
        <v>4599002</v>
      </c>
      <c r="J42" s="2388" t="s">
        <v>169</v>
      </c>
      <c r="K42" s="2363" t="s">
        <v>62</v>
      </c>
      <c r="L42" s="2390" t="s">
        <v>170</v>
      </c>
      <c r="M42" s="2363">
        <v>459900200</v>
      </c>
      <c r="N42" s="2366" t="s">
        <v>84</v>
      </c>
      <c r="O42" s="2152">
        <v>1</v>
      </c>
      <c r="P42" s="2220" t="s">
        <v>171</v>
      </c>
      <c r="Q42" s="2368" t="s">
        <v>172</v>
      </c>
      <c r="R42" s="2369">
        <f>+(W42+W43+W44+W45)/S42</f>
        <v>1</v>
      </c>
      <c r="S42" s="2380">
        <f>SUM(W42:W45)</f>
        <v>358000000</v>
      </c>
      <c r="T42" s="2379" t="s">
        <v>173</v>
      </c>
      <c r="U42" s="2155" t="s">
        <v>174</v>
      </c>
      <c r="V42" s="2379" t="s">
        <v>175</v>
      </c>
      <c r="W42" s="192">
        <v>270000000</v>
      </c>
      <c r="X42" s="193" t="s">
        <v>176</v>
      </c>
      <c r="Y42" s="187">
        <v>20</v>
      </c>
      <c r="Z42" s="194" t="s">
        <v>73</v>
      </c>
      <c r="AA42" s="2203">
        <v>295972</v>
      </c>
      <c r="AB42" s="2203">
        <v>285580</v>
      </c>
      <c r="AC42" s="2203">
        <v>135545</v>
      </c>
      <c r="AD42" s="2203">
        <v>44254</v>
      </c>
      <c r="AE42" s="2232">
        <v>309146</v>
      </c>
      <c r="AF42" s="2203">
        <v>92607</v>
      </c>
      <c r="AG42" s="2203">
        <v>2145</v>
      </c>
      <c r="AH42" s="2203">
        <v>12718</v>
      </c>
      <c r="AI42" s="2203">
        <v>12718</v>
      </c>
      <c r="AJ42" s="2203">
        <v>26</v>
      </c>
      <c r="AK42" s="2203">
        <v>37</v>
      </c>
      <c r="AL42" s="2203" t="s">
        <v>134</v>
      </c>
      <c r="AM42" s="2203" t="s">
        <v>134</v>
      </c>
      <c r="AN42" s="2203">
        <v>44350</v>
      </c>
      <c r="AO42" s="2203">
        <v>21944</v>
      </c>
      <c r="AP42" s="2203">
        <v>75687</v>
      </c>
      <c r="AQ42" s="2203">
        <v>581552</v>
      </c>
      <c r="AR42" s="2151">
        <v>44201</v>
      </c>
      <c r="AS42" s="2151">
        <v>44560</v>
      </c>
      <c r="AT42" s="2152" t="s">
        <v>177</v>
      </c>
      <c r="AU42" s="73"/>
      <c r="AV42" s="73"/>
    </row>
    <row r="43" spans="1:48" s="74" customFormat="1" ht="49.5" customHeight="1" x14ac:dyDescent="0.25">
      <c r="A43" s="176"/>
      <c r="B43" s="177"/>
      <c r="C43" s="178"/>
      <c r="D43" s="177"/>
      <c r="E43" s="185"/>
      <c r="F43" s="191"/>
      <c r="G43" s="2383"/>
      <c r="H43" s="2386"/>
      <c r="I43" s="2383"/>
      <c r="J43" s="2388"/>
      <c r="K43" s="2364"/>
      <c r="L43" s="2391"/>
      <c r="M43" s="2364"/>
      <c r="N43" s="2367"/>
      <c r="O43" s="2152"/>
      <c r="P43" s="2220"/>
      <c r="Q43" s="2368"/>
      <c r="R43" s="2369"/>
      <c r="S43" s="2381"/>
      <c r="T43" s="2155"/>
      <c r="U43" s="2155"/>
      <c r="V43" s="2155"/>
      <c r="W43" s="195">
        <v>5000000</v>
      </c>
      <c r="X43" s="196" t="s">
        <v>178</v>
      </c>
      <c r="Y43" s="183">
        <v>20</v>
      </c>
      <c r="Z43" s="194" t="s">
        <v>73</v>
      </c>
      <c r="AA43" s="2203"/>
      <c r="AB43" s="2203"/>
      <c r="AC43" s="2203"/>
      <c r="AD43" s="2203"/>
      <c r="AE43" s="2233"/>
      <c r="AF43" s="2203"/>
      <c r="AG43" s="2203"/>
      <c r="AH43" s="2203"/>
      <c r="AI43" s="2203"/>
      <c r="AJ43" s="2203"/>
      <c r="AK43" s="2203"/>
      <c r="AL43" s="2203"/>
      <c r="AM43" s="2203"/>
      <c r="AN43" s="2203"/>
      <c r="AO43" s="2203"/>
      <c r="AP43" s="2203"/>
      <c r="AQ43" s="2203"/>
      <c r="AR43" s="2151"/>
      <c r="AS43" s="2151"/>
      <c r="AT43" s="2152"/>
      <c r="AU43" s="73"/>
      <c r="AV43" s="73"/>
    </row>
    <row r="44" spans="1:48" s="74" customFormat="1" ht="49.5" customHeight="1" x14ac:dyDescent="0.25">
      <c r="A44" s="176"/>
      <c r="B44" s="177"/>
      <c r="C44" s="178"/>
      <c r="D44" s="177"/>
      <c r="E44" s="185"/>
      <c r="F44" s="191"/>
      <c r="G44" s="2384"/>
      <c r="H44" s="2387"/>
      <c r="I44" s="2384"/>
      <c r="J44" s="2388"/>
      <c r="K44" s="2365"/>
      <c r="L44" s="2392"/>
      <c r="M44" s="2365"/>
      <c r="N44" s="2367"/>
      <c r="O44" s="2152"/>
      <c r="P44" s="2220"/>
      <c r="Q44" s="2368"/>
      <c r="R44" s="2369"/>
      <c r="S44" s="2381"/>
      <c r="T44" s="2155"/>
      <c r="U44" s="2155"/>
      <c r="V44" s="2155"/>
      <c r="W44" s="197">
        <v>3000000</v>
      </c>
      <c r="X44" s="198" t="s">
        <v>179</v>
      </c>
      <c r="Y44" s="183">
        <v>20</v>
      </c>
      <c r="Z44" s="194" t="s">
        <v>73</v>
      </c>
      <c r="AA44" s="2203"/>
      <c r="AB44" s="2203"/>
      <c r="AC44" s="2203"/>
      <c r="AD44" s="2203"/>
      <c r="AE44" s="2233"/>
      <c r="AF44" s="2203"/>
      <c r="AG44" s="2203"/>
      <c r="AH44" s="2203"/>
      <c r="AI44" s="2203"/>
      <c r="AJ44" s="2203"/>
      <c r="AK44" s="2203"/>
      <c r="AL44" s="2203"/>
      <c r="AM44" s="2203"/>
      <c r="AN44" s="2203"/>
      <c r="AO44" s="2203"/>
      <c r="AP44" s="2203"/>
      <c r="AQ44" s="2203"/>
      <c r="AR44" s="2151"/>
      <c r="AS44" s="2151"/>
      <c r="AT44" s="2152"/>
      <c r="AU44" s="73"/>
      <c r="AV44" s="73"/>
    </row>
    <row r="45" spans="1:48" s="74" customFormat="1" ht="43.5" customHeight="1" x14ac:dyDescent="0.25">
      <c r="A45" s="176"/>
      <c r="B45" s="177"/>
      <c r="C45" s="178"/>
      <c r="D45" s="177"/>
      <c r="E45" s="185"/>
      <c r="F45" s="191"/>
      <c r="G45" s="2384"/>
      <c r="H45" s="2387"/>
      <c r="I45" s="2384"/>
      <c r="J45" s="2389"/>
      <c r="K45" s="2365"/>
      <c r="L45" s="2392"/>
      <c r="M45" s="2365"/>
      <c r="N45" s="2367"/>
      <c r="O45" s="2152"/>
      <c r="P45" s="2220"/>
      <c r="Q45" s="2368"/>
      <c r="R45" s="2369"/>
      <c r="S45" s="2381"/>
      <c r="T45" s="2155"/>
      <c r="U45" s="2155"/>
      <c r="V45" s="2155"/>
      <c r="W45" s="197">
        <v>80000000</v>
      </c>
      <c r="X45" s="78" t="s">
        <v>180</v>
      </c>
      <c r="Y45" s="187">
        <v>88</v>
      </c>
      <c r="Z45" s="199" t="s">
        <v>77</v>
      </c>
      <c r="AA45" s="2203"/>
      <c r="AB45" s="2203"/>
      <c r="AC45" s="2203"/>
      <c r="AD45" s="2203"/>
      <c r="AE45" s="2234"/>
      <c r="AF45" s="2203"/>
      <c r="AG45" s="2203"/>
      <c r="AH45" s="2203"/>
      <c r="AI45" s="2203"/>
      <c r="AJ45" s="2203"/>
      <c r="AK45" s="2203"/>
      <c r="AL45" s="2203"/>
      <c r="AM45" s="2203"/>
      <c r="AN45" s="2203"/>
      <c r="AO45" s="2203"/>
      <c r="AP45" s="2203"/>
      <c r="AQ45" s="2203"/>
      <c r="AR45" s="2151"/>
      <c r="AS45" s="2151"/>
      <c r="AT45" s="2152"/>
      <c r="AU45" s="73"/>
      <c r="AV45" s="73"/>
    </row>
    <row r="46" spans="1:48" s="74" customFormat="1" ht="15.75" x14ac:dyDescent="0.25">
      <c r="A46" s="200"/>
      <c r="B46" s="201"/>
      <c r="C46" s="201"/>
      <c r="D46" s="201"/>
      <c r="E46" s="202"/>
      <c r="F46" s="203"/>
      <c r="G46" s="204"/>
      <c r="H46" s="205"/>
      <c r="I46" s="204"/>
      <c r="J46" s="205"/>
      <c r="K46" s="204"/>
      <c r="L46" s="205"/>
      <c r="M46" s="204"/>
      <c r="N46" s="205"/>
      <c r="O46" s="110"/>
      <c r="P46" s="110"/>
      <c r="Q46" s="206"/>
      <c r="R46" s="112"/>
      <c r="S46" s="207">
        <f>SUM(S12:S45)</f>
        <v>2927625342.8400002</v>
      </c>
      <c r="T46" s="114"/>
      <c r="U46" s="208"/>
      <c r="V46" s="209" t="s">
        <v>118</v>
      </c>
      <c r="W46" s="210">
        <f>SUM(W12:W45)</f>
        <v>2927625342.8400002</v>
      </c>
      <c r="X46" s="211"/>
      <c r="Y46" s="116"/>
      <c r="Z46" s="114"/>
      <c r="AA46" s="110"/>
      <c r="AB46" s="110"/>
      <c r="AC46" s="110"/>
      <c r="AD46" s="110"/>
      <c r="AE46" s="110"/>
      <c r="AF46" s="110"/>
      <c r="AG46" s="110"/>
      <c r="AH46" s="110"/>
      <c r="AI46" s="110"/>
      <c r="AJ46" s="110"/>
      <c r="AK46" s="110"/>
      <c r="AL46" s="110"/>
      <c r="AM46" s="110"/>
      <c r="AN46" s="110"/>
      <c r="AO46" s="110"/>
      <c r="AP46" s="110"/>
      <c r="AQ46" s="110"/>
      <c r="AR46" s="117"/>
      <c r="AS46" s="117"/>
      <c r="AT46" s="110"/>
      <c r="AU46" s="73"/>
      <c r="AV46" s="73"/>
    </row>
    <row r="47" spans="1:48" ht="15" x14ac:dyDescent="0.25">
      <c r="U47" s="212"/>
      <c r="V47" s="213"/>
      <c r="W47" s="214"/>
      <c r="X47" s="118"/>
      <c r="Y47" s="4"/>
    </row>
    <row r="48" spans="1:48" ht="18.75" x14ac:dyDescent="0.3">
      <c r="S48" s="216">
        <v>2927625342.8400002</v>
      </c>
      <c r="T48" s="217"/>
      <c r="U48" s="218"/>
      <c r="V48" s="219"/>
      <c r="W48" s="216">
        <v>2927625342.8400002</v>
      </c>
      <c r="X48" s="118"/>
      <c r="Y48" s="4"/>
    </row>
    <row r="49" spans="5:48" ht="18" x14ac:dyDescent="0.25">
      <c r="S49" s="220"/>
      <c r="T49" s="217"/>
      <c r="U49" s="218"/>
      <c r="V49" s="219"/>
      <c r="W49" s="221"/>
    </row>
    <row r="50" spans="5:48" ht="15.75" x14ac:dyDescent="0.25">
      <c r="E50" s="222"/>
      <c r="F50" s="222"/>
      <c r="G50" s="222"/>
      <c r="H50" s="223"/>
      <c r="I50" s="222"/>
      <c r="J50" s="223"/>
      <c r="K50" s="222"/>
      <c r="P50" s="2154"/>
      <c r="Q50" s="2154"/>
      <c r="R50" s="2154"/>
      <c r="S50" s="2154"/>
      <c r="T50" s="2154"/>
      <c r="U50" s="126"/>
      <c r="V50" s="224"/>
      <c r="W50" s="33"/>
    </row>
    <row r="51" spans="5:48" ht="15.75" x14ac:dyDescent="0.25">
      <c r="E51" s="2154" t="s">
        <v>181</v>
      </c>
      <c r="F51" s="2154"/>
      <c r="G51" s="2154"/>
      <c r="H51" s="2154"/>
      <c r="I51" s="2154"/>
      <c r="J51" s="2154"/>
      <c r="K51" s="2154"/>
      <c r="P51" s="2154"/>
      <c r="Q51" s="2154"/>
      <c r="R51" s="2154"/>
      <c r="S51" s="2154"/>
      <c r="T51" s="2154"/>
      <c r="V51" s="4"/>
      <c r="W51" s="4"/>
    </row>
    <row r="52" spans="5:48" ht="15.75" x14ac:dyDescent="0.25">
      <c r="E52" s="2154" t="s">
        <v>182</v>
      </c>
      <c r="F52" s="2154"/>
      <c r="G52" s="2154"/>
      <c r="H52" s="2154"/>
      <c r="I52" s="2154"/>
      <c r="J52" s="2154"/>
      <c r="K52" s="2154"/>
      <c r="V52" s="4"/>
      <c r="W52" s="4"/>
    </row>
    <row r="53" spans="5:48" ht="15" x14ac:dyDescent="0.25">
      <c r="E53" s="3"/>
      <c r="F53" s="3"/>
      <c r="G53" s="3"/>
      <c r="H53" s="225"/>
      <c r="I53" s="121"/>
      <c r="J53" s="225"/>
      <c r="K53" s="128"/>
      <c r="V53" s="4"/>
      <c r="W53" s="4"/>
      <c r="Y53" s="3"/>
      <c r="Z53" s="119"/>
      <c r="AA53" s="128"/>
      <c r="AB53" s="215"/>
      <c r="AC53" s="3"/>
      <c r="AS53" s="4"/>
      <c r="AT53" s="4"/>
      <c r="AU53" s="133"/>
      <c r="AV53" s="134"/>
    </row>
    <row r="54" spans="5:48" ht="25.5" customHeight="1" x14ac:dyDescent="0.25">
      <c r="V54" s="4"/>
      <c r="W54" s="4"/>
      <c r="Y54" s="3"/>
      <c r="Z54" s="119"/>
      <c r="AA54" s="128"/>
      <c r="AB54" s="215"/>
      <c r="AC54" s="3"/>
      <c r="AS54" s="4"/>
      <c r="AT54" s="4"/>
      <c r="AU54" s="133"/>
      <c r="AV54" s="134"/>
    </row>
    <row r="55" spans="5:48" ht="25.5" customHeight="1" x14ac:dyDescent="0.25">
      <c r="V55" s="4"/>
      <c r="W55" s="4"/>
      <c r="Y55" s="3"/>
      <c r="Z55" s="119"/>
      <c r="AA55" s="128"/>
      <c r="AB55" s="215"/>
      <c r="AC55" s="3"/>
      <c r="AS55" s="4"/>
      <c r="AT55" s="4"/>
      <c r="AU55" s="133"/>
      <c r="AV55" s="134"/>
    </row>
  </sheetData>
  <sheetProtection algorithmName="SHA-512" hashValue="FCln73jmXDad31i9CAgUvxRmmvsqtLUa9R8x0hmh3hacHCKWOwoxXm7iq/2iKMWUsZjUKFmwuloYmQ9pAG2VsA==" saltValue="QbLm61T0HIhJ0SdAcS19Mw==" spinCount="100000" sheet="1" objects="1" scenarios="1"/>
  <mergeCells count="99">
    <mergeCell ref="A1:AR4"/>
    <mergeCell ref="A5:O6"/>
    <mergeCell ref="P5:AT5"/>
    <mergeCell ref="AA6:AP6"/>
    <mergeCell ref="A7:B7"/>
    <mergeCell ref="C7:D7"/>
    <mergeCell ref="E7:F7"/>
    <mergeCell ref="G7:J7"/>
    <mergeCell ref="K7:N7"/>
    <mergeCell ref="O7:W7"/>
    <mergeCell ref="AR7:AR8"/>
    <mergeCell ref="AS7:AS8"/>
    <mergeCell ref="AT7:AT8"/>
    <mergeCell ref="AN7:AP7"/>
    <mergeCell ref="AQ7:AQ8"/>
    <mergeCell ref="D10:J10"/>
    <mergeCell ref="X7:Z7"/>
    <mergeCell ref="AA7:AB7"/>
    <mergeCell ref="AC7:AF7"/>
    <mergeCell ref="AG7:AM7"/>
    <mergeCell ref="AH8:AI8"/>
    <mergeCell ref="B9:I9"/>
    <mergeCell ref="F11:N11"/>
    <mergeCell ref="G12:G41"/>
    <mergeCell ref="H12:H41"/>
    <mergeCell ref="I12:I41"/>
    <mergeCell ref="J12:J41"/>
    <mergeCell ref="K12:K41"/>
    <mergeCell ref="L12:L41"/>
    <mergeCell ref="M12:M41"/>
    <mergeCell ref="N12:N41"/>
    <mergeCell ref="O12:O41"/>
    <mergeCell ref="P12:P41"/>
    <mergeCell ref="Q12:Q41"/>
    <mergeCell ref="R12:R41"/>
    <mergeCell ref="S12:S41"/>
    <mergeCell ref="L42:L45"/>
    <mergeCell ref="AK12:AK41"/>
    <mergeCell ref="AL12:AL41"/>
    <mergeCell ref="AM12:AM41"/>
    <mergeCell ref="AN12:AN41"/>
    <mergeCell ref="AE12:AE41"/>
    <mergeCell ref="AF12:AF41"/>
    <mergeCell ref="AG12:AG41"/>
    <mergeCell ref="AH12:AH41"/>
    <mergeCell ref="AI12:AI41"/>
    <mergeCell ref="AJ12:AJ41"/>
    <mergeCell ref="U12:U41"/>
    <mergeCell ref="V12:V41"/>
    <mergeCell ref="AA12:AA41"/>
    <mergeCell ref="AB12:AB41"/>
    <mergeCell ref="AC12:AC41"/>
    <mergeCell ref="G42:G45"/>
    <mergeCell ref="H42:H45"/>
    <mergeCell ref="I42:I45"/>
    <mergeCell ref="J42:J45"/>
    <mergeCell ref="K42:K45"/>
    <mergeCell ref="R42:R45"/>
    <mergeCell ref="AQ12:AQ41"/>
    <mergeCell ref="AR12:AR41"/>
    <mergeCell ref="AS12:AS41"/>
    <mergeCell ref="AT12:AT41"/>
    <mergeCell ref="AO12:AO41"/>
    <mergeCell ref="AP12:AP41"/>
    <mergeCell ref="AD12:AD41"/>
    <mergeCell ref="T12:T41"/>
    <mergeCell ref="AH42:AH45"/>
    <mergeCell ref="S42:S45"/>
    <mergeCell ref="T42:T45"/>
    <mergeCell ref="U42:U45"/>
    <mergeCell ref="V42:V45"/>
    <mergeCell ref="AA42:AA45"/>
    <mergeCell ref="AB42:AB45"/>
    <mergeCell ref="M42:M45"/>
    <mergeCell ref="N42:N45"/>
    <mergeCell ref="O42:O45"/>
    <mergeCell ref="P42:P45"/>
    <mergeCell ref="Q42:Q45"/>
    <mergeCell ref="AP42:AP45"/>
    <mergeCell ref="AQ42:AQ45"/>
    <mergeCell ref="AR42:AR45"/>
    <mergeCell ref="AS42:AS45"/>
    <mergeCell ref="AT42:AT45"/>
    <mergeCell ref="P50:T50"/>
    <mergeCell ref="E51:K51"/>
    <mergeCell ref="P51:T51"/>
    <mergeCell ref="E52:K52"/>
    <mergeCell ref="AO42:AO45"/>
    <mergeCell ref="AI42:AI45"/>
    <mergeCell ref="AJ42:AJ45"/>
    <mergeCell ref="AK42:AK45"/>
    <mergeCell ref="AL42:AL45"/>
    <mergeCell ref="AM42:AM45"/>
    <mergeCell ref="AN42:AN45"/>
    <mergeCell ref="AC42:AC45"/>
    <mergeCell ref="AD42:AD45"/>
    <mergeCell ref="AE42:AE45"/>
    <mergeCell ref="AF42:AF45"/>
    <mergeCell ref="AG42:AG45"/>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M179"/>
  <sheetViews>
    <sheetView showGridLines="0" topLeftCell="C1" zoomScale="70" zoomScaleNormal="70" workbookViewId="0">
      <selection activeCell="N12" sqref="N12:N14"/>
    </sheetView>
  </sheetViews>
  <sheetFormatPr baseColWidth="10" defaultColWidth="9.140625" defaultRowHeight="27" customHeight="1" x14ac:dyDescent="0.25"/>
  <cols>
    <col min="1" max="1" width="15.7109375" style="132" customWidth="1"/>
    <col min="2" max="2" width="14.7109375" style="4" customWidth="1"/>
    <col min="3" max="3" width="15.140625" style="4" customWidth="1"/>
    <col min="4" max="4" width="14.5703125" style="4" customWidth="1"/>
    <col min="5" max="5" width="20.85546875" style="4" customWidth="1"/>
    <col min="6" max="6" width="16.5703125" style="4" customWidth="1"/>
    <col min="7" max="7" width="20.85546875" style="4" customWidth="1"/>
    <col min="8" max="8" width="22" style="119" customWidth="1"/>
    <col min="9" max="9" width="25.85546875" style="3" customWidth="1"/>
    <col min="10" max="10" width="22" style="119" customWidth="1"/>
    <col min="11" max="11" width="18.140625" style="3" customWidth="1"/>
    <col min="12" max="12" width="21.42578125" style="119" customWidth="1"/>
    <col min="13" max="13" width="25.5703125" style="3" customWidth="1"/>
    <col min="14" max="14" width="24.85546875" style="119" customWidth="1"/>
    <col min="15" max="15" width="17" style="3" customWidth="1"/>
    <col min="16" max="16" width="19.28515625" style="3" customWidth="1"/>
    <col min="17" max="17" width="26.140625" style="119" customWidth="1"/>
    <col min="18" max="18" width="20.5703125" style="121" customWidth="1"/>
    <col min="19" max="19" width="31.28515625" style="128" customWidth="1"/>
    <col min="20" max="20" width="23.140625" style="119" customWidth="1"/>
    <col min="21" max="21" width="22.85546875" style="119" customWidth="1"/>
    <col min="22" max="22" width="40.28515625" style="119" customWidth="1"/>
    <col min="23" max="23" width="35.42578125" style="128" customWidth="1"/>
    <col min="24" max="24" width="54.7109375" style="128" bestFit="1" customWidth="1"/>
    <col min="25" max="25" width="26.28515625" style="124" customWidth="1"/>
    <col min="26" max="26" width="29" style="119" bestFit="1" customWidth="1"/>
    <col min="27" max="43" width="10.28515625" style="4" customWidth="1"/>
    <col min="44" max="44" width="17.42578125" style="133" customWidth="1"/>
    <col min="45" max="45" width="18.5703125" style="134" customWidth="1"/>
    <col min="46" max="46" width="25.85546875" style="118" customWidth="1"/>
    <col min="47" max="16384" width="9.140625" style="4"/>
  </cols>
  <sheetData>
    <row r="1" spans="1:66" ht="19.5" customHeight="1" x14ac:dyDescent="0.25">
      <c r="A1" s="2235" t="s">
        <v>388</v>
      </c>
      <c r="B1" s="2236"/>
      <c r="C1" s="2236"/>
      <c r="D1" s="2236"/>
      <c r="E1" s="2236"/>
      <c r="F1" s="2236"/>
      <c r="G1" s="2236"/>
      <c r="H1" s="2236"/>
      <c r="I1" s="2236"/>
      <c r="J1" s="2236"/>
      <c r="K1" s="2236"/>
      <c r="L1" s="2236"/>
      <c r="M1" s="2236"/>
      <c r="N1" s="2236"/>
      <c r="O1" s="2236"/>
      <c r="P1" s="2236"/>
      <c r="Q1" s="2236"/>
      <c r="R1" s="2236"/>
      <c r="S1" s="2236"/>
      <c r="T1" s="2236"/>
      <c r="U1" s="2236"/>
      <c r="V1" s="2236"/>
      <c r="W1" s="2236"/>
      <c r="X1" s="2236"/>
      <c r="Y1" s="2236"/>
      <c r="Z1" s="2236"/>
      <c r="AA1" s="2236"/>
      <c r="AB1" s="2236"/>
      <c r="AC1" s="2236"/>
      <c r="AD1" s="2236"/>
      <c r="AE1" s="2236"/>
      <c r="AF1" s="2236"/>
      <c r="AG1" s="2236"/>
      <c r="AH1" s="2236"/>
      <c r="AI1" s="2236"/>
      <c r="AJ1" s="2236"/>
      <c r="AK1" s="2236"/>
      <c r="AL1" s="2236"/>
      <c r="AM1" s="2236"/>
      <c r="AN1" s="2236"/>
      <c r="AO1" s="2236"/>
      <c r="AP1" s="2236"/>
      <c r="AQ1" s="2236"/>
      <c r="AR1" s="2236"/>
      <c r="AS1" s="1" t="s">
        <v>1</v>
      </c>
      <c r="AT1" s="450" t="s">
        <v>2</v>
      </c>
      <c r="AU1" s="3"/>
      <c r="AV1" s="3"/>
      <c r="AW1" s="3"/>
      <c r="AX1" s="3"/>
      <c r="AY1" s="3"/>
      <c r="AZ1" s="3"/>
      <c r="BA1" s="3"/>
      <c r="BB1" s="3"/>
      <c r="BC1" s="3"/>
      <c r="BD1" s="3"/>
      <c r="BE1" s="3"/>
      <c r="BF1" s="3"/>
      <c r="BG1" s="3"/>
      <c r="BH1" s="3"/>
      <c r="BI1" s="3"/>
      <c r="BJ1" s="3"/>
      <c r="BK1" s="3"/>
      <c r="BL1" s="3"/>
      <c r="BM1" s="3"/>
      <c r="BN1" s="3"/>
    </row>
    <row r="2" spans="1:66" ht="19.5" customHeight="1" x14ac:dyDescent="0.2">
      <c r="A2" s="2236"/>
      <c r="B2" s="2236"/>
      <c r="C2" s="2236"/>
      <c r="D2" s="2236"/>
      <c r="E2" s="2236"/>
      <c r="F2" s="2236"/>
      <c r="G2" s="2236"/>
      <c r="H2" s="2236"/>
      <c r="I2" s="2236"/>
      <c r="J2" s="2236"/>
      <c r="K2" s="2236"/>
      <c r="L2" s="2236"/>
      <c r="M2" s="2236"/>
      <c r="N2" s="2236"/>
      <c r="O2" s="2236"/>
      <c r="P2" s="2236"/>
      <c r="Q2" s="2236"/>
      <c r="R2" s="2236"/>
      <c r="S2" s="2236"/>
      <c r="T2" s="2236"/>
      <c r="U2" s="2236"/>
      <c r="V2" s="2236"/>
      <c r="W2" s="2236"/>
      <c r="X2" s="2236"/>
      <c r="Y2" s="2236"/>
      <c r="Z2" s="2236"/>
      <c r="AA2" s="2236"/>
      <c r="AB2" s="2236"/>
      <c r="AC2" s="2236"/>
      <c r="AD2" s="2236"/>
      <c r="AE2" s="2236"/>
      <c r="AF2" s="2236"/>
      <c r="AG2" s="2236"/>
      <c r="AH2" s="2236"/>
      <c r="AI2" s="2236"/>
      <c r="AJ2" s="2236"/>
      <c r="AK2" s="2236"/>
      <c r="AL2" s="2236"/>
      <c r="AM2" s="2236"/>
      <c r="AN2" s="2236"/>
      <c r="AO2" s="2236"/>
      <c r="AP2" s="2236"/>
      <c r="AQ2" s="2236"/>
      <c r="AR2" s="2236"/>
      <c r="AS2" s="1" t="s">
        <v>3</v>
      </c>
      <c r="AT2" s="451">
        <v>9</v>
      </c>
      <c r="AU2" s="3"/>
      <c r="AV2" s="3"/>
      <c r="AW2" s="3"/>
      <c r="AX2" s="3"/>
      <c r="AY2" s="3"/>
      <c r="AZ2" s="3"/>
      <c r="BA2" s="3"/>
      <c r="BB2" s="3"/>
      <c r="BC2" s="3"/>
      <c r="BD2" s="3"/>
      <c r="BE2" s="3"/>
      <c r="BF2" s="3"/>
      <c r="BG2" s="3"/>
      <c r="BH2" s="3"/>
      <c r="BI2" s="3"/>
      <c r="BJ2" s="3"/>
      <c r="BK2" s="3"/>
      <c r="BL2" s="3"/>
      <c r="BM2" s="3"/>
      <c r="BN2" s="3"/>
    </row>
    <row r="3" spans="1:66" ht="19.5" customHeight="1" x14ac:dyDescent="0.2">
      <c r="A3" s="2236"/>
      <c r="B3" s="2236"/>
      <c r="C3" s="2236"/>
      <c r="D3" s="2236"/>
      <c r="E3" s="2236"/>
      <c r="F3" s="2236"/>
      <c r="G3" s="2236"/>
      <c r="H3" s="2236"/>
      <c r="I3" s="2236"/>
      <c r="J3" s="2236"/>
      <c r="K3" s="2236"/>
      <c r="L3" s="2236"/>
      <c r="M3" s="2236"/>
      <c r="N3" s="2236"/>
      <c r="O3" s="2236"/>
      <c r="P3" s="2236"/>
      <c r="Q3" s="2236"/>
      <c r="R3" s="2236"/>
      <c r="S3" s="2236"/>
      <c r="T3" s="2236"/>
      <c r="U3" s="2236"/>
      <c r="V3" s="2236"/>
      <c r="W3" s="2236"/>
      <c r="X3" s="2236"/>
      <c r="Y3" s="2236"/>
      <c r="Z3" s="2236"/>
      <c r="AA3" s="2236"/>
      <c r="AB3" s="2236"/>
      <c r="AC3" s="2236"/>
      <c r="AD3" s="2236"/>
      <c r="AE3" s="2236"/>
      <c r="AF3" s="2236"/>
      <c r="AG3" s="2236"/>
      <c r="AH3" s="2236"/>
      <c r="AI3" s="2236"/>
      <c r="AJ3" s="2236"/>
      <c r="AK3" s="2236"/>
      <c r="AL3" s="2236"/>
      <c r="AM3" s="2236"/>
      <c r="AN3" s="2236"/>
      <c r="AO3" s="2236"/>
      <c r="AP3" s="2236"/>
      <c r="AQ3" s="2236"/>
      <c r="AR3" s="2236"/>
      <c r="AS3" s="1" t="s">
        <v>4</v>
      </c>
      <c r="AT3" s="452">
        <v>44266</v>
      </c>
      <c r="AU3" s="3"/>
      <c r="AV3" s="3"/>
      <c r="AW3" s="3"/>
      <c r="AX3" s="3"/>
      <c r="AY3" s="3"/>
      <c r="AZ3" s="3"/>
      <c r="BA3" s="3"/>
      <c r="BB3" s="3"/>
      <c r="BC3" s="3"/>
      <c r="BD3" s="3"/>
      <c r="BE3" s="3"/>
      <c r="BF3" s="3"/>
      <c r="BG3" s="3"/>
      <c r="BH3" s="3"/>
      <c r="BI3" s="3"/>
      <c r="BJ3" s="3"/>
      <c r="BK3" s="3"/>
      <c r="BL3" s="3"/>
      <c r="BM3" s="3"/>
      <c r="BN3" s="3"/>
    </row>
    <row r="4" spans="1:66" ht="19.5" customHeight="1" x14ac:dyDescent="0.25">
      <c r="A4" s="2236"/>
      <c r="B4" s="2236"/>
      <c r="C4" s="2236"/>
      <c r="D4" s="2236"/>
      <c r="E4" s="2236"/>
      <c r="F4" s="2236"/>
      <c r="G4" s="2236"/>
      <c r="H4" s="2236"/>
      <c r="I4" s="2236"/>
      <c r="J4" s="2236"/>
      <c r="K4" s="2236"/>
      <c r="L4" s="2236"/>
      <c r="M4" s="2236"/>
      <c r="N4" s="2236"/>
      <c r="O4" s="2236"/>
      <c r="P4" s="2236"/>
      <c r="Q4" s="2236"/>
      <c r="R4" s="2236"/>
      <c r="S4" s="2236"/>
      <c r="T4" s="2236"/>
      <c r="U4" s="2236"/>
      <c r="V4" s="2236"/>
      <c r="W4" s="2236"/>
      <c r="X4" s="2236"/>
      <c r="Y4" s="2236"/>
      <c r="Z4" s="2236"/>
      <c r="AA4" s="2236"/>
      <c r="AB4" s="2236"/>
      <c r="AC4" s="2236"/>
      <c r="AD4" s="2236"/>
      <c r="AE4" s="2236"/>
      <c r="AF4" s="2236"/>
      <c r="AG4" s="2236"/>
      <c r="AH4" s="2236"/>
      <c r="AI4" s="2236"/>
      <c r="AJ4" s="2236"/>
      <c r="AK4" s="2236"/>
      <c r="AL4" s="2236"/>
      <c r="AM4" s="2236"/>
      <c r="AN4" s="2236"/>
      <c r="AO4" s="2236"/>
      <c r="AP4" s="2236"/>
      <c r="AQ4" s="2236"/>
      <c r="AR4" s="2236"/>
      <c r="AS4" s="1" t="s">
        <v>5</v>
      </c>
      <c r="AT4" s="453" t="s">
        <v>6</v>
      </c>
      <c r="AU4" s="3"/>
      <c r="AV4" s="3"/>
      <c r="AW4" s="3"/>
      <c r="AX4" s="3"/>
      <c r="AY4" s="3"/>
      <c r="AZ4" s="3"/>
      <c r="BA4" s="3"/>
      <c r="BB4" s="3"/>
      <c r="BC4" s="3"/>
      <c r="BD4" s="3"/>
      <c r="BE4" s="3"/>
      <c r="BF4" s="3"/>
      <c r="BG4" s="3"/>
      <c r="BH4" s="3"/>
      <c r="BI4" s="3"/>
      <c r="BJ4" s="3"/>
      <c r="BK4" s="3"/>
      <c r="BL4" s="3"/>
      <c r="BM4" s="3"/>
      <c r="BN4" s="3"/>
    </row>
    <row r="5" spans="1:66" ht="18.75" customHeight="1" x14ac:dyDescent="0.25">
      <c r="A5" s="2240" t="s">
        <v>389</v>
      </c>
      <c r="B5" s="2241"/>
      <c r="C5" s="2241"/>
      <c r="D5" s="2241"/>
      <c r="E5" s="2241"/>
      <c r="F5" s="2241"/>
      <c r="G5" s="2241"/>
      <c r="H5" s="2241"/>
      <c r="I5" s="2241"/>
      <c r="J5" s="2241"/>
      <c r="K5" s="2241"/>
      <c r="L5" s="2241"/>
      <c r="M5" s="2241"/>
      <c r="N5" s="2241"/>
      <c r="O5" s="2242"/>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2245"/>
      <c r="AU5" s="3"/>
      <c r="AV5" s="3"/>
      <c r="AW5" s="3"/>
      <c r="AX5" s="3"/>
      <c r="AY5" s="3"/>
      <c r="AZ5" s="3"/>
      <c r="BA5" s="3"/>
      <c r="BB5" s="3"/>
      <c r="BC5" s="3"/>
      <c r="BD5" s="3"/>
      <c r="BE5" s="3"/>
      <c r="BF5" s="3"/>
      <c r="BG5" s="3"/>
      <c r="BH5" s="3"/>
      <c r="BI5" s="3"/>
      <c r="BJ5" s="3"/>
      <c r="BK5" s="3"/>
      <c r="BL5" s="3"/>
      <c r="BM5" s="3"/>
      <c r="BN5" s="3"/>
    </row>
    <row r="6" spans="1:66" ht="18.75" customHeight="1" x14ac:dyDescent="0.25">
      <c r="A6" s="2580"/>
      <c r="B6" s="2581"/>
      <c r="C6" s="2581"/>
      <c r="D6" s="2581"/>
      <c r="E6" s="2581"/>
      <c r="F6" s="2581"/>
      <c r="G6" s="2581"/>
      <c r="H6" s="2581"/>
      <c r="I6" s="2581"/>
      <c r="J6" s="2581"/>
      <c r="K6" s="2581"/>
      <c r="L6" s="2581"/>
      <c r="M6" s="2581"/>
      <c r="N6" s="2581"/>
      <c r="O6" s="2244"/>
      <c r="P6" s="371"/>
      <c r="Q6" s="13"/>
      <c r="R6" s="371"/>
      <c r="S6" s="371"/>
      <c r="T6" s="13"/>
      <c r="U6" s="13"/>
      <c r="V6" s="13"/>
      <c r="W6" s="371"/>
      <c r="X6" s="371"/>
      <c r="Y6" s="371"/>
      <c r="Z6" s="13"/>
      <c r="AA6" s="2243" t="s">
        <v>8</v>
      </c>
      <c r="AB6" s="2243"/>
      <c r="AC6" s="2243"/>
      <c r="AD6" s="2243"/>
      <c r="AE6" s="2243"/>
      <c r="AF6" s="2243"/>
      <c r="AG6" s="2243"/>
      <c r="AH6" s="2243"/>
      <c r="AI6" s="2243"/>
      <c r="AJ6" s="2243"/>
      <c r="AK6" s="2243"/>
      <c r="AL6" s="2243"/>
      <c r="AM6" s="2243"/>
      <c r="AN6" s="2243"/>
      <c r="AO6" s="2243"/>
      <c r="AP6" s="2243"/>
      <c r="AQ6" s="372"/>
      <c r="AR6" s="372"/>
      <c r="AS6" s="372"/>
      <c r="AT6" s="454"/>
      <c r="AU6" s="3"/>
      <c r="AV6" s="3"/>
      <c r="AW6" s="3"/>
      <c r="AX6" s="3"/>
      <c r="AY6" s="3"/>
      <c r="AZ6" s="3"/>
      <c r="BA6" s="3"/>
      <c r="BB6" s="3"/>
      <c r="BC6" s="3"/>
      <c r="BD6" s="3"/>
      <c r="BE6" s="3"/>
      <c r="BF6" s="3"/>
      <c r="BG6" s="3"/>
      <c r="BH6" s="3"/>
      <c r="BI6" s="3"/>
      <c r="BJ6" s="3"/>
      <c r="BK6" s="3"/>
      <c r="BL6" s="3"/>
      <c r="BM6" s="3"/>
      <c r="BN6" s="3"/>
    </row>
    <row r="7" spans="1:66" ht="36.75" customHeight="1" x14ac:dyDescent="0.25">
      <c r="A7" s="2212" t="s">
        <v>9</v>
      </c>
      <c r="B7" s="2212"/>
      <c r="C7" s="2212" t="s">
        <v>10</v>
      </c>
      <c r="D7" s="2212"/>
      <c r="E7" s="2212" t="s">
        <v>11</v>
      </c>
      <c r="F7" s="2212"/>
      <c r="G7" s="2212" t="s">
        <v>12</v>
      </c>
      <c r="H7" s="2212"/>
      <c r="I7" s="2212"/>
      <c r="J7" s="2212"/>
      <c r="K7" s="2212" t="s">
        <v>13</v>
      </c>
      <c r="L7" s="2212"/>
      <c r="M7" s="2212"/>
      <c r="N7" s="2212"/>
      <c r="O7" s="2403" t="s">
        <v>14</v>
      </c>
      <c r="P7" s="2403"/>
      <c r="Q7" s="2403"/>
      <c r="R7" s="2403"/>
      <c r="S7" s="2403"/>
      <c r="T7" s="2403"/>
      <c r="U7" s="2403"/>
      <c r="V7" s="2403"/>
      <c r="W7" s="2403"/>
      <c r="X7" s="2351" t="s">
        <v>15</v>
      </c>
      <c r="Y7" s="2212"/>
      <c r="Z7" s="2212"/>
      <c r="AA7" s="2213" t="s">
        <v>16</v>
      </c>
      <c r="AB7" s="2214"/>
      <c r="AC7" s="2215" t="s">
        <v>17</v>
      </c>
      <c r="AD7" s="2216"/>
      <c r="AE7" s="2216"/>
      <c r="AF7" s="2216"/>
      <c r="AG7" s="2359" t="s">
        <v>18</v>
      </c>
      <c r="AH7" s="2360"/>
      <c r="AI7" s="2360"/>
      <c r="AJ7" s="2360"/>
      <c r="AK7" s="2360"/>
      <c r="AL7" s="2360"/>
      <c r="AM7" s="2215" t="s">
        <v>19</v>
      </c>
      <c r="AN7" s="2216"/>
      <c r="AO7" s="2216"/>
      <c r="AP7" s="2216"/>
      <c r="AQ7" s="2565" t="s">
        <v>20</v>
      </c>
      <c r="AR7" s="2565" t="s">
        <v>21</v>
      </c>
      <c r="AS7" s="2565" t="s">
        <v>22</v>
      </c>
      <c r="AT7" s="2357" t="s">
        <v>23</v>
      </c>
      <c r="AU7" s="3"/>
      <c r="AV7" s="3"/>
      <c r="AW7" s="3"/>
      <c r="AX7" s="3"/>
      <c r="AY7" s="3"/>
      <c r="AZ7" s="3"/>
      <c r="BA7" s="3"/>
      <c r="BB7" s="3"/>
      <c r="BC7" s="3"/>
      <c r="BD7" s="3"/>
      <c r="BE7" s="3"/>
      <c r="BF7" s="3"/>
      <c r="BG7" s="3"/>
      <c r="BH7" s="3"/>
      <c r="BI7" s="3"/>
      <c r="BJ7" s="3"/>
      <c r="BK7" s="3"/>
      <c r="BL7" s="3"/>
      <c r="BM7" s="3"/>
      <c r="BN7" s="3"/>
    </row>
    <row r="8" spans="1:66" ht="108" customHeight="1" x14ac:dyDescent="0.25">
      <c r="A8" s="380" t="s">
        <v>24</v>
      </c>
      <c r="B8" s="380" t="s">
        <v>25</v>
      </c>
      <c r="C8" s="380" t="s">
        <v>24</v>
      </c>
      <c r="D8" s="380" t="s">
        <v>25</v>
      </c>
      <c r="E8" s="380" t="s">
        <v>24</v>
      </c>
      <c r="F8" s="380" t="s">
        <v>25</v>
      </c>
      <c r="G8" s="380" t="s">
        <v>26</v>
      </c>
      <c r="H8" s="380" t="s">
        <v>27</v>
      </c>
      <c r="I8" s="380" t="s">
        <v>28</v>
      </c>
      <c r="J8" s="380" t="s">
        <v>122</v>
      </c>
      <c r="K8" s="380" t="s">
        <v>26</v>
      </c>
      <c r="L8" s="380" t="s">
        <v>30</v>
      </c>
      <c r="M8" s="380" t="s">
        <v>31</v>
      </c>
      <c r="N8" s="380" t="s">
        <v>32</v>
      </c>
      <c r="O8" s="16" t="s">
        <v>33</v>
      </c>
      <c r="P8" s="380" t="s">
        <v>34</v>
      </c>
      <c r="Q8" s="139" t="s">
        <v>35</v>
      </c>
      <c r="R8" s="380" t="s">
        <v>36</v>
      </c>
      <c r="S8" s="380" t="s">
        <v>37</v>
      </c>
      <c r="T8" s="139" t="s">
        <v>38</v>
      </c>
      <c r="U8" s="139" t="s">
        <v>39</v>
      </c>
      <c r="V8" s="139" t="s">
        <v>40</v>
      </c>
      <c r="W8" s="17" t="s">
        <v>123</v>
      </c>
      <c r="X8" s="455" t="s">
        <v>42</v>
      </c>
      <c r="Y8" s="380" t="s">
        <v>43</v>
      </c>
      <c r="Z8" s="139" t="s">
        <v>25</v>
      </c>
      <c r="AA8" s="19" t="s">
        <v>44</v>
      </c>
      <c r="AB8" s="20" t="s">
        <v>45</v>
      </c>
      <c r="AC8" s="20" t="s">
        <v>46</v>
      </c>
      <c r="AD8" s="20" t="s">
        <v>47</v>
      </c>
      <c r="AE8" s="20" t="s">
        <v>188</v>
      </c>
      <c r="AF8" s="20" t="s">
        <v>49</v>
      </c>
      <c r="AG8" s="370" t="s">
        <v>50</v>
      </c>
      <c r="AH8" s="370" t="s">
        <v>51</v>
      </c>
      <c r="AI8" s="370" t="s">
        <v>52</v>
      </c>
      <c r="AJ8" s="370" t="s">
        <v>53</v>
      </c>
      <c r="AK8" s="370" t="s">
        <v>54</v>
      </c>
      <c r="AL8" s="370" t="s">
        <v>55</v>
      </c>
      <c r="AM8" s="370" t="s">
        <v>56</v>
      </c>
      <c r="AN8" s="2252" t="s">
        <v>57</v>
      </c>
      <c r="AO8" s="2252"/>
      <c r="AP8" s="370" t="s">
        <v>58</v>
      </c>
      <c r="AQ8" s="2566"/>
      <c r="AR8" s="2566"/>
      <c r="AS8" s="2566"/>
      <c r="AT8" s="2358"/>
      <c r="AU8" s="3"/>
      <c r="AV8" s="3"/>
      <c r="AW8" s="3"/>
      <c r="AX8" s="3"/>
      <c r="AY8" s="3"/>
      <c r="AZ8" s="3"/>
      <c r="BA8" s="3"/>
      <c r="BB8" s="3"/>
      <c r="BC8" s="3"/>
      <c r="BD8" s="3"/>
      <c r="BE8" s="3"/>
      <c r="BF8" s="3"/>
      <c r="BG8" s="3"/>
      <c r="BH8" s="3"/>
      <c r="BI8" s="3"/>
      <c r="BJ8" s="3"/>
      <c r="BK8" s="3"/>
      <c r="BL8" s="3"/>
      <c r="BM8" s="3"/>
      <c r="BN8" s="3"/>
    </row>
    <row r="9" spans="1:66" s="33" customFormat="1" ht="27" customHeight="1" x14ac:dyDescent="0.25">
      <c r="A9" s="456">
        <v>1</v>
      </c>
      <c r="B9" s="2430" t="s">
        <v>390</v>
      </c>
      <c r="C9" s="2430"/>
      <c r="D9" s="2430"/>
      <c r="E9" s="2430"/>
      <c r="F9" s="2430"/>
      <c r="G9" s="2430"/>
      <c r="H9" s="2430"/>
      <c r="I9" s="2430"/>
      <c r="J9" s="144"/>
      <c r="K9" s="145"/>
      <c r="L9" s="144"/>
      <c r="M9" s="145"/>
      <c r="N9" s="144"/>
      <c r="O9" s="145"/>
      <c r="P9" s="145"/>
      <c r="Q9" s="144"/>
      <c r="R9" s="148"/>
      <c r="S9" s="150"/>
      <c r="T9" s="144"/>
      <c r="U9" s="144"/>
      <c r="V9" s="144"/>
      <c r="W9" s="150"/>
      <c r="X9" s="457"/>
      <c r="Y9" s="458"/>
      <c r="Z9" s="144"/>
      <c r="AA9" s="145"/>
      <c r="AB9" s="145"/>
      <c r="AC9" s="145"/>
      <c r="AD9" s="145"/>
      <c r="AE9" s="145"/>
      <c r="AF9" s="145"/>
      <c r="AG9" s="145"/>
      <c r="AH9" s="145"/>
      <c r="AI9" s="145"/>
      <c r="AJ9" s="145"/>
      <c r="AK9" s="145"/>
      <c r="AL9" s="145"/>
      <c r="AM9" s="145"/>
      <c r="AN9" s="145"/>
      <c r="AO9" s="145"/>
      <c r="AP9" s="145"/>
      <c r="AQ9" s="145"/>
      <c r="AR9" s="152"/>
      <c r="AS9" s="152"/>
      <c r="AT9" s="144"/>
      <c r="AU9" s="3"/>
      <c r="AV9" s="3"/>
      <c r="AW9" s="3"/>
      <c r="AX9" s="3"/>
      <c r="AY9" s="3"/>
      <c r="AZ9" s="3"/>
      <c r="BA9" s="3"/>
      <c r="BB9" s="3"/>
      <c r="BC9" s="3"/>
      <c r="BD9" s="3"/>
      <c r="BE9" s="3"/>
      <c r="BF9" s="3"/>
      <c r="BG9" s="3"/>
      <c r="BH9" s="3"/>
      <c r="BI9" s="3"/>
      <c r="BJ9" s="3"/>
      <c r="BK9" s="3"/>
      <c r="BL9" s="3"/>
      <c r="BM9" s="3"/>
      <c r="BN9" s="3"/>
    </row>
    <row r="10" spans="1:66" s="73" customFormat="1" ht="27" customHeight="1" x14ac:dyDescent="0.25">
      <c r="A10" s="2567"/>
      <c r="B10" s="2568"/>
      <c r="C10" s="155">
        <v>12</v>
      </c>
      <c r="D10" s="2569" t="s">
        <v>391</v>
      </c>
      <c r="E10" s="2570"/>
      <c r="F10" s="2570"/>
      <c r="G10" s="2570"/>
      <c r="H10" s="2570"/>
      <c r="I10" s="2570"/>
      <c r="J10" s="2570"/>
      <c r="K10" s="2570"/>
      <c r="L10" s="2570"/>
      <c r="M10" s="156"/>
      <c r="N10" s="157"/>
      <c r="O10" s="156"/>
      <c r="P10" s="156"/>
      <c r="Q10" s="157"/>
      <c r="R10" s="459"/>
      <c r="S10" s="460"/>
      <c r="T10" s="157"/>
      <c r="U10" s="157"/>
      <c r="V10" s="157"/>
      <c r="W10" s="460"/>
      <c r="X10" s="156"/>
      <c r="Y10" s="461"/>
      <c r="Z10" s="157"/>
      <c r="AA10" s="156"/>
      <c r="AB10" s="156"/>
      <c r="AC10" s="156"/>
      <c r="AD10" s="156"/>
      <c r="AE10" s="156"/>
      <c r="AF10" s="156"/>
      <c r="AG10" s="156"/>
      <c r="AH10" s="156"/>
      <c r="AI10" s="156"/>
      <c r="AJ10" s="156"/>
      <c r="AK10" s="156"/>
      <c r="AL10" s="156"/>
      <c r="AM10" s="156"/>
      <c r="AN10" s="156"/>
      <c r="AO10" s="156"/>
      <c r="AP10" s="156"/>
      <c r="AQ10" s="156"/>
      <c r="AR10" s="462"/>
      <c r="AS10" s="462"/>
      <c r="AT10" s="463"/>
      <c r="AU10" s="74"/>
      <c r="AV10" s="74"/>
      <c r="AW10" s="74"/>
      <c r="AX10" s="74"/>
      <c r="AY10" s="74"/>
      <c r="AZ10" s="74"/>
      <c r="BA10" s="74"/>
      <c r="BB10" s="74"/>
      <c r="BC10" s="74"/>
      <c r="BD10" s="74"/>
      <c r="BE10" s="74"/>
      <c r="BF10" s="74"/>
      <c r="BG10" s="74"/>
      <c r="BH10" s="74"/>
      <c r="BI10" s="74"/>
      <c r="BJ10" s="74"/>
      <c r="BK10" s="74"/>
      <c r="BL10" s="74"/>
      <c r="BM10" s="74"/>
      <c r="BN10" s="74"/>
    </row>
    <row r="11" spans="1:66" s="3" customFormat="1" ht="27" customHeight="1" x14ac:dyDescent="0.25">
      <c r="A11" s="2431"/>
      <c r="B11" s="2432"/>
      <c r="C11" s="2436"/>
      <c r="D11" s="2437"/>
      <c r="E11" s="65">
        <v>1202</v>
      </c>
      <c r="F11" s="2571" t="s">
        <v>392</v>
      </c>
      <c r="G11" s="2572"/>
      <c r="H11" s="2572"/>
      <c r="I11" s="2572"/>
      <c r="J11" s="2572"/>
      <c r="K11" s="2572"/>
      <c r="L11" s="2572"/>
      <c r="M11" s="2572"/>
      <c r="N11" s="57"/>
      <c r="O11" s="62"/>
      <c r="P11" s="62"/>
      <c r="Q11" s="57"/>
      <c r="R11" s="60"/>
      <c r="S11" s="61"/>
      <c r="T11" s="57"/>
      <c r="U11" s="57"/>
      <c r="V11" s="57"/>
      <c r="W11" s="61"/>
      <c r="X11" s="62"/>
      <c r="Y11" s="63"/>
      <c r="Z11" s="57"/>
      <c r="AA11" s="62"/>
      <c r="AB11" s="62"/>
      <c r="AC11" s="62"/>
      <c r="AD11" s="62"/>
      <c r="AE11" s="62"/>
      <c r="AF11" s="62"/>
      <c r="AG11" s="62"/>
      <c r="AH11" s="62"/>
      <c r="AI11" s="62"/>
      <c r="AJ11" s="62"/>
      <c r="AK11" s="62"/>
      <c r="AL11" s="62"/>
      <c r="AM11" s="62"/>
      <c r="AN11" s="62"/>
      <c r="AO11" s="62"/>
      <c r="AP11" s="62"/>
      <c r="AQ11" s="62"/>
      <c r="AR11" s="64"/>
      <c r="AS11" s="64"/>
      <c r="AT11" s="464"/>
    </row>
    <row r="12" spans="1:66" s="3" customFormat="1" ht="100.5" customHeight="1" x14ac:dyDescent="0.25">
      <c r="A12" s="2431"/>
      <c r="B12" s="2432"/>
      <c r="C12" s="2438"/>
      <c r="D12" s="2439"/>
      <c r="E12" s="2573"/>
      <c r="F12" s="2574"/>
      <c r="G12" s="2559" t="s">
        <v>62</v>
      </c>
      <c r="H12" s="2469" t="s">
        <v>393</v>
      </c>
      <c r="I12" s="2559">
        <v>1202019</v>
      </c>
      <c r="J12" s="2469" t="s">
        <v>394</v>
      </c>
      <c r="K12" s="2468" t="s">
        <v>62</v>
      </c>
      <c r="L12" s="2469" t="s">
        <v>395</v>
      </c>
      <c r="M12" s="2468">
        <v>120201900</v>
      </c>
      <c r="N12" s="2469" t="s">
        <v>396</v>
      </c>
      <c r="O12" s="2274">
        <v>3</v>
      </c>
      <c r="P12" s="2274" t="s">
        <v>397</v>
      </c>
      <c r="Q12" s="2462" t="s">
        <v>398</v>
      </c>
      <c r="R12" s="2160">
        <f>SUM(W12:W14)/S12</f>
        <v>1</v>
      </c>
      <c r="S12" s="2579">
        <f>SUM(W12:W14)</f>
        <v>24750000</v>
      </c>
      <c r="T12" s="2462" t="s">
        <v>399</v>
      </c>
      <c r="U12" s="2553" t="s">
        <v>400</v>
      </c>
      <c r="V12" s="377" t="s">
        <v>401</v>
      </c>
      <c r="W12" s="465">
        <v>20750000</v>
      </c>
      <c r="X12" s="466" t="s">
        <v>402</v>
      </c>
      <c r="Y12" s="2495">
        <v>20</v>
      </c>
      <c r="Z12" s="2458" t="s">
        <v>403</v>
      </c>
      <c r="AA12" s="2564">
        <f>'[1]formato población'!C9</f>
        <v>295972</v>
      </c>
      <c r="AB12" s="2561">
        <f>'[1]formato población'!D9</f>
        <v>285580</v>
      </c>
      <c r="AC12" s="2561">
        <f>'[1]formato población'!E9</f>
        <v>135545</v>
      </c>
      <c r="AD12" s="2561">
        <f>'[1]formato población'!F9</f>
        <v>44254</v>
      </c>
      <c r="AE12" s="2561">
        <f>'[1]formato población'!G9</f>
        <v>309146</v>
      </c>
      <c r="AF12" s="2561">
        <f>'[1]formato población'!H9</f>
        <v>92607</v>
      </c>
      <c r="AG12" s="2561">
        <f>'[1]formato población'!I9</f>
        <v>2145</v>
      </c>
      <c r="AH12" s="2561">
        <f>'[1]formato población'!J9</f>
        <v>12718</v>
      </c>
      <c r="AI12" s="2561">
        <f>'[1]formato población'!K9</f>
        <v>26</v>
      </c>
      <c r="AJ12" s="2561">
        <f>'[1]formato población'!L9</f>
        <v>37</v>
      </c>
      <c r="AK12" s="2561">
        <f>'[1]formato población'!M9</f>
        <v>0</v>
      </c>
      <c r="AL12" s="2561">
        <f>'[1]formato población'!N9</f>
        <v>0</v>
      </c>
      <c r="AM12" s="2561">
        <f>'[1]formato población'!O9</f>
        <v>44350</v>
      </c>
      <c r="AN12" s="2561">
        <f>'[1]formato población'!P9</f>
        <v>21944</v>
      </c>
      <c r="AO12" s="2561"/>
      <c r="AP12" s="2561">
        <f>'[1]formato población'!Q9</f>
        <v>75687</v>
      </c>
      <c r="AQ12" s="2561">
        <f>'[1]formato población'!R9</f>
        <v>581552</v>
      </c>
      <c r="AR12" s="2425">
        <v>44197</v>
      </c>
      <c r="AS12" s="2425">
        <v>44561</v>
      </c>
      <c r="AT12" s="2553" t="s">
        <v>404</v>
      </c>
    </row>
    <row r="13" spans="1:66" s="3" customFormat="1" ht="95.25" customHeight="1" x14ac:dyDescent="0.25">
      <c r="A13" s="2431"/>
      <c r="B13" s="2432"/>
      <c r="C13" s="2438"/>
      <c r="D13" s="2439"/>
      <c r="E13" s="2575"/>
      <c r="F13" s="2576"/>
      <c r="G13" s="2559"/>
      <c r="H13" s="2469"/>
      <c r="I13" s="2559"/>
      <c r="J13" s="2469"/>
      <c r="K13" s="2468"/>
      <c r="L13" s="2469"/>
      <c r="M13" s="2468"/>
      <c r="N13" s="2469"/>
      <c r="O13" s="2274"/>
      <c r="P13" s="2274"/>
      <c r="Q13" s="2462"/>
      <c r="R13" s="2160"/>
      <c r="S13" s="2579"/>
      <c r="T13" s="2462"/>
      <c r="U13" s="2553"/>
      <c r="V13" s="467" t="s">
        <v>405</v>
      </c>
      <c r="W13" s="468">
        <v>3000000</v>
      </c>
      <c r="X13" s="466" t="s">
        <v>402</v>
      </c>
      <c r="Y13" s="2495"/>
      <c r="Z13" s="2460"/>
      <c r="AA13" s="2564"/>
      <c r="AB13" s="2562"/>
      <c r="AC13" s="2562"/>
      <c r="AD13" s="2562"/>
      <c r="AE13" s="2562"/>
      <c r="AF13" s="2562"/>
      <c r="AG13" s="2562"/>
      <c r="AH13" s="2562"/>
      <c r="AI13" s="2562"/>
      <c r="AJ13" s="2562"/>
      <c r="AK13" s="2562"/>
      <c r="AL13" s="2562"/>
      <c r="AM13" s="2562"/>
      <c r="AN13" s="2562"/>
      <c r="AO13" s="2562"/>
      <c r="AP13" s="2562"/>
      <c r="AQ13" s="2562"/>
      <c r="AR13" s="2425"/>
      <c r="AS13" s="2425"/>
      <c r="AT13" s="2553"/>
    </row>
    <row r="14" spans="1:66" s="3" customFormat="1" ht="59.25" customHeight="1" x14ac:dyDescent="0.25">
      <c r="A14" s="2431"/>
      <c r="B14" s="2432"/>
      <c r="C14" s="2440"/>
      <c r="D14" s="2441"/>
      <c r="E14" s="2577"/>
      <c r="F14" s="2578"/>
      <c r="G14" s="2559"/>
      <c r="H14" s="2469"/>
      <c r="I14" s="2559"/>
      <c r="J14" s="2469"/>
      <c r="K14" s="2468"/>
      <c r="L14" s="2469"/>
      <c r="M14" s="2468"/>
      <c r="N14" s="2469"/>
      <c r="O14" s="2274"/>
      <c r="P14" s="2274"/>
      <c r="Q14" s="2462"/>
      <c r="R14" s="2160"/>
      <c r="S14" s="2579"/>
      <c r="T14" s="2462"/>
      <c r="U14" s="2553"/>
      <c r="V14" s="467" t="s">
        <v>406</v>
      </c>
      <c r="W14" s="468">
        <v>1000000</v>
      </c>
      <c r="X14" s="466" t="s">
        <v>407</v>
      </c>
      <c r="Y14" s="280">
        <v>88</v>
      </c>
      <c r="Z14" s="377" t="s">
        <v>149</v>
      </c>
      <c r="AA14" s="2564"/>
      <c r="AB14" s="2563"/>
      <c r="AC14" s="2563"/>
      <c r="AD14" s="2563"/>
      <c r="AE14" s="2563"/>
      <c r="AF14" s="2563"/>
      <c r="AG14" s="2563"/>
      <c r="AH14" s="2563"/>
      <c r="AI14" s="2563"/>
      <c r="AJ14" s="2563"/>
      <c r="AK14" s="2563"/>
      <c r="AL14" s="2563"/>
      <c r="AM14" s="2563"/>
      <c r="AN14" s="2563"/>
      <c r="AO14" s="2563"/>
      <c r="AP14" s="2563"/>
      <c r="AQ14" s="2563"/>
      <c r="AR14" s="2425"/>
      <c r="AS14" s="2425"/>
      <c r="AT14" s="2553"/>
    </row>
    <row r="15" spans="1:66" s="3" customFormat="1" ht="27.75" customHeight="1" x14ac:dyDescent="0.25">
      <c r="A15" s="2431"/>
      <c r="B15" s="2432"/>
      <c r="C15" s="469">
        <v>19</v>
      </c>
      <c r="D15" s="2435" t="s">
        <v>408</v>
      </c>
      <c r="E15" s="2435"/>
      <c r="F15" s="2435"/>
      <c r="G15" s="2435"/>
      <c r="H15" s="2435"/>
      <c r="I15" s="2435"/>
      <c r="J15" s="2435"/>
      <c r="K15" s="2435"/>
      <c r="L15" s="2435"/>
      <c r="M15" s="470"/>
      <c r="N15" s="471"/>
      <c r="O15" s="472"/>
      <c r="P15" s="472"/>
      <c r="Q15" s="473"/>
      <c r="R15" s="474"/>
      <c r="S15" s="475"/>
      <c r="T15" s="473"/>
      <c r="U15" s="476"/>
      <c r="V15" s="477"/>
      <c r="W15" s="478"/>
      <c r="X15" s="479"/>
      <c r="Y15" s="480"/>
      <c r="Z15" s="473"/>
      <c r="AA15" s="481"/>
      <c r="AB15" s="481"/>
      <c r="AC15" s="481"/>
      <c r="AD15" s="481"/>
      <c r="AE15" s="481"/>
      <c r="AF15" s="481"/>
      <c r="AG15" s="481"/>
      <c r="AH15" s="481"/>
      <c r="AI15" s="481"/>
      <c r="AJ15" s="481"/>
      <c r="AK15" s="481"/>
      <c r="AL15" s="481"/>
      <c r="AM15" s="481"/>
      <c r="AN15" s="481"/>
      <c r="AO15" s="481"/>
      <c r="AP15" s="481"/>
      <c r="AQ15" s="481"/>
      <c r="AR15" s="482"/>
      <c r="AS15" s="482"/>
      <c r="AT15" s="476"/>
    </row>
    <row r="16" spans="1:66" s="3" customFormat="1" ht="15.75" x14ac:dyDescent="0.25">
      <c r="A16" s="2431"/>
      <c r="B16" s="2432"/>
      <c r="C16" s="2436"/>
      <c r="D16" s="2437"/>
      <c r="E16" s="169">
        <v>1906</v>
      </c>
      <c r="F16" s="2442" t="s">
        <v>409</v>
      </c>
      <c r="G16" s="2442"/>
      <c r="H16" s="2442"/>
      <c r="I16" s="2442"/>
      <c r="J16" s="2442"/>
      <c r="K16" s="2442"/>
      <c r="L16" s="2442"/>
      <c r="M16" s="2442"/>
      <c r="N16" s="173"/>
      <c r="O16" s="169"/>
      <c r="P16" s="169"/>
      <c r="Q16" s="173"/>
      <c r="R16" s="171"/>
      <c r="S16" s="483"/>
      <c r="T16" s="173"/>
      <c r="U16" s="173"/>
      <c r="V16" s="173"/>
      <c r="W16" s="484"/>
      <c r="X16" s="62"/>
      <c r="Y16" s="174"/>
      <c r="Z16" s="173"/>
      <c r="AA16" s="169"/>
      <c r="AB16" s="169"/>
      <c r="AC16" s="169"/>
      <c r="AD16" s="169"/>
      <c r="AE16" s="169"/>
      <c r="AF16" s="169"/>
      <c r="AG16" s="169"/>
      <c r="AH16" s="169"/>
      <c r="AI16" s="169"/>
      <c r="AJ16" s="169"/>
      <c r="AK16" s="169"/>
      <c r="AL16" s="169"/>
      <c r="AM16" s="169"/>
      <c r="AN16" s="169"/>
      <c r="AO16" s="169"/>
      <c r="AP16" s="169"/>
      <c r="AQ16" s="169"/>
      <c r="AR16" s="169"/>
      <c r="AS16" s="169"/>
      <c r="AT16" s="173"/>
    </row>
    <row r="17" spans="1:46" ht="90" x14ac:dyDescent="0.25">
      <c r="A17" s="2431"/>
      <c r="B17" s="2432"/>
      <c r="C17" s="2438"/>
      <c r="D17" s="2439"/>
      <c r="E17" s="2508"/>
      <c r="F17" s="2509"/>
      <c r="G17" s="2559" t="s">
        <v>62</v>
      </c>
      <c r="H17" s="2469" t="s">
        <v>410</v>
      </c>
      <c r="I17" s="2559">
        <v>1906015</v>
      </c>
      <c r="J17" s="2560" t="s">
        <v>411</v>
      </c>
      <c r="K17" s="2559" t="s">
        <v>62</v>
      </c>
      <c r="L17" s="2557" t="s">
        <v>412</v>
      </c>
      <c r="M17" s="2558">
        <v>190601500</v>
      </c>
      <c r="N17" s="2557" t="s">
        <v>411</v>
      </c>
      <c r="O17" s="2274">
        <v>1</v>
      </c>
      <c r="P17" s="2274" t="s">
        <v>413</v>
      </c>
      <c r="Q17" s="2462" t="s">
        <v>414</v>
      </c>
      <c r="R17" s="2549">
        <f>SUM(W17:W20)/S17</f>
        <v>1</v>
      </c>
      <c r="S17" s="2461">
        <f>SUM(W17:W20)</f>
        <v>96746979</v>
      </c>
      <c r="T17" s="2462" t="s">
        <v>415</v>
      </c>
      <c r="U17" s="2462" t="s">
        <v>416</v>
      </c>
      <c r="V17" s="467" t="s">
        <v>417</v>
      </c>
      <c r="W17" s="69">
        <v>2000000</v>
      </c>
      <c r="X17" s="466" t="s">
        <v>418</v>
      </c>
      <c r="Y17" s="2463" t="s">
        <v>419</v>
      </c>
      <c r="Z17" s="2462" t="s">
        <v>420</v>
      </c>
      <c r="AA17" s="2197">
        <v>295972</v>
      </c>
      <c r="AB17" s="2197">
        <v>285580</v>
      </c>
      <c r="AC17" s="2197">
        <v>135545</v>
      </c>
      <c r="AD17" s="2197">
        <v>44254</v>
      </c>
      <c r="AE17" s="2197">
        <v>309146</v>
      </c>
      <c r="AF17" s="2197">
        <v>92607</v>
      </c>
      <c r="AG17" s="2197">
        <v>2145</v>
      </c>
      <c r="AH17" s="2197">
        <v>12718</v>
      </c>
      <c r="AI17" s="2197">
        <v>26</v>
      </c>
      <c r="AJ17" s="2197">
        <v>37</v>
      </c>
      <c r="AK17" s="2197">
        <v>0</v>
      </c>
      <c r="AL17" s="2197">
        <v>0</v>
      </c>
      <c r="AM17" s="2197">
        <v>44350</v>
      </c>
      <c r="AN17" s="2197">
        <v>21944</v>
      </c>
      <c r="AO17" s="2197"/>
      <c r="AP17" s="2197">
        <v>75687</v>
      </c>
      <c r="AQ17" s="2197">
        <v>581552</v>
      </c>
      <c r="AR17" s="2425">
        <v>44197</v>
      </c>
      <c r="AS17" s="2425">
        <v>44561</v>
      </c>
      <c r="AT17" s="2553" t="s">
        <v>404</v>
      </c>
    </row>
    <row r="18" spans="1:46" ht="47.25" customHeight="1" x14ac:dyDescent="0.25">
      <c r="A18" s="2431"/>
      <c r="B18" s="2432"/>
      <c r="C18" s="2438"/>
      <c r="D18" s="2439"/>
      <c r="E18" s="2510"/>
      <c r="F18" s="2511"/>
      <c r="G18" s="2559"/>
      <c r="H18" s="2469"/>
      <c r="I18" s="2559"/>
      <c r="J18" s="2560"/>
      <c r="K18" s="2559"/>
      <c r="L18" s="2557"/>
      <c r="M18" s="2558"/>
      <c r="N18" s="2557"/>
      <c r="O18" s="2274"/>
      <c r="P18" s="2274"/>
      <c r="Q18" s="2462"/>
      <c r="R18" s="2549"/>
      <c r="S18" s="2461"/>
      <c r="T18" s="2462"/>
      <c r="U18" s="2462"/>
      <c r="V18" s="2554" t="s">
        <v>421</v>
      </c>
      <c r="W18" s="69">
        <v>29000000</v>
      </c>
      <c r="X18" s="466" t="s">
        <v>418</v>
      </c>
      <c r="Y18" s="2463"/>
      <c r="Z18" s="2462"/>
      <c r="AA18" s="2197"/>
      <c r="AB18" s="2197"/>
      <c r="AC18" s="2197"/>
      <c r="AD18" s="2197"/>
      <c r="AE18" s="2197"/>
      <c r="AF18" s="2197"/>
      <c r="AG18" s="2197"/>
      <c r="AH18" s="2197"/>
      <c r="AI18" s="2197"/>
      <c r="AJ18" s="2197"/>
      <c r="AK18" s="2197"/>
      <c r="AL18" s="2197"/>
      <c r="AM18" s="2197"/>
      <c r="AN18" s="2197"/>
      <c r="AO18" s="2197"/>
      <c r="AP18" s="2197"/>
      <c r="AQ18" s="2197"/>
      <c r="AR18" s="2425"/>
      <c r="AS18" s="2425"/>
      <c r="AT18" s="2553"/>
    </row>
    <row r="19" spans="1:46" ht="51.75" customHeight="1" x14ac:dyDescent="0.25">
      <c r="A19" s="2431"/>
      <c r="B19" s="2432"/>
      <c r="C19" s="2438"/>
      <c r="D19" s="2439"/>
      <c r="E19" s="2510"/>
      <c r="F19" s="2511"/>
      <c r="G19" s="2559"/>
      <c r="H19" s="2469"/>
      <c r="I19" s="2559"/>
      <c r="J19" s="2560"/>
      <c r="K19" s="2559"/>
      <c r="L19" s="2557"/>
      <c r="M19" s="2558"/>
      <c r="N19" s="2557"/>
      <c r="O19" s="2274"/>
      <c r="P19" s="2274"/>
      <c r="Q19" s="2462"/>
      <c r="R19" s="2549"/>
      <c r="S19" s="2461"/>
      <c r="T19" s="2462"/>
      <c r="U19" s="2462"/>
      <c r="V19" s="2555"/>
      <c r="W19" s="69">
        <v>58746979</v>
      </c>
      <c r="X19" s="466" t="s">
        <v>422</v>
      </c>
      <c r="Y19" s="2463"/>
      <c r="Z19" s="2462"/>
      <c r="AA19" s="2197"/>
      <c r="AB19" s="2197"/>
      <c r="AC19" s="2197"/>
      <c r="AD19" s="2197"/>
      <c r="AE19" s="2197"/>
      <c r="AF19" s="2197"/>
      <c r="AG19" s="2197"/>
      <c r="AH19" s="2197"/>
      <c r="AI19" s="2197"/>
      <c r="AJ19" s="2197"/>
      <c r="AK19" s="2197"/>
      <c r="AL19" s="2197"/>
      <c r="AM19" s="2197"/>
      <c r="AN19" s="2197"/>
      <c r="AO19" s="2197"/>
      <c r="AP19" s="2197"/>
      <c r="AQ19" s="2197"/>
      <c r="AR19" s="2425"/>
      <c r="AS19" s="2425"/>
      <c r="AT19" s="2553"/>
    </row>
    <row r="20" spans="1:46" ht="90" customHeight="1" x14ac:dyDescent="0.25">
      <c r="A20" s="2431"/>
      <c r="B20" s="2432"/>
      <c r="C20" s="2440"/>
      <c r="D20" s="2441"/>
      <c r="E20" s="2512"/>
      <c r="F20" s="2513"/>
      <c r="G20" s="2559"/>
      <c r="H20" s="2469"/>
      <c r="I20" s="2559"/>
      <c r="J20" s="2560"/>
      <c r="K20" s="2559"/>
      <c r="L20" s="2557"/>
      <c r="M20" s="2558"/>
      <c r="N20" s="2557"/>
      <c r="O20" s="2274"/>
      <c r="P20" s="2274"/>
      <c r="Q20" s="2462"/>
      <c r="R20" s="2549"/>
      <c r="S20" s="2461"/>
      <c r="T20" s="2462"/>
      <c r="U20" s="2462"/>
      <c r="V20" s="485" t="s">
        <v>405</v>
      </c>
      <c r="W20" s="69">
        <v>7000000</v>
      </c>
      <c r="X20" s="466" t="s">
        <v>418</v>
      </c>
      <c r="Y20" s="2463"/>
      <c r="Z20" s="2462"/>
      <c r="AA20" s="2197"/>
      <c r="AB20" s="2197"/>
      <c r="AC20" s="2197"/>
      <c r="AD20" s="2197"/>
      <c r="AE20" s="2197"/>
      <c r="AF20" s="2197"/>
      <c r="AG20" s="2197"/>
      <c r="AH20" s="2197"/>
      <c r="AI20" s="2197"/>
      <c r="AJ20" s="2197"/>
      <c r="AK20" s="2197"/>
      <c r="AL20" s="2197"/>
      <c r="AM20" s="2197"/>
      <c r="AN20" s="2197"/>
      <c r="AO20" s="2197"/>
      <c r="AP20" s="2197"/>
      <c r="AQ20" s="2197"/>
      <c r="AR20" s="2425"/>
      <c r="AS20" s="2425"/>
      <c r="AT20" s="2553"/>
    </row>
    <row r="21" spans="1:46" ht="15.75" x14ac:dyDescent="0.25">
      <c r="A21" s="2431"/>
      <c r="B21" s="2432"/>
      <c r="C21" s="469">
        <v>22</v>
      </c>
      <c r="D21" s="2435" t="s">
        <v>423</v>
      </c>
      <c r="E21" s="2435"/>
      <c r="F21" s="2435"/>
      <c r="G21" s="2435"/>
      <c r="H21" s="2435"/>
      <c r="I21" s="2435"/>
      <c r="J21" s="2435"/>
      <c r="K21" s="486"/>
      <c r="L21" s="487"/>
      <c r="M21" s="488"/>
      <c r="N21" s="487"/>
      <c r="O21" s="472"/>
      <c r="P21" s="472"/>
      <c r="Q21" s="473"/>
      <c r="R21" s="489"/>
      <c r="S21" s="490"/>
      <c r="T21" s="473"/>
      <c r="U21" s="473"/>
      <c r="V21" s="477"/>
      <c r="W21" s="478"/>
      <c r="X21" s="479"/>
      <c r="Y21" s="480"/>
      <c r="Z21" s="473"/>
      <c r="AA21" s="472"/>
      <c r="AB21" s="472"/>
      <c r="AC21" s="472"/>
      <c r="AD21" s="472"/>
      <c r="AE21" s="472"/>
      <c r="AF21" s="472"/>
      <c r="AG21" s="472"/>
      <c r="AH21" s="472"/>
      <c r="AI21" s="472"/>
      <c r="AJ21" s="472"/>
      <c r="AK21" s="472"/>
      <c r="AL21" s="472"/>
      <c r="AM21" s="472"/>
      <c r="AN21" s="472"/>
      <c r="AO21" s="472"/>
      <c r="AP21" s="472"/>
      <c r="AQ21" s="472"/>
      <c r="AR21" s="482"/>
      <c r="AS21" s="482"/>
      <c r="AT21" s="491"/>
    </row>
    <row r="22" spans="1:46" s="3" customFormat="1" ht="15.75" x14ac:dyDescent="0.25">
      <c r="A22" s="2431"/>
      <c r="B22" s="2432"/>
      <c r="C22" s="2482"/>
      <c r="D22" s="2483"/>
      <c r="E22" s="169">
        <v>2201</v>
      </c>
      <c r="F22" s="492" t="s">
        <v>424</v>
      </c>
      <c r="G22" s="492"/>
      <c r="H22" s="173"/>
      <c r="I22" s="492"/>
      <c r="J22" s="173"/>
      <c r="K22" s="492"/>
      <c r="L22" s="173"/>
      <c r="M22" s="492"/>
      <c r="N22" s="173"/>
      <c r="O22" s="492"/>
      <c r="P22" s="169"/>
      <c r="Q22" s="173"/>
      <c r="R22" s="171"/>
      <c r="S22" s="483"/>
      <c r="T22" s="173"/>
      <c r="U22" s="173"/>
      <c r="V22" s="173"/>
      <c r="W22" s="484"/>
      <c r="X22" s="62"/>
      <c r="Y22" s="174"/>
      <c r="Z22" s="173"/>
      <c r="AA22" s="169"/>
      <c r="AB22" s="169"/>
      <c r="AC22" s="169"/>
      <c r="AD22" s="169"/>
      <c r="AE22" s="169"/>
      <c r="AF22" s="169"/>
      <c r="AG22" s="169"/>
      <c r="AH22" s="169"/>
      <c r="AI22" s="169"/>
      <c r="AJ22" s="169"/>
      <c r="AK22" s="169"/>
      <c r="AL22" s="169"/>
      <c r="AM22" s="169"/>
      <c r="AN22" s="169"/>
      <c r="AO22" s="169"/>
      <c r="AP22" s="169"/>
      <c r="AQ22" s="169"/>
      <c r="AR22" s="169"/>
      <c r="AS22" s="169"/>
      <c r="AT22" s="173"/>
    </row>
    <row r="23" spans="1:46" ht="49.5" customHeight="1" x14ac:dyDescent="0.25">
      <c r="A23" s="2431"/>
      <c r="B23" s="2432"/>
      <c r="C23" s="2272"/>
      <c r="D23" s="2156"/>
      <c r="E23" s="2482"/>
      <c r="F23" s="2483"/>
      <c r="G23" s="2552" t="s">
        <v>62</v>
      </c>
      <c r="H23" s="2556" t="s">
        <v>425</v>
      </c>
      <c r="I23" s="2552">
        <v>2201062</v>
      </c>
      <c r="J23" s="2556" t="s">
        <v>426</v>
      </c>
      <c r="K23" s="2552" t="s">
        <v>62</v>
      </c>
      <c r="L23" s="2257" t="s">
        <v>427</v>
      </c>
      <c r="M23" s="2552">
        <v>220106200</v>
      </c>
      <c r="N23" s="2257" t="s">
        <v>428</v>
      </c>
      <c r="O23" s="2274">
        <v>15</v>
      </c>
      <c r="P23" s="2274" t="s">
        <v>429</v>
      </c>
      <c r="Q23" s="2462" t="s">
        <v>430</v>
      </c>
      <c r="R23" s="2549">
        <f>SUM(W23:W39)/S23</f>
        <v>1</v>
      </c>
      <c r="S23" s="2461">
        <f>SUM(W23:W39)</f>
        <v>2083257220</v>
      </c>
      <c r="T23" s="2462" t="s">
        <v>431</v>
      </c>
      <c r="U23" s="2462" t="s">
        <v>432</v>
      </c>
      <c r="V23" s="2550" t="s">
        <v>433</v>
      </c>
      <c r="W23" s="69">
        <v>23532000</v>
      </c>
      <c r="X23" s="466" t="s">
        <v>434</v>
      </c>
      <c r="Y23" s="2548" t="s">
        <v>435</v>
      </c>
      <c r="Z23" s="2182" t="s">
        <v>436</v>
      </c>
      <c r="AA23" s="2197">
        <v>295972</v>
      </c>
      <c r="AB23" s="2197">
        <v>285580</v>
      </c>
      <c r="AC23" s="2197">
        <v>135545</v>
      </c>
      <c r="AD23" s="2197">
        <v>44254</v>
      </c>
      <c r="AE23" s="2197">
        <v>309146</v>
      </c>
      <c r="AF23" s="2197">
        <v>92607</v>
      </c>
      <c r="AG23" s="2197">
        <v>2145</v>
      </c>
      <c r="AH23" s="2197">
        <v>12718</v>
      </c>
      <c r="AI23" s="2197">
        <v>26</v>
      </c>
      <c r="AJ23" s="2197">
        <v>37</v>
      </c>
      <c r="AK23" s="2197">
        <v>0</v>
      </c>
      <c r="AL23" s="2197">
        <v>0</v>
      </c>
      <c r="AM23" s="2197">
        <v>44350</v>
      </c>
      <c r="AN23" s="2197">
        <v>21944</v>
      </c>
      <c r="AO23" s="2197"/>
      <c r="AP23" s="2197">
        <v>75687</v>
      </c>
      <c r="AQ23" s="2197">
        <v>581552</v>
      </c>
      <c r="AR23" s="2425">
        <v>44197</v>
      </c>
      <c r="AS23" s="2425">
        <v>44561</v>
      </c>
      <c r="AT23" s="2544" t="s">
        <v>404</v>
      </c>
    </row>
    <row r="24" spans="1:46" ht="74.25" customHeight="1" x14ac:dyDescent="0.25">
      <c r="A24" s="2431"/>
      <c r="B24" s="2432"/>
      <c r="C24" s="2272"/>
      <c r="D24" s="2156"/>
      <c r="E24" s="2272"/>
      <c r="F24" s="2156"/>
      <c r="G24" s="2552"/>
      <c r="H24" s="2556"/>
      <c r="I24" s="2552"/>
      <c r="J24" s="2556"/>
      <c r="K24" s="2552"/>
      <c r="L24" s="2257"/>
      <c r="M24" s="2552"/>
      <c r="N24" s="2257"/>
      <c r="O24" s="2274"/>
      <c r="P24" s="2274"/>
      <c r="Q24" s="2462"/>
      <c r="R24" s="2549"/>
      <c r="S24" s="2461"/>
      <c r="T24" s="2462"/>
      <c r="U24" s="2462"/>
      <c r="V24" s="2551"/>
      <c r="W24" s="69">
        <v>36468000</v>
      </c>
      <c r="X24" s="466" t="s">
        <v>437</v>
      </c>
      <c r="Y24" s="2548"/>
      <c r="Z24" s="2182"/>
      <c r="AA24" s="2197"/>
      <c r="AB24" s="2197"/>
      <c r="AC24" s="2197"/>
      <c r="AD24" s="2197"/>
      <c r="AE24" s="2197"/>
      <c r="AF24" s="2197"/>
      <c r="AG24" s="2197"/>
      <c r="AH24" s="2197"/>
      <c r="AI24" s="2197"/>
      <c r="AJ24" s="2197"/>
      <c r="AK24" s="2197"/>
      <c r="AL24" s="2197"/>
      <c r="AM24" s="2197"/>
      <c r="AN24" s="2197"/>
      <c r="AO24" s="2197"/>
      <c r="AP24" s="2197"/>
      <c r="AQ24" s="2197"/>
      <c r="AR24" s="2425"/>
      <c r="AS24" s="2425"/>
      <c r="AT24" s="2545"/>
    </row>
    <row r="25" spans="1:46" ht="67.5" customHeight="1" x14ac:dyDescent="0.25">
      <c r="A25" s="2431"/>
      <c r="B25" s="2432"/>
      <c r="C25" s="2272"/>
      <c r="D25" s="2156"/>
      <c r="E25" s="2272"/>
      <c r="F25" s="2156"/>
      <c r="G25" s="2552"/>
      <c r="H25" s="2556"/>
      <c r="I25" s="2552"/>
      <c r="J25" s="2556"/>
      <c r="K25" s="2552"/>
      <c r="L25" s="2257"/>
      <c r="M25" s="2552"/>
      <c r="N25" s="2257"/>
      <c r="O25" s="2274"/>
      <c r="P25" s="2274"/>
      <c r="Q25" s="2462"/>
      <c r="R25" s="2549"/>
      <c r="S25" s="2461"/>
      <c r="T25" s="2462"/>
      <c r="U25" s="2462"/>
      <c r="V25" s="2200" t="s">
        <v>438</v>
      </c>
      <c r="W25" s="69">
        <v>11600000</v>
      </c>
      <c r="X25" s="466" t="s">
        <v>434</v>
      </c>
      <c r="Y25" s="2548"/>
      <c r="Z25" s="2182"/>
      <c r="AA25" s="2197"/>
      <c r="AB25" s="2197"/>
      <c r="AC25" s="2197"/>
      <c r="AD25" s="2197"/>
      <c r="AE25" s="2197"/>
      <c r="AF25" s="2197"/>
      <c r="AG25" s="2197"/>
      <c r="AH25" s="2197"/>
      <c r="AI25" s="2197"/>
      <c r="AJ25" s="2197"/>
      <c r="AK25" s="2197"/>
      <c r="AL25" s="2197"/>
      <c r="AM25" s="2197"/>
      <c r="AN25" s="2197"/>
      <c r="AO25" s="2197"/>
      <c r="AP25" s="2197"/>
      <c r="AQ25" s="2197"/>
      <c r="AR25" s="2425"/>
      <c r="AS25" s="2425"/>
      <c r="AT25" s="2545"/>
    </row>
    <row r="26" spans="1:46" ht="60" customHeight="1" x14ac:dyDescent="0.25">
      <c r="A26" s="2431"/>
      <c r="B26" s="2432"/>
      <c r="C26" s="2272"/>
      <c r="D26" s="2156"/>
      <c r="E26" s="2272"/>
      <c r="F26" s="2156"/>
      <c r="G26" s="2552"/>
      <c r="H26" s="2556"/>
      <c r="I26" s="2552"/>
      <c r="J26" s="2556"/>
      <c r="K26" s="2552"/>
      <c r="L26" s="2257"/>
      <c r="M26" s="2552"/>
      <c r="N26" s="2257"/>
      <c r="O26" s="2274"/>
      <c r="P26" s="2274"/>
      <c r="Q26" s="2462"/>
      <c r="R26" s="2549"/>
      <c r="S26" s="2461"/>
      <c r="T26" s="2462"/>
      <c r="U26" s="2462"/>
      <c r="V26" s="2345"/>
      <c r="W26" s="69">
        <v>48400000</v>
      </c>
      <c r="X26" s="466" t="s">
        <v>437</v>
      </c>
      <c r="Y26" s="2548"/>
      <c r="Z26" s="2182"/>
      <c r="AA26" s="2197"/>
      <c r="AB26" s="2197"/>
      <c r="AC26" s="2197"/>
      <c r="AD26" s="2197"/>
      <c r="AE26" s="2197"/>
      <c r="AF26" s="2197"/>
      <c r="AG26" s="2197"/>
      <c r="AH26" s="2197"/>
      <c r="AI26" s="2197"/>
      <c r="AJ26" s="2197"/>
      <c r="AK26" s="2197"/>
      <c r="AL26" s="2197"/>
      <c r="AM26" s="2197"/>
      <c r="AN26" s="2197"/>
      <c r="AO26" s="2197"/>
      <c r="AP26" s="2197"/>
      <c r="AQ26" s="2197"/>
      <c r="AR26" s="2425"/>
      <c r="AS26" s="2425"/>
      <c r="AT26" s="2545"/>
    </row>
    <row r="27" spans="1:46" ht="79.5" customHeight="1" x14ac:dyDescent="0.25">
      <c r="A27" s="2431"/>
      <c r="B27" s="2432"/>
      <c r="C27" s="2272"/>
      <c r="D27" s="2156"/>
      <c r="E27" s="2272"/>
      <c r="F27" s="2156"/>
      <c r="G27" s="2552"/>
      <c r="H27" s="2556"/>
      <c r="I27" s="2552"/>
      <c r="J27" s="2556"/>
      <c r="K27" s="2552"/>
      <c r="L27" s="2257"/>
      <c r="M27" s="2552"/>
      <c r="N27" s="2257"/>
      <c r="O27" s="2274"/>
      <c r="P27" s="2274"/>
      <c r="Q27" s="2462"/>
      <c r="R27" s="2549"/>
      <c r="S27" s="2461"/>
      <c r="T27" s="2462"/>
      <c r="U27" s="2462"/>
      <c r="V27" s="2200" t="s">
        <v>439</v>
      </c>
      <c r="W27" s="69">
        <v>26350000</v>
      </c>
      <c r="X27" s="466" t="s">
        <v>434</v>
      </c>
      <c r="Y27" s="2548"/>
      <c r="Z27" s="2182"/>
      <c r="AA27" s="2197"/>
      <c r="AB27" s="2197"/>
      <c r="AC27" s="2197"/>
      <c r="AD27" s="2197"/>
      <c r="AE27" s="2197"/>
      <c r="AF27" s="2197"/>
      <c r="AG27" s="2197"/>
      <c r="AH27" s="2197"/>
      <c r="AI27" s="2197"/>
      <c r="AJ27" s="2197"/>
      <c r="AK27" s="2197"/>
      <c r="AL27" s="2197"/>
      <c r="AM27" s="2197"/>
      <c r="AN27" s="2197"/>
      <c r="AO27" s="2197"/>
      <c r="AP27" s="2197"/>
      <c r="AQ27" s="2197"/>
      <c r="AR27" s="2425"/>
      <c r="AS27" s="2425"/>
      <c r="AT27" s="2545"/>
    </row>
    <row r="28" spans="1:46" ht="62.25" customHeight="1" x14ac:dyDescent="0.25">
      <c r="A28" s="2431"/>
      <c r="B28" s="2432"/>
      <c r="C28" s="2272"/>
      <c r="D28" s="2156"/>
      <c r="E28" s="2272"/>
      <c r="F28" s="2156"/>
      <c r="G28" s="2552"/>
      <c r="H28" s="2556"/>
      <c r="I28" s="2552"/>
      <c r="J28" s="2556"/>
      <c r="K28" s="2552"/>
      <c r="L28" s="2257"/>
      <c r="M28" s="2552"/>
      <c r="N28" s="2257"/>
      <c r="O28" s="2274"/>
      <c r="P28" s="2274"/>
      <c r="Q28" s="2462"/>
      <c r="R28" s="2549"/>
      <c r="S28" s="2461"/>
      <c r="T28" s="2462"/>
      <c r="U28" s="2462"/>
      <c r="V28" s="2345"/>
      <c r="W28" s="69">
        <v>33650000</v>
      </c>
      <c r="X28" s="466" t="s">
        <v>437</v>
      </c>
      <c r="Y28" s="2548"/>
      <c r="Z28" s="2182"/>
      <c r="AA28" s="2197"/>
      <c r="AB28" s="2197"/>
      <c r="AC28" s="2197"/>
      <c r="AD28" s="2197"/>
      <c r="AE28" s="2197"/>
      <c r="AF28" s="2197"/>
      <c r="AG28" s="2197"/>
      <c r="AH28" s="2197"/>
      <c r="AI28" s="2197"/>
      <c r="AJ28" s="2197"/>
      <c r="AK28" s="2197"/>
      <c r="AL28" s="2197"/>
      <c r="AM28" s="2197"/>
      <c r="AN28" s="2197"/>
      <c r="AO28" s="2197"/>
      <c r="AP28" s="2197"/>
      <c r="AQ28" s="2197"/>
      <c r="AR28" s="2425"/>
      <c r="AS28" s="2425"/>
      <c r="AT28" s="2545"/>
    </row>
    <row r="29" spans="1:46" ht="95.25" customHeight="1" x14ac:dyDescent="0.25">
      <c r="A29" s="2431"/>
      <c r="B29" s="2432"/>
      <c r="C29" s="2272"/>
      <c r="D29" s="2156"/>
      <c r="E29" s="2272"/>
      <c r="F29" s="2156"/>
      <c r="G29" s="2552"/>
      <c r="H29" s="2556"/>
      <c r="I29" s="2552"/>
      <c r="J29" s="2556"/>
      <c r="K29" s="2552"/>
      <c r="L29" s="2257"/>
      <c r="M29" s="2552"/>
      <c r="N29" s="2257"/>
      <c r="O29" s="2274"/>
      <c r="P29" s="2274"/>
      <c r="Q29" s="2462"/>
      <c r="R29" s="2549"/>
      <c r="S29" s="2461"/>
      <c r="T29" s="2462"/>
      <c r="U29" s="2462"/>
      <c r="V29" s="366" t="s">
        <v>440</v>
      </c>
      <c r="W29" s="69">
        <v>150000000</v>
      </c>
      <c r="X29" s="466" t="s">
        <v>434</v>
      </c>
      <c r="Y29" s="2548"/>
      <c r="Z29" s="2182"/>
      <c r="AA29" s="2197"/>
      <c r="AB29" s="2197"/>
      <c r="AC29" s="2197"/>
      <c r="AD29" s="2197"/>
      <c r="AE29" s="2197"/>
      <c r="AF29" s="2197"/>
      <c r="AG29" s="2197"/>
      <c r="AH29" s="2197"/>
      <c r="AI29" s="2197"/>
      <c r="AJ29" s="2197"/>
      <c r="AK29" s="2197"/>
      <c r="AL29" s="2197"/>
      <c r="AM29" s="2197"/>
      <c r="AN29" s="2197"/>
      <c r="AO29" s="2197"/>
      <c r="AP29" s="2197"/>
      <c r="AQ29" s="2197"/>
      <c r="AR29" s="2425"/>
      <c r="AS29" s="2425"/>
      <c r="AT29" s="2545"/>
    </row>
    <row r="30" spans="1:46" ht="60" x14ac:dyDescent="0.25">
      <c r="A30" s="2431"/>
      <c r="B30" s="2432"/>
      <c r="C30" s="2272"/>
      <c r="D30" s="2156"/>
      <c r="E30" s="2272"/>
      <c r="F30" s="2156"/>
      <c r="G30" s="2552"/>
      <c r="H30" s="2556"/>
      <c r="I30" s="2552"/>
      <c r="J30" s="2556"/>
      <c r="K30" s="2552"/>
      <c r="L30" s="2257"/>
      <c r="M30" s="2552"/>
      <c r="N30" s="2257"/>
      <c r="O30" s="2274"/>
      <c r="P30" s="2274"/>
      <c r="Q30" s="2462"/>
      <c r="R30" s="2549"/>
      <c r="S30" s="2461"/>
      <c r="T30" s="2462"/>
      <c r="U30" s="2462"/>
      <c r="V30" s="366" t="s">
        <v>441</v>
      </c>
      <c r="W30" s="69">
        <v>95800000</v>
      </c>
      <c r="X30" s="466" t="s">
        <v>434</v>
      </c>
      <c r="Y30" s="2548"/>
      <c r="Z30" s="2182"/>
      <c r="AA30" s="2197"/>
      <c r="AB30" s="2197"/>
      <c r="AC30" s="2197"/>
      <c r="AD30" s="2197"/>
      <c r="AE30" s="2197"/>
      <c r="AF30" s="2197"/>
      <c r="AG30" s="2197"/>
      <c r="AH30" s="2197"/>
      <c r="AI30" s="2197"/>
      <c r="AJ30" s="2197"/>
      <c r="AK30" s="2197"/>
      <c r="AL30" s="2197"/>
      <c r="AM30" s="2197"/>
      <c r="AN30" s="2197"/>
      <c r="AO30" s="2197"/>
      <c r="AP30" s="2197"/>
      <c r="AQ30" s="2197"/>
      <c r="AR30" s="2425"/>
      <c r="AS30" s="2425"/>
      <c r="AT30" s="2545"/>
    </row>
    <row r="31" spans="1:46" ht="75" x14ac:dyDescent="0.25">
      <c r="A31" s="2431"/>
      <c r="B31" s="2432"/>
      <c r="C31" s="2272"/>
      <c r="D31" s="2156"/>
      <c r="E31" s="2272"/>
      <c r="F31" s="2156"/>
      <c r="G31" s="2552"/>
      <c r="H31" s="2556"/>
      <c r="I31" s="2552"/>
      <c r="J31" s="2556"/>
      <c r="K31" s="2552"/>
      <c r="L31" s="2257"/>
      <c r="M31" s="2552"/>
      <c r="N31" s="2257"/>
      <c r="O31" s="2274"/>
      <c r="P31" s="2274"/>
      <c r="Q31" s="2462"/>
      <c r="R31" s="2549"/>
      <c r="S31" s="2461"/>
      <c r="T31" s="2462"/>
      <c r="U31" s="2462"/>
      <c r="V31" s="366" t="s">
        <v>442</v>
      </c>
      <c r="W31" s="69">
        <v>4200000</v>
      </c>
      <c r="X31" s="466" t="s">
        <v>434</v>
      </c>
      <c r="Y31" s="2548"/>
      <c r="Z31" s="2182"/>
      <c r="AA31" s="2197"/>
      <c r="AB31" s="2197"/>
      <c r="AC31" s="2197"/>
      <c r="AD31" s="2197"/>
      <c r="AE31" s="2197"/>
      <c r="AF31" s="2197"/>
      <c r="AG31" s="2197"/>
      <c r="AH31" s="2197"/>
      <c r="AI31" s="2197"/>
      <c r="AJ31" s="2197"/>
      <c r="AK31" s="2197"/>
      <c r="AL31" s="2197"/>
      <c r="AM31" s="2197"/>
      <c r="AN31" s="2197"/>
      <c r="AO31" s="2197"/>
      <c r="AP31" s="2197"/>
      <c r="AQ31" s="2197"/>
      <c r="AR31" s="2425"/>
      <c r="AS31" s="2425"/>
      <c r="AT31" s="2545"/>
    </row>
    <row r="32" spans="1:46" ht="48" customHeight="1" x14ac:dyDescent="0.25">
      <c r="A32" s="2431"/>
      <c r="B32" s="2432"/>
      <c r="C32" s="2272"/>
      <c r="D32" s="2156"/>
      <c r="E32" s="2272"/>
      <c r="F32" s="2156"/>
      <c r="G32" s="2552"/>
      <c r="H32" s="2556"/>
      <c r="I32" s="2552"/>
      <c r="J32" s="2556"/>
      <c r="K32" s="2552"/>
      <c r="L32" s="2257"/>
      <c r="M32" s="2552"/>
      <c r="N32" s="2257"/>
      <c r="O32" s="2274"/>
      <c r="P32" s="2274"/>
      <c r="Q32" s="2462"/>
      <c r="R32" s="2549"/>
      <c r="S32" s="2461"/>
      <c r="T32" s="2462"/>
      <c r="U32" s="2462"/>
      <c r="V32" s="2200" t="s">
        <v>443</v>
      </c>
      <c r="W32" s="69">
        <v>10000000</v>
      </c>
      <c r="X32" s="466" t="s">
        <v>444</v>
      </c>
      <c r="Y32" s="2548"/>
      <c r="Z32" s="2182"/>
      <c r="AA32" s="2197"/>
      <c r="AB32" s="2197"/>
      <c r="AC32" s="2197"/>
      <c r="AD32" s="2197"/>
      <c r="AE32" s="2197"/>
      <c r="AF32" s="2197"/>
      <c r="AG32" s="2197"/>
      <c r="AH32" s="2197"/>
      <c r="AI32" s="2197"/>
      <c r="AJ32" s="2197"/>
      <c r="AK32" s="2197"/>
      <c r="AL32" s="2197"/>
      <c r="AM32" s="2197"/>
      <c r="AN32" s="2197"/>
      <c r="AO32" s="2197"/>
      <c r="AP32" s="2197"/>
      <c r="AQ32" s="2197"/>
      <c r="AR32" s="2425"/>
      <c r="AS32" s="2425"/>
      <c r="AT32" s="2545"/>
    </row>
    <row r="33" spans="1:46" ht="45.75" customHeight="1" x14ac:dyDescent="0.25">
      <c r="A33" s="2431"/>
      <c r="B33" s="2432"/>
      <c r="C33" s="2272"/>
      <c r="D33" s="2156"/>
      <c r="E33" s="2272"/>
      <c r="F33" s="2156"/>
      <c r="G33" s="2552"/>
      <c r="H33" s="2556"/>
      <c r="I33" s="2552"/>
      <c r="J33" s="2556"/>
      <c r="K33" s="2552"/>
      <c r="L33" s="2257"/>
      <c r="M33" s="2552"/>
      <c r="N33" s="2257"/>
      <c r="O33" s="2274"/>
      <c r="P33" s="2274"/>
      <c r="Q33" s="2462"/>
      <c r="R33" s="2549"/>
      <c r="S33" s="2461"/>
      <c r="T33" s="2462"/>
      <c r="U33" s="2462"/>
      <c r="V33" s="2547"/>
      <c r="W33" s="69">
        <v>50000000</v>
      </c>
      <c r="X33" s="466" t="s">
        <v>445</v>
      </c>
      <c r="Y33" s="2548"/>
      <c r="Z33" s="2182"/>
      <c r="AA33" s="2197"/>
      <c r="AB33" s="2197"/>
      <c r="AC33" s="2197"/>
      <c r="AD33" s="2197"/>
      <c r="AE33" s="2197"/>
      <c r="AF33" s="2197"/>
      <c r="AG33" s="2197"/>
      <c r="AH33" s="2197"/>
      <c r="AI33" s="2197"/>
      <c r="AJ33" s="2197"/>
      <c r="AK33" s="2197"/>
      <c r="AL33" s="2197"/>
      <c r="AM33" s="2197"/>
      <c r="AN33" s="2197"/>
      <c r="AO33" s="2197"/>
      <c r="AP33" s="2197"/>
      <c r="AQ33" s="2197"/>
      <c r="AR33" s="2425"/>
      <c r="AS33" s="2425"/>
      <c r="AT33" s="2545"/>
    </row>
    <row r="34" spans="1:46" ht="27.75" customHeight="1" x14ac:dyDescent="0.25">
      <c r="A34" s="2431"/>
      <c r="B34" s="2432"/>
      <c r="C34" s="2272"/>
      <c r="D34" s="2156"/>
      <c r="E34" s="2272"/>
      <c r="F34" s="2156"/>
      <c r="G34" s="2552"/>
      <c r="H34" s="2556"/>
      <c r="I34" s="2552"/>
      <c r="J34" s="2556"/>
      <c r="K34" s="2552"/>
      <c r="L34" s="2257"/>
      <c r="M34" s="2552"/>
      <c r="N34" s="2257"/>
      <c r="O34" s="2274"/>
      <c r="P34" s="2274"/>
      <c r="Q34" s="2462"/>
      <c r="R34" s="2549"/>
      <c r="S34" s="2461"/>
      <c r="T34" s="2462"/>
      <c r="U34" s="2462"/>
      <c r="V34" s="2547"/>
      <c r="W34" s="69">
        <v>40000000</v>
      </c>
      <c r="X34" s="466" t="s">
        <v>446</v>
      </c>
      <c r="Y34" s="2548"/>
      <c r="Z34" s="2182"/>
      <c r="AA34" s="2197"/>
      <c r="AB34" s="2197"/>
      <c r="AC34" s="2197"/>
      <c r="AD34" s="2197"/>
      <c r="AE34" s="2197"/>
      <c r="AF34" s="2197"/>
      <c r="AG34" s="2197"/>
      <c r="AH34" s="2197"/>
      <c r="AI34" s="2197"/>
      <c r="AJ34" s="2197"/>
      <c r="AK34" s="2197"/>
      <c r="AL34" s="2197"/>
      <c r="AM34" s="2197"/>
      <c r="AN34" s="2197"/>
      <c r="AO34" s="2197"/>
      <c r="AP34" s="2197"/>
      <c r="AQ34" s="2197"/>
      <c r="AR34" s="2425"/>
      <c r="AS34" s="2425"/>
      <c r="AT34" s="2545"/>
    </row>
    <row r="35" spans="1:46" ht="32.25" customHeight="1" x14ac:dyDescent="0.25">
      <c r="A35" s="2431"/>
      <c r="B35" s="2432"/>
      <c r="C35" s="2272"/>
      <c r="D35" s="2156"/>
      <c r="E35" s="2272"/>
      <c r="F35" s="2156"/>
      <c r="G35" s="2552"/>
      <c r="H35" s="2556"/>
      <c r="I35" s="2552"/>
      <c r="J35" s="2556"/>
      <c r="K35" s="2552"/>
      <c r="L35" s="2257"/>
      <c r="M35" s="2552"/>
      <c r="N35" s="2257"/>
      <c r="O35" s="2274"/>
      <c r="P35" s="2274"/>
      <c r="Q35" s="2462"/>
      <c r="R35" s="2549"/>
      <c r="S35" s="2461"/>
      <c r="T35" s="2462"/>
      <c r="U35" s="2462"/>
      <c r="V35" s="2345"/>
      <c r="W35" s="69">
        <v>50000000</v>
      </c>
      <c r="X35" s="466" t="s">
        <v>447</v>
      </c>
      <c r="Y35" s="2548"/>
      <c r="Z35" s="2182"/>
      <c r="AA35" s="2197"/>
      <c r="AB35" s="2197"/>
      <c r="AC35" s="2197"/>
      <c r="AD35" s="2197"/>
      <c r="AE35" s="2197"/>
      <c r="AF35" s="2197"/>
      <c r="AG35" s="2197"/>
      <c r="AH35" s="2197"/>
      <c r="AI35" s="2197"/>
      <c r="AJ35" s="2197"/>
      <c r="AK35" s="2197"/>
      <c r="AL35" s="2197"/>
      <c r="AM35" s="2197"/>
      <c r="AN35" s="2197"/>
      <c r="AO35" s="2197"/>
      <c r="AP35" s="2197"/>
      <c r="AQ35" s="2197"/>
      <c r="AR35" s="2425"/>
      <c r="AS35" s="2425"/>
      <c r="AT35" s="2545"/>
    </row>
    <row r="36" spans="1:46" ht="69.75" customHeight="1" x14ac:dyDescent="0.25">
      <c r="A36" s="2431"/>
      <c r="B36" s="2432"/>
      <c r="C36" s="2272"/>
      <c r="D36" s="2156"/>
      <c r="E36" s="2272"/>
      <c r="F36" s="2156"/>
      <c r="G36" s="2552"/>
      <c r="H36" s="2556"/>
      <c r="I36" s="2552"/>
      <c r="J36" s="2556"/>
      <c r="K36" s="2552"/>
      <c r="L36" s="2257"/>
      <c r="M36" s="2552"/>
      <c r="N36" s="2257"/>
      <c r="O36" s="2274"/>
      <c r="P36" s="2274"/>
      <c r="Q36" s="2462"/>
      <c r="R36" s="2549"/>
      <c r="S36" s="2461"/>
      <c r="T36" s="2462"/>
      <c r="U36" s="2462"/>
      <c r="V36" s="493" t="s">
        <v>448</v>
      </c>
      <c r="W36" s="69">
        <v>43257220</v>
      </c>
      <c r="X36" s="466" t="s">
        <v>449</v>
      </c>
      <c r="Y36" s="2548"/>
      <c r="Z36" s="2182"/>
      <c r="AA36" s="2197"/>
      <c r="AB36" s="2197"/>
      <c r="AC36" s="2197"/>
      <c r="AD36" s="2197"/>
      <c r="AE36" s="2197"/>
      <c r="AF36" s="2197"/>
      <c r="AG36" s="2197"/>
      <c r="AH36" s="2197"/>
      <c r="AI36" s="2197"/>
      <c r="AJ36" s="2197"/>
      <c r="AK36" s="2197"/>
      <c r="AL36" s="2197"/>
      <c r="AM36" s="2197"/>
      <c r="AN36" s="2197"/>
      <c r="AO36" s="2197"/>
      <c r="AP36" s="2197"/>
      <c r="AQ36" s="2197"/>
      <c r="AR36" s="2425"/>
      <c r="AS36" s="2425"/>
      <c r="AT36" s="2545"/>
    </row>
    <row r="37" spans="1:46" ht="75" customHeight="1" x14ac:dyDescent="0.25">
      <c r="A37" s="2431"/>
      <c r="B37" s="2432"/>
      <c r="C37" s="2272"/>
      <c r="D37" s="2156"/>
      <c r="E37" s="2272"/>
      <c r="F37" s="2156"/>
      <c r="G37" s="2552"/>
      <c r="H37" s="2556"/>
      <c r="I37" s="2552"/>
      <c r="J37" s="2556"/>
      <c r="K37" s="2552"/>
      <c r="L37" s="2257"/>
      <c r="M37" s="2552"/>
      <c r="N37" s="2257"/>
      <c r="O37" s="2274"/>
      <c r="P37" s="2274"/>
      <c r="Q37" s="2462"/>
      <c r="R37" s="2549"/>
      <c r="S37" s="2461"/>
      <c r="T37" s="2462"/>
      <c r="U37" s="2462"/>
      <c r="V37" s="493" t="s">
        <v>450</v>
      </c>
      <c r="W37" s="69">
        <v>1260000000</v>
      </c>
      <c r="X37" s="466" t="s">
        <v>434</v>
      </c>
      <c r="Y37" s="2548"/>
      <c r="Z37" s="2182"/>
      <c r="AA37" s="2197"/>
      <c r="AB37" s="2197"/>
      <c r="AC37" s="2197"/>
      <c r="AD37" s="2197"/>
      <c r="AE37" s="2197"/>
      <c r="AF37" s="2197"/>
      <c r="AG37" s="2197"/>
      <c r="AH37" s="2197"/>
      <c r="AI37" s="2197"/>
      <c r="AJ37" s="2197"/>
      <c r="AK37" s="2197"/>
      <c r="AL37" s="2197"/>
      <c r="AM37" s="2197"/>
      <c r="AN37" s="2197"/>
      <c r="AO37" s="2197"/>
      <c r="AP37" s="2197"/>
      <c r="AQ37" s="2197"/>
      <c r="AR37" s="2425"/>
      <c r="AS37" s="2425"/>
      <c r="AT37" s="2545"/>
    </row>
    <row r="38" spans="1:46" ht="45" x14ac:dyDescent="0.25">
      <c r="A38" s="2431"/>
      <c r="B38" s="2432"/>
      <c r="C38" s="2272"/>
      <c r="D38" s="2156"/>
      <c r="E38" s="2272"/>
      <c r="F38" s="2156"/>
      <c r="G38" s="2552"/>
      <c r="H38" s="2556"/>
      <c r="I38" s="2552"/>
      <c r="J38" s="2556"/>
      <c r="K38" s="2552"/>
      <c r="L38" s="2257"/>
      <c r="M38" s="2552"/>
      <c r="N38" s="2257"/>
      <c r="O38" s="2274"/>
      <c r="P38" s="2274"/>
      <c r="Q38" s="2462"/>
      <c r="R38" s="2549"/>
      <c r="S38" s="2461"/>
      <c r="T38" s="2462"/>
      <c r="U38" s="2462"/>
      <c r="V38" s="362" t="s">
        <v>451</v>
      </c>
      <c r="W38" s="69">
        <v>140000000</v>
      </c>
      <c r="X38" s="466" t="s">
        <v>434</v>
      </c>
      <c r="Y38" s="2548"/>
      <c r="Z38" s="2182"/>
      <c r="AA38" s="2197"/>
      <c r="AB38" s="2197"/>
      <c r="AC38" s="2197"/>
      <c r="AD38" s="2197"/>
      <c r="AE38" s="2197"/>
      <c r="AF38" s="2197"/>
      <c r="AG38" s="2197"/>
      <c r="AH38" s="2197"/>
      <c r="AI38" s="2197"/>
      <c r="AJ38" s="2197"/>
      <c r="AK38" s="2197"/>
      <c r="AL38" s="2197"/>
      <c r="AM38" s="2197"/>
      <c r="AN38" s="2197"/>
      <c r="AO38" s="2197"/>
      <c r="AP38" s="2197"/>
      <c r="AQ38" s="2197"/>
      <c r="AR38" s="2425"/>
      <c r="AS38" s="2425"/>
      <c r="AT38" s="2545"/>
    </row>
    <row r="39" spans="1:46" ht="60" x14ac:dyDescent="0.25">
      <c r="A39" s="2431"/>
      <c r="B39" s="2432"/>
      <c r="C39" s="2273"/>
      <c r="D39" s="2484"/>
      <c r="E39" s="2273"/>
      <c r="F39" s="2484"/>
      <c r="G39" s="2552"/>
      <c r="H39" s="2556"/>
      <c r="I39" s="2552"/>
      <c r="J39" s="2556"/>
      <c r="K39" s="2552"/>
      <c r="L39" s="2257"/>
      <c r="M39" s="2552"/>
      <c r="N39" s="2257"/>
      <c r="O39" s="2274"/>
      <c r="P39" s="2274"/>
      <c r="Q39" s="2462"/>
      <c r="R39" s="2549"/>
      <c r="S39" s="2461"/>
      <c r="T39" s="2462"/>
      <c r="U39" s="2462"/>
      <c r="V39" s="366" t="s">
        <v>452</v>
      </c>
      <c r="W39" s="69">
        <v>60000000</v>
      </c>
      <c r="X39" s="466" t="s">
        <v>434</v>
      </c>
      <c r="Y39" s="2548"/>
      <c r="Z39" s="2182"/>
      <c r="AA39" s="2197"/>
      <c r="AB39" s="2197"/>
      <c r="AC39" s="2197"/>
      <c r="AD39" s="2197"/>
      <c r="AE39" s="2197"/>
      <c r="AF39" s="2197"/>
      <c r="AG39" s="2197"/>
      <c r="AH39" s="2197"/>
      <c r="AI39" s="2197"/>
      <c r="AJ39" s="2197"/>
      <c r="AK39" s="2197"/>
      <c r="AL39" s="2197"/>
      <c r="AM39" s="2197"/>
      <c r="AN39" s="2197"/>
      <c r="AO39" s="2197"/>
      <c r="AP39" s="2197"/>
      <c r="AQ39" s="2197"/>
      <c r="AR39" s="2425"/>
      <c r="AS39" s="2425"/>
      <c r="AT39" s="2546"/>
    </row>
    <row r="40" spans="1:46" ht="15.75" x14ac:dyDescent="0.25">
      <c r="A40" s="2431"/>
      <c r="B40" s="2432"/>
      <c r="C40" s="469">
        <v>33</v>
      </c>
      <c r="D40" s="2435" t="s">
        <v>453</v>
      </c>
      <c r="E40" s="2435"/>
      <c r="F40" s="2435"/>
      <c r="G40" s="2435"/>
      <c r="H40" s="2435"/>
      <c r="I40" s="2435"/>
      <c r="J40" s="2435"/>
      <c r="K40" s="2435"/>
      <c r="L40" s="2435"/>
      <c r="M40" s="2435"/>
      <c r="N40" s="2435"/>
      <c r="O40" s="472"/>
      <c r="P40" s="472"/>
      <c r="Q40" s="473"/>
      <c r="R40" s="489"/>
      <c r="S40" s="490"/>
      <c r="T40" s="473"/>
      <c r="U40" s="473"/>
      <c r="V40" s="494"/>
      <c r="W40" s="478"/>
      <c r="X40" s="479"/>
      <c r="Y40" s="480"/>
      <c r="Z40" s="473"/>
      <c r="AA40" s="472"/>
      <c r="AB40" s="472"/>
      <c r="AC40" s="472"/>
      <c r="AD40" s="472"/>
      <c r="AE40" s="472"/>
      <c r="AF40" s="472"/>
      <c r="AG40" s="472"/>
      <c r="AH40" s="472"/>
      <c r="AI40" s="472"/>
      <c r="AJ40" s="472"/>
      <c r="AK40" s="472"/>
      <c r="AL40" s="472"/>
      <c r="AM40" s="472"/>
      <c r="AN40" s="472"/>
      <c r="AO40" s="472"/>
      <c r="AP40" s="472"/>
      <c r="AQ40" s="472"/>
      <c r="AR40" s="482"/>
      <c r="AS40" s="482"/>
      <c r="AT40" s="495"/>
    </row>
    <row r="41" spans="1:46" s="3" customFormat="1" ht="15.75" x14ac:dyDescent="0.25">
      <c r="A41" s="2431"/>
      <c r="B41" s="2432"/>
      <c r="C41" s="2482"/>
      <c r="D41" s="2483"/>
      <c r="E41" s="496">
        <v>3301</v>
      </c>
      <c r="F41" s="2442" t="s">
        <v>454</v>
      </c>
      <c r="G41" s="2442"/>
      <c r="H41" s="2442"/>
      <c r="I41" s="2442"/>
      <c r="J41" s="2442"/>
      <c r="K41" s="2442"/>
      <c r="L41" s="2442"/>
      <c r="M41" s="2442"/>
      <c r="N41" s="173"/>
      <c r="O41" s="169"/>
      <c r="P41" s="169"/>
      <c r="Q41" s="173"/>
      <c r="R41" s="171"/>
      <c r="S41" s="483"/>
      <c r="T41" s="173"/>
      <c r="U41" s="173"/>
      <c r="V41" s="173"/>
      <c r="W41" s="484"/>
      <c r="X41" s="62"/>
      <c r="Y41" s="174"/>
      <c r="Z41" s="173"/>
      <c r="AA41" s="169"/>
      <c r="AB41" s="169"/>
      <c r="AC41" s="169"/>
      <c r="AD41" s="169"/>
      <c r="AE41" s="169"/>
      <c r="AF41" s="169"/>
      <c r="AG41" s="169"/>
      <c r="AH41" s="169"/>
      <c r="AI41" s="169"/>
      <c r="AJ41" s="169"/>
      <c r="AK41" s="169"/>
      <c r="AL41" s="169"/>
      <c r="AM41" s="169"/>
      <c r="AN41" s="169"/>
      <c r="AO41" s="169"/>
      <c r="AP41" s="169"/>
      <c r="AQ41" s="169"/>
      <c r="AR41" s="169"/>
      <c r="AS41" s="169"/>
      <c r="AT41" s="173"/>
    </row>
    <row r="42" spans="1:46" ht="135" customHeight="1" x14ac:dyDescent="0.25">
      <c r="A42" s="2431"/>
      <c r="B42" s="2432"/>
      <c r="C42" s="2272"/>
      <c r="D42" s="2156"/>
      <c r="E42" s="2464"/>
      <c r="F42" s="2465"/>
      <c r="G42" s="2539" t="s">
        <v>455</v>
      </c>
      <c r="H42" s="2540" t="s">
        <v>456</v>
      </c>
      <c r="I42" s="2539" t="s">
        <v>455</v>
      </c>
      <c r="J42" s="2541" t="s">
        <v>456</v>
      </c>
      <c r="K42" s="2415" t="s">
        <v>457</v>
      </c>
      <c r="L42" s="2412" t="s">
        <v>458</v>
      </c>
      <c r="M42" s="2415" t="s">
        <v>457</v>
      </c>
      <c r="N42" s="2412" t="s">
        <v>458</v>
      </c>
      <c r="O42" s="2293">
        <v>2</v>
      </c>
      <c r="P42" s="2293" t="s">
        <v>459</v>
      </c>
      <c r="Q42" s="2283" t="s">
        <v>460</v>
      </c>
      <c r="R42" s="2536">
        <f>SUM(W42:W48)/S42</f>
        <v>1</v>
      </c>
      <c r="S42" s="2455">
        <f>SUM(W42:W48)</f>
        <v>90000000</v>
      </c>
      <c r="T42" s="2283" t="s">
        <v>461</v>
      </c>
      <c r="U42" s="2517" t="s">
        <v>462</v>
      </c>
      <c r="V42" s="364" t="s">
        <v>463</v>
      </c>
      <c r="W42" s="69">
        <v>10000000</v>
      </c>
      <c r="X42" s="466" t="s">
        <v>464</v>
      </c>
      <c r="Y42" s="2470" t="s">
        <v>419</v>
      </c>
      <c r="Z42" s="2293" t="s">
        <v>420</v>
      </c>
      <c r="AA42" s="2198">
        <v>295972</v>
      </c>
      <c r="AB42" s="2198">
        <v>285580</v>
      </c>
      <c r="AC42" s="2198">
        <v>135545</v>
      </c>
      <c r="AD42" s="2198">
        <v>44254</v>
      </c>
      <c r="AE42" s="2198">
        <v>309146</v>
      </c>
      <c r="AF42" s="2198">
        <v>92607</v>
      </c>
      <c r="AG42" s="2198">
        <v>2145</v>
      </c>
      <c r="AH42" s="2198">
        <v>12718</v>
      </c>
      <c r="AI42" s="2198">
        <v>26</v>
      </c>
      <c r="AJ42" s="2198">
        <v>37</v>
      </c>
      <c r="AK42" s="2198">
        <v>0</v>
      </c>
      <c r="AL42" s="2198">
        <v>0</v>
      </c>
      <c r="AM42" s="2198">
        <v>44350</v>
      </c>
      <c r="AN42" s="2198">
        <v>21944</v>
      </c>
      <c r="AO42" s="2198"/>
      <c r="AP42" s="2198">
        <v>75687</v>
      </c>
      <c r="AQ42" s="2198">
        <v>581552</v>
      </c>
      <c r="AR42" s="2450">
        <v>44197</v>
      </c>
      <c r="AS42" s="2450">
        <v>44561</v>
      </c>
      <c r="AT42" s="2527" t="s">
        <v>404</v>
      </c>
    </row>
    <row r="43" spans="1:46" ht="45" x14ac:dyDescent="0.25">
      <c r="A43" s="2431"/>
      <c r="B43" s="2432"/>
      <c r="C43" s="2272"/>
      <c r="D43" s="2156"/>
      <c r="E43" s="2485"/>
      <c r="F43" s="2486"/>
      <c r="G43" s="2539"/>
      <c r="H43" s="2540"/>
      <c r="I43" s="2539"/>
      <c r="J43" s="2542"/>
      <c r="K43" s="2416"/>
      <c r="L43" s="2413"/>
      <c r="M43" s="2416"/>
      <c r="N43" s="2413"/>
      <c r="O43" s="2266"/>
      <c r="P43" s="2266"/>
      <c r="Q43" s="2284"/>
      <c r="R43" s="2537"/>
      <c r="S43" s="2456"/>
      <c r="T43" s="2284"/>
      <c r="U43" s="2518"/>
      <c r="V43" s="373" t="s">
        <v>465</v>
      </c>
      <c r="W43" s="69">
        <v>10000000</v>
      </c>
      <c r="X43" s="466" t="s">
        <v>464</v>
      </c>
      <c r="Y43" s="2471"/>
      <c r="Z43" s="2266"/>
      <c r="AA43" s="2308"/>
      <c r="AB43" s="2308"/>
      <c r="AC43" s="2308"/>
      <c r="AD43" s="2308"/>
      <c r="AE43" s="2308"/>
      <c r="AF43" s="2308"/>
      <c r="AG43" s="2308"/>
      <c r="AH43" s="2308"/>
      <c r="AI43" s="2308"/>
      <c r="AJ43" s="2308"/>
      <c r="AK43" s="2308"/>
      <c r="AL43" s="2308"/>
      <c r="AM43" s="2308"/>
      <c r="AN43" s="2308"/>
      <c r="AO43" s="2308"/>
      <c r="AP43" s="2308"/>
      <c r="AQ43" s="2308"/>
      <c r="AR43" s="2451"/>
      <c r="AS43" s="2451"/>
      <c r="AT43" s="2528"/>
    </row>
    <row r="44" spans="1:46" ht="60" customHeight="1" x14ac:dyDescent="0.25">
      <c r="A44" s="2431"/>
      <c r="B44" s="2432"/>
      <c r="C44" s="2272"/>
      <c r="D44" s="2156"/>
      <c r="E44" s="2485"/>
      <c r="F44" s="2486"/>
      <c r="G44" s="2539"/>
      <c r="H44" s="2540"/>
      <c r="I44" s="2539"/>
      <c r="J44" s="2542"/>
      <c r="K44" s="2416"/>
      <c r="L44" s="2413"/>
      <c r="M44" s="2416"/>
      <c r="N44" s="2413"/>
      <c r="O44" s="2266"/>
      <c r="P44" s="2266"/>
      <c r="Q44" s="2284"/>
      <c r="R44" s="2537"/>
      <c r="S44" s="2456"/>
      <c r="T44" s="2284"/>
      <c r="U44" s="2518"/>
      <c r="V44" s="2515" t="s">
        <v>466</v>
      </c>
      <c r="W44" s="69">
        <v>3000000</v>
      </c>
      <c r="X44" s="466" t="s">
        <v>467</v>
      </c>
      <c r="Y44" s="2471"/>
      <c r="Z44" s="2266"/>
      <c r="AA44" s="2308"/>
      <c r="AB44" s="2308"/>
      <c r="AC44" s="2308"/>
      <c r="AD44" s="2308"/>
      <c r="AE44" s="2308"/>
      <c r="AF44" s="2308"/>
      <c r="AG44" s="2308"/>
      <c r="AH44" s="2308"/>
      <c r="AI44" s="2308"/>
      <c r="AJ44" s="2308"/>
      <c r="AK44" s="2308"/>
      <c r="AL44" s="2308"/>
      <c r="AM44" s="2308"/>
      <c r="AN44" s="2308"/>
      <c r="AO44" s="2308"/>
      <c r="AP44" s="2308"/>
      <c r="AQ44" s="2308"/>
      <c r="AR44" s="2451"/>
      <c r="AS44" s="2451"/>
      <c r="AT44" s="2528"/>
    </row>
    <row r="45" spans="1:46" ht="30.75" customHeight="1" x14ac:dyDescent="0.25">
      <c r="A45" s="2431"/>
      <c r="B45" s="2432"/>
      <c r="C45" s="2272"/>
      <c r="D45" s="2156"/>
      <c r="E45" s="2485"/>
      <c r="F45" s="2486"/>
      <c r="G45" s="2539"/>
      <c r="H45" s="2540"/>
      <c r="I45" s="2539"/>
      <c r="J45" s="2542"/>
      <c r="K45" s="2416"/>
      <c r="L45" s="2413"/>
      <c r="M45" s="2416"/>
      <c r="N45" s="2413"/>
      <c r="O45" s="2266"/>
      <c r="P45" s="2266"/>
      <c r="Q45" s="2284"/>
      <c r="R45" s="2537"/>
      <c r="S45" s="2456"/>
      <c r="T45" s="2284"/>
      <c r="U45" s="2518"/>
      <c r="V45" s="2281"/>
      <c r="W45" s="69">
        <v>5000000</v>
      </c>
      <c r="X45" s="466" t="s">
        <v>468</v>
      </c>
      <c r="Y45" s="2471"/>
      <c r="Z45" s="2266"/>
      <c r="AA45" s="2308"/>
      <c r="AB45" s="2308"/>
      <c r="AC45" s="2308"/>
      <c r="AD45" s="2308"/>
      <c r="AE45" s="2308"/>
      <c r="AF45" s="2308"/>
      <c r="AG45" s="2308"/>
      <c r="AH45" s="2308"/>
      <c r="AI45" s="2308"/>
      <c r="AJ45" s="2308"/>
      <c r="AK45" s="2308"/>
      <c r="AL45" s="2308"/>
      <c r="AM45" s="2308"/>
      <c r="AN45" s="2308"/>
      <c r="AO45" s="2308"/>
      <c r="AP45" s="2308"/>
      <c r="AQ45" s="2308"/>
      <c r="AR45" s="2451"/>
      <c r="AS45" s="2451"/>
      <c r="AT45" s="2528"/>
    </row>
    <row r="46" spans="1:46" ht="29.25" customHeight="1" x14ac:dyDescent="0.25">
      <c r="A46" s="2431"/>
      <c r="B46" s="2432"/>
      <c r="C46" s="2272"/>
      <c r="D46" s="2156"/>
      <c r="E46" s="2485"/>
      <c r="F46" s="2486"/>
      <c r="G46" s="2539"/>
      <c r="H46" s="2540"/>
      <c r="I46" s="2539"/>
      <c r="J46" s="2542"/>
      <c r="K46" s="2416"/>
      <c r="L46" s="2413"/>
      <c r="M46" s="2416"/>
      <c r="N46" s="2413"/>
      <c r="O46" s="2266"/>
      <c r="P46" s="2266"/>
      <c r="Q46" s="2284"/>
      <c r="R46" s="2537"/>
      <c r="S46" s="2456"/>
      <c r="T46" s="2284"/>
      <c r="U46" s="2518"/>
      <c r="V46" s="2281"/>
      <c r="W46" s="69">
        <v>1500000</v>
      </c>
      <c r="X46" s="466" t="s">
        <v>469</v>
      </c>
      <c r="Y46" s="2471"/>
      <c r="Z46" s="2266"/>
      <c r="AA46" s="2308"/>
      <c r="AB46" s="2308"/>
      <c r="AC46" s="2308"/>
      <c r="AD46" s="2308"/>
      <c r="AE46" s="2308"/>
      <c r="AF46" s="2308"/>
      <c r="AG46" s="2308"/>
      <c r="AH46" s="2308"/>
      <c r="AI46" s="2308"/>
      <c r="AJ46" s="2308"/>
      <c r="AK46" s="2308"/>
      <c r="AL46" s="2308"/>
      <c r="AM46" s="2308"/>
      <c r="AN46" s="2308"/>
      <c r="AO46" s="2308"/>
      <c r="AP46" s="2308"/>
      <c r="AQ46" s="2308"/>
      <c r="AR46" s="2451"/>
      <c r="AS46" s="2451"/>
      <c r="AT46" s="2528"/>
    </row>
    <row r="47" spans="1:46" ht="30" customHeight="1" x14ac:dyDescent="0.25">
      <c r="A47" s="2431"/>
      <c r="B47" s="2432"/>
      <c r="C47" s="2272"/>
      <c r="D47" s="2156"/>
      <c r="E47" s="2485"/>
      <c r="F47" s="2486"/>
      <c r="G47" s="2539"/>
      <c r="H47" s="2540"/>
      <c r="I47" s="2539"/>
      <c r="J47" s="2542"/>
      <c r="K47" s="2416"/>
      <c r="L47" s="2413"/>
      <c r="M47" s="2416"/>
      <c r="N47" s="2413"/>
      <c r="O47" s="2266"/>
      <c r="P47" s="2266"/>
      <c r="Q47" s="2284"/>
      <c r="R47" s="2537"/>
      <c r="S47" s="2456"/>
      <c r="T47" s="2284"/>
      <c r="U47" s="2518"/>
      <c r="V47" s="2282"/>
      <c r="W47" s="69">
        <v>500000</v>
      </c>
      <c r="X47" s="466" t="s">
        <v>470</v>
      </c>
      <c r="Y47" s="2471"/>
      <c r="Z47" s="2266"/>
      <c r="AA47" s="2308"/>
      <c r="AB47" s="2308"/>
      <c r="AC47" s="2308"/>
      <c r="AD47" s="2308"/>
      <c r="AE47" s="2308"/>
      <c r="AF47" s="2308"/>
      <c r="AG47" s="2308"/>
      <c r="AH47" s="2308"/>
      <c r="AI47" s="2308"/>
      <c r="AJ47" s="2308"/>
      <c r="AK47" s="2308"/>
      <c r="AL47" s="2308"/>
      <c r="AM47" s="2308"/>
      <c r="AN47" s="2308"/>
      <c r="AO47" s="2308"/>
      <c r="AP47" s="2308"/>
      <c r="AQ47" s="2308"/>
      <c r="AR47" s="2451"/>
      <c r="AS47" s="2451"/>
      <c r="AT47" s="2528"/>
    </row>
    <row r="48" spans="1:46" ht="60" x14ac:dyDescent="0.25">
      <c r="A48" s="2431"/>
      <c r="B48" s="2432"/>
      <c r="C48" s="2273"/>
      <c r="D48" s="2484"/>
      <c r="E48" s="2466"/>
      <c r="F48" s="2467"/>
      <c r="G48" s="2539"/>
      <c r="H48" s="2540"/>
      <c r="I48" s="2539"/>
      <c r="J48" s="2543"/>
      <c r="K48" s="2417"/>
      <c r="L48" s="2414"/>
      <c r="M48" s="2417"/>
      <c r="N48" s="2414"/>
      <c r="O48" s="2267"/>
      <c r="P48" s="2267"/>
      <c r="Q48" s="2285"/>
      <c r="R48" s="2538"/>
      <c r="S48" s="2457"/>
      <c r="T48" s="2285"/>
      <c r="U48" s="2519"/>
      <c r="V48" s="379" t="s">
        <v>471</v>
      </c>
      <c r="W48" s="69">
        <v>60000000</v>
      </c>
      <c r="X48" s="466" t="s">
        <v>472</v>
      </c>
      <c r="Y48" s="2472"/>
      <c r="Z48" s="2267"/>
      <c r="AA48" s="2309"/>
      <c r="AB48" s="2309"/>
      <c r="AC48" s="2309"/>
      <c r="AD48" s="2309"/>
      <c r="AE48" s="2309"/>
      <c r="AF48" s="2309"/>
      <c r="AG48" s="2309"/>
      <c r="AH48" s="2309"/>
      <c r="AI48" s="2309"/>
      <c r="AJ48" s="2309"/>
      <c r="AK48" s="2309"/>
      <c r="AL48" s="2309"/>
      <c r="AM48" s="2309"/>
      <c r="AN48" s="2309"/>
      <c r="AO48" s="2309"/>
      <c r="AP48" s="2309"/>
      <c r="AQ48" s="2309"/>
      <c r="AR48" s="2452"/>
      <c r="AS48" s="2452"/>
      <c r="AT48" s="2529"/>
    </row>
    <row r="49" spans="1:46" ht="15.75" x14ac:dyDescent="0.25">
      <c r="A49" s="2431"/>
      <c r="B49" s="2432"/>
      <c r="C49" s="469">
        <v>43</v>
      </c>
      <c r="D49" s="2530" t="s">
        <v>473</v>
      </c>
      <c r="E49" s="2531"/>
      <c r="F49" s="2531"/>
      <c r="G49" s="2531"/>
      <c r="H49" s="2531"/>
      <c r="I49" s="2531"/>
      <c r="J49" s="2531"/>
      <c r="K49" s="2532"/>
      <c r="L49" s="471"/>
      <c r="M49" s="470"/>
      <c r="N49" s="471"/>
      <c r="O49" s="472"/>
      <c r="P49" s="472"/>
      <c r="Q49" s="473"/>
      <c r="R49" s="489"/>
      <c r="S49" s="490"/>
      <c r="T49" s="473"/>
      <c r="U49" s="473"/>
      <c r="V49" s="494"/>
      <c r="W49" s="478"/>
      <c r="X49" s="479"/>
      <c r="Y49" s="480"/>
      <c r="Z49" s="473"/>
      <c r="AA49" s="472"/>
      <c r="AB49" s="472"/>
      <c r="AC49" s="472"/>
      <c r="AD49" s="472"/>
      <c r="AE49" s="472"/>
      <c r="AF49" s="472"/>
      <c r="AG49" s="472"/>
      <c r="AH49" s="472"/>
      <c r="AI49" s="472"/>
      <c r="AJ49" s="472"/>
      <c r="AK49" s="472"/>
      <c r="AL49" s="472"/>
      <c r="AM49" s="472"/>
      <c r="AN49" s="472"/>
      <c r="AO49" s="472"/>
      <c r="AP49" s="472"/>
      <c r="AQ49" s="472"/>
      <c r="AR49" s="482"/>
      <c r="AS49" s="482"/>
      <c r="AT49" s="476"/>
    </row>
    <row r="50" spans="1:46" s="3" customFormat="1" ht="15.75" x14ac:dyDescent="0.25">
      <c r="A50" s="2431"/>
      <c r="B50" s="2432"/>
      <c r="C50" s="2482"/>
      <c r="D50" s="2483"/>
      <c r="E50" s="169">
        <v>4301</v>
      </c>
      <c r="F50" s="268" t="s">
        <v>474</v>
      </c>
      <c r="G50" s="268"/>
      <c r="H50" s="173"/>
      <c r="I50" s="268"/>
      <c r="J50" s="173"/>
      <c r="K50" s="268"/>
      <c r="L50" s="173"/>
      <c r="M50" s="169"/>
      <c r="N50" s="173"/>
      <c r="O50" s="169"/>
      <c r="P50" s="169"/>
      <c r="Q50" s="173"/>
      <c r="R50" s="171"/>
      <c r="S50" s="483"/>
      <c r="T50" s="173"/>
      <c r="U50" s="173"/>
      <c r="V50" s="173"/>
      <c r="W50" s="484"/>
      <c r="X50" s="62"/>
      <c r="Y50" s="174"/>
      <c r="Z50" s="173"/>
      <c r="AA50" s="169"/>
      <c r="AB50" s="169"/>
      <c r="AC50" s="169"/>
      <c r="AD50" s="169"/>
      <c r="AE50" s="169"/>
      <c r="AF50" s="169"/>
      <c r="AG50" s="169"/>
      <c r="AH50" s="169"/>
      <c r="AI50" s="169"/>
      <c r="AJ50" s="169"/>
      <c r="AK50" s="169"/>
      <c r="AL50" s="169"/>
      <c r="AM50" s="169"/>
      <c r="AN50" s="169"/>
      <c r="AO50" s="169"/>
      <c r="AP50" s="169"/>
      <c r="AQ50" s="169"/>
      <c r="AR50" s="169"/>
      <c r="AS50" s="169"/>
      <c r="AT50" s="173"/>
    </row>
    <row r="51" spans="1:46" ht="36.75" customHeight="1" x14ac:dyDescent="0.25">
      <c r="A51" s="2431"/>
      <c r="B51" s="2432"/>
      <c r="C51" s="2272"/>
      <c r="D51" s="2156"/>
      <c r="E51" s="2482"/>
      <c r="F51" s="2483"/>
      <c r="G51" s="2524" t="s">
        <v>62</v>
      </c>
      <c r="H51" s="2421" t="s">
        <v>475</v>
      </c>
      <c r="I51" s="2524">
        <v>4301004</v>
      </c>
      <c r="J51" s="2421" t="s">
        <v>476</v>
      </c>
      <c r="K51" s="2533"/>
      <c r="L51" s="2421" t="s">
        <v>477</v>
      </c>
      <c r="M51" s="2524">
        <v>430100401</v>
      </c>
      <c r="N51" s="2421" t="s">
        <v>478</v>
      </c>
      <c r="O51" s="2293">
        <v>3</v>
      </c>
      <c r="P51" s="2293" t="s">
        <v>479</v>
      </c>
      <c r="Q51" s="2283" t="s">
        <v>480</v>
      </c>
      <c r="R51" s="2323">
        <f>SUM(W51:W72)/S51</f>
        <v>1</v>
      </c>
      <c r="S51" s="2455">
        <f>SUM(W51:W72)</f>
        <v>2885783074.3600001</v>
      </c>
      <c r="T51" s="2283" t="s">
        <v>481</v>
      </c>
      <c r="U51" s="2517" t="s">
        <v>482</v>
      </c>
      <c r="V51" s="2520" t="s">
        <v>448</v>
      </c>
      <c r="W51" s="497">
        <f>1096073375-1096073375</f>
        <v>0</v>
      </c>
      <c r="X51" s="466" t="s">
        <v>483</v>
      </c>
      <c r="Y51" s="2521" t="s">
        <v>484</v>
      </c>
      <c r="Z51" s="2198" t="s">
        <v>485</v>
      </c>
      <c r="AA51" s="2198">
        <v>295972</v>
      </c>
      <c r="AB51" s="2198">
        <v>285580</v>
      </c>
      <c r="AC51" s="2198">
        <v>135545</v>
      </c>
      <c r="AD51" s="2198">
        <v>44254</v>
      </c>
      <c r="AE51" s="2198">
        <v>309146</v>
      </c>
      <c r="AF51" s="2198">
        <v>92607</v>
      </c>
      <c r="AG51" s="2198">
        <v>2145</v>
      </c>
      <c r="AH51" s="2198">
        <v>12718</v>
      </c>
      <c r="AI51" s="2198">
        <v>26</v>
      </c>
      <c r="AJ51" s="2198">
        <v>37</v>
      </c>
      <c r="AK51" s="2198">
        <v>0</v>
      </c>
      <c r="AL51" s="2198">
        <v>0</v>
      </c>
      <c r="AM51" s="2198">
        <v>44350</v>
      </c>
      <c r="AN51" s="2198">
        <v>21944</v>
      </c>
      <c r="AO51" s="2198"/>
      <c r="AP51" s="2198">
        <v>75687</v>
      </c>
      <c r="AQ51" s="2198">
        <v>581552</v>
      </c>
      <c r="AR51" s="2450">
        <v>44197</v>
      </c>
      <c r="AS51" s="2450">
        <v>44561</v>
      </c>
      <c r="AT51" s="2426" t="s">
        <v>404</v>
      </c>
    </row>
    <row r="52" spans="1:46" ht="34.5" customHeight="1" x14ac:dyDescent="0.25">
      <c r="A52" s="2431"/>
      <c r="B52" s="2432"/>
      <c r="C52" s="2272"/>
      <c r="D52" s="2156"/>
      <c r="E52" s="2272"/>
      <c r="F52" s="2156"/>
      <c r="G52" s="2525"/>
      <c r="H52" s="2422"/>
      <c r="I52" s="2525"/>
      <c r="J52" s="2422"/>
      <c r="K52" s="2534"/>
      <c r="L52" s="2422"/>
      <c r="M52" s="2525"/>
      <c r="N52" s="2422"/>
      <c r="O52" s="2266"/>
      <c r="P52" s="2266"/>
      <c r="Q52" s="2284"/>
      <c r="R52" s="2453"/>
      <c r="S52" s="2456"/>
      <c r="T52" s="2284"/>
      <c r="U52" s="2518"/>
      <c r="V52" s="2520"/>
      <c r="W52" s="497">
        <v>60000000</v>
      </c>
      <c r="X52" s="466" t="s">
        <v>486</v>
      </c>
      <c r="Y52" s="2522"/>
      <c r="Z52" s="2308"/>
      <c r="AA52" s="2308"/>
      <c r="AB52" s="2308"/>
      <c r="AC52" s="2308"/>
      <c r="AD52" s="2308"/>
      <c r="AE52" s="2308"/>
      <c r="AF52" s="2308"/>
      <c r="AG52" s="2308"/>
      <c r="AH52" s="2308"/>
      <c r="AI52" s="2308"/>
      <c r="AJ52" s="2308"/>
      <c r="AK52" s="2308"/>
      <c r="AL52" s="2308"/>
      <c r="AM52" s="2308"/>
      <c r="AN52" s="2308"/>
      <c r="AO52" s="2308"/>
      <c r="AP52" s="2308"/>
      <c r="AQ52" s="2308"/>
      <c r="AR52" s="2451"/>
      <c r="AS52" s="2451"/>
      <c r="AT52" s="2427"/>
    </row>
    <row r="53" spans="1:46" ht="34.5" customHeight="1" x14ac:dyDescent="0.25">
      <c r="A53" s="2431"/>
      <c r="B53" s="2432"/>
      <c r="C53" s="2272"/>
      <c r="D53" s="2156"/>
      <c r="E53" s="2272"/>
      <c r="F53" s="2156"/>
      <c r="G53" s="2525"/>
      <c r="H53" s="2422"/>
      <c r="I53" s="2525"/>
      <c r="J53" s="2422"/>
      <c r="K53" s="2534"/>
      <c r="L53" s="2422"/>
      <c r="M53" s="2525"/>
      <c r="N53" s="2422"/>
      <c r="O53" s="2266"/>
      <c r="P53" s="2266"/>
      <c r="Q53" s="2284"/>
      <c r="R53" s="2453"/>
      <c r="S53" s="2456"/>
      <c r="T53" s="2284"/>
      <c r="U53" s="2518"/>
      <c r="V53" s="2280" t="s">
        <v>487</v>
      </c>
      <c r="W53" s="69">
        <f>300000000-300000000</f>
        <v>0</v>
      </c>
      <c r="X53" s="466" t="s">
        <v>483</v>
      </c>
      <c r="Y53" s="2522"/>
      <c r="Z53" s="2308"/>
      <c r="AA53" s="2308"/>
      <c r="AB53" s="2308"/>
      <c r="AC53" s="2308"/>
      <c r="AD53" s="2308"/>
      <c r="AE53" s="2308"/>
      <c r="AF53" s="2308"/>
      <c r="AG53" s="2308"/>
      <c r="AH53" s="2308"/>
      <c r="AI53" s="2308"/>
      <c r="AJ53" s="2308"/>
      <c r="AK53" s="2308"/>
      <c r="AL53" s="2308"/>
      <c r="AM53" s="2308"/>
      <c r="AN53" s="2308"/>
      <c r="AO53" s="2308"/>
      <c r="AP53" s="2308"/>
      <c r="AQ53" s="2308"/>
      <c r="AR53" s="2451"/>
      <c r="AS53" s="2451"/>
      <c r="AT53" s="2427"/>
    </row>
    <row r="54" spans="1:46" ht="38.25" customHeight="1" x14ac:dyDescent="0.25">
      <c r="A54" s="2431"/>
      <c r="B54" s="2432"/>
      <c r="C54" s="2272"/>
      <c r="D54" s="2156"/>
      <c r="E54" s="2272"/>
      <c r="F54" s="2156"/>
      <c r="G54" s="2525"/>
      <c r="H54" s="2422"/>
      <c r="I54" s="2525"/>
      <c r="J54" s="2422"/>
      <c r="K54" s="2534"/>
      <c r="L54" s="2422"/>
      <c r="M54" s="2525"/>
      <c r="N54" s="2422"/>
      <c r="O54" s="2266"/>
      <c r="P54" s="2266"/>
      <c r="Q54" s="2284"/>
      <c r="R54" s="2453"/>
      <c r="S54" s="2456"/>
      <c r="T54" s="2284"/>
      <c r="U54" s="2518"/>
      <c r="V54" s="2281"/>
      <c r="W54" s="69">
        <f>130000000-80000000</f>
        <v>50000000</v>
      </c>
      <c r="X54" s="466" t="s">
        <v>488</v>
      </c>
      <c r="Y54" s="2522"/>
      <c r="Z54" s="2308"/>
      <c r="AA54" s="2308"/>
      <c r="AB54" s="2308"/>
      <c r="AC54" s="2308"/>
      <c r="AD54" s="2308"/>
      <c r="AE54" s="2308"/>
      <c r="AF54" s="2308"/>
      <c r="AG54" s="2308"/>
      <c r="AH54" s="2308"/>
      <c r="AI54" s="2308"/>
      <c r="AJ54" s="2308"/>
      <c r="AK54" s="2308"/>
      <c r="AL54" s="2308"/>
      <c r="AM54" s="2308"/>
      <c r="AN54" s="2308"/>
      <c r="AO54" s="2308"/>
      <c r="AP54" s="2308"/>
      <c r="AQ54" s="2308"/>
      <c r="AR54" s="2451"/>
      <c r="AS54" s="2451"/>
      <c r="AT54" s="2427"/>
    </row>
    <row r="55" spans="1:46" ht="38.25" customHeight="1" x14ac:dyDescent="0.25">
      <c r="A55" s="2431"/>
      <c r="B55" s="2432"/>
      <c r="C55" s="2272"/>
      <c r="D55" s="2156"/>
      <c r="E55" s="2272"/>
      <c r="F55" s="2156"/>
      <c r="G55" s="2525"/>
      <c r="H55" s="2422"/>
      <c r="I55" s="2525"/>
      <c r="J55" s="2422"/>
      <c r="K55" s="2534"/>
      <c r="L55" s="2422"/>
      <c r="M55" s="2525"/>
      <c r="N55" s="2422"/>
      <c r="O55" s="2266"/>
      <c r="P55" s="2266"/>
      <c r="Q55" s="2284"/>
      <c r="R55" s="2453"/>
      <c r="S55" s="2456"/>
      <c r="T55" s="2284"/>
      <c r="U55" s="2518"/>
      <c r="V55" s="2281"/>
      <c r="W55" s="69">
        <v>20000000</v>
      </c>
      <c r="X55" s="466" t="s">
        <v>489</v>
      </c>
      <c r="Y55" s="2522"/>
      <c r="Z55" s="2308"/>
      <c r="AA55" s="2308"/>
      <c r="AB55" s="2308"/>
      <c r="AC55" s="2308"/>
      <c r="AD55" s="2308"/>
      <c r="AE55" s="2308"/>
      <c r="AF55" s="2308"/>
      <c r="AG55" s="2308"/>
      <c r="AH55" s="2308"/>
      <c r="AI55" s="2308"/>
      <c r="AJ55" s="2308"/>
      <c r="AK55" s="2308"/>
      <c r="AL55" s="2308"/>
      <c r="AM55" s="2308"/>
      <c r="AN55" s="2308"/>
      <c r="AO55" s="2308"/>
      <c r="AP55" s="2308"/>
      <c r="AQ55" s="2308"/>
      <c r="AR55" s="2451"/>
      <c r="AS55" s="2451"/>
      <c r="AT55" s="2427"/>
    </row>
    <row r="56" spans="1:46" ht="38.25" customHeight="1" x14ac:dyDescent="0.25">
      <c r="A56" s="2431"/>
      <c r="B56" s="2432"/>
      <c r="C56" s="2272"/>
      <c r="D56" s="2156"/>
      <c r="E56" s="2272"/>
      <c r="F56" s="2156"/>
      <c r="G56" s="2525"/>
      <c r="H56" s="2422"/>
      <c r="I56" s="2525"/>
      <c r="J56" s="2422"/>
      <c r="K56" s="2534"/>
      <c r="L56" s="2422"/>
      <c r="M56" s="2525"/>
      <c r="N56" s="2422"/>
      <c r="O56" s="2266"/>
      <c r="P56" s="2266"/>
      <c r="Q56" s="2284"/>
      <c r="R56" s="2453"/>
      <c r="S56" s="2456"/>
      <c r="T56" s="2284"/>
      <c r="U56" s="2518"/>
      <c r="V56" s="2281"/>
      <c r="W56" s="69">
        <v>30000000</v>
      </c>
      <c r="X56" s="466" t="s">
        <v>490</v>
      </c>
      <c r="Y56" s="2522"/>
      <c r="Z56" s="2308"/>
      <c r="AA56" s="2308"/>
      <c r="AB56" s="2308"/>
      <c r="AC56" s="2308"/>
      <c r="AD56" s="2308"/>
      <c r="AE56" s="2308"/>
      <c r="AF56" s="2308"/>
      <c r="AG56" s="2308"/>
      <c r="AH56" s="2308"/>
      <c r="AI56" s="2308"/>
      <c r="AJ56" s="2308"/>
      <c r="AK56" s="2308"/>
      <c r="AL56" s="2308"/>
      <c r="AM56" s="2308"/>
      <c r="AN56" s="2308"/>
      <c r="AO56" s="2308"/>
      <c r="AP56" s="2308"/>
      <c r="AQ56" s="2308"/>
      <c r="AR56" s="2451"/>
      <c r="AS56" s="2451"/>
      <c r="AT56" s="2427"/>
    </row>
    <row r="57" spans="1:46" ht="38.25" customHeight="1" x14ac:dyDescent="0.25">
      <c r="A57" s="2431"/>
      <c r="B57" s="2432"/>
      <c r="C57" s="2272"/>
      <c r="D57" s="2156"/>
      <c r="E57" s="2272"/>
      <c r="F57" s="2156"/>
      <c r="G57" s="2525"/>
      <c r="H57" s="2422"/>
      <c r="I57" s="2525"/>
      <c r="J57" s="2422"/>
      <c r="K57" s="2534"/>
      <c r="L57" s="2422"/>
      <c r="M57" s="2525"/>
      <c r="N57" s="2422"/>
      <c r="O57" s="2266"/>
      <c r="P57" s="2266"/>
      <c r="Q57" s="2284"/>
      <c r="R57" s="2453"/>
      <c r="S57" s="2456"/>
      <c r="T57" s="2284"/>
      <c r="U57" s="2518"/>
      <c r="V57" s="2282"/>
      <c r="W57" s="69">
        <v>30000000</v>
      </c>
      <c r="X57" s="466" t="s">
        <v>491</v>
      </c>
      <c r="Y57" s="2522"/>
      <c r="Z57" s="2308"/>
      <c r="AA57" s="2308"/>
      <c r="AB57" s="2308"/>
      <c r="AC57" s="2308"/>
      <c r="AD57" s="2308"/>
      <c r="AE57" s="2308"/>
      <c r="AF57" s="2308"/>
      <c r="AG57" s="2308"/>
      <c r="AH57" s="2308"/>
      <c r="AI57" s="2308"/>
      <c r="AJ57" s="2308"/>
      <c r="AK57" s="2308"/>
      <c r="AL57" s="2308"/>
      <c r="AM57" s="2308"/>
      <c r="AN57" s="2308"/>
      <c r="AO57" s="2308"/>
      <c r="AP57" s="2308"/>
      <c r="AQ57" s="2308"/>
      <c r="AR57" s="2451"/>
      <c r="AS57" s="2451"/>
      <c r="AT57" s="2427"/>
    </row>
    <row r="58" spans="1:46" ht="52.5" customHeight="1" x14ac:dyDescent="0.25">
      <c r="A58" s="2431"/>
      <c r="B58" s="2432"/>
      <c r="C58" s="2272"/>
      <c r="D58" s="2156"/>
      <c r="E58" s="2272"/>
      <c r="F58" s="2156"/>
      <c r="G58" s="2525"/>
      <c r="H58" s="2422"/>
      <c r="I58" s="2525"/>
      <c r="J58" s="2422"/>
      <c r="K58" s="2534"/>
      <c r="L58" s="2422"/>
      <c r="M58" s="2525"/>
      <c r="N58" s="2422"/>
      <c r="O58" s="2266"/>
      <c r="P58" s="2266"/>
      <c r="Q58" s="2284"/>
      <c r="R58" s="2453"/>
      <c r="S58" s="2456"/>
      <c r="T58" s="2284"/>
      <c r="U58" s="2518"/>
      <c r="V58" s="2257" t="s">
        <v>492</v>
      </c>
      <c r="W58" s="497">
        <f>80000000-54400000</f>
        <v>25600000</v>
      </c>
      <c r="X58" s="466" t="s">
        <v>483</v>
      </c>
      <c r="Y58" s="2522"/>
      <c r="Z58" s="2308"/>
      <c r="AA58" s="2308"/>
      <c r="AB58" s="2308"/>
      <c r="AC58" s="2308"/>
      <c r="AD58" s="2308"/>
      <c r="AE58" s="2308"/>
      <c r="AF58" s="2308"/>
      <c r="AG58" s="2308"/>
      <c r="AH58" s="2308"/>
      <c r="AI58" s="2308"/>
      <c r="AJ58" s="2308"/>
      <c r="AK58" s="2308"/>
      <c r="AL58" s="2308"/>
      <c r="AM58" s="2308"/>
      <c r="AN58" s="2308"/>
      <c r="AO58" s="2308"/>
      <c r="AP58" s="2308"/>
      <c r="AQ58" s="2308"/>
      <c r="AR58" s="2451"/>
      <c r="AS58" s="2451"/>
      <c r="AT58" s="2427"/>
    </row>
    <row r="59" spans="1:46" ht="36" customHeight="1" x14ac:dyDescent="0.25">
      <c r="A59" s="2431"/>
      <c r="B59" s="2432"/>
      <c r="C59" s="2272"/>
      <c r="D59" s="2156"/>
      <c r="E59" s="2272"/>
      <c r="F59" s="2156"/>
      <c r="G59" s="2525"/>
      <c r="H59" s="2422"/>
      <c r="I59" s="2525"/>
      <c r="J59" s="2422"/>
      <c r="K59" s="2534"/>
      <c r="L59" s="2422"/>
      <c r="M59" s="2525"/>
      <c r="N59" s="2422"/>
      <c r="O59" s="2266"/>
      <c r="P59" s="2266"/>
      <c r="Q59" s="2284"/>
      <c r="R59" s="2453"/>
      <c r="S59" s="2456"/>
      <c r="T59" s="2284"/>
      <c r="U59" s="2518"/>
      <c r="V59" s="2257"/>
      <c r="W59" s="497">
        <f>54400000+500000</f>
        <v>54900000</v>
      </c>
      <c r="X59" s="466" t="s">
        <v>493</v>
      </c>
      <c r="Y59" s="2522"/>
      <c r="Z59" s="2308"/>
      <c r="AA59" s="2308"/>
      <c r="AB59" s="2308"/>
      <c r="AC59" s="2308"/>
      <c r="AD59" s="2308"/>
      <c r="AE59" s="2308"/>
      <c r="AF59" s="2308"/>
      <c r="AG59" s="2308"/>
      <c r="AH59" s="2308"/>
      <c r="AI59" s="2308"/>
      <c r="AJ59" s="2308"/>
      <c r="AK59" s="2308"/>
      <c r="AL59" s="2308"/>
      <c r="AM59" s="2308"/>
      <c r="AN59" s="2308"/>
      <c r="AO59" s="2308"/>
      <c r="AP59" s="2308"/>
      <c r="AQ59" s="2308"/>
      <c r="AR59" s="2451"/>
      <c r="AS59" s="2451"/>
      <c r="AT59" s="2427"/>
    </row>
    <row r="60" spans="1:46" ht="38.25" customHeight="1" x14ac:dyDescent="0.25">
      <c r="A60" s="2431"/>
      <c r="B60" s="2432"/>
      <c r="C60" s="2272"/>
      <c r="D60" s="2156"/>
      <c r="E60" s="2272"/>
      <c r="F60" s="2156"/>
      <c r="G60" s="2525"/>
      <c r="H60" s="2422"/>
      <c r="I60" s="2525"/>
      <c r="J60" s="2422"/>
      <c r="K60" s="2534"/>
      <c r="L60" s="2422"/>
      <c r="M60" s="2525"/>
      <c r="N60" s="2422"/>
      <c r="O60" s="2266"/>
      <c r="P60" s="2266"/>
      <c r="Q60" s="2284"/>
      <c r="R60" s="2453"/>
      <c r="S60" s="2456"/>
      <c r="T60" s="2284"/>
      <c r="U60" s="2518"/>
      <c r="V60" s="2257" t="s">
        <v>494</v>
      </c>
      <c r="W60" s="497">
        <f>100000000-61750000</f>
        <v>38250000</v>
      </c>
      <c r="X60" s="466" t="s">
        <v>483</v>
      </c>
      <c r="Y60" s="2522"/>
      <c r="Z60" s="2308"/>
      <c r="AA60" s="2308"/>
      <c r="AB60" s="2308"/>
      <c r="AC60" s="2308"/>
      <c r="AD60" s="2308"/>
      <c r="AE60" s="2308"/>
      <c r="AF60" s="2308"/>
      <c r="AG60" s="2308"/>
      <c r="AH60" s="2308"/>
      <c r="AI60" s="2308"/>
      <c r="AJ60" s="2308"/>
      <c r="AK60" s="2308"/>
      <c r="AL60" s="2308"/>
      <c r="AM60" s="2308"/>
      <c r="AN60" s="2308"/>
      <c r="AO60" s="2308"/>
      <c r="AP60" s="2308"/>
      <c r="AQ60" s="2308"/>
      <c r="AR60" s="2451"/>
      <c r="AS60" s="2451"/>
      <c r="AT60" s="2427"/>
    </row>
    <row r="61" spans="1:46" ht="47.25" customHeight="1" x14ac:dyDescent="0.25">
      <c r="A61" s="2431"/>
      <c r="B61" s="2432"/>
      <c r="C61" s="2272"/>
      <c r="D61" s="2156"/>
      <c r="E61" s="2272"/>
      <c r="F61" s="2156"/>
      <c r="G61" s="2525"/>
      <c r="H61" s="2422"/>
      <c r="I61" s="2525"/>
      <c r="J61" s="2422"/>
      <c r="K61" s="2534"/>
      <c r="L61" s="2422"/>
      <c r="M61" s="2525"/>
      <c r="N61" s="2422"/>
      <c r="O61" s="2266"/>
      <c r="P61" s="2266"/>
      <c r="Q61" s="2284"/>
      <c r="R61" s="2453"/>
      <c r="S61" s="2456"/>
      <c r="T61" s="2284"/>
      <c r="U61" s="2518"/>
      <c r="V61" s="2257"/>
      <c r="W61" s="497">
        <v>61750000</v>
      </c>
      <c r="X61" s="466" t="s">
        <v>493</v>
      </c>
      <c r="Y61" s="2522"/>
      <c r="Z61" s="2308"/>
      <c r="AA61" s="2308"/>
      <c r="AB61" s="2308"/>
      <c r="AC61" s="2308"/>
      <c r="AD61" s="2308"/>
      <c r="AE61" s="2308"/>
      <c r="AF61" s="2308"/>
      <c r="AG61" s="2308"/>
      <c r="AH61" s="2308"/>
      <c r="AI61" s="2308"/>
      <c r="AJ61" s="2308"/>
      <c r="AK61" s="2308"/>
      <c r="AL61" s="2308"/>
      <c r="AM61" s="2308"/>
      <c r="AN61" s="2308"/>
      <c r="AO61" s="2308"/>
      <c r="AP61" s="2308"/>
      <c r="AQ61" s="2308"/>
      <c r="AR61" s="2451"/>
      <c r="AS61" s="2451"/>
      <c r="AT61" s="2427"/>
    </row>
    <row r="62" spans="1:46" ht="40.5" customHeight="1" x14ac:dyDescent="0.25">
      <c r="A62" s="2431"/>
      <c r="B62" s="2432"/>
      <c r="C62" s="2272"/>
      <c r="D62" s="2156"/>
      <c r="E62" s="2272"/>
      <c r="F62" s="2156"/>
      <c r="G62" s="2525"/>
      <c r="H62" s="2422"/>
      <c r="I62" s="2525"/>
      <c r="J62" s="2422"/>
      <c r="K62" s="2534"/>
      <c r="L62" s="2422"/>
      <c r="M62" s="2525"/>
      <c r="N62" s="2422"/>
      <c r="O62" s="2266"/>
      <c r="P62" s="2266"/>
      <c r="Q62" s="2284"/>
      <c r="R62" s="2453"/>
      <c r="S62" s="2456"/>
      <c r="T62" s="2284"/>
      <c r="U62" s="2518"/>
      <c r="V62" s="2515" t="s">
        <v>441</v>
      </c>
      <c r="W62" s="497">
        <v>55500000</v>
      </c>
      <c r="X62" s="466" t="s">
        <v>483</v>
      </c>
      <c r="Y62" s="2522"/>
      <c r="Z62" s="2308"/>
      <c r="AA62" s="2308"/>
      <c r="AB62" s="2308"/>
      <c r="AC62" s="2308"/>
      <c r="AD62" s="2308"/>
      <c r="AE62" s="2308"/>
      <c r="AF62" s="2308"/>
      <c r="AG62" s="2308"/>
      <c r="AH62" s="2308"/>
      <c r="AI62" s="2308"/>
      <c r="AJ62" s="2308"/>
      <c r="AK62" s="2308"/>
      <c r="AL62" s="2308"/>
      <c r="AM62" s="2308"/>
      <c r="AN62" s="2308"/>
      <c r="AO62" s="2308"/>
      <c r="AP62" s="2308"/>
      <c r="AQ62" s="2308"/>
      <c r="AR62" s="2451"/>
      <c r="AS62" s="2451"/>
      <c r="AT62" s="2427"/>
    </row>
    <row r="63" spans="1:46" ht="45" customHeight="1" x14ac:dyDescent="0.25">
      <c r="A63" s="2431"/>
      <c r="B63" s="2432"/>
      <c r="C63" s="2272"/>
      <c r="D63" s="2156"/>
      <c r="E63" s="2272"/>
      <c r="F63" s="2156"/>
      <c r="G63" s="2525"/>
      <c r="H63" s="2422"/>
      <c r="I63" s="2525"/>
      <c r="J63" s="2422"/>
      <c r="K63" s="2534"/>
      <c r="L63" s="2422"/>
      <c r="M63" s="2525"/>
      <c r="N63" s="2422"/>
      <c r="O63" s="2266"/>
      <c r="P63" s="2266"/>
      <c r="Q63" s="2284"/>
      <c r="R63" s="2453"/>
      <c r="S63" s="2456"/>
      <c r="T63" s="2284"/>
      <c r="U63" s="2518"/>
      <c r="V63" s="2516"/>
      <c r="W63" s="497">
        <v>100000000</v>
      </c>
      <c r="X63" s="466" t="s">
        <v>495</v>
      </c>
      <c r="Y63" s="2522"/>
      <c r="Z63" s="2308"/>
      <c r="AA63" s="2308"/>
      <c r="AB63" s="2308"/>
      <c r="AC63" s="2308"/>
      <c r="AD63" s="2308"/>
      <c r="AE63" s="2308"/>
      <c r="AF63" s="2308"/>
      <c r="AG63" s="2308"/>
      <c r="AH63" s="2308"/>
      <c r="AI63" s="2308"/>
      <c r="AJ63" s="2308"/>
      <c r="AK63" s="2308"/>
      <c r="AL63" s="2308"/>
      <c r="AM63" s="2308"/>
      <c r="AN63" s="2308"/>
      <c r="AO63" s="2308"/>
      <c r="AP63" s="2308"/>
      <c r="AQ63" s="2308"/>
      <c r="AR63" s="2451"/>
      <c r="AS63" s="2451"/>
      <c r="AT63" s="2427"/>
    </row>
    <row r="64" spans="1:46" ht="55.5" customHeight="1" x14ac:dyDescent="0.25">
      <c r="A64" s="2431"/>
      <c r="B64" s="2432"/>
      <c r="C64" s="2272"/>
      <c r="D64" s="2156"/>
      <c r="E64" s="2272"/>
      <c r="F64" s="2156"/>
      <c r="G64" s="2525"/>
      <c r="H64" s="2422"/>
      <c r="I64" s="2525"/>
      <c r="J64" s="2422"/>
      <c r="K64" s="2534"/>
      <c r="L64" s="2422"/>
      <c r="M64" s="2525"/>
      <c r="N64" s="2422"/>
      <c r="O64" s="2266"/>
      <c r="P64" s="2266"/>
      <c r="Q64" s="2284"/>
      <c r="R64" s="2453"/>
      <c r="S64" s="2456"/>
      <c r="T64" s="2284"/>
      <c r="U64" s="2518"/>
      <c r="V64" s="2200" t="s">
        <v>496</v>
      </c>
      <c r="W64" s="497">
        <v>56000000</v>
      </c>
      <c r="X64" s="466" t="s">
        <v>483</v>
      </c>
      <c r="Y64" s="2522"/>
      <c r="Z64" s="2308"/>
      <c r="AA64" s="2308"/>
      <c r="AB64" s="2308"/>
      <c r="AC64" s="2308"/>
      <c r="AD64" s="2308"/>
      <c r="AE64" s="2308"/>
      <c r="AF64" s="2308"/>
      <c r="AG64" s="2308"/>
      <c r="AH64" s="2308"/>
      <c r="AI64" s="2308"/>
      <c r="AJ64" s="2308"/>
      <c r="AK64" s="2308"/>
      <c r="AL64" s="2308"/>
      <c r="AM64" s="2308"/>
      <c r="AN64" s="2308"/>
      <c r="AO64" s="2308"/>
      <c r="AP64" s="2308"/>
      <c r="AQ64" s="2308"/>
      <c r="AR64" s="2451"/>
      <c r="AS64" s="2451"/>
      <c r="AT64" s="2427"/>
    </row>
    <row r="65" spans="1:66" ht="74.25" customHeight="1" x14ac:dyDescent="0.25">
      <c r="A65" s="2431"/>
      <c r="B65" s="2432"/>
      <c r="C65" s="2272"/>
      <c r="D65" s="2156"/>
      <c r="E65" s="2272"/>
      <c r="F65" s="2156"/>
      <c r="G65" s="2525"/>
      <c r="H65" s="2422"/>
      <c r="I65" s="2525"/>
      <c r="J65" s="2422"/>
      <c r="K65" s="2534"/>
      <c r="L65" s="2422"/>
      <c r="M65" s="2525"/>
      <c r="N65" s="2422"/>
      <c r="O65" s="2266"/>
      <c r="P65" s="2266"/>
      <c r="Q65" s="2284"/>
      <c r="R65" s="2453"/>
      <c r="S65" s="2456"/>
      <c r="T65" s="2284"/>
      <c r="U65" s="2518"/>
      <c r="V65" s="2345"/>
      <c r="W65" s="497">
        <v>69709699.359999999</v>
      </c>
      <c r="X65" s="466" t="s">
        <v>495</v>
      </c>
      <c r="Y65" s="2522"/>
      <c r="Z65" s="2308"/>
      <c r="AA65" s="2308"/>
      <c r="AB65" s="2308"/>
      <c r="AC65" s="2308"/>
      <c r="AD65" s="2308"/>
      <c r="AE65" s="2308"/>
      <c r="AF65" s="2308"/>
      <c r="AG65" s="2308"/>
      <c r="AH65" s="2308"/>
      <c r="AI65" s="2308"/>
      <c r="AJ65" s="2308"/>
      <c r="AK65" s="2308"/>
      <c r="AL65" s="2308"/>
      <c r="AM65" s="2308"/>
      <c r="AN65" s="2308"/>
      <c r="AO65" s="2308"/>
      <c r="AP65" s="2308"/>
      <c r="AQ65" s="2308"/>
      <c r="AR65" s="2451"/>
      <c r="AS65" s="2451"/>
      <c r="AT65" s="2427"/>
    </row>
    <row r="66" spans="1:66" ht="75" customHeight="1" x14ac:dyDescent="0.25">
      <c r="A66" s="2431"/>
      <c r="B66" s="2432"/>
      <c r="C66" s="2272"/>
      <c r="D66" s="2156"/>
      <c r="E66" s="2272"/>
      <c r="F66" s="2156"/>
      <c r="G66" s="2525"/>
      <c r="H66" s="2422"/>
      <c r="I66" s="2525"/>
      <c r="J66" s="2422"/>
      <c r="K66" s="2534"/>
      <c r="L66" s="2422"/>
      <c r="M66" s="2525"/>
      <c r="N66" s="2422"/>
      <c r="O66" s="2266"/>
      <c r="P66" s="2266"/>
      <c r="Q66" s="2284"/>
      <c r="R66" s="2453"/>
      <c r="S66" s="2456"/>
      <c r="T66" s="2284"/>
      <c r="U66" s="2518"/>
      <c r="V66" s="2200" t="s">
        <v>405</v>
      </c>
      <c r="W66" s="497">
        <v>148000000</v>
      </c>
      <c r="X66" s="466" t="s">
        <v>483</v>
      </c>
      <c r="Y66" s="2522"/>
      <c r="Z66" s="2308"/>
      <c r="AA66" s="2308"/>
      <c r="AB66" s="2308"/>
      <c r="AC66" s="2308"/>
      <c r="AD66" s="2308"/>
      <c r="AE66" s="2308"/>
      <c r="AF66" s="2308"/>
      <c r="AG66" s="2308"/>
      <c r="AH66" s="2308"/>
      <c r="AI66" s="2308"/>
      <c r="AJ66" s="2308"/>
      <c r="AK66" s="2308"/>
      <c r="AL66" s="2308"/>
      <c r="AM66" s="2308"/>
      <c r="AN66" s="2308"/>
      <c r="AO66" s="2308"/>
      <c r="AP66" s="2308"/>
      <c r="AQ66" s="2308"/>
      <c r="AR66" s="2451"/>
      <c r="AS66" s="2451"/>
      <c r="AT66" s="2427"/>
    </row>
    <row r="67" spans="1:66" ht="65.25" customHeight="1" x14ac:dyDescent="0.25">
      <c r="A67" s="2431"/>
      <c r="B67" s="2432"/>
      <c r="C67" s="2272"/>
      <c r="D67" s="2156"/>
      <c r="E67" s="2272"/>
      <c r="F67" s="2156"/>
      <c r="G67" s="2525"/>
      <c r="H67" s="2422"/>
      <c r="I67" s="2525"/>
      <c r="J67" s="2422"/>
      <c r="K67" s="2534"/>
      <c r="L67" s="2422"/>
      <c r="M67" s="2525"/>
      <c r="N67" s="2422"/>
      <c r="O67" s="2266"/>
      <c r="P67" s="2266"/>
      <c r="Q67" s="2284"/>
      <c r="R67" s="2453"/>
      <c r="S67" s="2456"/>
      <c r="T67" s="2284"/>
      <c r="U67" s="2518"/>
      <c r="V67" s="2345"/>
      <c r="W67" s="497">
        <v>130000000</v>
      </c>
      <c r="X67" s="466" t="s">
        <v>495</v>
      </c>
      <c r="Y67" s="2522"/>
      <c r="Z67" s="2308"/>
      <c r="AA67" s="2308"/>
      <c r="AB67" s="2308"/>
      <c r="AC67" s="2308"/>
      <c r="AD67" s="2308"/>
      <c r="AE67" s="2308"/>
      <c r="AF67" s="2308"/>
      <c r="AG67" s="2308"/>
      <c r="AH67" s="2308"/>
      <c r="AI67" s="2308"/>
      <c r="AJ67" s="2308"/>
      <c r="AK67" s="2308"/>
      <c r="AL67" s="2308"/>
      <c r="AM67" s="2308"/>
      <c r="AN67" s="2308"/>
      <c r="AO67" s="2308"/>
      <c r="AP67" s="2308"/>
      <c r="AQ67" s="2308"/>
      <c r="AR67" s="2451"/>
      <c r="AS67" s="2451"/>
      <c r="AT67" s="2427"/>
    </row>
    <row r="68" spans="1:66" s="498" customFormat="1" ht="104.25" customHeight="1" x14ac:dyDescent="0.25">
      <c r="A68" s="2431"/>
      <c r="B68" s="2432"/>
      <c r="C68" s="2272"/>
      <c r="D68" s="2156"/>
      <c r="E68" s="2272"/>
      <c r="F68" s="2156"/>
      <c r="G68" s="2525"/>
      <c r="H68" s="2422"/>
      <c r="I68" s="2525"/>
      <c r="J68" s="2422"/>
      <c r="K68" s="2534"/>
      <c r="L68" s="2422"/>
      <c r="M68" s="2525"/>
      <c r="N68" s="2422"/>
      <c r="O68" s="2266"/>
      <c r="P68" s="2266"/>
      <c r="Q68" s="2284"/>
      <c r="R68" s="2453"/>
      <c r="S68" s="2456"/>
      <c r="T68" s="2284"/>
      <c r="U68" s="2518"/>
      <c r="V68" s="2515" t="s">
        <v>497</v>
      </c>
      <c r="W68" s="497">
        <v>1106073375</v>
      </c>
      <c r="X68" s="443" t="s">
        <v>498</v>
      </c>
      <c r="Y68" s="2522"/>
      <c r="Z68" s="2308"/>
      <c r="AA68" s="2308"/>
      <c r="AB68" s="2308"/>
      <c r="AC68" s="2308"/>
      <c r="AD68" s="2308"/>
      <c r="AE68" s="2308"/>
      <c r="AF68" s="2308"/>
      <c r="AG68" s="2308"/>
      <c r="AH68" s="2308"/>
      <c r="AI68" s="2308"/>
      <c r="AJ68" s="2308"/>
      <c r="AK68" s="2308"/>
      <c r="AL68" s="2308"/>
      <c r="AM68" s="2308"/>
      <c r="AN68" s="2308"/>
      <c r="AO68" s="2308"/>
      <c r="AP68" s="2308"/>
      <c r="AQ68" s="2308"/>
      <c r="AR68" s="2451"/>
      <c r="AS68" s="2451"/>
      <c r="AT68" s="2427"/>
    </row>
    <row r="69" spans="1:66" s="498" customFormat="1" ht="104.25" customHeight="1" x14ac:dyDescent="0.25">
      <c r="A69" s="2431"/>
      <c r="B69" s="2432"/>
      <c r="C69" s="2272"/>
      <c r="D69" s="2156"/>
      <c r="E69" s="2272"/>
      <c r="F69" s="2156"/>
      <c r="G69" s="2525"/>
      <c r="H69" s="2422"/>
      <c r="I69" s="2525"/>
      <c r="J69" s="2422"/>
      <c r="K69" s="2534"/>
      <c r="L69" s="2422"/>
      <c r="M69" s="2525"/>
      <c r="N69" s="2422"/>
      <c r="O69" s="2266"/>
      <c r="P69" s="2266"/>
      <c r="Q69" s="2284"/>
      <c r="R69" s="2453"/>
      <c r="S69" s="2456"/>
      <c r="T69" s="2284"/>
      <c r="U69" s="2518"/>
      <c r="V69" s="2516"/>
      <c r="W69" s="497">
        <v>480000000</v>
      </c>
      <c r="X69" s="499" t="s">
        <v>499</v>
      </c>
      <c r="Y69" s="2522"/>
      <c r="Z69" s="2308"/>
      <c r="AA69" s="2308"/>
      <c r="AB69" s="2308"/>
      <c r="AC69" s="2308"/>
      <c r="AD69" s="2308"/>
      <c r="AE69" s="2308"/>
      <c r="AF69" s="2308"/>
      <c r="AG69" s="2308"/>
      <c r="AH69" s="2308"/>
      <c r="AI69" s="2308"/>
      <c r="AJ69" s="2308"/>
      <c r="AK69" s="2308"/>
      <c r="AL69" s="2308"/>
      <c r="AM69" s="2308"/>
      <c r="AN69" s="2308"/>
      <c r="AO69" s="2308"/>
      <c r="AP69" s="2308"/>
      <c r="AQ69" s="2308"/>
      <c r="AR69" s="2451"/>
      <c r="AS69" s="2451"/>
      <c r="AT69" s="2427"/>
    </row>
    <row r="70" spans="1:66" s="498" customFormat="1" ht="59.25" customHeight="1" x14ac:dyDescent="0.25">
      <c r="A70" s="2431"/>
      <c r="B70" s="2432"/>
      <c r="C70" s="2272"/>
      <c r="D70" s="2156"/>
      <c r="E70" s="2272"/>
      <c r="F70" s="2156"/>
      <c r="G70" s="2525"/>
      <c r="H70" s="2422"/>
      <c r="I70" s="2525"/>
      <c r="J70" s="2422"/>
      <c r="K70" s="2534"/>
      <c r="L70" s="2422"/>
      <c r="M70" s="2525"/>
      <c r="N70" s="2422"/>
      <c r="O70" s="2266"/>
      <c r="P70" s="2266"/>
      <c r="Q70" s="2284"/>
      <c r="R70" s="2453"/>
      <c r="S70" s="2456"/>
      <c r="T70" s="2284"/>
      <c r="U70" s="2518"/>
      <c r="V70" s="2329" t="s">
        <v>500</v>
      </c>
      <c r="W70" s="497">
        <v>100000000</v>
      </c>
      <c r="X70" s="466" t="s">
        <v>501</v>
      </c>
      <c r="Y70" s="2522"/>
      <c r="Z70" s="2308"/>
      <c r="AA70" s="2308"/>
      <c r="AB70" s="2308"/>
      <c r="AC70" s="2308"/>
      <c r="AD70" s="2308"/>
      <c r="AE70" s="2308"/>
      <c r="AF70" s="2308"/>
      <c r="AG70" s="2308"/>
      <c r="AH70" s="2308"/>
      <c r="AI70" s="2308"/>
      <c r="AJ70" s="2308"/>
      <c r="AK70" s="2308"/>
      <c r="AL70" s="2308"/>
      <c r="AM70" s="2308"/>
      <c r="AN70" s="2308"/>
      <c r="AO70" s="2308"/>
      <c r="AP70" s="2308"/>
      <c r="AQ70" s="2308"/>
      <c r="AR70" s="2451"/>
      <c r="AS70" s="2451"/>
      <c r="AT70" s="2427"/>
    </row>
    <row r="71" spans="1:66" s="498" customFormat="1" ht="42" customHeight="1" x14ac:dyDescent="0.25">
      <c r="A71" s="2431"/>
      <c r="B71" s="2432"/>
      <c r="C71" s="2272"/>
      <c r="D71" s="2156"/>
      <c r="E71" s="2272"/>
      <c r="F71" s="2156"/>
      <c r="G71" s="2525"/>
      <c r="H71" s="2422"/>
      <c r="I71" s="2525"/>
      <c r="J71" s="2422"/>
      <c r="K71" s="2534"/>
      <c r="L71" s="2422"/>
      <c r="M71" s="2525"/>
      <c r="N71" s="2422"/>
      <c r="O71" s="2266"/>
      <c r="P71" s="2266"/>
      <c r="Q71" s="2284"/>
      <c r="R71" s="2453"/>
      <c r="S71" s="2456"/>
      <c r="T71" s="2284"/>
      <c r="U71" s="2518"/>
      <c r="V71" s="2329"/>
      <c r="W71" s="497">
        <v>150000000</v>
      </c>
      <c r="X71" s="466" t="s">
        <v>495</v>
      </c>
      <c r="Y71" s="2522"/>
      <c r="Z71" s="2308"/>
      <c r="AA71" s="2308"/>
      <c r="AB71" s="2308"/>
      <c r="AC71" s="2308"/>
      <c r="AD71" s="2308"/>
      <c r="AE71" s="2308"/>
      <c r="AF71" s="2308"/>
      <c r="AG71" s="2308"/>
      <c r="AH71" s="2308"/>
      <c r="AI71" s="2308"/>
      <c r="AJ71" s="2308"/>
      <c r="AK71" s="2308"/>
      <c r="AL71" s="2308"/>
      <c r="AM71" s="2308"/>
      <c r="AN71" s="2308"/>
      <c r="AO71" s="2308"/>
      <c r="AP71" s="2308"/>
      <c r="AQ71" s="2308"/>
      <c r="AR71" s="2451"/>
      <c r="AS71" s="2451"/>
      <c r="AT71" s="2427"/>
    </row>
    <row r="72" spans="1:66" s="498" customFormat="1" ht="42" customHeight="1" x14ac:dyDescent="0.25">
      <c r="A72" s="2431"/>
      <c r="B72" s="2432"/>
      <c r="C72" s="2273"/>
      <c r="D72" s="2484"/>
      <c r="E72" s="2273"/>
      <c r="F72" s="2484"/>
      <c r="G72" s="2526"/>
      <c r="H72" s="2423"/>
      <c r="I72" s="2526"/>
      <c r="J72" s="2423"/>
      <c r="K72" s="2535"/>
      <c r="L72" s="2423"/>
      <c r="M72" s="2526"/>
      <c r="N72" s="2423"/>
      <c r="O72" s="2267"/>
      <c r="P72" s="2267"/>
      <c r="Q72" s="2285"/>
      <c r="R72" s="2454"/>
      <c r="S72" s="2457"/>
      <c r="T72" s="2285"/>
      <c r="U72" s="2519"/>
      <c r="V72" s="500" t="s">
        <v>502</v>
      </c>
      <c r="W72" s="497">
        <v>120000000</v>
      </c>
      <c r="X72" s="499" t="s">
        <v>499</v>
      </c>
      <c r="Y72" s="2523"/>
      <c r="Z72" s="2309"/>
      <c r="AA72" s="2309"/>
      <c r="AB72" s="2309"/>
      <c r="AC72" s="2309"/>
      <c r="AD72" s="2309"/>
      <c r="AE72" s="2309"/>
      <c r="AF72" s="2309"/>
      <c r="AG72" s="2309"/>
      <c r="AH72" s="2309"/>
      <c r="AI72" s="2309"/>
      <c r="AJ72" s="2309"/>
      <c r="AK72" s="2309"/>
      <c r="AL72" s="2309"/>
      <c r="AM72" s="2309"/>
      <c r="AN72" s="2309"/>
      <c r="AO72" s="2309"/>
      <c r="AP72" s="2309"/>
      <c r="AQ72" s="2309"/>
      <c r="AR72" s="2452"/>
      <c r="AS72" s="2452"/>
      <c r="AT72" s="2428"/>
    </row>
    <row r="73" spans="1:66" s="33" customFormat="1" ht="22.5" customHeight="1" x14ac:dyDescent="0.25">
      <c r="A73" s="501">
        <v>3</v>
      </c>
      <c r="B73" s="2430" t="s">
        <v>503</v>
      </c>
      <c r="C73" s="2430"/>
      <c r="D73" s="2430"/>
      <c r="E73" s="2430"/>
      <c r="F73" s="2430"/>
      <c r="G73" s="2430"/>
      <c r="H73" s="2430"/>
      <c r="I73" s="145"/>
      <c r="J73" s="144"/>
      <c r="K73" s="145"/>
      <c r="L73" s="144"/>
      <c r="M73" s="145"/>
      <c r="N73" s="144"/>
      <c r="O73" s="145"/>
      <c r="P73" s="145"/>
      <c r="Q73" s="144"/>
      <c r="R73" s="148"/>
      <c r="S73" s="502"/>
      <c r="T73" s="144"/>
      <c r="U73" s="144"/>
      <c r="V73" s="144"/>
      <c r="W73" s="503"/>
      <c r="X73" s="24"/>
      <c r="Y73" s="458"/>
      <c r="Z73" s="144"/>
      <c r="AA73" s="145"/>
      <c r="AB73" s="145"/>
      <c r="AC73" s="145"/>
      <c r="AD73" s="145"/>
      <c r="AE73" s="145"/>
      <c r="AF73" s="145"/>
      <c r="AG73" s="145"/>
      <c r="AH73" s="145"/>
      <c r="AI73" s="145"/>
      <c r="AJ73" s="145"/>
      <c r="AK73" s="145"/>
      <c r="AL73" s="145"/>
      <c r="AM73" s="145"/>
      <c r="AN73" s="145"/>
      <c r="AO73" s="145"/>
      <c r="AP73" s="145"/>
      <c r="AQ73" s="145"/>
      <c r="AR73" s="145"/>
      <c r="AS73" s="145"/>
      <c r="AT73" s="144"/>
      <c r="AU73" s="3"/>
      <c r="AV73" s="3"/>
      <c r="AW73" s="3"/>
      <c r="AX73" s="3"/>
      <c r="AY73" s="3"/>
      <c r="AZ73" s="3"/>
      <c r="BA73" s="3"/>
      <c r="BB73" s="3"/>
      <c r="BC73" s="3"/>
      <c r="BD73" s="3"/>
      <c r="BE73" s="3"/>
      <c r="BF73" s="3"/>
      <c r="BG73" s="3"/>
      <c r="BH73" s="3"/>
      <c r="BI73" s="3"/>
      <c r="BJ73" s="3"/>
      <c r="BK73" s="3"/>
      <c r="BL73" s="3"/>
      <c r="BM73" s="3"/>
      <c r="BN73" s="3"/>
    </row>
    <row r="74" spans="1:66" s="73" customFormat="1" ht="22.5" customHeight="1" x14ac:dyDescent="0.25">
      <c r="A74" s="2431"/>
      <c r="B74" s="2432"/>
      <c r="C74" s="469">
        <v>24</v>
      </c>
      <c r="D74" s="2435" t="s">
        <v>504</v>
      </c>
      <c r="E74" s="2435"/>
      <c r="F74" s="2435"/>
      <c r="G74" s="2435"/>
      <c r="H74" s="2435"/>
      <c r="I74" s="2435"/>
      <c r="J74" s="2435"/>
      <c r="K74" s="2435"/>
      <c r="L74" s="2435"/>
      <c r="M74" s="2435"/>
      <c r="N74" s="159"/>
      <c r="O74" s="158"/>
      <c r="P74" s="158"/>
      <c r="Q74" s="159"/>
      <c r="R74" s="161"/>
      <c r="S74" s="504"/>
      <c r="T74" s="159"/>
      <c r="U74" s="159"/>
      <c r="V74" s="159"/>
      <c r="W74" s="478"/>
      <c r="X74" s="38"/>
      <c r="Y74" s="505"/>
      <c r="Z74" s="159"/>
      <c r="AA74" s="158"/>
      <c r="AB74" s="158"/>
      <c r="AC74" s="158"/>
      <c r="AD74" s="158"/>
      <c r="AE74" s="158"/>
      <c r="AF74" s="158"/>
      <c r="AG74" s="158"/>
      <c r="AH74" s="158"/>
      <c r="AI74" s="158"/>
      <c r="AJ74" s="158"/>
      <c r="AK74" s="158"/>
      <c r="AL74" s="158"/>
      <c r="AM74" s="158"/>
      <c r="AN74" s="158"/>
      <c r="AO74" s="158"/>
      <c r="AP74" s="158"/>
      <c r="AQ74" s="158"/>
      <c r="AR74" s="158"/>
      <c r="AS74" s="158"/>
      <c r="AT74" s="159"/>
      <c r="AU74" s="74"/>
      <c r="AV74" s="74"/>
      <c r="AW74" s="74"/>
      <c r="AX74" s="74"/>
      <c r="AY74" s="74"/>
      <c r="AZ74" s="74"/>
      <c r="BA74" s="74"/>
      <c r="BB74" s="74"/>
      <c r="BC74" s="74"/>
      <c r="BD74" s="74"/>
      <c r="BE74" s="74"/>
      <c r="BF74" s="74"/>
      <c r="BG74" s="74"/>
      <c r="BH74" s="74"/>
      <c r="BI74" s="74"/>
      <c r="BJ74" s="74"/>
      <c r="BK74" s="74"/>
      <c r="BL74" s="74"/>
      <c r="BM74" s="74"/>
      <c r="BN74" s="74"/>
    </row>
    <row r="75" spans="1:66" s="3" customFormat="1" ht="22.5" customHeight="1" x14ac:dyDescent="0.25">
      <c r="A75" s="2431"/>
      <c r="B75" s="2432"/>
      <c r="C75" s="2482"/>
      <c r="D75" s="2483"/>
      <c r="E75" s="506">
        <v>2402</v>
      </c>
      <c r="F75" s="2442" t="s">
        <v>505</v>
      </c>
      <c r="G75" s="2442"/>
      <c r="H75" s="2442"/>
      <c r="I75" s="2442"/>
      <c r="J75" s="2442"/>
      <c r="K75" s="2442"/>
      <c r="L75" s="2442"/>
      <c r="M75" s="169"/>
      <c r="N75" s="173"/>
      <c r="O75" s="169"/>
      <c r="P75" s="169"/>
      <c r="Q75" s="173"/>
      <c r="R75" s="171"/>
      <c r="S75" s="483"/>
      <c r="T75" s="173"/>
      <c r="U75" s="173"/>
      <c r="V75" s="173"/>
      <c r="W75" s="484"/>
      <c r="X75" s="62"/>
      <c r="Y75" s="174"/>
      <c r="Z75" s="173"/>
      <c r="AA75" s="169"/>
      <c r="AB75" s="169"/>
      <c r="AC75" s="169"/>
      <c r="AD75" s="169"/>
      <c r="AE75" s="169"/>
      <c r="AF75" s="169"/>
      <c r="AG75" s="169"/>
      <c r="AH75" s="169"/>
      <c r="AI75" s="169"/>
      <c r="AJ75" s="169"/>
      <c r="AK75" s="169"/>
      <c r="AL75" s="169"/>
      <c r="AM75" s="169"/>
      <c r="AN75" s="169"/>
      <c r="AO75" s="169"/>
      <c r="AP75" s="169"/>
      <c r="AQ75" s="169"/>
      <c r="AR75" s="169"/>
      <c r="AS75" s="169"/>
      <c r="AT75" s="173"/>
    </row>
    <row r="76" spans="1:66" ht="84.75" customHeight="1" x14ac:dyDescent="0.25">
      <c r="A76" s="2431"/>
      <c r="B76" s="2432"/>
      <c r="C76" s="2272"/>
      <c r="D76" s="2156"/>
      <c r="E76" s="2508"/>
      <c r="F76" s="2509"/>
      <c r="G76" s="2202" t="s">
        <v>62</v>
      </c>
      <c r="H76" s="2421" t="s">
        <v>506</v>
      </c>
      <c r="I76" s="2202">
        <v>2402022</v>
      </c>
      <c r="J76" s="2421" t="s">
        <v>507</v>
      </c>
      <c r="K76" s="2473" t="s">
        <v>62</v>
      </c>
      <c r="L76" s="2421" t="s">
        <v>508</v>
      </c>
      <c r="M76" s="2473">
        <v>240202200</v>
      </c>
      <c r="N76" s="2421" t="s">
        <v>509</v>
      </c>
      <c r="O76" s="2293">
        <v>1</v>
      </c>
      <c r="P76" s="2293" t="s">
        <v>510</v>
      </c>
      <c r="Q76" s="2283" t="s">
        <v>511</v>
      </c>
      <c r="R76" s="2323">
        <f>SUM(W76:W78)/S76</f>
        <v>1.6333218711148036E-2</v>
      </c>
      <c r="S76" s="2455">
        <f>SUM(W76:W108)</f>
        <v>4743689004</v>
      </c>
      <c r="T76" s="2283" t="s">
        <v>512</v>
      </c>
      <c r="U76" s="2283" t="s">
        <v>513</v>
      </c>
      <c r="V76" s="507" t="s">
        <v>514</v>
      </c>
      <c r="W76" s="508">
        <f>50000000-16500000</f>
        <v>33500000</v>
      </c>
      <c r="X76" s="77" t="s">
        <v>515</v>
      </c>
      <c r="Y76" s="2502" t="s">
        <v>516</v>
      </c>
      <c r="Z76" s="2502" t="s">
        <v>517</v>
      </c>
      <c r="AA76" s="2502">
        <v>295972</v>
      </c>
      <c r="AB76" s="2502">
        <v>285580</v>
      </c>
      <c r="AC76" s="2502">
        <v>135545</v>
      </c>
      <c r="AD76" s="2502">
        <v>44254</v>
      </c>
      <c r="AE76" s="2502">
        <v>309146</v>
      </c>
      <c r="AF76" s="2502">
        <v>92607</v>
      </c>
      <c r="AG76" s="2502">
        <v>2145</v>
      </c>
      <c r="AH76" s="2463">
        <v>12718</v>
      </c>
      <c r="AI76" s="2502">
        <v>26</v>
      </c>
      <c r="AJ76" s="2502">
        <v>37</v>
      </c>
      <c r="AK76" s="2502">
        <v>0</v>
      </c>
      <c r="AL76" s="2502">
        <v>0</v>
      </c>
      <c r="AM76" s="2502">
        <v>44350</v>
      </c>
      <c r="AN76" s="2502">
        <v>21944</v>
      </c>
      <c r="AO76" s="2502"/>
      <c r="AP76" s="2502">
        <v>75687</v>
      </c>
      <c r="AQ76" s="2502">
        <v>581552</v>
      </c>
      <c r="AR76" s="2450">
        <v>44197</v>
      </c>
      <c r="AS76" s="2450">
        <v>44561</v>
      </c>
      <c r="AT76" s="2426" t="s">
        <v>404</v>
      </c>
    </row>
    <row r="77" spans="1:66" ht="65.45" customHeight="1" x14ac:dyDescent="0.25">
      <c r="A77" s="2431"/>
      <c r="B77" s="2432"/>
      <c r="C77" s="2272"/>
      <c r="D77" s="2156"/>
      <c r="E77" s="2510"/>
      <c r="F77" s="2511"/>
      <c r="G77" s="2514"/>
      <c r="H77" s="2422"/>
      <c r="I77" s="2514"/>
      <c r="J77" s="2422"/>
      <c r="K77" s="2474"/>
      <c r="L77" s="2422"/>
      <c r="M77" s="2474"/>
      <c r="N77" s="2422"/>
      <c r="O77" s="2266"/>
      <c r="P77" s="2266"/>
      <c r="Q77" s="2284"/>
      <c r="R77" s="2453"/>
      <c r="S77" s="2456"/>
      <c r="T77" s="2284"/>
      <c r="U77" s="2284"/>
      <c r="V77" s="507" t="s">
        <v>518</v>
      </c>
      <c r="W77" s="508">
        <v>32779710</v>
      </c>
      <c r="X77" s="77" t="s">
        <v>515</v>
      </c>
      <c r="Y77" s="2503"/>
      <c r="Z77" s="2503"/>
      <c r="AA77" s="2503"/>
      <c r="AB77" s="2503"/>
      <c r="AC77" s="2503"/>
      <c r="AD77" s="2503"/>
      <c r="AE77" s="2503"/>
      <c r="AF77" s="2503"/>
      <c r="AG77" s="2503"/>
      <c r="AH77" s="2463"/>
      <c r="AI77" s="2503"/>
      <c r="AJ77" s="2503"/>
      <c r="AK77" s="2503"/>
      <c r="AL77" s="2503"/>
      <c r="AM77" s="2503"/>
      <c r="AN77" s="2503"/>
      <c r="AO77" s="2503"/>
      <c r="AP77" s="2503"/>
      <c r="AQ77" s="2503"/>
      <c r="AR77" s="2451"/>
      <c r="AS77" s="2451"/>
      <c r="AT77" s="2427"/>
    </row>
    <row r="78" spans="1:66" ht="65.45" customHeight="1" x14ac:dyDescent="0.25">
      <c r="A78" s="2431"/>
      <c r="B78" s="2432"/>
      <c r="C78" s="2272"/>
      <c r="D78" s="2156"/>
      <c r="E78" s="2510"/>
      <c r="F78" s="2511"/>
      <c r="G78" s="2344"/>
      <c r="H78" s="2423"/>
      <c r="I78" s="2344"/>
      <c r="J78" s="2423"/>
      <c r="K78" s="2475"/>
      <c r="L78" s="2423"/>
      <c r="M78" s="2475"/>
      <c r="N78" s="2423"/>
      <c r="O78" s="2267"/>
      <c r="P78" s="2266"/>
      <c r="Q78" s="2284"/>
      <c r="R78" s="2454"/>
      <c r="S78" s="2456"/>
      <c r="T78" s="2284"/>
      <c r="U78" s="2284"/>
      <c r="V78" s="507" t="s">
        <v>519</v>
      </c>
      <c r="W78" s="508">
        <v>11200000</v>
      </c>
      <c r="X78" s="77" t="s">
        <v>515</v>
      </c>
      <c r="Y78" s="2503"/>
      <c r="Z78" s="2503"/>
      <c r="AA78" s="2503"/>
      <c r="AB78" s="2503"/>
      <c r="AC78" s="2503"/>
      <c r="AD78" s="2503"/>
      <c r="AE78" s="2503"/>
      <c r="AF78" s="2503"/>
      <c r="AG78" s="2503"/>
      <c r="AH78" s="2463"/>
      <c r="AI78" s="2503"/>
      <c r="AJ78" s="2503"/>
      <c r="AK78" s="2503"/>
      <c r="AL78" s="2503"/>
      <c r="AM78" s="2503"/>
      <c r="AN78" s="2503"/>
      <c r="AO78" s="2503"/>
      <c r="AP78" s="2503"/>
      <c r="AQ78" s="2503"/>
      <c r="AR78" s="2451"/>
      <c r="AS78" s="2451"/>
      <c r="AT78" s="2427"/>
    </row>
    <row r="79" spans="1:66" ht="42" customHeight="1" x14ac:dyDescent="0.25">
      <c r="A79" s="2431"/>
      <c r="B79" s="2432"/>
      <c r="C79" s="2272"/>
      <c r="D79" s="2156"/>
      <c r="E79" s="2510"/>
      <c r="F79" s="2511"/>
      <c r="G79" s="2473" t="s">
        <v>62</v>
      </c>
      <c r="H79" s="2421" t="s">
        <v>520</v>
      </c>
      <c r="I79" s="2499">
        <v>2402041</v>
      </c>
      <c r="J79" s="2421" t="s">
        <v>521</v>
      </c>
      <c r="K79" s="2473" t="s">
        <v>62</v>
      </c>
      <c r="L79" s="2412" t="s">
        <v>522</v>
      </c>
      <c r="M79" s="2473">
        <v>240204100</v>
      </c>
      <c r="N79" s="2412" t="s">
        <v>523</v>
      </c>
      <c r="O79" s="2293">
        <v>130</v>
      </c>
      <c r="P79" s="2266"/>
      <c r="Q79" s="2284"/>
      <c r="R79" s="2323">
        <f>SUM(W79:W108)/S76</f>
        <v>0.98366678128885199</v>
      </c>
      <c r="S79" s="2456"/>
      <c r="T79" s="2284"/>
      <c r="U79" s="2284"/>
      <c r="V79" s="2492" t="s">
        <v>524</v>
      </c>
      <c r="W79" s="508">
        <v>0</v>
      </c>
      <c r="X79" s="77" t="s">
        <v>525</v>
      </c>
      <c r="Y79" s="2503"/>
      <c r="Z79" s="2503"/>
      <c r="AA79" s="2503"/>
      <c r="AB79" s="2503"/>
      <c r="AC79" s="2503"/>
      <c r="AD79" s="2503"/>
      <c r="AE79" s="2503"/>
      <c r="AF79" s="2503"/>
      <c r="AG79" s="2503"/>
      <c r="AH79" s="2463"/>
      <c r="AI79" s="2503"/>
      <c r="AJ79" s="2503"/>
      <c r="AK79" s="2503"/>
      <c r="AL79" s="2503"/>
      <c r="AM79" s="2503"/>
      <c r="AN79" s="2503"/>
      <c r="AO79" s="2503"/>
      <c r="AP79" s="2503"/>
      <c r="AQ79" s="2503"/>
      <c r="AR79" s="2451"/>
      <c r="AS79" s="2451"/>
      <c r="AT79" s="2427"/>
    </row>
    <row r="80" spans="1:66" ht="42" customHeight="1" x14ac:dyDescent="0.25">
      <c r="A80" s="2431"/>
      <c r="B80" s="2432"/>
      <c r="C80" s="2272"/>
      <c r="D80" s="2156"/>
      <c r="E80" s="2510"/>
      <c r="F80" s="2511"/>
      <c r="G80" s="2474"/>
      <c r="H80" s="2422"/>
      <c r="I80" s="2500"/>
      <c r="J80" s="2422"/>
      <c r="K80" s="2474"/>
      <c r="L80" s="2413"/>
      <c r="M80" s="2474"/>
      <c r="N80" s="2413"/>
      <c r="O80" s="2266"/>
      <c r="P80" s="2266"/>
      <c r="Q80" s="2284"/>
      <c r="R80" s="2453"/>
      <c r="S80" s="2456"/>
      <c r="T80" s="2284"/>
      <c r="U80" s="2284"/>
      <c r="V80" s="2505"/>
      <c r="W80" s="509">
        <v>181762245</v>
      </c>
      <c r="X80" s="378" t="s">
        <v>526</v>
      </c>
      <c r="Y80" s="2503"/>
      <c r="Z80" s="2503"/>
      <c r="AA80" s="2503"/>
      <c r="AB80" s="2503"/>
      <c r="AC80" s="2503"/>
      <c r="AD80" s="2503"/>
      <c r="AE80" s="2503"/>
      <c r="AF80" s="2503"/>
      <c r="AG80" s="2503"/>
      <c r="AH80" s="2463"/>
      <c r="AI80" s="2503"/>
      <c r="AJ80" s="2503"/>
      <c r="AK80" s="2503"/>
      <c r="AL80" s="2503"/>
      <c r="AM80" s="2503"/>
      <c r="AN80" s="2503"/>
      <c r="AO80" s="2503"/>
      <c r="AP80" s="2503"/>
      <c r="AQ80" s="2503"/>
      <c r="AR80" s="2451"/>
      <c r="AS80" s="2451"/>
      <c r="AT80" s="2427"/>
    </row>
    <row r="81" spans="1:46" ht="42" customHeight="1" x14ac:dyDescent="0.25">
      <c r="A81" s="2431"/>
      <c r="B81" s="2432"/>
      <c r="C81" s="2272"/>
      <c r="D81" s="2156"/>
      <c r="E81" s="2510"/>
      <c r="F81" s="2511"/>
      <c r="G81" s="2474"/>
      <c r="H81" s="2422"/>
      <c r="I81" s="2500"/>
      <c r="J81" s="2422"/>
      <c r="K81" s="2474"/>
      <c r="L81" s="2413"/>
      <c r="M81" s="2474"/>
      <c r="N81" s="2413"/>
      <c r="O81" s="2266"/>
      <c r="P81" s="2266"/>
      <c r="Q81" s="2284"/>
      <c r="R81" s="2453"/>
      <c r="S81" s="2456"/>
      <c r="T81" s="2284"/>
      <c r="U81" s="2284"/>
      <c r="V81" s="2505"/>
      <c r="W81" s="509">
        <v>1609419084</v>
      </c>
      <c r="X81" s="378" t="s">
        <v>527</v>
      </c>
      <c r="Y81" s="2503"/>
      <c r="Z81" s="2503"/>
      <c r="AA81" s="2503"/>
      <c r="AB81" s="2503"/>
      <c r="AC81" s="2503"/>
      <c r="AD81" s="2503"/>
      <c r="AE81" s="2503"/>
      <c r="AF81" s="2503"/>
      <c r="AG81" s="2503"/>
      <c r="AH81" s="2463"/>
      <c r="AI81" s="2503"/>
      <c r="AJ81" s="2503"/>
      <c r="AK81" s="2503"/>
      <c r="AL81" s="2503"/>
      <c r="AM81" s="2503"/>
      <c r="AN81" s="2503"/>
      <c r="AO81" s="2503"/>
      <c r="AP81" s="2503"/>
      <c r="AQ81" s="2503"/>
      <c r="AR81" s="2451"/>
      <c r="AS81" s="2451"/>
      <c r="AT81" s="2427"/>
    </row>
    <row r="82" spans="1:46" ht="42" customHeight="1" x14ac:dyDescent="0.25">
      <c r="A82" s="2431"/>
      <c r="B82" s="2432"/>
      <c r="C82" s="2272"/>
      <c r="D82" s="2156"/>
      <c r="E82" s="2510"/>
      <c r="F82" s="2511"/>
      <c r="G82" s="2474"/>
      <c r="H82" s="2422"/>
      <c r="I82" s="2500"/>
      <c r="J82" s="2422"/>
      <c r="K82" s="2474"/>
      <c r="L82" s="2413"/>
      <c r="M82" s="2474"/>
      <c r="N82" s="2413"/>
      <c r="O82" s="2266"/>
      <c r="P82" s="2266"/>
      <c r="Q82" s="2284"/>
      <c r="R82" s="2453"/>
      <c r="S82" s="2456"/>
      <c r="T82" s="2284"/>
      <c r="U82" s="2284"/>
      <c r="V82" s="2505"/>
      <c r="W82" s="509">
        <v>15000000</v>
      </c>
      <c r="X82" s="77" t="s">
        <v>528</v>
      </c>
      <c r="Y82" s="2503"/>
      <c r="Z82" s="2503"/>
      <c r="AA82" s="2503"/>
      <c r="AB82" s="2503"/>
      <c r="AC82" s="2503"/>
      <c r="AD82" s="2503"/>
      <c r="AE82" s="2503"/>
      <c r="AF82" s="2503"/>
      <c r="AG82" s="2503"/>
      <c r="AH82" s="2463"/>
      <c r="AI82" s="2503"/>
      <c r="AJ82" s="2503"/>
      <c r="AK82" s="2503"/>
      <c r="AL82" s="2503"/>
      <c r="AM82" s="2503"/>
      <c r="AN82" s="2503"/>
      <c r="AO82" s="2503"/>
      <c r="AP82" s="2503"/>
      <c r="AQ82" s="2503"/>
      <c r="AR82" s="2451"/>
      <c r="AS82" s="2451"/>
      <c r="AT82" s="2427"/>
    </row>
    <row r="83" spans="1:46" ht="75" customHeight="1" x14ac:dyDescent="0.25">
      <c r="A83" s="2431"/>
      <c r="B83" s="2432"/>
      <c r="C83" s="2272"/>
      <c r="D83" s="2156"/>
      <c r="E83" s="2510"/>
      <c r="F83" s="2511"/>
      <c r="G83" s="2474"/>
      <c r="H83" s="2422"/>
      <c r="I83" s="2500"/>
      <c r="J83" s="2422"/>
      <c r="K83" s="2474"/>
      <c r="L83" s="2413"/>
      <c r="M83" s="2474"/>
      <c r="N83" s="2413"/>
      <c r="O83" s="2266"/>
      <c r="P83" s="2266"/>
      <c r="Q83" s="2284"/>
      <c r="R83" s="2453"/>
      <c r="S83" s="2456"/>
      <c r="T83" s="2284"/>
      <c r="U83" s="2284"/>
      <c r="V83" s="2505"/>
      <c r="W83" s="509">
        <v>2000000</v>
      </c>
      <c r="X83" s="77" t="s">
        <v>529</v>
      </c>
      <c r="Y83" s="2503"/>
      <c r="Z83" s="2503"/>
      <c r="AA83" s="2503"/>
      <c r="AB83" s="2503"/>
      <c r="AC83" s="2503"/>
      <c r="AD83" s="2503"/>
      <c r="AE83" s="2503"/>
      <c r="AF83" s="2503"/>
      <c r="AG83" s="2503"/>
      <c r="AH83" s="2463"/>
      <c r="AI83" s="2503"/>
      <c r="AJ83" s="2503"/>
      <c r="AK83" s="2503"/>
      <c r="AL83" s="2503"/>
      <c r="AM83" s="2503"/>
      <c r="AN83" s="2503"/>
      <c r="AO83" s="2503"/>
      <c r="AP83" s="2503"/>
      <c r="AQ83" s="2503"/>
      <c r="AR83" s="2451"/>
      <c r="AS83" s="2451"/>
      <c r="AT83" s="2427"/>
    </row>
    <row r="84" spans="1:46" ht="42" customHeight="1" x14ac:dyDescent="0.25">
      <c r="A84" s="2431"/>
      <c r="B84" s="2432"/>
      <c r="C84" s="2272"/>
      <c r="D84" s="2156"/>
      <c r="E84" s="2510"/>
      <c r="F84" s="2511"/>
      <c r="G84" s="2474"/>
      <c r="H84" s="2422"/>
      <c r="I84" s="2500"/>
      <c r="J84" s="2422"/>
      <c r="K84" s="2474"/>
      <c r="L84" s="2413"/>
      <c r="M84" s="2474"/>
      <c r="N84" s="2413"/>
      <c r="O84" s="2266"/>
      <c r="P84" s="2266"/>
      <c r="Q84" s="2284"/>
      <c r="R84" s="2453"/>
      <c r="S84" s="2456"/>
      <c r="T84" s="2284"/>
      <c r="U84" s="2284"/>
      <c r="V84" s="2505"/>
      <c r="W84" s="509">
        <v>2000000</v>
      </c>
      <c r="X84" s="77" t="s">
        <v>530</v>
      </c>
      <c r="Y84" s="2503"/>
      <c r="Z84" s="2503"/>
      <c r="AA84" s="2503"/>
      <c r="AB84" s="2503"/>
      <c r="AC84" s="2503"/>
      <c r="AD84" s="2503"/>
      <c r="AE84" s="2503"/>
      <c r="AF84" s="2503"/>
      <c r="AG84" s="2503"/>
      <c r="AH84" s="2463"/>
      <c r="AI84" s="2503"/>
      <c r="AJ84" s="2503"/>
      <c r="AK84" s="2503"/>
      <c r="AL84" s="2503"/>
      <c r="AM84" s="2503"/>
      <c r="AN84" s="2503"/>
      <c r="AO84" s="2503"/>
      <c r="AP84" s="2503"/>
      <c r="AQ84" s="2503"/>
      <c r="AR84" s="2451"/>
      <c r="AS84" s="2451"/>
      <c r="AT84" s="2427"/>
    </row>
    <row r="85" spans="1:46" ht="42" customHeight="1" x14ac:dyDescent="0.25">
      <c r="A85" s="2431"/>
      <c r="B85" s="2432"/>
      <c r="C85" s="2272"/>
      <c r="D85" s="2156"/>
      <c r="E85" s="2510"/>
      <c r="F85" s="2511"/>
      <c r="G85" s="2474"/>
      <c r="H85" s="2422"/>
      <c r="I85" s="2500"/>
      <c r="J85" s="2422"/>
      <c r="K85" s="2474"/>
      <c r="L85" s="2413"/>
      <c r="M85" s="2474"/>
      <c r="N85" s="2413"/>
      <c r="O85" s="2266"/>
      <c r="P85" s="2266"/>
      <c r="Q85" s="2284"/>
      <c r="R85" s="2453"/>
      <c r="S85" s="2456"/>
      <c r="T85" s="2284"/>
      <c r="U85" s="2284"/>
      <c r="V85" s="2493"/>
      <c r="W85" s="509">
        <v>1000000</v>
      </c>
      <c r="X85" s="77" t="s">
        <v>531</v>
      </c>
      <c r="Y85" s="2503"/>
      <c r="Z85" s="2503"/>
      <c r="AA85" s="2503"/>
      <c r="AB85" s="2503"/>
      <c r="AC85" s="2503"/>
      <c r="AD85" s="2503"/>
      <c r="AE85" s="2503"/>
      <c r="AF85" s="2503"/>
      <c r="AG85" s="2503"/>
      <c r="AH85" s="2463"/>
      <c r="AI85" s="2503"/>
      <c r="AJ85" s="2503"/>
      <c r="AK85" s="2503"/>
      <c r="AL85" s="2503"/>
      <c r="AM85" s="2503"/>
      <c r="AN85" s="2503"/>
      <c r="AO85" s="2503"/>
      <c r="AP85" s="2503"/>
      <c r="AQ85" s="2503"/>
      <c r="AR85" s="2451"/>
      <c r="AS85" s="2451"/>
      <c r="AT85" s="2427"/>
    </row>
    <row r="86" spans="1:46" ht="45" x14ac:dyDescent="0.25">
      <c r="A86" s="2431"/>
      <c r="B86" s="2432"/>
      <c r="C86" s="2272"/>
      <c r="D86" s="2156"/>
      <c r="E86" s="2510"/>
      <c r="F86" s="2511"/>
      <c r="G86" s="2474"/>
      <c r="H86" s="2422"/>
      <c r="I86" s="2500"/>
      <c r="J86" s="2422"/>
      <c r="K86" s="2474"/>
      <c r="L86" s="2413"/>
      <c r="M86" s="2474"/>
      <c r="N86" s="2413"/>
      <c r="O86" s="2266"/>
      <c r="P86" s="2266"/>
      <c r="Q86" s="2284"/>
      <c r="R86" s="2453"/>
      <c r="S86" s="2456"/>
      <c r="T86" s="2284"/>
      <c r="U86" s="2284"/>
      <c r="V86" s="507" t="s">
        <v>532</v>
      </c>
      <c r="W86" s="508">
        <f>40000000-25000000</f>
        <v>15000000</v>
      </c>
      <c r="X86" s="77" t="s">
        <v>525</v>
      </c>
      <c r="Y86" s="2503"/>
      <c r="Z86" s="2503"/>
      <c r="AA86" s="2503"/>
      <c r="AB86" s="2503"/>
      <c r="AC86" s="2503"/>
      <c r="AD86" s="2503"/>
      <c r="AE86" s="2503"/>
      <c r="AF86" s="2503"/>
      <c r="AG86" s="2503"/>
      <c r="AH86" s="2463"/>
      <c r="AI86" s="2503"/>
      <c r="AJ86" s="2503"/>
      <c r="AK86" s="2503"/>
      <c r="AL86" s="2503"/>
      <c r="AM86" s="2503"/>
      <c r="AN86" s="2503"/>
      <c r="AO86" s="2503"/>
      <c r="AP86" s="2503"/>
      <c r="AQ86" s="2503"/>
      <c r="AR86" s="2451"/>
      <c r="AS86" s="2451"/>
      <c r="AT86" s="2427"/>
    </row>
    <row r="87" spans="1:46" ht="105" customHeight="1" x14ac:dyDescent="0.25">
      <c r="A87" s="2431"/>
      <c r="B87" s="2432"/>
      <c r="C87" s="2272"/>
      <c r="D87" s="2156"/>
      <c r="E87" s="2510"/>
      <c r="F87" s="2511"/>
      <c r="G87" s="2474"/>
      <c r="H87" s="2422"/>
      <c r="I87" s="2500"/>
      <c r="J87" s="2422"/>
      <c r="K87" s="2474"/>
      <c r="L87" s="2413"/>
      <c r="M87" s="2474"/>
      <c r="N87" s="2413"/>
      <c r="O87" s="2266"/>
      <c r="P87" s="2266"/>
      <c r="Q87" s="2284"/>
      <c r="R87" s="2453"/>
      <c r="S87" s="2456"/>
      <c r="T87" s="2284"/>
      <c r="U87" s="2284"/>
      <c r="V87" s="2492" t="s">
        <v>533</v>
      </c>
      <c r="W87" s="508">
        <v>7200000</v>
      </c>
      <c r="X87" s="77" t="s">
        <v>525</v>
      </c>
      <c r="Y87" s="2503"/>
      <c r="Z87" s="2503"/>
      <c r="AA87" s="2503"/>
      <c r="AB87" s="2503"/>
      <c r="AC87" s="2503"/>
      <c r="AD87" s="2503"/>
      <c r="AE87" s="2503"/>
      <c r="AF87" s="2503"/>
      <c r="AG87" s="2503"/>
      <c r="AH87" s="2463"/>
      <c r="AI87" s="2503"/>
      <c r="AJ87" s="2503"/>
      <c r="AK87" s="2503"/>
      <c r="AL87" s="2503"/>
      <c r="AM87" s="2503"/>
      <c r="AN87" s="2503"/>
      <c r="AO87" s="2503"/>
      <c r="AP87" s="2503"/>
      <c r="AQ87" s="2503"/>
      <c r="AR87" s="2451"/>
      <c r="AS87" s="2451"/>
      <c r="AT87" s="2427"/>
    </row>
    <row r="88" spans="1:46" ht="39" customHeight="1" x14ac:dyDescent="0.25">
      <c r="A88" s="2431"/>
      <c r="B88" s="2432"/>
      <c r="C88" s="2272"/>
      <c r="D88" s="2156"/>
      <c r="E88" s="2510"/>
      <c r="F88" s="2511"/>
      <c r="G88" s="2474"/>
      <c r="H88" s="2422"/>
      <c r="I88" s="2500"/>
      <c r="J88" s="2422"/>
      <c r="K88" s="2474"/>
      <c r="L88" s="2413"/>
      <c r="M88" s="2474"/>
      <c r="N88" s="2413"/>
      <c r="O88" s="2266"/>
      <c r="P88" s="2266"/>
      <c r="Q88" s="2284"/>
      <c r="R88" s="2453"/>
      <c r="S88" s="2456"/>
      <c r="T88" s="2284"/>
      <c r="U88" s="2284"/>
      <c r="V88" s="2506"/>
      <c r="W88" s="508">
        <v>6000000</v>
      </c>
      <c r="X88" s="77" t="s">
        <v>534</v>
      </c>
      <c r="Y88" s="2503"/>
      <c r="Z88" s="2503"/>
      <c r="AA88" s="2503"/>
      <c r="AB88" s="2503"/>
      <c r="AC88" s="2503"/>
      <c r="AD88" s="2503"/>
      <c r="AE88" s="2503"/>
      <c r="AF88" s="2503"/>
      <c r="AG88" s="2503"/>
      <c r="AH88" s="2463"/>
      <c r="AI88" s="2503"/>
      <c r="AJ88" s="2503"/>
      <c r="AK88" s="2503"/>
      <c r="AL88" s="2503"/>
      <c r="AM88" s="2503"/>
      <c r="AN88" s="2503"/>
      <c r="AO88" s="2503"/>
      <c r="AP88" s="2503"/>
      <c r="AQ88" s="2503"/>
      <c r="AR88" s="2451"/>
      <c r="AS88" s="2451"/>
      <c r="AT88" s="2427"/>
    </row>
    <row r="89" spans="1:46" ht="50.25" customHeight="1" x14ac:dyDescent="0.25">
      <c r="A89" s="2431"/>
      <c r="B89" s="2432"/>
      <c r="C89" s="2272"/>
      <c r="D89" s="2156"/>
      <c r="E89" s="2510"/>
      <c r="F89" s="2511"/>
      <c r="G89" s="2474"/>
      <c r="H89" s="2422"/>
      <c r="I89" s="2500"/>
      <c r="J89" s="2422"/>
      <c r="K89" s="2474"/>
      <c r="L89" s="2413"/>
      <c r="M89" s="2474"/>
      <c r="N89" s="2413"/>
      <c r="O89" s="2266"/>
      <c r="P89" s="2266"/>
      <c r="Q89" s="2284"/>
      <c r="R89" s="2453"/>
      <c r="S89" s="2456"/>
      <c r="T89" s="2284"/>
      <c r="U89" s="2284"/>
      <c r="V89" s="2507" t="s">
        <v>535</v>
      </c>
      <c r="W89" s="508">
        <v>10800000</v>
      </c>
      <c r="X89" s="77" t="s">
        <v>525</v>
      </c>
      <c r="Y89" s="2503"/>
      <c r="Z89" s="2503"/>
      <c r="AA89" s="2503"/>
      <c r="AB89" s="2503"/>
      <c r="AC89" s="2503"/>
      <c r="AD89" s="2503"/>
      <c r="AE89" s="2503"/>
      <c r="AF89" s="2503"/>
      <c r="AG89" s="2503"/>
      <c r="AH89" s="2463"/>
      <c r="AI89" s="2503"/>
      <c r="AJ89" s="2503"/>
      <c r="AK89" s="2503"/>
      <c r="AL89" s="2503"/>
      <c r="AM89" s="2503"/>
      <c r="AN89" s="2503"/>
      <c r="AO89" s="2503"/>
      <c r="AP89" s="2503"/>
      <c r="AQ89" s="2503"/>
      <c r="AR89" s="2451"/>
      <c r="AS89" s="2451"/>
      <c r="AT89" s="2427"/>
    </row>
    <row r="90" spans="1:46" ht="48" customHeight="1" x14ac:dyDescent="0.25">
      <c r="A90" s="2431"/>
      <c r="B90" s="2432"/>
      <c r="C90" s="2272"/>
      <c r="D90" s="2156"/>
      <c r="E90" s="2510"/>
      <c r="F90" s="2511"/>
      <c r="G90" s="2474"/>
      <c r="H90" s="2422"/>
      <c r="I90" s="2500"/>
      <c r="J90" s="2422"/>
      <c r="K90" s="2474"/>
      <c r="L90" s="2413"/>
      <c r="M90" s="2474"/>
      <c r="N90" s="2413"/>
      <c r="O90" s="2266"/>
      <c r="P90" s="2266"/>
      <c r="Q90" s="2284"/>
      <c r="R90" s="2453"/>
      <c r="S90" s="2456"/>
      <c r="T90" s="2284"/>
      <c r="U90" s="2284"/>
      <c r="V90" s="2506"/>
      <c r="W90" s="508">
        <v>2200000</v>
      </c>
      <c r="X90" s="77" t="s">
        <v>534</v>
      </c>
      <c r="Y90" s="2503"/>
      <c r="Z90" s="2503"/>
      <c r="AA90" s="2503"/>
      <c r="AB90" s="2503"/>
      <c r="AC90" s="2503"/>
      <c r="AD90" s="2503"/>
      <c r="AE90" s="2503"/>
      <c r="AF90" s="2503"/>
      <c r="AG90" s="2503"/>
      <c r="AH90" s="2463"/>
      <c r="AI90" s="2503"/>
      <c r="AJ90" s="2503"/>
      <c r="AK90" s="2503"/>
      <c r="AL90" s="2503"/>
      <c r="AM90" s="2503"/>
      <c r="AN90" s="2503"/>
      <c r="AO90" s="2503"/>
      <c r="AP90" s="2503"/>
      <c r="AQ90" s="2503"/>
      <c r="AR90" s="2451"/>
      <c r="AS90" s="2451"/>
      <c r="AT90" s="2427"/>
    </row>
    <row r="91" spans="1:46" ht="67.5" customHeight="1" x14ac:dyDescent="0.25">
      <c r="A91" s="2431"/>
      <c r="B91" s="2432"/>
      <c r="C91" s="2272"/>
      <c r="D91" s="2156"/>
      <c r="E91" s="2510"/>
      <c r="F91" s="2511"/>
      <c r="G91" s="2474"/>
      <c r="H91" s="2422"/>
      <c r="I91" s="2500"/>
      <c r="J91" s="2422"/>
      <c r="K91" s="2474"/>
      <c r="L91" s="2413"/>
      <c r="M91" s="2474"/>
      <c r="N91" s="2413"/>
      <c r="O91" s="2266"/>
      <c r="P91" s="2266"/>
      <c r="Q91" s="2284"/>
      <c r="R91" s="2453"/>
      <c r="S91" s="2456"/>
      <c r="T91" s="2284"/>
      <c r="U91" s="2284"/>
      <c r="V91" s="2507" t="s">
        <v>536</v>
      </c>
      <c r="W91" s="508">
        <f>40000000+1000000</f>
        <v>41000000</v>
      </c>
      <c r="X91" s="77" t="s">
        <v>525</v>
      </c>
      <c r="Y91" s="2503"/>
      <c r="Z91" s="2503"/>
      <c r="AA91" s="2503"/>
      <c r="AB91" s="2503"/>
      <c r="AC91" s="2503"/>
      <c r="AD91" s="2503"/>
      <c r="AE91" s="2503"/>
      <c r="AF91" s="2503"/>
      <c r="AG91" s="2503"/>
      <c r="AH91" s="2463"/>
      <c r="AI91" s="2503"/>
      <c r="AJ91" s="2503"/>
      <c r="AK91" s="2503"/>
      <c r="AL91" s="2503"/>
      <c r="AM91" s="2503"/>
      <c r="AN91" s="2503"/>
      <c r="AO91" s="2503"/>
      <c r="AP91" s="2503"/>
      <c r="AQ91" s="2503"/>
      <c r="AR91" s="2451"/>
      <c r="AS91" s="2451"/>
      <c r="AT91" s="2427"/>
    </row>
    <row r="92" spans="1:46" ht="66" customHeight="1" x14ac:dyDescent="0.25">
      <c r="A92" s="2431"/>
      <c r="B92" s="2432"/>
      <c r="C92" s="2272"/>
      <c r="D92" s="2156"/>
      <c r="E92" s="2510"/>
      <c r="F92" s="2511"/>
      <c r="G92" s="2474"/>
      <c r="H92" s="2422"/>
      <c r="I92" s="2500"/>
      <c r="J92" s="2422"/>
      <c r="K92" s="2474"/>
      <c r="L92" s="2413"/>
      <c r="M92" s="2474"/>
      <c r="N92" s="2413"/>
      <c r="O92" s="2266"/>
      <c r="P92" s="2266"/>
      <c r="Q92" s="2284"/>
      <c r="R92" s="2453"/>
      <c r="S92" s="2456"/>
      <c r="T92" s="2284"/>
      <c r="U92" s="2284"/>
      <c r="V92" s="2506"/>
      <c r="W92" s="508">
        <v>0</v>
      </c>
      <c r="X92" s="378" t="s">
        <v>537</v>
      </c>
      <c r="Y92" s="2503"/>
      <c r="Z92" s="2503"/>
      <c r="AA92" s="2503"/>
      <c r="AB92" s="2503"/>
      <c r="AC92" s="2503"/>
      <c r="AD92" s="2503"/>
      <c r="AE92" s="2503"/>
      <c r="AF92" s="2503"/>
      <c r="AG92" s="2503"/>
      <c r="AH92" s="2463"/>
      <c r="AI92" s="2503"/>
      <c r="AJ92" s="2503"/>
      <c r="AK92" s="2503"/>
      <c r="AL92" s="2503"/>
      <c r="AM92" s="2503"/>
      <c r="AN92" s="2503"/>
      <c r="AO92" s="2503"/>
      <c r="AP92" s="2503"/>
      <c r="AQ92" s="2503"/>
      <c r="AR92" s="2451"/>
      <c r="AS92" s="2451"/>
      <c r="AT92" s="2427"/>
    </row>
    <row r="93" spans="1:46" ht="80.25" customHeight="1" x14ac:dyDescent="0.25">
      <c r="A93" s="2431"/>
      <c r="B93" s="2432"/>
      <c r="C93" s="2272"/>
      <c r="D93" s="2156"/>
      <c r="E93" s="2510"/>
      <c r="F93" s="2511"/>
      <c r="G93" s="2474"/>
      <c r="H93" s="2422"/>
      <c r="I93" s="2500"/>
      <c r="J93" s="2422"/>
      <c r="K93" s="2474"/>
      <c r="L93" s="2413"/>
      <c r="M93" s="2474"/>
      <c r="N93" s="2413"/>
      <c r="O93" s="2266"/>
      <c r="P93" s="2266"/>
      <c r="Q93" s="2284"/>
      <c r="R93" s="2453"/>
      <c r="S93" s="2456"/>
      <c r="T93" s="2284"/>
      <c r="U93" s="2284"/>
      <c r="V93" s="2492" t="s">
        <v>538</v>
      </c>
      <c r="W93" s="508">
        <v>17200000</v>
      </c>
      <c r="X93" s="77" t="s">
        <v>525</v>
      </c>
      <c r="Y93" s="2503"/>
      <c r="Z93" s="2503"/>
      <c r="AA93" s="2503"/>
      <c r="AB93" s="2503"/>
      <c r="AC93" s="2503"/>
      <c r="AD93" s="2503"/>
      <c r="AE93" s="2503"/>
      <c r="AF93" s="2503"/>
      <c r="AG93" s="2503"/>
      <c r="AH93" s="2463"/>
      <c r="AI93" s="2503"/>
      <c r="AJ93" s="2503"/>
      <c r="AK93" s="2503"/>
      <c r="AL93" s="2503"/>
      <c r="AM93" s="2503"/>
      <c r="AN93" s="2503"/>
      <c r="AO93" s="2503"/>
      <c r="AP93" s="2503"/>
      <c r="AQ93" s="2503"/>
      <c r="AR93" s="2451"/>
      <c r="AS93" s="2451"/>
      <c r="AT93" s="2427"/>
    </row>
    <row r="94" spans="1:46" ht="50.25" customHeight="1" x14ac:dyDescent="0.25">
      <c r="A94" s="2431"/>
      <c r="B94" s="2432"/>
      <c r="C94" s="2272"/>
      <c r="D94" s="2156"/>
      <c r="E94" s="2510"/>
      <c r="F94" s="2511"/>
      <c r="G94" s="2474"/>
      <c r="H94" s="2422"/>
      <c r="I94" s="2500"/>
      <c r="J94" s="2422"/>
      <c r="K94" s="2474"/>
      <c r="L94" s="2413"/>
      <c r="M94" s="2474"/>
      <c r="N94" s="2413"/>
      <c r="O94" s="2266"/>
      <c r="P94" s="2266"/>
      <c r="Q94" s="2284"/>
      <c r="R94" s="2453"/>
      <c r="S94" s="2456"/>
      <c r="T94" s="2284"/>
      <c r="U94" s="2284"/>
      <c r="V94" s="2493"/>
      <c r="W94" s="508">
        <v>800000</v>
      </c>
      <c r="X94" s="77" t="s">
        <v>534</v>
      </c>
      <c r="Y94" s="2503"/>
      <c r="Z94" s="2503"/>
      <c r="AA94" s="2503"/>
      <c r="AB94" s="2503"/>
      <c r="AC94" s="2503"/>
      <c r="AD94" s="2503"/>
      <c r="AE94" s="2503"/>
      <c r="AF94" s="2503"/>
      <c r="AG94" s="2503"/>
      <c r="AH94" s="2463"/>
      <c r="AI94" s="2503"/>
      <c r="AJ94" s="2503"/>
      <c r="AK94" s="2503"/>
      <c r="AL94" s="2503"/>
      <c r="AM94" s="2503"/>
      <c r="AN94" s="2503"/>
      <c r="AO94" s="2503"/>
      <c r="AP94" s="2503"/>
      <c r="AQ94" s="2503"/>
      <c r="AR94" s="2451"/>
      <c r="AS94" s="2451"/>
      <c r="AT94" s="2427"/>
    </row>
    <row r="95" spans="1:46" ht="90" customHeight="1" x14ac:dyDescent="0.25">
      <c r="A95" s="2431"/>
      <c r="B95" s="2432"/>
      <c r="C95" s="2272"/>
      <c r="D95" s="2156"/>
      <c r="E95" s="2510"/>
      <c r="F95" s="2511"/>
      <c r="G95" s="2474"/>
      <c r="H95" s="2422"/>
      <c r="I95" s="2500"/>
      <c r="J95" s="2422"/>
      <c r="K95" s="2474"/>
      <c r="L95" s="2413"/>
      <c r="M95" s="2474"/>
      <c r="N95" s="2413"/>
      <c r="O95" s="2266"/>
      <c r="P95" s="2266"/>
      <c r="Q95" s="2284"/>
      <c r="R95" s="2453"/>
      <c r="S95" s="2456"/>
      <c r="T95" s="2284"/>
      <c r="U95" s="2284"/>
      <c r="V95" s="2492" t="s">
        <v>539</v>
      </c>
      <c r="W95" s="508">
        <v>55520290</v>
      </c>
      <c r="X95" s="77" t="s">
        <v>525</v>
      </c>
      <c r="Y95" s="2503"/>
      <c r="Z95" s="2503"/>
      <c r="AA95" s="2503"/>
      <c r="AB95" s="2503"/>
      <c r="AC95" s="2503"/>
      <c r="AD95" s="2503"/>
      <c r="AE95" s="2503"/>
      <c r="AF95" s="2503"/>
      <c r="AG95" s="2503"/>
      <c r="AH95" s="2463"/>
      <c r="AI95" s="2503"/>
      <c r="AJ95" s="2503"/>
      <c r="AK95" s="2503"/>
      <c r="AL95" s="2503"/>
      <c r="AM95" s="2503"/>
      <c r="AN95" s="2503"/>
      <c r="AO95" s="2503"/>
      <c r="AP95" s="2503"/>
      <c r="AQ95" s="2503"/>
      <c r="AR95" s="2451"/>
      <c r="AS95" s="2451"/>
      <c r="AT95" s="2427"/>
    </row>
    <row r="96" spans="1:46" ht="58.5" customHeight="1" x14ac:dyDescent="0.25">
      <c r="A96" s="2431"/>
      <c r="B96" s="2432"/>
      <c r="C96" s="2272"/>
      <c r="D96" s="2156"/>
      <c r="E96" s="2510"/>
      <c r="F96" s="2511"/>
      <c r="G96" s="2474"/>
      <c r="H96" s="2422"/>
      <c r="I96" s="2500"/>
      <c r="J96" s="2422"/>
      <c r="K96" s="2474"/>
      <c r="L96" s="2413"/>
      <c r="M96" s="2474"/>
      <c r="N96" s="2413"/>
      <c r="O96" s="2266"/>
      <c r="P96" s="2266"/>
      <c r="Q96" s="2284"/>
      <c r="R96" s="2453"/>
      <c r="S96" s="2456"/>
      <c r="T96" s="2284"/>
      <c r="U96" s="2284"/>
      <c r="V96" s="2493"/>
      <c r="W96" s="508">
        <v>582193912</v>
      </c>
      <c r="X96" s="378" t="s">
        <v>537</v>
      </c>
      <c r="Y96" s="2503"/>
      <c r="Z96" s="2503"/>
      <c r="AA96" s="2503"/>
      <c r="AB96" s="2503"/>
      <c r="AC96" s="2503"/>
      <c r="AD96" s="2503"/>
      <c r="AE96" s="2503"/>
      <c r="AF96" s="2503"/>
      <c r="AG96" s="2503"/>
      <c r="AH96" s="2463"/>
      <c r="AI96" s="2503"/>
      <c r="AJ96" s="2503"/>
      <c r="AK96" s="2503"/>
      <c r="AL96" s="2503"/>
      <c r="AM96" s="2503"/>
      <c r="AN96" s="2503"/>
      <c r="AO96" s="2503"/>
      <c r="AP96" s="2503"/>
      <c r="AQ96" s="2503"/>
      <c r="AR96" s="2451"/>
      <c r="AS96" s="2451"/>
      <c r="AT96" s="2427"/>
    </row>
    <row r="97" spans="1:46" ht="39.75" customHeight="1" x14ac:dyDescent="0.25">
      <c r="A97" s="2431"/>
      <c r="B97" s="2432"/>
      <c r="C97" s="2272"/>
      <c r="D97" s="2156"/>
      <c r="E97" s="2510"/>
      <c r="F97" s="2511"/>
      <c r="G97" s="2474"/>
      <c r="H97" s="2422"/>
      <c r="I97" s="2500"/>
      <c r="J97" s="2422"/>
      <c r="K97" s="2474"/>
      <c r="L97" s="2413"/>
      <c r="M97" s="2474"/>
      <c r="N97" s="2413"/>
      <c r="O97" s="2266"/>
      <c r="P97" s="2266"/>
      <c r="Q97" s="2284"/>
      <c r="R97" s="2453"/>
      <c r="S97" s="2456"/>
      <c r="T97" s="2284"/>
      <c r="U97" s="2284"/>
      <c r="V97" s="2492" t="s">
        <v>519</v>
      </c>
      <c r="W97" s="508">
        <v>33000000</v>
      </c>
      <c r="X97" s="77" t="s">
        <v>525</v>
      </c>
      <c r="Y97" s="2503"/>
      <c r="Z97" s="2503"/>
      <c r="AA97" s="2503"/>
      <c r="AB97" s="2503"/>
      <c r="AC97" s="2503"/>
      <c r="AD97" s="2503"/>
      <c r="AE97" s="2503"/>
      <c r="AF97" s="2503"/>
      <c r="AG97" s="2503"/>
      <c r="AH97" s="2463"/>
      <c r="AI97" s="2503"/>
      <c r="AJ97" s="2503"/>
      <c r="AK97" s="2503"/>
      <c r="AL97" s="2503"/>
      <c r="AM97" s="2503"/>
      <c r="AN97" s="2503"/>
      <c r="AO97" s="2503"/>
      <c r="AP97" s="2503"/>
      <c r="AQ97" s="2503"/>
      <c r="AR97" s="2451"/>
      <c r="AS97" s="2451"/>
      <c r="AT97" s="2427"/>
    </row>
    <row r="98" spans="1:46" ht="36" customHeight="1" x14ac:dyDescent="0.25">
      <c r="A98" s="2431"/>
      <c r="B98" s="2432"/>
      <c r="C98" s="2272"/>
      <c r="D98" s="2156"/>
      <c r="E98" s="2510"/>
      <c r="F98" s="2511"/>
      <c r="G98" s="2474"/>
      <c r="H98" s="2422"/>
      <c r="I98" s="2500"/>
      <c r="J98" s="2422"/>
      <c r="K98" s="2474"/>
      <c r="L98" s="2413"/>
      <c r="M98" s="2474"/>
      <c r="N98" s="2413"/>
      <c r="O98" s="2266"/>
      <c r="P98" s="2266"/>
      <c r="Q98" s="2284"/>
      <c r="R98" s="2453"/>
      <c r="S98" s="2456"/>
      <c r="T98" s="2284"/>
      <c r="U98" s="2284"/>
      <c r="V98" s="2493"/>
      <c r="W98" s="508">
        <v>50500000</v>
      </c>
      <c r="X98" s="378" t="s">
        <v>537</v>
      </c>
      <c r="Y98" s="2503"/>
      <c r="Z98" s="2503"/>
      <c r="AA98" s="2503"/>
      <c r="AB98" s="2503"/>
      <c r="AC98" s="2503"/>
      <c r="AD98" s="2503"/>
      <c r="AE98" s="2503"/>
      <c r="AF98" s="2503"/>
      <c r="AG98" s="2503"/>
      <c r="AH98" s="2463"/>
      <c r="AI98" s="2503"/>
      <c r="AJ98" s="2503"/>
      <c r="AK98" s="2503"/>
      <c r="AL98" s="2503"/>
      <c r="AM98" s="2503"/>
      <c r="AN98" s="2503"/>
      <c r="AO98" s="2503"/>
      <c r="AP98" s="2503"/>
      <c r="AQ98" s="2503"/>
      <c r="AR98" s="2451"/>
      <c r="AS98" s="2451"/>
      <c r="AT98" s="2427"/>
    </row>
    <row r="99" spans="1:46" ht="75" customHeight="1" x14ac:dyDescent="0.25">
      <c r="A99" s="2431"/>
      <c r="B99" s="2432"/>
      <c r="C99" s="2272"/>
      <c r="D99" s="2156"/>
      <c r="E99" s="2510"/>
      <c r="F99" s="2511"/>
      <c r="G99" s="2474"/>
      <c r="H99" s="2422"/>
      <c r="I99" s="2500"/>
      <c r="J99" s="2422"/>
      <c r="K99" s="2474"/>
      <c r="L99" s="2413"/>
      <c r="M99" s="2474"/>
      <c r="N99" s="2413"/>
      <c r="O99" s="2266"/>
      <c r="P99" s="2266"/>
      <c r="Q99" s="2284"/>
      <c r="R99" s="2453"/>
      <c r="S99" s="2456"/>
      <c r="T99" s="2284"/>
      <c r="U99" s="2284"/>
      <c r="V99" s="2492" t="s">
        <v>540</v>
      </c>
      <c r="W99" s="508">
        <v>27800000</v>
      </c>
      <c r="X99" s="77" t="s">
        <v>525</v>
      </c>
      <c r="Y99" s="2503"/>
      <c r="Z99" s="2503"/>
      <c r="AA99" s="2503"/>
      <c r="AB99" s="2503"/>
      <c r="AC99" s="2503"/>
      <c r="AD99" s="2503"/>
      <c r="AE99" s="2503"/>
      <c r="AF99" s="2503"/>
      <c r="AG99" s="2503"/>
      <c r="AH99" s="2463"/>
      <c r="AI99" s="2503"/>
      <c r="AJ99" s="2503"/>
      <c r="AK99" s="2503"/>
      <c r="AL99" s="2503"/>
      <c r="AM99" s="2503"/>
      <c r="AN99" s="2503"/>
      <c r="AO99" s="2503"/>
      <c r="AP99" s="2503"/>
      <c r="AQ99" s="2503"/>
      <c r="AR99" s="2451"/>
      <c r="AS99" s="2451"/>
      <c r="AT99" s="2427"/>
    </row>
    <row r="100" spans="1:46" ht="44.25" customHeight="1" x14ac:dyDescent="0.25">
      <c r="A100" s="2431"/>
      <c r="B100" s="2432"/>
      <c r="C100" s="2272"/>
      <c r="D100" s="2156"/>
      <c r="E100" s="2510"/>
      <c r="F100" s="2511"/>
      <c r="G100" s="2474"/>
      <c r="H100" s="2422"/>
      <c r="I100" s="2500"/>
      <c r="J100" s="2422"/>
      <c r="K100" s="2474"/>
      <c r="L100" s="2413"/>
      <c r="M100" s="2474"/>
      <c r="N100" s="2413"/>
      <c r="O100" s="2266"/>
      <c r="P100" s="2266"/>
      <c r="Q100" s="2284"/>
      <c r="R100" s="2453"/>
      <c r="S100" s="2456"/>
      <c r="T100" s="2284"/>
      <c r="U100" s="2284"/>
      <c r="V100" s="2493"/>
      <c r="W100" s="508">
        <v>40500000</v>
      </c>
      <c r="X100" s="77" t="s">
        <v>537</v>
      </c>
      <c r="Y100" s="2503"/>
      <c r="Z100" s="2503"/>
      <c r="AA100" s="2503"/>
      <c r="AB100" s="2503"/>
      <c r="AC100" s="2503"/>
      <c r="AD100" s="2503"/>
      <c r="AE100" s="2503"/>
      <c r="AF100" s="2503"/>
      <c r="AG100" s="2503"/>
      <c r="AH100" s="2463"/>
      <c r="AI100" s="2503"/>
      <c r="AJ100" s="2503"/>
      <c r="AK100" s="2503"/>
      <c r="AL100" s="2503"/>
      <c r="AM100" s="2503"/>
      <c r="AN100" s="2503"/>
      <c r="AO100" s="2503"/>
      <c r="AP100" s="2503"/>
      <c r="AQ100" s="2503"/>
      <c r="AR100" s="2451"/>
      <c r="AS100" s="2451"/>
      <c r="AT100" s="2427"/>
    </row>
    <row r="101" spans="1:46" ht="44.25" customHeight="1" x14ac:dyDescent="0.25">
      <c r="A101" s="2431"/>
      <c r="B101" s="2432"/>
      <c r="C101" s="2272"/>
      <c r="D101" s="2156"/>
      <c r="E101" s="2510"/>
      <c r="F101" s="2511"/>
      <c r="G101" s="2474"/>
      <c r="H101" s="2422"/>
      <c r="I101" s="2500"/>
      <c r="J101" s="2422"/>
      <c r="K101" s="2474"/>
      <c r="L101" s="2413"/>
      <c r="M101" s="2474"/>
      <c r="N101" s="2413"/>
      <c r="O101" s="2266"/>
      <c r="P101" s="2266"/>
      <c r="Q101" s="2284"/>
      <c r="R101" s="2453"/>
      <c r="S101" s="2456"/>
      <c r="T101" s="2284"/>
      <c r="U101" s="2284"/>
      <c r="V101" s="510" t="s">
        <v>541</v>
      </c>
      <c r="W101" s="508">
        <v>60433000</v>
      </c>
      <c r="X101" s="77" t="s">
        <v>542</v>
      </c>
      <c r="Y101" s="2503"/>
      <c r="Z101" s="2503"/>
      <c r="AA101" s="2503"/>
      <c r="AB101" s="2503"/>
      <c r="AC101" s="2503"/>
      <c r="AD101" s="2503"/>
      <c r="AE101" s="2503"/>
      <c r="AF101" s="2503"/>
      <c r="AG101" s="2503"/>
      <c r="AH101" s="2463"/>
      <c r="AI101" s="2503"/>
      <c r="AJ101" s="2503"/>
      <c r="AK101" s="2503"/>
      <c r="AL101" s="2503"/>
      <c r="AM101" s="2503"/>
      <c r="AN101" s="2503"/>
      <c r="AO101" s="2503"/>
      <c r="AP101" s="2503"/>
      <c r="AQ101" s="2503"/>
      <c r="AR101" s="2451"/>
      <c r="AS101" s="2451"/>
      <c r="AT101" s="2427"/>
    </row>
    <row r="102" spans="1:46" ht="45" customHeight="1" x14ac:dyDescent="0.25">
      <c r="A102" s="2431"/>
      <c r="B102" s="2432"/>
      <c r="C102" s="2272"/>
      <c r="D102" s="2156"/>
      <c r="E102" s="2510"/>
      <c r="F102" s="2511"/>
      <c r="G102" s="2474"/>
      <c r="H102" s="2422"/>
      <c r="I102" s="2500"/>
      <c r="J102" s="2422"/>
      <c r="K102" s="2474"/>
      <c r="L102" s="2413"/>
      <c r="M102" s="2474"/>
      <c r="N102" s="2413"/>
      <c r="O102" s="2266"/>
      <c r="P102" s="2266"/>
      <c r="Q102" s="2284"/>
      <c r="R102" s="2453"/>
      <c r="S102" s="2456"/>
      <c r="T102" s="2284"/>
      <c r="U102" s="2284"/>
      <c r="V102" s="2492" t="s">
        <v>543</v>
      </c>
      <c r="W102" s="509">
        <v>15000000</v>
      </c>
      <c r="X102" s="77" t="s">
        <v>544</v>
      </c>
      <c r="Y102" s="2503"/>
      <c r="Z102" s="2503"/>
      <c r="AA102" s="2503"/>
      <c r="AB102" s="2503"/>
      <c r="AC102" s="2503"/>
      <c r="AD102" s="2503"/>
      <c r="AE102" s="2503"/>
      <c r="AF102" s="2503"/>
      <c r="AG102" s="2503"/>
      <c r="AH102" s="2463"/>
      <c r="AI102" s="2503"/>
      <c r="AJ102" s="2503"/>
      <c r="AK102" s="2503"/>
      <c r="AL102" s="2503"/>
      <c r="AM102" s="2503"/>
      <c r="AN102" s="2503"/>
      <c r="AO102" s="2503"/>
      <c r="AP102" s="2503"/>
      <c r="AQ102" s="2503"/>
      <c r="AR102" s="2451"/>
      <c r="AS102" s="2451"/>
      <c r="AT102" s="2427"/>
    </row>
    <row r="103" spans="1:46" ht="38.25" customHeight="1" x14ac:dyDescent="0.25">
      <c r="A103" s="2431"/>
      <c r="B103" s="2432"/>
      <c r="C103" s="2272"/>
      <c r="D103" s="2156"/>
      <c r="E103" s="2510"/>
      <c r="F103" s="2511"/>
      <c r="G103" s="2474"/>
      <c r="H103" s="2422"/>
      <c r="I103" s="2500"/>
      <c r="J103" s="2422"/>
      <c r="K103" s="2474"/>
      <c r="L103" s="2413"/>
      <c r="M103" s="2474"/>
      <c r="N103" s="2413"/>
      <c r="O103" s="2266"/>
      <c r="P103" s="2266"/>
      <c r="Q103" s="2284"/>
      <c r="R103" s="2453"/>
      <c r="S103" s="2456"/>
      <c r="T103" s="2284"/>
      <c r="U103" s="2284"/>
      <c r="V103" s="2493"/>
      <c r="W103" s="509">
        <v>1191902494</v>
      </c>
      <c r="X103" s="378" t="s">
        <v>545</v>
      </c>
      <c r="Y103" s="2503"/>
      <c r="Z103" s="2503"/>
      <c r="AA103" s="2503"/>
      <c r="AB103" s="2503"/>
      <c r="AC103" s="2503"/>
      <c r="AD103" s="2503"/>
      <c r="AE103" s="2503"/>
      <c r="AF103" s="2503"/>
      <c r="AG103" s="2503"/>
      <c r="AH103" s="2463"/>
      <c r="AI103" s="2503"/>
      <c r="AJ103" s="2503"/>
      <c r="AK103" s="2503"/>
      <c r="AL103" s="2503"/>
      <c r="AM103" s="2503"/>
      <c r="AN103" s="2503"/>
      <c r="AO103" s="2503"/>
      <c r="AP103" s="2503"/>
      <c r="AQ103" s="2503"/>
      <c r="AR103" s="2451"/>
      <c r="AS103" s="2451"/>
      <c r="AT103" s="2427"/>
    </row>
    <row r="104" spans="1:46" ht="53.25" customHeight="1" x14ac:dyDescent="0.25">
      <c r="A104" s="2431"/>
      <c r="B104" s="2432"/>
      <c r="C104" s="2272"/>
      <c r="D104" s="2156"/>
      <c r="E104" s="2510"/>
      <c r="F104" s="2511"/>
      <c r="G104" s="2474"/>
      <c r="H104" s="2422"/>
      <c r="I104" s="2500"/>
      <c r="J104" s="2422"/>
      <c r="K104" s="2474"/>
      <c r="L104" s="2413"/>
      <c r="M104" s="2474"/>
      <c r="N104" s="2413"/>
      <c r="O104" s="2266"/>
      <c r="P104" s="2266"/>
      <c r="Q104" s="2284"/>
      <c r="R104" s="2453"/>
      <c r="S104" s="2456"/>
      <c r="T104" s="2284"/>
      <c r="U104" s="2284"/>
      <c r="V104" s="2492" t="s">
        <v>546</v>
      </c>
      <c r="W104" s="509">
        <v>20000000</v>
      </c>
      <c r="X104" s="77" t="s">
        <v>547</v>
      </c>
      <c r="Y104" s="2503"/>
      <c r="Z104" s="2503"/>
      <c r="AA104" s="2503"/>
      <c r="AB104" s="2503"/>
      <c r="AC104" s="2503"/>
      <c r="AD104" s="2503"/>
      <c r="AE104" s="2503"/>
      <c r="AF104" s="2503"/>
      <c r="AG104" s="2503"/>
      <c r="AH104" s="2463"/>
      <c r="AI104" s="2503"/>
      <c r="AJ104" s="2503"/>
      <c r="AK104" s="2503"/>
      <c r="AL104" s="2503"/>
      <c r="AM104" s="2503"/>
      <c r="AN104" s="2503"/>
      <c r="AO104" s="2503"/>
      <c r="AP104" s="2503"/>
      <c r="AQ104" s="2503"/>
      <c r="AR104" s="2451"/>
      <c r="AS104" s="2451"/>
      <c r="AT104" s="2427"/>
    </row>
    <row r="105" spans="1:46" ht="57.75" customHeight="1" x14ac:dyDescent="0.25">
      <c r="A105" s="2431"/>
      <c r="B105" s="2432"/>
      <c r="C105" s="2272"/>
      <c r="D105" s="2156"/>
      <c r="E105" s="2510"/>
      <c r="F105" s="2511"/>
      <c r="G105" s="2474"/>
      <c r="H105" s="2422"/>
      <c r="I105" s="2500"/>
      <c r="J105" s="2422"/>
      <c r="K105" s="2474"/>
      <c r="L105" s="2413"/>
      <c r="M105" s="2474"/>
      <c r="N105" s="2413"/>
      <c r="O105" s="2266"/>
      <c r="P105" s="2266"/>
      <c r="Q105" s="2284"/>
      <c r="R105" s="2453"/>
      <c r="S105" s="2456"/>
      <c r="T105" s="2284"/>
      <c r="U105" s="2284"/>
      <c r="V105" s="2493"/>
      <c r="W105" s="509">
        <v>184215818</v>
      </c>
      <c r="X105" s="378" t="s">
        <v>548</v>
      </c>
      <c r="Y105" s="2503"/>
      <c r="Z105" s="2503"/>
      <c r="AA105" s="2503"/>
      <c r="AB105" s="2503"/>
      <c r="AC105" s="2503"/>
      <c r="AD105" s="2503"/>
      <c r="AE105" s="2503"/>
      <c r="AF105" s="2503"/>
      <c r="AG105" s="2503"/>
      <c r="AH105" s="2463"/>
      <c r="AI105" s="2503"/>
      <c r="AJ105" s="2503"/>
      <c r="AK105" s="2503"/>
      <c r="AL105" s="2503"/>
      <c r="AM105" s="2503"/>
      <c r="AN105" s="2503"/>
      <c r="AO105" s="2503"/>
      <c r="AP105" s="2503"/>
      <c r="AQ105" s="2503"/>
      <c r="AR105" s="2451"/>
      <c r="AS105" s="2451"/>
      <c r="AT105" s="2427"/>
    </row>
    <row r="106" spans="1:46" ht="78.75" customHeight="1" x14ac:dyDescent="0.25">
      <c r="A106" s="2431"/>
      <c r="B106" s="2432"/>
      <c r="C106" s="2272"/>
      <c r="D106" s="2156"/>
      <c r="E106" s="2510"/>
      <c r="F106" s="2511"/>
      <c r="G106" s="2474"/>
      <c r="H106" s="2422"/>
      <c r="I106" s="2500"/>
      <c r="J106" s="2422"/>
      <c r="K106" s="2474"/>
      <c r="L106" s="2413"/>
      <c r="M106" s="2474"/>
      <c r="N106" s="2413"/>
      <c r="O106" s="2266"/>
      <c r="P106" s="2266"/>
      <c r="Q106" s="2284"/>
      <c r="R106" s="2453"/>
      <c r="S106" s="2456"/>
      <c r="T106" s="2284"/>
      <c r="U106" s="2284"/>
      <c r="V106" s="507" t="s">
        <v>549</v>
      </c>
      <c r="W106" s="509">
        <v>1000000</v>
      </c>
      <c r="X106" s="511" t="s">
        <v>550</v>
      </c>
      <c r="Y106" s="2503"/>
      <c r="Z106" s="2503"/>
      <c r="AA106" s="2503"/>
      <c r="AB106" s="2503"/>
      <c r="AC106" s="2503"/>
      <c r="AD106" s="2503"/>
      <c r="AE106" s="2503"/>
      <c r="AF106" s="2503"/>
      <c r="AG106" s="2503"/>
      <c r="AH106" s="2463"/>
      <c r="AI106" s="2503"/>
      <c r="AJ106" s="2503"/>
      <c r="AK106" s="2503"/>
      <c r="AL106" s="2503"/>
      <c r="AM106" s="2503"/>
      <c r="AN106" s="2503"/>
      <c r="AO106" s="2503"/>
      <c r="AP106" s="2503"/>
      <c r="AQ106" s="2503"/>
      <c r="AR106" s="2451"/>
      <c r="AS106" s="2451"/>
      <c r="AT106" s="2427"/>
    </row>
    <row r="107" spans="1:46" ht="53.25" customHeight="1" x14ac:dyDescent="0.25">
      <c r="A107" s="2431"/>
      <c r="B107" s="2432"/>
      <c r="C107" s="2272"/>
      <c r="D107" s="2156"/>
      <c r="E107" s="2510"/>
      <c r="F107" s="2511"/>
      <c r="G107" s="2474"/>
      <c r="H107" s="2422"/>
      <c r="I107" s="2500"/>
      <c r="J107" s="2422"/>
      <c r="K107" s="2474"/>
      <c r="L107" s="2413"/>
      <c r="M107" s="2474"/>
      <c r="N107" s="2413"/>
      <c r="O107" s="2266"/>
      <c r="P107" s="2266"/>
      <c r="Q107" s="2284"/>
      <c r="R107" s="2453"/>
      <c r="S107" s="2456"/>
      <c r="T107" s="2284"/>
      <c r="U107" s="2284"/>
      <c r="V107" s="512" t="s">
        <v>551</v>
      </c>
      <c r="W107" s="509">
        <v>99073447</v>
      </c>
      <c r="X107" s="513" t="s">
        <v>552</v>
      </c>
      <c r="Y107" s="2503"/>
      <c r="Z107" s="2503"/>
      <c r="AA107" s="2503"/>
      <c r="AB107" s="2503"/>
      <c r="AC107" s="2503"/>
      <c r="AD107" s="2503"/>
      <c r="AE107" s="2503"/>
      <c r="AF107" s="2503"/>
      <c r="AG107" s="2503"/>
      <c r="AH107" s="2463"/>
      <c r="AI107" s="2503"/>
      <c r="AJ107" s="2503"/>
      <c r="AK107" s="2503"/>
      <c r="AL107" s="2503"/>
      <c r="AM107" s="2503"/>
      <c r="AN107" s="2503"/>
      <c r="AO107" s="2503"/>
      <c r="AP107" s="2503"/>
      <c r="AQ107" s="2503"/>
      <c r="AR107" s="2451"/>
      <c r="AS107" s="2451"/>
      <c r="AT107" s="2427"/>
    </row>
    <row r="108" spans="1:46" ht="50.25" customHeight="1" x14ac:dyDescent="0.25">
      <c r="A108" s="2431"/>
      <c r="B108" s="2432"/>
      <c r="C108" s="2272"/>
      <c r="D108" s="2156"/>
      <c r="E108" s="2510"/>
      <c r="F108" s="2511"/>
      <c r="G108" s="2475"/>
      <c r="H108" s="2423"/>
      <c r="I108" s="2501"/>
      <c r="J108" s="2423"/>
      <c r="K108" s="2475"/>
      <c r="L108" s="2414"/>
      <c r="M108" s="2475"/>
      <c r="N108" s="2414"/>
      <c r="O108" s="2267"/>
      <c r="P108" s="2267"/>
      <c r="Q108" s="2285"/>
      <c r="R108" s="2454"/>
      <c r="S108" s="2457"/>
      <c r="T108" s="2285"/>
      <c r="U108" s="2285"/>
      <c r="V108" s="514" t="s">
        <v>553</v>
      </c>
      <c r="W108" s="509">
        <v>393689004</v>
      </c>
      <c r="X108" s="511" t="s">
        <v>554</v>
      </c>
      <c r="Y108" s="2504"/>
      <c r="Z108" s="2504"/>
      <c r="AA108" s="2504"/>
      <c r="AB108" s="2504"/>
      <c r="AC108" s="2504"/>
      <c r="AD108" s="2504"/>
      <c r="AE108" s="2504"/>
      <c r="AF108" s="2504"/>
      <c r="AG108" s="2504"/>
      <c r="AH108" s="2463"/>
      <c r="AI108" s="2504"/>
      <c r="AJ108" s="2504"/>
      <c r="AK108" s="2504"/>
      <c r="AL108" s="2504"/>
      <c r="AM108" s="2504"/>
      <c r="AN108" s="2504"/>
      <c r="AO108" s="2504"/>
      <c r="AP108" s="2504"/>
      <c r="AQ108" s="2504"/>
      <c r="AR108" s="2452"/>
      <c r="AS108" s="2452"/>
      <c r="AT108" s="2428"/>
    </row>
    <row r="109" spans="1:46" ht="225" x14ac:dyDescent="0.25">
      <c r="A109" s="2431"/>
      <c r="B109" s="2432"/>
      <c r="C109" s="2273"/>
      <c r="D109" s="2484"/>
      <c r="E109" s="2512"/>
      <c r="F109" s="2513"/>
      <c r="G109" s="368" t="s">
        <v>62</v>
      </c>
      <c r="H109" s="366" t="s">
        <v>555</v>
      </c>
      <c r="I109" s="368">
        <v>2402118</v>
      </c>
      <c r="J109" s="366" t="s">
        <v>556</v>
      </c>
      <c r="K109" s="515" t="s">
        <v>62</v>
      </c>
      <c r="L109" s="373" t="s">
        <v>557</v>
      </c>
      <c r="M109" s="368">
        <v>240211800</v>
      </c>
      <c r="N109" s="373" t="s">
        <v>558</v>
      </c>
      <c r="O109" s="374">
        <v>6</v>
      </c>
      <c r="P109" s="375" t="s">
        <v>559</v>
      </c>
      <c r="Q109" s="292" t="s">
        <v>560</v>
      </c>
      <c r="R109" s="363">
        <f>SUM(W109)/S109</f>
        <v>1</v>
      </c>
      <c r="S109" s="516">
        <f>SUM(W109)</f>
        <v>40000000</v>
      </c>
      <c r="T109" s="361" t="s">
        <v>561</v>
      </c>
      <c r="U109" s="361" t="s">
        <v>562</v>
      </c>
      <c r="V109" s="377" t="s">
        <v>563</v>
      </c>
      <c r="W109" s="517">
        <v>40000000</v>
      </c>
      <c r="X109" s="518" t="s">
        <v>564</v>
      </c>
      <c r="Y109" s="71">
        <v>20</v>
      </c>
      <c r="Z109" s="292" t="s">
        <v>403</v>
      </c>
      <c r="AA109" s="365">
        <v>295972</v>
      </c>
      <c r="AB109" s="365">
        <v>285580</v>
      </c>
      <c r="AC109" s="365">
        <v>135545</v>
      </c>
      <c r="AD109" s="365">
        <v>44254</v>
      </c>
      <c r="AE109" s="365">
        <v>309146</v>
      </c>
      <c r="AF109" s="365">
        <v>92607</v>
      </c>
      <c r="AG109" s="365">
        <v>2145</v>
      </c>
      <c r="AH109" s="365">
        <v>12718</v>
      </c>
      <c r="AI109" s="365">
        <v>26</v>
      </c>
      <c r="AJ109" s="365">
        <v>37</v>
      </c>
      <c r="AK109" s="365">
        <v>0</v>
      </c>
      <c r="AL109" s="365">
        <v>0</v>
      </c>
      <c r="AM109" s="365">
        <v>44350</v>
      </c>
      <c r="AN109" s="365">
        <v>21944</v>
      </c>
      <c r="AO109" s="365"/>
      <c r="AP109" s="365">
        <v>75687</v>
      </c>
      <c r="AQ109" s="365">
        <v>581552</v>
      </c>
      <c r="AR109" s="519">
        <v>44197</v>
      </c>
      <c r="AS109" s="519">
        <v>44561</v>
      </c>
      <c r="AT109" s="520" t="s">
        <v>404</v>
      </c>
    </row>
    <row r="110" spans="1:46" ht="15.75" x14ac:dyDescent="0.25">
      <c r="A110" s="2431"/>
      <c r="B110" s="2432"/>
      <c r="C110" s="469">
        <v>32</v>
      </c>
      <c r="D110" s="2435" t="s">
        <v>565</v>
      </c>
      <c r="E110" s="2435"/>
      <c r="F110" s="2435"/>
      <c r="G110" s="2435"/>
      <c r="H110" s="2435"/>
      <c r="I110" s="2435"/>
      <c r="J110" s="2435"/>
      <c r="K110" s="2435"/>
      <c r="L110" s="494"/>
      <c r="M110" s="521"/>
      <c r="N110" s="494"/>
      <c r="O110" s="522"/>
      <c r="P110" s="472"/>
      <c r="Q110" s="473"/>
      <c r="R110" s="474"/>
      <c r="S110" s="490"/>
      <c r="T110" s="473"/>
      <c r="U110" s="473"/>
      <c r="V110" s="473"/>
      <c r="W110" s="523"/>
      <c r="X110" s="524"/>
      <c r="Y110" s="480"/>
      <c r="Z110" s="473"/>
      <c r="AA110" s="472"/>
      <c r="AB110" s="472"/>
      <c r="AC110" s="472"/>
      <c r="AD110" s="472"/>
      <c r="AE110" s="472"/>
      <c r="AF110" s="472"/>
      <c r="AG110" s="472"/>
      <c r="AH110" s="472"/>
      <c r="AI110" s="472"/>
      <c r="AJ110" s="472"/>
      <c r="AK110" s="472"/>
      <c r="AL110" s="472"/>
      <c r="AM110" s="472"/>
      <c r="AN110" s="472"/>
      <c r="AO110" s="472"/>
      <c r="AP110" s="472"/>
      <c r="AQ110" s="472"/>
      <c r="AR110" s="482"/>
      <c r="AS110" s="482"/>
      <c r="AT110" s="476"/>
    </row>
    <row r="111" spans="1:46" s="3" customFormat="1" ht="15.75" x14ac:dyDescent="0.25">
      <c r="A111" s="2431"/>
      <c r="B111" s="2432"/>
      <c r="C111" s="2482"/>
      <c r="D111" s="2483"/>
      <c r="E111" s="506">
        <v>3205</v>
      </c>
      <c r="F111" s="2442" t="s">
        <v>566</v>
      </c>
      <c r="G111" s="2442"/>
      <c r="H111" s="2442"/>
      <c r="I111" s="2442"/>
      <c r="J111" s="2442"/>
      <c r="K111" s="2442"/>
      <c r="L111" s="2442"/>
      <c r="M111" s="169"/>
      <c r="N111" s="173"/>
      <c r="O111" s="169"/>
      <c r="P111" s="169"/>
      <c r="Q111" s="173"/>
      <c r="R111" s="171"/>
      <c r="S111" s="483"/>
      <c r="T111" s="173"/>
      <c r="U111" s="173"/>
      <c r="V111" s="173"/>
      <c r="W111" s="484"/>
      <c r="X111" s="62"/>
      <c r="Y111" s="174"/>
      <c r="Z111" s="173"/>
      <c r="AA111" s="169"/>
      <c r="AB111" s="169"/>
      <c r="AC111" s="169"/>
      <c r="AD111" s="169"/>
      <c r="AE111" s="169"/>
      <c r="AF111" s="169"/>
      <c r="AG111" s="169"/>
      <c r="AH111" s="169"/>
      <c r="AI111" s="169"/>
      <c r="AJ111" s="169"/>
      <c r="AK111" s="169"/>
      <c r="AL111" s="169"/>
      <c r="AM111" s="169"/>
      <c r="AN111" s="169"/>
      <c r="AO111" s="169"/>
      <c r="AP111" s="169"/>
      <c r="AQ111" s="169"/>
      <c r="AR111" s="169"/>
      <c r="AS111" s="169"/>
      <c r="AT111" s="173"/>
    </row>
    <row r="112" spans="1:46" s="525" customFormat="1" ht="66.75" customHeight="1" x14ac:dyDescent="0.25">
      <c r="A112" s="2431"/>
      <c r="B112" s="2432"/>
      <c r="C112" s="2272"/>
      <c r="D112" s="2156"/>
      <c r="E112" s="2464"/>
      <c r="F112" s="2465"/>
      <c r="G112" s="2415">
        <v>3205010</v>
      </c>
      <c r="H112" s="2280" t="s">
        <v>567</v>
      </c>
      <c r="I112" s="2415">
        <v>3205010</v>
      </c>
      <c r="J112" s="2280" t="s">
        <v>567</v>
      </c>
      <c r="K112" s="2415" t="s">
        <v>568</v>
      </c>
      <c r="L112" s="2280" t="s">
        <v>569</v>
      </c>
      <c r="M112" s="2415" t="s">
        <v>568</v>
      </c>
      <c r="N112" s="2280" t="s">
        <v>569</v>
      </c>
      <c r="O112" s="2293">
        <v>2</v>
      </c>
      <c r="P112" s="2293" t="s">
        <v>570</v>
      </c>
      <c r="Q112" s="2283" t="s">
        <v>571</v>
      </c>
      <c r="R112" s="2323">
        <f>SUM(W112:W126)/S112</f>
        <v>1</v>
      </c>
      <c r="S112" s="2455">
        <f>SUM(W112:W126)</f>
        <v>1418800000</v>
      </c>
      <c r="T112" s="2283" t="s">
        <v>572</v>
      </c>
      <c r="U112" s="2283" t="s">
        <v>573</v>
      </c>
      <c r="V112" s="2492" t="s">
        <v>574</v>
      </c>
      <c r="W112" s="497">
        <v>11200000</v>
      </c>
      <c r="X112" s="466" t="s">
        <v>575</v>
      </c>
      <c r="Y112" s="2496" t="s">
        <v>419</v>
      </c>
      <c r="Z112" s="2198" t="s">
        <v>420</v>
      </c>
      <c r="AA112" s="2198">
        <v>295972</v>
      </c>
      <c r="AB112" s="2198">
        <v>285580</v>
      </c>
      <c r="AC112" s="2198">
        <v>135545</v>
      </c>
      <c r="AD112" s="2198">
        <v>44254</v>
      </c>
      <c r="AE112" s="2198">
        <v>309146</v>
      </c>
      <c r="AF112" s="2198">
        <v>92607</v>
      </c>
      <c r="AG112" s="2198">
        <v>2145</v>
      </c>
      <c r="AH112" s="2198">
        <v>12718</v>
      </c>
      <c r="AI112" s="2198">
        <v>26</v>
      </c>
      <c r="AJ112" s="2198">
        <v>37</v>
      </c>
      <c r="AK112" s="2198">
        <v>0</v>
      </c>
      <c r="AL112" s="2198">
        <v>0</v>
      </c>
      <c r="AM112" s="2198">
        <v>44350</v>
      </c>
      <c r="AN112" s="2198">
        <v>21944</v>
      </c>
      <c r="AO112" s="2198"/>
      <c r="AP112" s="2198">
        <v>75687</v>
      </c>
      <c r="AQ112" s="2198">
        <v>581552</v>
      </c>
      <c r="AR112" s="2450">
        <v>44197</v>
      </c>
      <c r="AS112" s="2450">
        <v>44561</v>
      </c>
      <c r="AT112" s="2426" t="s">
        <v>404</v>
      </c>
    </row>
    <row r="113" spans="1:46" s="525" customFormat="1" ht="63" customHeight="1" x14ac:dyDescent="0.25">
      <c r="A113" s="2431"/>
      <c r="B113" s="2432"/>
      <c r="C113" s="2272"/>
      <c r="D113" s="2156"/>
      <c r="E113" s="2485"/>
      <c r="F113" s="2486"/>
      <c r="G113" s="2416"/>
      <c r="H113" s="2281"/>
      <c r="I113" s="2416"/>
      <c r="J113" s="2281"/>
      <c r="K113" s="2416"/>
      <c r="L113" s="2281"/>
      <c r="M113" s="2416"/>
      <c r="N113" s="2281"/>
      <c r="O113" s="2266"/>
      <c r="P113" s="2266"/>
      <c r="Q113" s="2284"/>
      <c r="R113" s="2453"/>
      <c r="S113" s="2456"/>
      <c r="T113" s="2284"/>
      <c r="U113" s="2284"/>
      <c r="V113" s="2493"/>
      <c r="W113" s="497">
        <v>2800000</v>
      </c>
      <c r="X113" s="466" t="s">
        <v>576</v>
      </c>
      <c r="Y113" s="2497"/>
      <c r="Z113" s="2308"/>
      <c r="AA113" s="2308"/>
      <c r="AB113" s="2308"/>
      <c r="AC113" s="2308"/>
      <c r="AD113" s="2308"/>
      <c r="AE113" s="2308"/>
      <c r="AF113" s="2308"/>
      <c r="AG113" s="2308"/>
      <c r="AH113" s="2308"/>
      <c r="AI113" s="2308"/>
      <c r="AJ113" s="2308"/>
      <c r="AK113" s="2308"/>
      <c r="AL113" s="2308"/>
      <c r="AM113" s="2308"/>
      <c r="AN113" s="2308"/>
      <c r="AO113" s="2308"/>
      <c r="AP113" s="2308"/>
      <c r="AQ113" s="2308"/>
      <c r="AR113" s="2451"/>
      <c r="AS113" s="2451"/>
      <c r="AT113" s="2427"/>
    </row>
    <row r="114" spans="1:46" s="525" customFormat="1" ht="90" x14ac:dyDescent="0.25">
      <c r="A114" s="2431"/>
      <c r="B114" s="2432"/>
      <c r="C114" s="2272"/>
      <c r="D114" s="2156"/>
      <c r="E114" s="2485"/>
      <c r="F114" s="2486"/>
      <c r="G114" s="2416"/>
      <c r="H114" s="2281"/>
      <c r="I114" s="2416"/>
      <c r="J114" s="2281"/>
      <c r="K114" s="2416"/>
      <c r="L114" s="2281"/>
      <c r="M114" s="2416"/>
      <c r="N114" s="2281"/>
      <c r="O114" s="2266"/>
      <c r="P114" s="2266"/>
      <c r="Q114" s="2284"/>
      <c r="R114" s="2453"/>
      <c r="S114" s="2456"/>
      <c r="T114" s="2284"/>
      <c r="U114" s="2284"/>
      <c r="V114" s="507" t="s">
        <v>577</v>
      </c>
      <c r="W114" s="497">
        <f>20000000-18000000</f>
        <v>2000000</v>
      </c>
      <c r="X114" s="466" t="s">
        <v>576</v>
      </c>
      <c r="Y114" s="2497"/>
      <c r="Z114" s="2308"/>
      <c r="AA114" s="2308"/>
      <c r="AB114" s="2308"/>
      <c r="AC114" s="2308"/>
      <c r="AD114" s="2308"/>
      <c r="AE114" s="2308"/>
      <c r="AF114" s="2308"/>
      <c r="AG114" s="2308"/>
      <c r="AH114" s="2308"/>
      <c r="AI114" s="2308"/>
      <c r="AJ114" s="2308"/>
      <c r="AK114" s="2308"/>
      <c r="AL114" s="2308"/>
      <c r="AM114" s="2308"/>
      <c r="AN114" s="2308"/>
      <c r="AO114" s="2308"/>
      <c r="AP114" s="2308"/>
      <c r="AQ114" s="2308"/>
      <c r="AR114" s="2451"/>
      <c r="AS114" s="2451"/>
      <c r="AT114" s="2427"/>
    </row>
    <row r="115" spans="1:46" s="525" customFormat="1" ht="72" customHeight="1" x14ac:dyDescent="0.25">
      <c r="A115" s="2431"/>
      <c r="B115" s="2432"/>
      <c r="C115" s="2272"/>
      <c r="D115" s="2156"/>
      <c r="E115" s="2485"/>
      <c r="F115" s="2486"/>
      <c r="G115" s="2416"/>
      <c r="H115" s="2281"/>
      <c r="I115" s="2416"/>
      <c r="J115" s="2281"/>
      <c r="K115" s="2416"/>
      <c r="L115" s="2281"/>
      <c r="M115" s="2416"/>
      <c r="N115" s="2281"/>
      <c r="O115" s="2266"/>
      <c r="P115" s="2266"/>
      <c r="Q115" s="2284"/>
      <c r="R115" s="2453"/>
      <c r="S115" s="2456"/>
      <c r="T115" s="2284"/>
      <c r="U115" s="2284"/>
      <c r="V115" s="2492" t="s">
        <v>578</v>
      </c>
      <c r="W115" s="497">
        <v>3300000</v>
      </c>
      <c r="X115" s="466" t="s">
        <v>575</v>
      </c>
      <c r="Y115" s="2497"/>
      <c r="Z115" s="2308"/>
      <c r="AA115" s="2308"/>
      <c r="AB115" s="2308"/>
      <c r="AC115" s="2308"/>
      <c r="AD115" s="2308"/>
      <c r="AE115" s="2308"/>
      <c r="AF115" s="2308"/>
      <c r="AG115" s="2308"/>
      <c r="AH115" s="2308"/>
      <c r="AI115" s="2308"/>
      <c r="AJ115" s="2308"/>
      <c r="AK115" s="2308"/>
      <c r="AL115" s="2308"/>
      <c r="AM115" s="2308"/>
      <c r="AN115" s="2308"/>
      <c r="AO115" s="2308"/>
      <c r="AP115" s="2308"/>
      <c r="AQ115" s="2308"/>
      <c r="AR115" s="2451"/>
      <c r="AS115" s="2451"/>
      <c r="AT115" s="2427"/>
    </row>
    <row r="116" spans="1:46" s="525" customFormat="1" ht="50.25" customHeight="1" x14ac:dyDescent="0.25">
      <c r="A116" s="2431"/>
      <c r="B116" s="2432"/>
      <c r="C116" s="2272"/>
      <c r="D116" s="2156"/>
      <c r="E116" s="2485"/>
      <c r="F116" s="2486"/>
      <c r="G116" s="2416"/>
      <c r="H116" s="2281"/>
      <c r="I116" s="2416"/>
      <c r="J116" s="2281"/>
      <c r="K116" s="2416"/>
      <c r="L116" s="2281"/>
      <c r="M116" s="2416"/>
      <c r="N116" s="2281"/>
      <c r="O116" s="2266"/>
      <c r="P116" s="2266"/>
      <c r="Q116" s="2284"/>
      <c r="R116" s="2453"/>
      <c r="S116" s="2456"/>
      <c r="T116" s="2284"/>
      <c r="U116" s="2284"/>
      <c r="V116" s="2493"/>
      <c r="W116" s="497">
        <v>1700000</v>
      </c>
      <c r="X116" s="466" t="s">
        <v>576</v>
      </c>
      <c r="Y116" s="2497"/>
      <c r="Z116" s="2308"/>
      <c r="AA116" s="2308"/>
      <c r="AB116" s="2308"/>
      <c r="AC116" s="2308"/>
      <c r="AD116" s="2308"/>
      <c r="AE116" s="2308"/>
      <c r="AF116" s="2308"/>
      <c r="AG116" s="2308"/>
      <c r="AH116" s="2308"/>
      <c r="AI116" s="2308"/>
      <c r="AJ116" s="2308"/>
      <c r="AK116" s="2308"/>
      <c r="AL116" s="2308"/>
      <c r="AM116" s="2308"/>
      <c r="AN116" s="2308"/>
      <c r="AO116" s="2308"/>
      <c r="AP116" s="2308"/>
      <c r="AQ116" s="2308"/>
      <c r="AR116" s="2451"/>
      <c r="AS116" s="2451"/>
      <c r="AT116" s="2427"/>
    </row>
    <row r="117" spans="1:46" s="525" customFormat="1" ht="75" x14ac:dyDescent="0.25">
      <c r="A117" s="2431"/>
      <c r="B117" s="2432"/>
      <c r="C117" s="2272"/>
      <c r="D117" s="2156"/>
      <c r="E117" s="2485"/>
      <c r="F117" s="2486"/>
      <c r="G117" s="2416"/>
      <c r="H117" s="2281"/>
      <c r="I117" s="2416"/>
      <c r="J117" s="2281"/>
      <c r="K117" s="2416"/>
      <c r="L117" s="2281"/>
      <c r="M117" s="2416"/>
      <c r="N117" s="2281"/>
      <c r="O117" s="2266"/>
      <c r="P117" s="2266"/>
      <c r="Q117" s="2284"/>
      <c r="R117" s="2453"/>
      <c r="S117" s="2456"/>
      <c r="T117" s="2284"/>
      <c r="U117" s="2284"/>
      <c r="V117" s="507" t="s">
        <v>579</v>
      </c>
      <c r="W117" s="497">
        <f>20000000-1000000</f>
        <v>19000000</v>
      </c>
      <c r="X117" s="466" t="s">
        <v>575</v>
      </c>
      <c r="Y117" s="2497"/>
      <c r="Z117" s="2308"/>
      <c r="AA117" s="2308"/>
      <c r="AB117" s="2308"/>
      <c r="AC117" s="2308"/>
      <c r="AD117" s="2308"/>
      <c r="AE117" s="2308"/>
      <c r="AF117" s="2308"/>
      <c r="AG117" s="2308"/>
      <c r="AH117" s="2308"/>
      <c r="AI117" s="2308"/>
      <c r="AJ117" s="2308"/>
      <c r="AK117" s="2308"/>
      <c r="AL117" s="2308"/>
      <c r="AM117" s="2308"/>
      <c r="AN117" s="2308"/>
      <c r="AO117" s="2308"/>
      <c r="AP117" s="2308"/>
      <c r="AQ117" s="2308"/>
      <c r="AR117" s="2451"/>
      <c r="AS117" s="2451"/>
      <c r="AT117" s="2427"/>
    </row>
    <row r="118" spans="1:46" s="525" customFormat="1" ht="30.75" customHeight="1" x14ac:dyDescent="0.25">
      <c r="A118" s="2431"/>
      <c r="B118" s="2432"/>
      <c r="C118" s="2272"/>
      <c r="D118" s="2156"/>
      <c r="E118" s="2485"/>
      <c r="F118" s="2486"/>
      <c r="G118" s="2416"/>
      <c r="H118" s="2281"/>
      <c r="I118" s="2416"/>
      <c r="J118" s="2281"/>
      <c r="K118" s="2416"/>
      <c r="L118" s="2281"/>
      <c r="M118" s="2416"/>
      <c r="N118" s="2281"/>
      <c r="O118" s="2266"/>
      <c r="P118" s="2266"/>
      <c r="Q118" s="2284"/>
      <c r="R118" s="2453"/>
      <c r="S118" s="2456"/>
      <c r="T118" s="2284"/>
      <c r="U118" s="2284"/>
      <c r="V118" s="2492" t="s">
        <v>580</v>
      </c>
      <c r="W118" s="497">
        <v>10000000</v>
      </c>
      <c r="X118" s="443" t="s">
        <v>575</v>
      </c>
      <c r="Y118" s="2497"/>
      <c r="Z118" s="2308"/>
      <c r="AA118" s="2308"/>
      <c r="AB118" s="2308"/>
      <c r="AC118" s="2308"/>
      <c r="AD118" s="2308"/>
      <c r="AE118" s="2308"/>
      <c r="AF118" s="2308"/>
      <c r="AG118" s="2308"/>
      <c r="AH118" s="2308"/>
      <c r="AI118" s="2308"/>
      <c r="AJ118" s="2308"/>
      <c r="AK118" s="2308"/>
      <c r="AL118" s="2308"/>
      <c r="AM118" s="2308"/>
      <c r="AN118" s="2308"/>
      <c r="AO118" s="2308"/>
      <c r="AP118" s="2308"/>
      <c r="AQ118" s="2308"/>
      <c r="AR118" s="2451"/>
      <c r="AS118" s="2451"/>
      <c r="AT118" s="2427"/>
    </row>
    <row r="119" spans="1:46" s="525" customFormat="1" ht="45.75" customHeight="1" x14ac:dyDescent="0.25">
      <c r="A119" s="2431"/>
      <c r="B119" s="2432"/>
      <c r="C119" s="2272"/>
      <c r="D119" s="2156"/>
      <c r="E119" s="2485"/>
      <c r="F119" s="2486"/>
      <c r="G119" s="2416"/>
      <c r="H119" s="2281"/>
      <c r="I119" s="2416"/>
      <c r="J119" s="2281"/>
      <c r="K119" s="2416"/>
      <c r="L119" s="2281"/>
      <c r="M119" s="2416"/>
      <c r="N119" s="2281"/>
      <c r="O119" s="2266"/>
      <c r="P119" s="2266"/>
      <c r="Q119" s="2284"/>
      <c r="R119" s="2453"/>
      <c r="S119" s="2456"/>
      <c r="T119" s="2284"/>
      <c r="U119" s="2284"/>
      <c r="V119" s="2493"/>
      <c r="W119" s="497">
        <v>1318800000</v>
      </c>
      <c r="X119" s="466" t="s">
        <v>581</v>
      </c>
      <c r="Y119" s="2497"/>
      <c r="Z119" s="2308"/>
      <c r="AA119" s="2308"/>
      <c r="AB119" s="2308"/>
      <c r="AC119" s="2308"/>
      <c r="AD119" s="2308"/>
      <c r="AE119" s="2308"/>
      <c r="AF119" s="2308"/>
      <c r="AG119" s="2308"/>
      <c r="AH119" s="2308"/>
      <c r="AI119" s="2308"/>
      <c r="AJ119" s="2308"/>
      <c r="AK119" s="2308"/>
      <c r="AL119" s="2308"/>
      <c r="AM119" s="2308"/>
      <c r="AN119" s="2308"/>
      <c r="AO119" s="2308"/>
      <c r="AP119" s="2308"/>
      <c r="AQ119" s="2308"/>
      <c r="AR119" s="2451"/>
      <c r="AS119" s="2451"/>
      <c r="AT119" s="2427"/>
    </row>
    <row r="120" spans="1:46" s="525" customFormat="1" ht="60" x14ac:dyDescent="0.25">
      <c r="A120" s="2431"/>
      <c r="B120" s="2432"/>
      <c r="C120" s="2272"/>
      <c r="D120" s="2156"/>
      <c r="E120" s="2485"/>
      <c r="F120" s="2486"/>
      <c r="G120" s="2416"/>
      <c r="H120" s="2281"/>
      <c r="I120" s="2416"/>
      <c r="J120" s="2281"/>
      <c r="K120" s="2416"/>
      <c r="L120" s="2281"/>
      <c r="M120" s="2416"/>
      <c r="N120" s="2281"/>
      <c r="O120" s="2266"/>
      <c r="P120" s="2266"/>
      <c r="Q120" s="2284"/>
      <c r="R120" s="2453"/>
      <c r="S120" s="2456"/>
      <c r="T120" s="2284"/>
      <c r="U120" s="2284"/>
      <c r="V120" s="507" t="s">
        <v>540</v>
      </c>
      <c r="W120" s="497">
        <v>18000000</v>
      </c>
      <c r="X120" s="437" t="s">
        <v>575</v>
      </c>
      <c r="Y120" s="2497"/>
      <c r="Z120" s="2308"/>
      <c r="AA120" s="2308"/>
      <c r="AB120" s="2308"/>
      <c r="AC120" s="2308"/>
      <c r="AD120" s="2308"/>
      <c r="AE120" s="2308"/>
      <c r="AF120" s="2308"/>
      <c r="AG120" s="2308"/>
      <c r="AH120" s="2308"/>
      <c r="AI120" s="2308"/>
      <c r="AJ120" s="2308"/>
      <c r="AK120" s="2308"/>
      <c r="AL120" s="2308"/>
      <c r="AM120" s="2308"/>
      <c r="AN120" s="2308"/>
      <c r="AO120" s="2308"/>
      <c r="AP120" s="2308"/>
      <c r="AQ120" s="2308"/>
      <c r="AR120" s="2451"/>
      <c r="AS120" s="2451"/>
      <c r="AT120" s="2427"/>
    </row>
    <row r="121" spans="1:46" s="525" customFormat="1" ht="68.25" customHeight="1" x14ac:dyDescent="0.25">
      <c r="A121" s="2431"/>
      <c r="B121" s="2432"/>
      <c r="C121" s="2272"/>
      <c r="D121" s="2156"/>
      <c r="E121" s="2485"/>
      <c r="F121" s="2486"/>
      <c r="G121" s="2416"/>
      <c r="H121" s="2281"/>
      <c r="I121" s="2416"/>
      <c r="J121" s="2281"/>
      <c r="K121" s="2416"/>
      <c r="L121" s="2281"/>
      <c r="M121" s="2416"/>
      <c r="N121" s="2281"/>
      <c r="O121" s="2266"/>
      <c r="P121" s="2266"/>
      <c r="Q121" s="2284"/>
      <c r="R121" s="2453"/>
      <c r="S121" s="2456"/>
      <c r="T121" s="2284"/>
      <c r="U121" s="2284"/>
      <c r="V121" s="507" t="s">
        <v>543</v>
      </c>
      <c r="W121" s="497">
        <v>5000000</v>
      </c>
      <c r="X121" s="466" t="s">
        <v>582</v>
      </c>
      <c r="Y121" s="2497"/>
      <c r="Z121" s="2308"/>
      <c r="AA121" s="2308"/>
      <c r="AB121" s="2308"/>
      <c r="AC121" s="2308"/>
      <c r="AD121" s="2308"/>
      <c r="AE121" s="2308"/>
      <c r="AF121" s="2308"/>
      <c r="AG121" s="2308"/>
      <c r="AH121" s="2308"/>
      <c r="AI121" s="2308"/>
      <c r="AJ121" s="2308"/>
      <c r="AK121" s="2308"/>
      <c r="AL121" s="2308"/>
      <c r="AM121" s="2308"/>
      <c r="AN121" s="2308"/>
      <c r="AO121" s="2308"/>
      <c r="AP121" s="2308"/>
      <c r="AQ121" s="2308"/>
      <c r="AR121" s="2451"/>
      <c r="AS121" s="2451"/>
      <c r="AT121" s="2427"/>
    </row>
    <row r="122" spans="1:46" s="525" customFormat="1" ht="113.25" customHeight="1" x14ac:dyDescent="0.25">
      <c r="A122" s="2431"/>
      <c r="B122" s="2432"/>
      <c r="C122" s="2272"/>
      <c r="D122" s="2156"/>
      <c r="E122" s="2485"/>
      <c r="F122" s="2486"/>
      <c r="G122" s="2416"/>
      <c r="H122" s="2281"/>
      <c r="I122" s="2416"/>
      <c r="J122" s="2281"/>
      <c r="K122" s="2416"/>
      <c r="L122" s="2281"/>
      <c r="M122" s="2416"/>
      <c r="N122" s="2281"/>
      <c r="O122" s="2266"/>
      <c r="P122" s="2266"/>
      <c r="Q122" s="2284"/>
      <c r="R122" s="2453"/>
      <c r="S122" s="2456"/>
      <c r="T122" s="2284"/>
      <c r="U122" s="2284"/>
      <c r="V122" s="507" t="s">
        <v>583</v>
      </c>
      <c r="W122" s="526">
        <v>6000000</v>
      </c>
      <c r="X122" s="466" t="s">
        <v>575</v>
      </c>
      <c r="Y122" s="2497"/>
      <c r="Z122" s="2308"/>
      <c r="AA122" s="2308"/>
      <c r="AB122" s="2308"/>
      <c r="AC122" s="2308"/>
      <c r="AD122" s="2308"/>
      <c r="AE122" s="2308"/>
      <c r="AF122" s="2308"/>
      <c r="AG122" s="2308"/>
      <c r="AH122" s="2308"/>
      <c r="AI122" s="2308"/>
      <c r="AJ122" s="2308"/>
      <c r="AK122" s="2308"/>
      <c r="AL122" s="2308"/>
      <c r="AM122" s="2308"/>
      <c r="AN122" s="2308"/>
      <c r="AO122" s="2308"/>
      <c r="AP122" s="2308"/>
      <c r="AQ122" s="2308"/>
      <c r="AR122" s="2451"/>
      <c r="AS122" s="2451"/>
      <c r="AT122" s="2427"/>
    </row>
    <row r="123" spans="1:46" s="525" customFormat="1" ht="30" customHeight="1" x14ac:dyDescent="0.25">
      <c r="A123" s="2431"/>
      <c r="B123" s="2432"/>
      <c r="C123" s="2272"/>
      <c r="D123" s="2156"/>
      <c r="E123" s="2485"/>
      <c r="F123" s="2486"/>
      <c r="G123" s="2416"/>
      <c r="H123" s="2281"/>
      <c r="I123" s="2416"/>
      <c r="J123" s="2281"/>
      <c r="K123" s="2416"/>
      <c r="L123" s="2281"/>
      <c r="M123" s="2416"/>
      <c r="N123" s="2281"/>
      <c r="O123" s="2266"/>
      <c r="P123" s="2266"/>
      <c r="Q123" s="2284"/>
      <c r="R123" s="2453"/>
      <c r="S123" s="2456"/>
      <c r="T123" s="2284"/>
      <c r="U123" s="2284"/>
      <c r="V123" s="2207" t="s">
        <v>584</v>
      </c>
      <c r="W123" s="497">
        <v>1000000</v>
      </c>
      <c r="X123" s="466" t="s">
        <v>585</v>
      </c>
      <c r="Y123" s="2497"/>
      <c r="Z123" s="2308"/>
      <c r="AA123" s="2308"/>
      <c r="AB123" s="2308"/>
      <c r="AC123" s="2308"/>
      <c r="AD123" s="2308"/>
      <c r="AE123" s="2308"/>
      <c r="AF123" s="2308"/>
      <c r="AG123" s="2308"/>
      <c r="AH123" s="2308"/>
      <c r="AI123" s="2308"/>
      <c r="AJ123" s="2308"/>
      <c r="AK123" s="2308"/>
      <c r="AL123" s="2308"/>
      <c r="AM123" s="2308"/>
      <c r="AN123" s="2308"/>
      <c r="AO123" s="2308"/>
      <c r="AP123" s="2308"/>
      <c r="AQ123" s="2308"/>
      <c r="AR123" s="2451"/>
      <c r="AS123" s="2451"/>
      <c r="AT123" s="2427"/>
    </row>
    <row r="124" spans="1:46" s="525" customFormat="1" ht="30.75" customHeight="1" x14ac:dyDescent="0.25">
      <c r="A124" s="2431"/>
      <c r="B124" s="2432"/>
      <c r="C124" s="2272"/>
      <c r="D124" s="2156"/>
      <c r="E124" s="2485"/>
      <c r="F124" s="2486"/>
      <c r="G124" s="2416"/>
      <c r="H124" s="2281"/>
      <c r="I124" s="2416"/>
      <c r="J124" s="2281"/>
      <c r="K124" s="2416"/>
      <c r="L124" s="2281"/>
      <c r="M124" s="2416"/>
      <c r="N124" s="2281"/>
      <c r="O124" s="2266"/>
      <c r="P124" s="2266"/>
      <c r="Q124" s="2284"/>
      <c r="R124" s="2453"/>
      <c r="S124" s="2456"/>
      <c r="T124" s="2284"/>
      <c r="U124" s="2284"/>
      <c r="V124" s="2205"/>
      <c r="W124" s="497">
        <v>2000000</v>
      </c>
      <c r="X124" s="466" t="s">
        <v>586</v>
      </c>
      <c r="Y124" s="2497"/>
      <c r="Z124" s="2308"/>
      <c r="AA124" s="2308"/>
      <c r="AB124" s="2308"/>
      <c r="AC124" s="2308"/>
      <c r="AD124" s="2308"/>
      <c r="AE124" s="2308"/>
      <c r="AF124" s="2308"/>
      <c r="AG124" s="2308"/>
      <c r="AH124" s="2308"/>
      <c r="AI124" s="2308"/>
      <c r="AJ124" s="2308"/>
      <c r="AK124" s="2308"/>
      <c r="AL124" s="2308"/>
      <c r="AM124" s="2308"/>
      <c r="AN124" s="2308"/>
      <c r="AO124" s="2308"/>
      <c r="AP124" s="2308"/>
      <c r="AQ124" s="2308"/>
      <c r="AR124" s="2451"/>
      <c r="AS124" s="2451"/>
      <c r="AT124" s="2427"/>
    </row>
    <row r="125" spans="1:46" s="525" customFormat="1" ht="39.75" customHeight="1" x14ac:dyDescent="0.25">
      <c r="A125" s="2431"/>
      <c r="B125" s="2432"/>
      <c r="C125" s="2272"/>
      <c r="D125" s="2156"/>
      <c r="E125" s="2485"/>
      <c r="F125" s="2486"/>
      <c r="G125" s="2416"/>
      <c r="H125" s="2281"/>
      <c r="I125" s="2416"/>
      <c r="J125" s="2281"/>
      <c r="K125" s="2416"/>
      <c r="L125" s="2281"/>
      <c r="M125" s="2416"/>
      <c r="N125" s="2281"/>
      <c r="O125" s="2266"/>
      <c r="P125" s="2266"/>
      <c r="Q125" s="2284"/>
      <c r="R125" s="2453"/>
      <c r="S125" s="2456"/>
      <c r="T125" s="2284"/>
      <c r="U125" s="2284"/>
      <c r="V125" s="2205"/>
      <c r="W125" s="497">
        <v>15000000</v>
      </c>
      <c r="X125" s="466" t="s">
        <v>587</v>
      </c>
      <c r="Y125" s="2497"/>
      <c r="Z125" s="2308"/>
      <c r="AA125" s="2308"/>
      <c r="AB125" s="2308"/>
      <c r="AC125" s="2308"/>
      <c r="AD125" s="2308"/>
      <c r="AE125" s="2308"/>
      <c r="AF125" s="2308"/>
      <c r="AG125" s="2308"/>
      <c r="AH125" s="2308"/>
      <c r="AI125" s="2308"/>
      <c r="AJ125" s="2308"/>
      <c r="AK125" s="2308"/>
      <c r="AL125" s="2308"/>
      <c r="AM125" s="2308"/>
      <c r="AN125" s="2308"/>
      <c r="AO125" s="2308"/>
      <c r="AP125" s="2308"/>
      <c r="AQ125" s="2308"/>
      <c r="AR125" s="2451"/>
      <c r="AS125" s="2451"/>
      <c r="AT125" s="2427"/>
    </row>
    <row r="126" spans="1:46" s="525" customFormat="1" ht="32.25" customHeight="1" x14ac:dyDescent="0.25">
      <c r="A126" s="2431"/>
      <c r="B126" s="2432"/>
      <c r="C126" s="2272"/>
      <c r="D126" s="2156"/>
      <c r="E126" s="2485"/>
      <c r="F126" s="2486"/>
      <c r="G126" s="2417"/>
      <c r="H126" s="2282"/>
      <c r="I126" s="2417"/>
      <c r="J126" s="2282"/>
      <c r="K126" s="2417"/>
      <c r="L126" s="2282"/>
      <c r="M126" s="2417"/>
      <c r="N126" s="2282"/>
      <c r="O126" s="2267"/>
      <c r="P126" s="2267"/>
      <c r="Q126" s="2285"/>
      <c r="R126" s="2454"/>
      <c r="S126" s="2457"/>
      <c r="T126" s="2285"/>
      <c r="U126" s="2285"/>
      <c r="V126" s="2206"/>
      <c r="W126" s="497">
        <v>3000000</v>
      </c>
      <c r="X126" s="466" t="s">
        <v>588</v>
      </c>
      <c r="Y126" s="2498"/>
      <c r="Z126" s="2309"/>
      <c r="AA126" s="2309"/>
      <c r="AB126" s="2309"/>
      <c r="AC126" s="2309"/>
      <c r="AD126" s="2309"/>
      <c r="AE126" s="2309"/>
      <c r="AF126" s="2309"/>
      <c r="AG126" s="2309"/>
      <c r="AH126" s="2309"/>
      <c r="AI126" s="2309"/>
      <c r="AJ126" s="2309"/>
      <c r="AK126" s="2309"/>
      <c r="AL126" s="2309"/>
      <c r="AM126" s="2309"/>
      <c r="AN126" s="2309"/>
      <c r="AO126" s="2309"/>
      <c r="AP126" s="2309"/>
      <c r="AQ126" s="2309"/>
      <c r="AR126" s="2452"/>
      <c r="AS126" s="2452"/>
      <c r="AT126" s="2428"/>
    </row>
    <row r="127" spans="1:46" s="525" customFormat="1" ht="42.75" customHeight="1" x14ac:dyDescent="0.25">
      <c r="A127" s="2431"/>
      <c r="B127" s="2432"/>
      <c r="C127" s="2272"/>
      <c r="D127" s="2156"/>
      <c r="E127" s="2485"/>
      <c r="F127" s="2486"/>
      <c r="G127" s="2468">
        <v>3205021</v>
      </c>
      <c r="H127" s="2257" t="s">
        <v>589</v>
      </c>
      <c r="I127" s="2468">
        <v>3205021</v>
      </c>
      <c r="J127" s="2257" t="s">
        <v>589</v>
      </c>
      <c r="K127" s="2468">
        <v>320502100</v>
      </c>
      <c r="L127" s="2257" t="s">
        <v>590</v>
      </c>
      <c r="M127" s="2468">
        <v>320502100</v>
      </c>
      <c r="N127" s="2257" t="s">
        <v>590</v>
      </c>
      <c r="O127" s="2274">
        <v>2</v>
      </c>
      <c r="P127" s="2274" t="s">
        <v>591</v>
      </c>
      <c r="Q127" s="2462" t="s">
        <v>592</v>
      </c>
      <c r="R127" s="2160">
        <f>SUM(W127:W143)/S127</f>
        <v>1</v>
      </c>
      <c r="S127" s="2461">
        <f>SUM(W127:W143)</f>
        <v>844308067</v>
      </c>
      <c r="T127" s="2462" t="s">
        <v>593</v>
      </c>
      <c r="U127" s="2462" t="s">
        <v>573</v>
      </c>
      <c r="V127" s="2207" t="s">
        <v>584</v>
      </c>
      <c r="W127" s="103">
        <v>2500000</v>
      </c>
      <c r="X127" s="466" t="s">
        <v>594</v>
      </c>
      <c r="Y127" s="2495">
        <v>20</v>
      </c>
      <c r="Z127" s="2330" t="s">
        <v>403</v>
      </c>
      <c r="AA127" s="2197">
        <v>295972</v>
      </c>
      <c r="AB127" s="2197">
        <v>285580</v>
      </c>
      <c r="AC127" s="2197" t="s">
        <v>595</v>
      </c>
      <c r="AD127" s="2197">
        <v>44254</v>
      </c>
      <c r="AE127" s="2197">
        <v>309146</v>
      </c>
      <c r="AF127" s="2197">
        <v>92607</v>
      </c>
      <c r="AG127" s="2197">
        <v>2145</v>
      </c>
      <c r="AH127" s="2197">
        <v>12718</v>
      </c>
      <c r="AI127" s="2197">
        <v>26</v>
      </c>
      <c r="AJ127" s="2197">
        <v>37</v>
      </c>
      <c r="AK127" s="2197">
        <v>0</v>
      </c>
      <c r="AL127" s="2197">
        <v>0</v>
      </c>
      <c r="AM127" s="2197">
        <v>44350</v>
      </c>
      <c r="AN127" s="2197">
        <v>21944</v>
      </c>
      <c r="AO127" s="2197"/>
      <c r="AP127" s="2197">
        <v>75687</v>
      </c>
      <c r="AQ127" s="2197">
        <v>581552</v>
      </c>
      <c r="AR127" s="2425">
        <v>44197</v>
      </c>
      <c r="AS127" s="2425">
        <v>44561</v>
      </c>
      <c r="AT127" s="2426" t="s">
        <v>404</v>
      </c>
    </row>
    <row r="128" spans="1:46" s="525" customFormat="1" ht="42.75" customHeight="1" x14ac:dyDescent="0.25">
      <c r="A128" s="2431"/>
      <c r="B128" s="2432"/>
      <c r="C128" s="2272"/>
      <c r="D128" s="2156"/>
      <c r="E128" s="2485"/>
      <c r="F128" s="2486"/>
      <c r="G128" s="2468"/>
      <c r="H128" s="2257"/>
      <c r="I128" s="2468"/>
      <c r="J128" s="2257"/>
      <c r="K128" s="2468"/>
      <c r="L128" s="2257"/>
      <c r="M128" s="2468"/>
      <c r="N128" s="2257"/>
      <c r="O128" s="2274"/>
      <c r="P128" s="2274"/>
      <c r="Q128" s="2462"/>
      <c r="R128" s="2160"/>
      <c r="S128" s="2461"/>
      <c r="T128" s="2462"/>
      <c r="U128" s="2462"/>
      <c r="V128" s="2205"/>
      <c r="W128" s="103">
        <v>2000000</v>
      </c>
      <c r="X128" s="466" t="s">
        <v>596</v>
      </c>
      <c r="Y128" s="2495"/>
      <c r="Z128" s="2330"/>
      <c r="AA128" s="2197"/>
      <c r="AB128" s="2197"/>
      <c r="AC128" s="2197"/>
      <c r="AD128" s="2197"/>
      <c r="AE128" s="2197"/>
      <c r="AF128" s="2197"/>
      <c r="AG128" s="2197"/>
      <c r="AH128" s="2197"/>
      <c r="AI128" s="2197"/>
      <c r="AJ128" s="2197"/>
      <c r="AK128" s="2197"/>
      <c r="AL128" s="2197"/>
      <c r="AM128" s="2197"/>
      <c r="AN128" s="2197"/>
      <c r="AO128" s="2197"/>
      <c r="AP128" s="2197"/>
      <c r="AQ128" s="2197"/>
      <c r="AR128" s="2425"/>
      <c r="AS128" s="2425"/>
      <c r="AT128" s="2427"/>
    </row>
    <row r="129" spans="1:46" s="525" customFormat="1" ht="42.75" customHeight="1" x14ac:dyDescent="0.25">
      <c r="A129" s="2431"/>
      <c r="B129" s="2432"/>
      <c r="C129" s="2272"/>
      <c r="D129" s="2156"/>
      <c r="E129" s="2485"/>
      <c r="F129" s="2486"/>
      <c r="G129" s="2468"/>
      <c r="H129" s="2257"/>
      <c r="I129" s="2468"/>
      <c r="J129" s="2257"/>
      <c r="K129" s="2468"/>
      <c r="L129" s="2257"/>
      <c r="M129" s="2468"/>
      <c r="N129" s="2257"/>
      <c r="O129" s="2274"/>
      <c r="P129" s="2274"/>
      <c r="Q129" s="2462"/>
      <c r="R129" s="2160"/>
      <c r="S129" s="2461"/>
      <c r="T129" s="2462"/>
      <c r="U129" s="2462"/>
      <c r="V129" s="2205"/>
      <c r="W129" s="103">
        <v>200000</v>
      </c>
      <c r="X129" s="466" t="s">
        <v>597</v>
      </c>
      <c r="Y129" s="2495"/>
      <c r="Z129" s="2330"/>
      <c r="AA129" s="2197"/>
      <c r="AB129" s="2197"/>
      <c r="AC129" s="2197"/>
      <c r="AD129" s="2197"/>
      <c r="AE129" s="2197"/>
      <c r="AF129" s="2197"/>
      <c r="AG129" s="2197"/>
      <c r="AH129" s="2197"/>
      <c r="AI129" s="2197"/>
      <c r="AJ129" s="2197"/>
      <c r="AK129" s="2197"/>
      <c r="AL129" s="2197"/>
      <c r="AM129" s="2197"/>
      <c r="AN129" s="2197"/>
      <c r="AO129" s="2197"/>
      <c r="AP129" s="2197"/>
      <c r="AQ129" s="2197"/>
      <c r="AR129" s="2425"/>
      <c r="AS129" s="2425"/>
      <c r="AT129" s="2427"/>
    </row>
    <row r="130" spans="1:46" s="525" customFormat="1" ht="42.75" customHeight="1" x14ac:dyDescent="0.25">
      <c r="A130" s="2431"/>
      <c r="B130" s="2432"/>
      <c r="C130" s="2272"/>
      <c r="D130" s="2156"/>
      <c r="E130" s="2485"/>
      <c r="F130" s="2486"/>
      <c r="G130" s="2468"/>
      <c r="H130" s="2257"/>
      <c r="I130" s="2468"/>
      <c r="J130" s="2257"/>
      <c r="K130" s="2468"/>
      <c r="L130" s="2257"/>
      <c r="M130" s="2468"/>
      <c r="N130" s="2257"/>
      <c r="O130" s="2274"/>
      <c r="P130" s="2274"/>
      <c r="Q130" s="2462"/>
      <c r="R130" s="2160"/>
      <c r="S130" s="2461"/>
      <c r="T130" s="2462"/>
      <c r="U130" s="2462"/>
      <c r="V130" s="2206"/>
      <c r="W130" s="103">
        <v>300000</v>
      </c>
      <c r="X130" s="466" t="s">
        <v>598</v>
      </c>
      <c r="Y130" s="2495"/>
      <c r="Z130" s="2330"/>
      <c r="AA130" s="2197"/>
      <c r="AB130" s="2197"/>
      <c r="AC130" s="2197"/>
      <c r="AD130" s="2197"/>
      <c r="AE130" s="2197"/>
      <c r="AF130" s="2197"/>
      <c r="AG130" s="2197"/>
      <c r="AH130" s="2197"/>
      <c r="AI130" s="2197"/>
      <c r="AJ130" s="2197"/>
      <c r="AK130" s="2197"/>
      <c r="AL130" s="2197"/>
      <c r="AM130" s="2197"/>
      <c r="AN130" s="2197"/>
      <c r="AO130" s="2197"/>
      <c r="AP130" s="2197"/>
      <c r="AQ130" s="2197"/>
      <c r="AR130" s="2425"/>
      <c r="AS130" s="2425"/>
      <c r="AT130" s="2427"/>
    </row>
    <row r="131" spans="1:46" s="525" customFormat="1" ht="70.5" customHeight="1" x14ac:dyDescent="0.25">
      <c r="A131" s="2431"/>
      <c r="B131" s="2432"/>
      <c r="C131" s="2272"/>
      <c r="D131" s="2156"/>
      <c r="E131" s="2485"/>
      <c r="F131" s="2486"/>
      <c r="G131" s="2468"/>
      <c r="H131" s="2257"/>
      <c r="I131" s="2468"/>
      <c r="J131" s="2257"/>
      <c r="K131" s="2468"/>
      <c r="L131" s="2257"/>
      <c r="M131" s="2468"/>
      <c r="N131" s="2257"/>
      <c r="O131" s="2274"/>
      <c r="P131" s="2274"/>
      <c r="Q131" s="2462"/>
      <c r="R131" s="2160"/>
      <c r="S131" s="2461"/>
      <c r="T131" s="2462"/>
      <c r="U131" s="2462"/>
      <c r="V131" s="2492" t="s">
        <v>599</v>
      </c>
      <c r="W131" s="103">
        <f>70000000-45000000</f>
        <v>25000000</v>
      </c>
      <c r="X131" s="466" t="s">
        <v>600</v>
      </c>
      <c r="Y131" s="2495"/>
      <c r="Z131" s="2330"/>
      <c r="AA131" s="2197"/>
      <c r="AB131" s="2197"/>
      <c r="AC131" s="2197"/>
      <c r="AD131" s="2197"/>
      <c r="AE131" s="2197"/>
      <c r="AF131" s="2197"/>
      <c r="AG131" s="2197"/>
      <c r="AH131" s="2197"/>
      <c r="AI131" s="2197"/>
      <c r="AJ131" s="2197"/>
      <c r="AK131" s="2197"/>
      <c r="AL131" s="2197"/>
      <c r="AM131" s="2197"/>
      <c r="AN131" s="2197"/>
      <c r="AO131" s="2197"/>
      <c r="AP131" s="2197"/>
      <c r="AQ131" s="2197"/>
      <c r="AR131" s="2425"/>
      <c r="AS131" s="2425"/>
      <c r="AT131" s="2427"/>
    </row>
    <row r="132" spans="1:46" s="525" customFormat="1" ht="89.25" customHeight="1" x14ac:dyDescent="0.25">
      <c r="A132" s="2431"/>
      <c r="B132" s="2432"/>
      <c r="C132" s="2272"/>
      <c r="D132" s="2156"/>
      <c r="E132" s="2485"/>
      <c r="F132" s="2486"/>
      <c r="G132" s="2468"/>
      <c r="H132" s="2257"/>
      <c r="I132" s="2468"/>
      <c r="J132" s="2257"/>
      <c r="K132" s="2468"/>
      <c r="L132" s="2257"/>
      <c r="M132" s="2468"/>
      <c r="N132" s="2257"/>
      <c r="O132" s="2274"/>
      <c r="P132" s="2274"/>
      <c r="Q132" s="2462"/>
      <c r="R132" s="2160"/>
      <c r="S132" s="2461"/>
      <c r="T132" s="2462"/>
      <c r="U132" s="2462"/>
      <c r="V132" s="2493"/>
      <c r="W132" s="103">
        <v>63000000</v>
      </c>
      <c r="X132" s="466" t="s">
        <v>601</v>
      </c>
      <c r="Y132" s="280">
        <v>88</v>
      </c>
      <c r="Z132" s="377" t="s">
        <v>149</v>
      </c>
      <c r="AA132" s="2197"/>
      <c r="AB132" s="2197"/>
      <c r="AC132" s="2197"/>
      <c r="AD132" s="2197"/>
      <c r="AE132" s="2197"/>
      <c r="AF132" s="2197"/>
      <c r="AG132" s="2197"/>
      <c r="AH132" s="2197"/>
      <c r="AI132" s="2197"/>
      <c r="AJ132" s="2197"/>
      <c r="AK132" s="2197"/>
      <c r="AL132" s="2197"/>
      <c r="AM132" s="2197"/>
      <c r="AN132" s="2197"/>
      <c r="AO132" s="2197"/>
      <c r="AP132" s="2197"/>
      <c r="AQ132" s="2197"/>
      <c r="AR132" s="2425"/>
      <c r="AS132" s="2425"/>
      <c r="AT132" s="2427"/>
    </row>
    <row r="133" spans="1:46" s="525" customFormat="1" ht="38.25" customHeight="1" x14ac:dyDescent="0.25">
      <c r="A133" s="2431"/>
      <c r="B133" s="2432"/>
      <c r="C133" s="2272"/>
      <c r="D133" s="2156"/>
      <c r="E133" s="2485"/>
      <c r="F133" s="2486"/>
      <c r="G133" s="2468"/>
      <c r="H133" s="2257"/>
      <c r="I133" s="2468"/>
      <c r="J133" s="2257"/>
      <c r="K133" s="2468"/>
      <c r="L133" s="2257"/>
      <c r="M133" s="2468"/>
      <c r="N133" s="2257"/>
      <c r="O133" s="2274"/>
      <c r="P133" s="2274"/>
      <c r="Q133" s="2462"/>
      <c r="R133" s="2160"/>
      <c r="S133" s="2461"/>
      <c r="T133" s="2462"/>
      <c r="U133" s="2462"/>
      <c r="V133" s="2494" t="s">
        <v>543</v>
      </c>
      <c r="W133" s="103">
        <v>5000000</v>
      </c>
      <c r="X133" s="466" t="s">
        <v>602</v>
      </c>
      <c r="Y133" s="280">
        <v>20</v>
      </c>
      <c r="Z133" s="377" t="s">
        <v>403</v>
      </c>
      <c r="AA133" s="2197"/>
      <c r="AB133" s="2197"/>
      <c r="AC133" s="2197"/>
      <c r="AD133" s="2197"/>
      <c r="AE133" s="2197"/>
      <c r="AF133" s="2197"/>
      <c r="AG133" s="2197"/>
      <c r="AH133" s="2197"/>
      <c r="AI133" s="2197"/>
      <c r="AJ133" s="2197"/>
      <c r="AK133" s="2197"/>
      <c r="AL133" s="2197"/>
      <c r="AM133" s="2197"/>
      <c r="AN133" s="2197"/>
      <c r="AO133" s="2197"/>
      <c r="AP133" s="2197"/>
      <c r="AQ133" s="2197"/>
      <c r="AR133" s="2425"/>
      <c r="AS133" s="2425"/>
      <c r="AT133" s="2427"/>
    </row>
    <row r="134" spans="1:46" s="525" customFormat="1" ht="33" customHeight="1" x14ac:dyDescent="0.25">
      <c r="A134" s="2431"/>
      <c r="B134" s="2432"/>
      <c r="C134" s="2272"/>
      <c r="D134" s="2156"/>
      <c r="E134" s="2485"/>
      <c r="F134" s="2486"/>
      <c r="G134" s="2468"/>
      <c r="H134" s="2257"/>
      <c r="I134" s="2468"/>
      <c r="J134" s="2257"/>
      <c r="K134" s="2468"/>
      <c r="L134" s="2257"/>
      <c r="M134" s="2468"/>
      <c r="N134" s="2257"/>
      <c r="O134" s="2274"/>
      <c r="P134" s="2274"/>
      <c r="Q134" s="2462"/>
      <c r="R134" s="2160"/>
      <c r="S134" s="2461"/>
      <c r="T134" s="2462"/>
      <c r="U134" s="2462"/>
      <c r="V134" s="2494"/>
      <c r="W134" s="103">
        <v>56108067</v>
      </c>
      <c r="X134" s="466" t="s">
        <v>603</v>
      </c>
      <c r="Y134" s="280">
        <v>89</v>
      </c>
      <c r="Z134" s="377" t="s">
        <v>604</v>
      </c>
      <c r="AA134" s="2197"/>
      <c r="AB134" s="2197"/>
      <c r="AC134" s="2197"/>
      <c r="AD134" s="2197"/>
      <c r="AE134" s="2197"/>
      <c r="AF134" s="2197"/>
      <c r="AG134" s="2197"/>
      <c r="AH134" s="2197"/>
      <c r="AI134" s="2197"/>
      <c r="AJ134" s="2197"/>
      <c r="AK134" s="2197"/>
      <c r="AL134" s="2197"/>
      <c r="AM134" s="2197"/>
      <c r="AN134" s="2197"/>
      <c r="AO134" s="2197"/>
      <c r="AP134" s="2197"/>
      <c r="AQ134" s="2197"/>
      <c r="AR134" s="2425"/>
      <c r="AS134" s="2425"/>
      <c r="AT134" s="2427"/>
    </row>
    <row r="135" spans="1:46" s="525" customFormat="1" ht="60" customHeight="1" x14ac:dyDescent="0.25">
      <c r="A135" s="2431"/>
      <c r="B135" s="2432"/>
      <c r="C135" s="2272"/>
      <c r="D135" s="2156"/>
      <c r="E135" s="2485"/>
      <c r="F135" s="2486"/>
      <c r="G135" s="2468"/>
      <c r="H135" s="2257"/>
      <c r="I135" s="2468"/>
      <c r="J135" s="2257"/>
      <c r="K135" s="2468"/>
      <c r="L135" s="2257"/>
      <c r="M135" s="2468"/>
      <c r="N135" s="2257"/>
      <c r="O135" s="2274"/>
      <c r="P135" s="2274"/>
      <c r="Q135" s="2462"/>
      <c r="R135" s="2160"/>
      <c r="S135" s="2461"/>
      <c r="T135" s="2462"/>
      <c r="U135" s="2462"/>
      <c r="V135" s="507" t="s">
        <v>605</v>
      </c>
      <c r="W135" s="103">
        <v>4000000</v>
      </c>
      <c r="X135" s="466" t="s">
        <v>600</v>
      </c>
      <c r="Y135" s="280">
        <v>20</v>
      </c>
      <c r="Z135" s="377" t="s">
        <v>403</v>
      </c>
      <c r="AA135" s="2197"/>
      <c r="AB135" s="2197"/>
      <c r="AC135" s="2197"/>
      <c r="AD135" s="2197"/>
      <c r="AE135" s="2197"/>
      <c r="AF135" s="2197"/>
      <c r="AG135" s="2197"/>
      <c r="AH135" s="2197"/>
      <c r="AI135" s="2197"/>
      <c r="AJ135" s="2197"/>
      <c r="AK135" s="2197"/>
      <c r="AL135" s="2197"/>
      <c r="AM135" s="2197"/>
      <c r="AN135" s="2197"/>
      <c r="AO135" s="2197"/>
      <c r="AP135" s="2197"/>
      <c r="AQ135" s="2197"/>
      <c r="AR135" s="2425"/>
      <c r="AS135" s="2425"/>
      <c r="AT135" s="2427"/>
    </row>
    <row r="136" spans="1:46" s="525" customFormat="1" ht="60" x14ac:dyDescent="0.25">
      <c r="A136" s="2431"/>
      <c r="B136" s="2432"/>
      <c r="C136" s="2272"/>
      <c r="D136" s="2156"/>
      <c r="E136" s="2485"/>
      <c r="F136" s="2486"/>
      <c r="G136" s="2468"/>
      <c r="H136" s="2257"/>
      <c r="I136" s="2468"/>
      <c r="J136" s="2257"/>
      <c r="K136" s="2468"/>
      <c r="L136" s="2257"/>
      <c r="M136" s="2468"/>
      <c r="N136" s="2257"/>
      <c r="O136" s="2274"/>
      <c r="P136" s="2274"/>
      <c r="Q136" s="2462"/>
      <c r="R136" s="2160"/>
      <c r="S136" s="2461"/>
      <c r="T136" s="2462"/>
      <c r="U136" s="2462"/>
      <c r="V136" s="507" t="s">
        <v>606</v>
      </c>
      <c r="W136" s="103">
        <v>10000000</v>
      </c>
      <c r="X136" s="466" t="s">
        <v>607</v>
      </c>
      <c r="Y136" s="280">
        <v>20</v>
      </c>
      <c r="Z136" s="377" t="s">
        <v>403</v>
      </c>
      <c r="AA136" s="2197"/>
      <c r="AB136" s="2197"/>
      <c r="AC136" s="2197"/>
      <c r="AD136" s="2197"/>
      <c r="AE136" s="2197"/>
      <c r="AF136" s="2197"/>
      <c r="AG136" s="2197"/>
      <c r="AH136" s="2197"/>
      <c r="AI136" s="2197"/>
      <c r="AJ136" s="2197"/>
      <c r="AK136" s="2197"/>
      <c r="AL136" s="2197"/>
      <c r="AM136" s="2197"/>
      <c r="AN136" s="2197"/>
      <c r="AO136" s="2197"/>
      <c r="AP136" s="2197"/>
      <c r="AQ136" s="2197"/>
      <c r="AR136" s="2425"/>
      <c r="AS136" s="2425"/>
      <c r="AT136" s="2427"/>
    </row>
    <row r="137" spans="1:46" s="525" customFormat="1" ht="42" customHeight="1" x14ac:dyDescent="0.25">
      <c r="A137" s="2431"/>
      <c r="B137" s="2432"/>
      <c r="C137" s="2272"/>
      <c r="D137" s="2156"/>
      <c r="E137" s="2485"/>
      <c r="F137" s="2486"/>
      <c r="G137" s="2468"/>
      <c r="H137" s="2257"/>
      <c r="I137" s="2468"/>
      <c r="J137" s="2257"/>
      <c r="K137" s="2468"/>
      <c r="L137" s="2257"/>
      <c r="M137" s="2468"/>
      <c r="N137" s="2257"/>
      <c r="O137" s="2274"/>
      <c r="P137" s="2274"/>
      <c r="Q137" s="2462"/>
      <c r="R137" s="2160"/>
      <c r="S137" s="2461"/>
      <c r="T137" s="2462"/>
      <c r="U137" s="2462"/>
      <c r="V137" s="2492" t="s">
        <v>514</v>
      </c>
      <c r="W137" s="103">
        <v>46000000</v>
      </c>
      <c r="X137" s="466" t="s">
        <v>600</v>
      </c>
      <c r="Y137" s="280">
        <v>20</v>
      </c>
      <c r="Z137" s="377" t="s">
        <v>403</v>
      </c>
      <c r="AA137" s="2197"/>
      <c r="AB137" s="2197"/>
      <c r="AC137" s="2197"/>
      <c r="AD137" s="2197"/>
      <c r="AE137" s="2197"/>
      <c r="AF137" s="2197"/>
      <c r="AG137" s="2197"/>
      <c r="AH137" s="2197"/>
      <c r="AI137" s="2197"/>
      <c r="AJ137" s="2197"/>
      <c r="AK137" s="2197"/>
      <c r="AL137" s="2197"/>
      <c r="AM137" s="2197"/>
      <c r="AN137" s="2197"/>
      <c r="AO137" s="2197"/>
      <c r="AP137" s="2197"/>
      <c r="AQ137" s="2197"/>
      <c r="AR137" s="2425"/>
      <c r="AS137" s="2425"/>
      <c r="AT137" s="2427"/>
    </row>
    <row r="138" spans="1:46" s="525" customFormat="1" ht="30" customHeight="1" x14ac:dyDescent="0.25">
      <c r="A138" s="2431"/>
      <c r="B138" s="2432"/>
      <c r="C138" s="2272"/>
      <c r="D138" s="2156"/>
      <c r="E138" s="2485"/>
      <c r="F138" s="2486"/>
      <c r="G138" s="2468"/>
      <c r="H138" s="2257"/>
      <c r="I138" s="2468"/>
      <c r="J138" s="2257"/>
      <c r="K138" s="2468"/>
      <c r="L138" s="2257"/>
      <c r="M138" s="2468"/>
      <c r="N138" s="2257"/>
      <c r="O138" s="2274"/>
      <c r="P138" s="2274"/>
      <c r="Q138" s="2462"/>
      <c r="R138" s="2160"/>
      <c r="S138" s="2461"/>
      <c r="T138" s="2462"/>
      <c r="U138" s="2462"/>
      <c r="V138" s="2493"/>
      <c r="W138" s="103">
        <v>175000000</v>
      </c>
      <c r="X138" s="466" t="s">
        <v>601</v>
      </c>
      <c r="Y138" s="280">
        <v>88</v>
      </c>
      <c r="Z138" s="377" t="s">
        <v>149</v>
      </c>
      <c r="AA138" s="2197"/>
      <c r="AB138" s="2197"/>
      <c r="AC138" s="2197"/>
      <c r="AD138" s="2197"/>
      <c r="AE138" s="2197"/>
      <c r="AF138" s="2197"/>
      <c r="AG138" s="2197"/>
      <c r="AH138" s="2197"/>
      <c r="AI138" s="2197"/>
      <c r="AJ138" s="2197"/>
      <c r="AK138" s="2197"/>
      <c r="AL138" s="2197"/>
      <c r="AM138" s="2197"/>
      <c r="AN138" s="2197"/>
      <c r="AO138" s="2197"/>
      <c r="AP138" s="2197"/>
      <c r="AQ138" s="2197"/>
      <c r="AR138" s="2425"/>
      <c r="AS138" s="2425"/>
      <c r="AT138" s="2427"/>
    </row>
    <row r="139" spans="1:46" s="525" customFormat="1" ht="45" x14ac:dyDescent="0.25">
      <c r="A139" s="2431"/>
      <c r="B139" s="2432"/>
      <c r="C139" s="2272"/>
      <c r="D139" s="2156"/>
      <c r="E139" s="2485"/>
      <c r="F139" s="2486"/>
      <c r="G139" s="2468"/>
      <c r="H139" s="2257"/>
      <c r="I139" s="2468"/>
      <c r="J139" s="2257"/>
      <c r="K139" s="2468"/>
      <c r="L139" s="2257"/>
      <c r="M139" s="2468"/>
      <c r="N139" s="2257"/>
      <c r="O139" s="2274"/>
      <c r="P139" s="2274"/>
      <c r="Q139" s="2462"/>
      <c r="R139" s="2160"/>
      <c r="S139" s="2461"/>
      <c r="T139" s="2462"/>
      <c r="U139" s="2462"/>
      <c r="V139" s="527" t="s">
        <v>608</v>
      </c>
      <c r="W139" s="103">
        <v>25200000</v>
      </c>
      <c r="X139" s="466" t="s">
        <v>601</v>
      </c>
      <c r="Y139" s="280">
        <v>88</v>
      </c>
      <c r="Z139" s="377" t="s">
        <v>149</v>
      </c>
      <c r="AA139" s="2197"/>
      <c r="AB139" s="2197"/>
      <c r="AC139" s="2197"/>
      <c r="AD139" s="2197"/>
      <c r="AE139" s="2197"/>
      <c r="AF139" s="2197"/>
      <c r="AG139" s="2197"/>
      <c r="AH139" s="2197"/>
      <c r="AI139" s="2197"/>
      <c r="AJ139" s="2197"/>
      <c r="AK139" s="2197"/>
      <c r="AL139" s="2197"/>
      <c r="AM139" s="2197"/>
      <c r="AN139" s="2197"/>
      <c r="AO139" s="2197"/>
      <c r="AP139" s="2197"/>
      <c r="AQ139" s="2197"/>
      <c r="AR139" s="2425"/>
      <c r="AS139" s="2425"/>
      <c r="AT139" s="2427"/>
    </row>
    <row r="140" spans="1:46" s="525" customFormat="1" ht="60" x14ac:dyDescent="0.25">
      <c r="A140" s="2431"/>
      <c r="B140" s="2432"/>
      <c r="C140" s="2272"/>
      <c r="D140" s="2156"/>
      <c r="E140" s="2485"/>
      <c r="F140" s="2486"/>
      <c r="G140" s="2468"/>
      <c r="H140" s="2257"/>
      <c r="I140" s="2468"/>
      <c r="J140" s="2257"/>
      <c r="K140" s="2468"/>
      <c r="L140" s="2257"/>
      <c r="M140" s="2468"/>
      <c r="N140" s="2257"/>
      <c r="O140" s="2274"/>
      <c r="P140" s="2274"/>
      <c r="Q140" s="2462"/>
      <c r="R140" s="2160"/>
      <c r="S140" s="2461"/>
      <c r="T140" s="2462"/>
      <c r="U140" s="2462"/>
      <c r="V140" s="528" t="s">
        <v>609</v>
      </c>
      <c r="W140" s="103">
        <v>292000000</v>
      </c>
      <c r="X140" s="466" t="s">
        <v>601</v>
      </c>
      <c r="Y140" s="280">
        <v>88</v>
      </c>
      <c r="Z140" s="377" t="s">
        <v>149</v>
      </c>
      <c r="AA140" s="2197"/>
      <c r="AB140" s="2197"/>
      <c r="AC140" s="2197"/>
      <c r="AD140" s="2197"/>
      <c r="AE140" s="2197"/>
      <c r="AF140" s="2197"/>
      <c r="AG140" s="2197"/>
      <c r="AH140" s="2197"/>
      <c r="AI140" s="2197"/>
      <c r="AJ140" s="2197"/>
      <c r="AK140" s="2197"/>
      <c r="AL140" s="2197"/>
      <c r="AM140" s="2197"/>
      <c r="AN140" s="2197"/>
      <c r="AO140" s="2197"/>
      <c r="AP140" s="2197"/>
      <c r="AQ140" s="2197"/>
      <c r="AR140" s="2425"/>
      <c r="AS140" s="2425"/>
      <c r="AT140" s="2427"/>
    </row>
    <row r="141" spans="1:46" s="525" customFormat="1" ht="42" customHeight="1" x14ac:dyDescent="0.25">
      <c r="A141" s="2431"/>
      <c r="B141" s="2432"/>
      <c r="C141" s="2272"/>
      <c r="D141" s="2156"/>
      <c r="E141" s="2485"/>
      <c r="F141" s="2486"/>
      <c r="G141" s="2468"/>
      <c r="H141" s="2257"/>
      <c r="I141" s="2468"/>
      <c r="J141" s="2257"/>
      <c r="K141" s="2468"/>
      <c r="L141" s="2257"/>
      <c r="M141" s="2468"/>
      <c r="N141" s="2257"/>
      <c r="O141" s="2274"/>
      <c r="P141" s="2274"/>
      <c r="Q141" s="2462"/>
      <c r="R141" s="2160"/>
      <c r="S141" s="2461"/>
      <c r="T141" s="2462"/>
      <c r="U141" s="2462"/>
      <c r="V141" s="527" t="s">
        <v>610</v>
      </c>
      <c r="W141" s="103">
        <v>118000000</v>
      </c>
      <c r="X141" s="466" t="s">
        <v>601</v>
      </c>
      <c r="Y141" s="280">
        <v>88</v>
      </c>
      <c r="Z141" s="377" t="s">
        <v>149</v>
      </c>
      <c r="AA141" s="2197"/>
      <c r="AB141" s="2197"/>
      <c r="AC141" s="2197"/>
      <c r="AD141" s="2197"/>
      <c r="AE141" s="2197"/>
      <c r="AF141" s="2197"/>
      <c r="AG141" s="2197"/>
      <c r="AH141" s="2197"/>
      <c r="AI141" s="2197"/>
      <c r="AJ141" s="2197"/>
      <c r="AK141" s="2197"/>
      <c r="AL141" s="2197"/>
      <c r="AM141" s="2197"/>
      <c r="AN141" s="2197"/>
      <c r="AO141" s="2197"/>
      <c r="AP141" s="2197"/>
      <c r="AQ141" s="2197"/>
      <c r="AR141" s="2425"/>
      <c r="AS141" s="2425"/>
      <c r="AT141" s="2427"/>
    </row>
    <row r="142" spans="1:46" s="525" customFormat="1" ht="35.25" customHeight="1" x14ac:dyDescent="0.25">
      <c r="A142" s="2431"/>
      <c r="B142" s="2432"/>
      <c r="C142" s="2272"/>
      <c r="D142" s="2156"/>
      <c r="E142" s="2485"/>
      <c r="F142" s="2486"/>
      <c r="G142" s="2468"/>
      <c r="H142" s="2257"/>
      <c r="I142" s="2468"/>
      <c r="J142" s="2257"/>
      <c r="K142" s="2468"/>
      <c r="L142" s="2257"/>
      <c r="M142" s="2468"/>
      <c r="N142" s="2257"/>
      <c r="O142" s="2274"/>
      <c r="P142" s="2274"/>
      <c r="Q142" s="2462"/>
      <c r="R142" s="2160"/>
      <c r="S142" s="2461"/>
      <c r="T142" s="2462"/>
      <c r="U142" s="2462"/>
      <c r="V142" s="2494" t="s">
        <v>611</v>
      </c>
      <c r="W142" s="103">
        <v>15000000</v>
      </c>
      <c r="X142" s="466" t="s">
        <v>612</v>
      </c>
      <c r="Y142" s="280">
        <v>88</v>
      </c>
      <c r="Z142" s="377" t="s">
        <v>613</v>
      </c>
      <c r="AA142" s="2197"/>
      <c r="AB142" s="2197"/>
      <c r="AC142" s="2197"/>
      <c r="AD142" s="2197"/>
      <c r="AE142" s="2197"/>
      <c r="AF142" s="2197"/>
      <c r="AG142" s="2197"/>
      <c r="AH142" s="2197"/>
      <c r="AI142" s="2197"/>
      <c r="AJ142" s="2197"/>
      <c r="AK142" s="2197"/>
      <c r="AL142" s="2197"/>
      <c r="AM142" s="2197"/>
      <c r="AN142" s="2197"/>
      <c r="AO142" s="2197"/>
      <c r="AP142" s="2197"/>
      <c r="AQ142" s="2197"/>
      <c r="AR142" s="2425"/>
      <c r="AS142" s="2425"/>
      <c r="AT142" s="2427"/>
    </row>
    <row r="143" spans="1:46" s="525" customFormat="1" ht="36.75" customHeight="1" x14ac:dyDescent="0.25">
      <c r="A143" s="2431"/>
      <c r="B143" s="2432"/>
      <c r="C143" s="2273"/>
      <c r="D143" s="2484"/>
      <c r="E143" s="2466"/>
      <c r="F143" s="2467"/>
      <c r="G143" s="2468"/>
      <c r="H143" s="2257"/>
      <c r="I143" s="2468"/>
      <c r="J143" s="2257"/>
      <c r="K143" s="2468"/>
      <c r="L143" s="2257"/>
      <c r="M143" s="2468"/>
      <c r="N143" s="2257"/>
      <c r="O143" s="2274"/>
      <c r="P143" s="2274"/>
      <c r="Q143" s="2462"/>
      <c r="R143" s="2160"/>
      <c r="S143" s="2461"/>
      <c r="T143" s="2462"/>
      <c r="U143" s="2462"/>
      <c r="V143" s="2494"/>
      <c r="W143" s="103">
        <v>5000000</v>
      </c>
      <c r="X143" s="466" t="s">
        <v>614</v>
      </c>
      <c r="Y143" s="280">
        <v>20</v>
      </c>
      <c r="Z143" s="377" t="s">
        <v>403</v>
      </c>
      <c r="AA143" s="2197"/>
      <c r="AB143" s="2197"/>
      <c r="AC143" s="2197"/>
      <c r="AD143" s="2197"/>
      <c r="AE143" s="2197"/>
      <c r="AF143" s="2197"/>
      <c r="AG143" s="2197"/>
      <c r="AH143" s="2197"/>
      <c r="AI143" s="2197"/>
      <c r="AJ143" s="2197"/>
      <c r="AK143" s="2197"/>
      <c r="AL143" s="2197"/>
      <c r="AM143" s="2197"/>
      <c r="AN143" s="2197"/>
      <c r="AO143" s="2197"/>
      <c r="AP143" s="2197"/>
      <c r="AQ143" s="2197"/>
      <c r="AR143" s="2425"/>
      <c r="AS143" s="2425"/>
      <c r="AT143" s="2428"/>
    </row>
    <row r="144" spans="1:46" s="525" customFormat="1" ht="15.75" x14ac:dyDescent="0.25">
      <c r="A144" s="2431"/>
      <c r="B144" s="2432"/>
      <c r="C144" s="469">
        <v>40</v>
      </c>
      <c r="D144" s="2435" t="s">
        <v>615</v>
      </c>
      <c r="E144" s="2435"/>
      <c r="F144" s="2435"/>
      <c r="G144" s="2435"/>
      <c r="H144" s="2435"/>
      <c r="I144" s="2435"/>
      <c r="J144" s="2435"/>
      <c r="K144" s="470"/>
      <c r="L144" s="494"/>
      <c r="M144" s="521"/>
      <c r="N144" s="494"/>
      <c r="O144" s="472"/>
      <c r="P144" s="472"/>
      <c r="Q144" s="473"/>
      <c r="R144" s="474"/>
      <c r="S144" s="490"/>
      <c r="T144" s="473"/>
      <c r="U144" s="473"/>
      <c r="V144" s="529"/>
      <c r="W144" s="523"/>
      <c r="X144" s="530"/>
      <c r="Y144" s="480"/>
      <c r="Z144" s="473"/>
      <c r="AA144" s="472"/>
      <c r="AB144" s="472"/>
      <c r="AC144" s="472"/>
      <c r="AD144" s="472"/>
      <c r="AE144" s="472"/>
      <c r="AF144" s="472"/>
      <c r="AG144" s="472"/>
      <c r="AH144" s="472"/>
      <c r="AI144" s="472"/>
      <c r="AJ144" s="472"/>
      <c r="AK144" s="472"/>
      <c r="AL144" s="472"/>
      <c r="AM144" s="472"/>
      <c r="AN144" s="472"/>
      <c r="AO144" s="472"/>
      <c r="AP144" s="472"/>
      <c r="AQ144" s="472"/>
      <c r="AR144" s="482"/>
      <c r="AS144" s="482"/>
      <c r="AT144" s="476"/>
    </row>
    <row r="145" spans="1:46" s="3" customFormat="1" ht="15.75" x14ac:dyDescent="0.25">
      <c r="A145" s="2431"/>
      <c r="B145" s="2432"/>
      <c r="C145" s="2482"/>
      <c r="D145" s="2483"/>
      <c r="E145" s="506">
        <v>4001</v>
      </c>
      <c r="F145" s="2442" t="s">
        <v>616</v>
      </c>
      <c r="G145" s="2442"/>
      <c r="H145" s="2442"/>
      <c r="I145" s="2442"/>
      <c r="J145" s="2442"/>
      <c r="K145" s="2442"/>
      <c r="L145" s="2442"/>
      <c r="M145" s="169"/>
      <c r="N145" s="173"/>
      <c r="O145" s="169"/>
      <c r="P145" s="169"/>
      <c r="Q145" s="173"/>
      <c r="R145" s="171"/>
      <c r="S145" s="483"/>
      <c r="T145" s="173"/>
      <c r="U145" s="173"/>
      <c r="V145" s="173"/>
      <c r="W145" s="484"/>
      <c r="X145" s="62"/>
      <c r="Y145" s="174"/>
      <c r="Z145" s="173"/>
      <c r="AA145" s="169"/>
      <c r="AB145" s="169"/>
      <c r="AC145" s="169"/>
      <c r="AD145" s="169"/>
      <c r="AE145" s="169"/>
      <c r="AF145" s="169"/>
      <c r="AG145" s="169"/>
      <c r="AH145" s="169"/>
      <c r="AI145" s="169"/>
      <c r="AJ145" s="169"/>
      <c r="AK145" s="169"/>
      <c r="AL145" s="169"/>
      <c r="AM145" s="169"/>
      <c r="AN145" s="169"/>
      <c r="AO145" s="169"/>
      <c r="AP145" s="169"/>
      <c r="AQ145" s="169"/>
      <c r="AR145" s="169"/>
      <c r="AS145" s="169"/>
      <c r="AT145" s="173"/>
    </row>
    <row r="146" spans="1:46" s="525" customFormat="1" ht="57" customHeight="1" x14ac:dyDescent="0.25">
      <c r="A146" s="2431"/>
      <c r="B146" s="2432"/>
      <c r="C146" s="2272"/>
      <c r="D146" s="2156"/>
      <c r="E146" s="2464"/>
      <c r="F146" s="2465"/>
      <c r="G146" s="2490">
        <v>4001015</v>
      </c>
      <c r="H146" s="2257" t="s">
        <v>617</v>
      </c>
      <c r="I146" s="2490">
        <v>4001015</v>
      </c>
      <c r="J146" s="2257" t="s">
        <v>617</v>
      </c>
      <c r="K146" s="2491" t="s">
        <v>618</v>
      </c>
      <c r="L146" s="2313" t="s">
        <v>619</v>
      </c>
      <c r="M146" s="2491" t="s">
        <v>618</v>
      </c>
      <c r="N146" s="2313" t="s">
        <v>619</v>
      </c>
      <c r="O146" s="2274">
        <v>50</v>
      </c>
      <c r="P146" s="2195" t="s">
        <v>620</v>
      </c>
      <c r="Q146" s="2257" t="s">
        <v>621</v>
      </c>
      <c r="R146" s="2160">
        <f>SUM(W146:W147)/S146</f>
        <v>1</v>
      </c>
      <c r="S146" s="2461">
        <f>SUM(W146:W147)</f>
        <v>120000000.09999999</v>
      </c>
      <c r="T146" s="2462" t="s">
        <v>622</v>
      </c>
      <c r="U146" s="2462" t="s">
        <v>623</v>
      </c>
      <c r="V146" s="2182" t="s">
        <v>624</v>
      </c>
      <c r="W146" s="103">
        <v>20000000</v>
      </c>
      <c r="X146" s="287" t="s">
        <v>625</v>
      </c>
      <c r="Y146" s="71">
        <v>20</v>
      </c>
      <c r="Z146" s="292" t="s">
        <v>403</v>
      </c>
      <c r="AA146" s="2197">
        <v>680</v>
      </c>
      <c r="AB146" s="2197">
        <v>520</v>
      </c>
      <c r="AC146" s="2197">
        <v>350</v>
      </c>
      <c r="AD146" s="2197">
        <v>300</v>
      </c>
      <c r="AE146" s="2197">
        <v>250</v>
      </c>
      <c r="AF146" s="2197">
        <v>300</v>
      </c>
      <c r="AG146" s="2197"/>
      <c r="AH146" s="2197"/>
      <c r="AI146" s="2197"/>
      <c r="AJ146" s="2197"/>
      <c r="AK146" s="2197"/>
      <c r="AL146" s="2197"/>
      <c r="AM146" s="2197"/>
      <c r="AN146" s="2197"/>
      <c r="AO146" s="2197"/>
      <c r="AP146" s="2197"/>
      <c r="AQ146" s="2197">
        <f>AA146+AB146</f>
        <v>1200</v>
      </c>
      <c r="AR146" s="2487">
        <v>44197</v>
      </c>
      <c r="AS146" s="2487">
        <v>44561</v>
      </c>
      <c r="AT146" s="2488" t="s">
        <v>404</v>
      </c>
    </row>
    <row r="147" spans="1:46" s="525" customFormat="1" ht="40.5" customHeight="1" x14ac:dyDescent="0.25">
      <c r="A147" s="2431"/>
      <c r="B147" s="2432"/>
      <c r="C147" s="2273"/>
      <c r="D147" s="2484"/>
      <c r="E147" s="2466"/>
      <c r="F147" s="2467"/>
      <c r="G147" s="2490"/>
      <c r="H147" s="2257"/>
      <c r="I147" s="2490"/>
      <c r="J147" s="2257"/>
      <c r="K147" s="2491"/>
      <c r="L147" s="2313"/>
      <c r="M147" s="2491"/>
      <c r="N147" s="2313"/>
      <c r="O147" s="2274"/>
      <c r="P147" s="2195"/>
      <c r="Q147" s="2257"/>
      <c r="R147" s="2160"/>
      <c r="S147" s="2461"/>
      <c r="T147" s="2462"/>
      <c r="U147" s="2462"/>
      <c r="V147" s="2182"/>
      <c r="W147" s="103">
        <v>100000000.09999999</v>
      </c>
      <c r="X147" s="287" t="s">
        <v>626</v>
      </c>
      <c r="Y147" s="531" t="s">
        <v>435</v>
      </c>
      <c r="Z147" s="292" t="s">
        <v>627</v>
      </c>
      <c r="AA147" s="2197"/>
      <c r="AB147" s="2197"/>
      <c r="AC147" s="2197"/>
      <c r="AD147" s="2197"/>
      <c r="AE147" s="2197"/>
      <c r="AF147" s="2197"/>
      <c r="AG147" s="2197"/>
      <c r="AH147" s="2197"/>
      <c r="AI147" s="2197"/>
      <c r="AJ147" s="2197"/>
      <c r="AK147" s="2197"/>
      <c r="AL147" s="2197"/>
      <c r="AM147" s="2197"/>
      <c r="AN147" s="2197"/>
      <c r="AO147" s="2197"/>
      <c r="AP147" s="2197"/>
      <c r="AQ147" s="2197"/>
      <c r="AR147" s="2197"/>
      <c r="AS147" s="2197"/>
      <c r="AT147" s="2489"/>
    </row>
    <row r="148" spans="1:46" s="525" customFormat="1" ht="15.75" x14ac:dyDescent="0.25">
      <c r="A148" s="532">
        <v>4</v>
      </c>
      <c r="B148" s="2479" t="s">
        <v>352</v>
      </c>
      <c r="C148" s="2479"/>
      <c r="D148" s="2479"/>
      <c r="E148" s="2479"/>
      <c r="F148" s="2479"/>
      <c r="G148" s="2479"/>
      <c r="H148" s="2479"/>
      <c r="I148" s="2479"/>
      <c r="J148" s="2479"/>
      <c r="K148" s="533"/>
      <c r="L148" s="534"/>
      <c r="M148" s="533"/>
      <c r="N148" s="534"/>
      <c r="O148" s="535"/>
      <c r="P148" s="536"/>
      <c r="Q148" s="537"/>
      <c r="R148" s="538"/>
      <c r="S148" s="539"/>
      <c r="T148" s="540"/>
      <c r="U148" s="540"/>
      <c r="V148" s="540"/>
      <c r="W148" s="541"/>
      <c r="X148" s="542"/>
      <c r="Y148" s="543"/>
      <c r="Z148" s="540"/>
      <c r="AA148" s="535"/>
      <c r="AB148" s="535"/>
      <c r="AC148" s="535"/>
      <c r="AD148" s="535"/>
      <c r="AE148" s="535"/>
      <c r="AF148" s="535"/>
      <c r="AG148" s="535"/>
      <c r="AH148" s="535"/>
      <c r="AI148" s="535"/>
      <c r="AJ148" s="535"/>
      <c r="AK148" s="535"/>
      <c r="AL148" s="535"/>
      <c r="AM148" s="535"/>
      <c r="AN148" s="535"/>
      <c r="AO148" s="535"/>
      <c r="AP148" s="535"/>
      <c r="AQ148" s="535"/>
      <c r="AR148" s="544"/>
      <c r="AS148" s="544"/>
      <c r="AT148" s="545"/>
    </row>
    <row r="149" spans="1:46" s="525" customFormat="1" ht="15.75" x14ac:dyDescent="0.25">
      <c r="A149" s="2480"/>
      <c r="B149" s="2481"/>
      <c r="C149" s="469">
        <v>45</v>
      </c>
      <c r="D149" s="2435" t="s">
        <v>60</v>
      </c>
      <c r="E149" s="2435"/>
      <c r="F149" s="2435"/>
      <c r="G149" s="2435"/>
      <c r="H149" s="2435"/>
      <c r="I149" s="2435"/>
      <c r="J149" s="2435"/>
      <c r="K149" s="546"/>
      <c r="L149" s="547"/>
      <c r="M149" s="546"/>
      <c r="N149" s="547"/>
      <c r="O149" s="472"/>
      <c r="P149" s="521"/>
      <c r="Q149" s="494"/>
      <c r="R149" s="474"/>
      <c r="S149" s="490"/>
      <c r="T149" s="473"/>
      <c r="U149" s="473"/>
      <c r="V149" s="473"/>
      <c r="W149" s="523"/>
      <c r="X149" s="548"/>
      <c r="Y149" s="480"/>
      <c r="Z149" s="473"/>
      <c r="AA149" s="472"/>
      <c r="AB149" s="472"/>
      <c r="AC149" s="472"/>
      <c r="AD149" s="472"/>
      <c r="AE149" s="472"/>
      <c r="AF149" s="472"/>
      <c r="AG149" s="472"/>
      <c r="AH149" s="472"/>
      <c r="AI149" s="472"/>
      <c r="AJ149" s="472"/>
      <c r="AK149" s="472"/>
      <c r="AL149" s="472"/>
      <c r="AM149" s="472"/>
      <c r="AN149" s="472"/>
      <c r="AO149" s="472"/>
      <c r="AP149" s="472"/>
      <c r="AQ149" s="472"/>
      <c r="AR149" s="482"/>
      <c r="AS149" s="482"/>
      <c r="AT149" s="476"/>
    </row>
    <row r="150" spans="1:46" s="3" customFormat="1" ht="15.75" x14ac:dyDescent="0.25">
      <c r="A150" s="2480"/>
      <c r="B150" s="2481"/>
      <c r="C150" s="2482"/>
      <c r="D150" s="2483"/>
      <c r="E150" s="506">
        <v>4599</v>
      </c>
      <c r="F150" s="492" t="s">
        <v>124</v>
      </c>
      <c r="G150" s="492"/>
      <c r="H150" s="173"/>
      <c r="I150" s="492"/>
      <c r="J150" s="173"/>
      <c r="K150" s="492"/>
      <c r="L150" s="173"/>
      <c r="M150" s="492"/>
      <c r="N150" s="173"/>
      <c r="O150" s="169"/>
      <c r="P150" s="169"/>
      <c r="Q150" s="173"/>
      <c r="R150" s="171"/>
      <c r="S150" s="483"/>
      <c r="T150" s="173"/>
      <c r="U150" s="173"/>
      <c r="V150" s="173"/>
      <c r="W150" s="484"/>
      <c r="X150" s="62"/>
      <c r="Y150" s="174"/>
      <c r="Z150" s="173"/>
      <c r="AA150" s="169"/>
      <c r="AB150" s="169"/>
      <c r="AC150" s="169"/>
      <c r="AD150" s="169"/>
      <c r="AE150" s="169"/>
      <c r="AF150" s="169"/>
      <c r="AG150" s="169"/>
      <c r="AH150" s="169"/>
      <c r="AI150" s="169"/>
      <c r="AJ150" s="169"/>
      <c r="AK150" s="169"/>
      <c r="AL150" s="169"/>
      <c r="AM150" s="169"/>
      <c r="AN150" s="169"/>
      <c r="AO150" s="169"/>
      <c r="AP150" s="169"/>
      <c r="AQ150" s="169"/>
      <c r="AR150" s="169"/>
      <c r="AS150" s="169"/>
      <c r="AT150" s="173"/>
    </row>
    <row r="151" spans="1:46" s="525" customFormat="1" ht="105" customHeight="1" x14ac:dyDescent="0.25">
      <c r="A151" s="2480"/>
      <c r="B151" s="2481"/>
      <c r="C151" s="2272"/>
      <c r="D151" s="2156"/>
      <c r="E151" s="2464"/>
      <c r="F151" s="2465"/>
      <c r="G151" s="2473" t="s">
        <v>62</v>
      </c>
      <c r="H151" s="2476" t="s">
        <v>628</v>
      </c>
      <c r="I151" s="2473" t="s">
        <v>629</v>
      </c>
      <c r="J151" s="2476" t="s">
        <v>428</v>
      </c>
      <c r="K151" s="2473" t="s">
        <v>62</v>
      </c>
      <c r="L151" s="2476" t="s">
        <v>630</v>
      </c>
      <c r="M151" s="2473">
        <v>459901600</v>
      </c>
      <c r="N151" s="2280" t="s">
        <v>428</v>
      </c>
      <c r="O151" s="2293">
        <v>4</v>
      </c>
      <c r="P151" s="2229" t="s">
        <v>631</v>
      </c>
      <c r="Q151" s="2280" t="s">
        <v>632</v>
      </c>
      <c r="R151" s="2323">
        <f>SUM(W151:W157)/S151</f>
        <v>1</v>
      </c>
      <c r="S151" s="2455">
        <f>SUM(W151:W157)</f>
        <v>100660648</v>
      </c>
      <c r="T151" s="2283" t="s">
        <v>633</v>
      </c>
      <c r="U151" s="2283" t="s">
        <v>634</v>
      </c>
      <c r="V151" s="2458" t="s">
        <v>635</v>
      </c>
      <c r="W151" s="465">
        <v>10000000</v>
      </c>
      <c r="X151" s="466" t="s">
        <v>636</v>
      </c>
      <c r="Y151" s="2470" t="s">
        <v>419</v>
      </c>
      <c r="Z151" s="2293" t="s">
        <v>420</v>
      </c>
      <c r="AA151" s="2198">
        <v>295972</v>
      </c>
      <c r="AB151" s="2198">
        <v>285580</v>
      </c>
      <c r="AC151" s="2198">
        <v>135545</v>
      </c>
      <c r="AD151" s="2198">
        <v>44254</v>
      </c>
      <c r="AE151" s="2198">
        <v>309146</v>
      </c>
      <c r="AF151" s="2198">
        <v>92607</v>
      </c>
      <c r="AG151" s="2198">
        <v>2145</v>
      </c>
      <c r="AH151" s="2198">
        <v>12718</v>
      </c>
      <c r="AI151" s="2198">
        <v>26</v>
      </c>
      <c r="AJ151" s="2198">
        <v>37</v>
      </c>
      <c r="AK151" s="2198">
        <v>0</v>
      </c>
      <c r="AL151" s="2198">
        <v>0</v>
      </c>
      <c r="AM151" s="2198">
        <v>44350</v>
      </c>
      <c r="AN151" s="2198">
        <v>21944</v>
      </c>
      <c r="AO151" s="2198"/>
      <c r="AP151" s="2198">
        <v>75687</v>
      </c>
      <c r="AQ151" s="2198">
        <v>581552</v>
      </c>
      <c r="AR151" s="2450">
        <v>44197</v>
      </c>
      <c r="AS151" s="2450">
        <v>44561</v>
      </c>
      <c r="AT151" s="2426" t="s">
        <v>404</v>
      </c>
    </row>
    <row r="152" spans="1:46" s="525" customFormat="1" ht="24.75" customHeight="1" x14ac:dyDescent="0.25">
      <c r="A152" s="2480"/>
      <c r="B152" s="2481"/>
      <c r="C152" s="2272"/>
      <c r="D152" s="2156"/>
      <c r="E152" s="2485"/>
      <c r="F152" s="2486"/>
      <c r="G152" s="2474"/>
      <c r="H152" s="2477"/>
      <c r="I152" s="2474"/>
      <c r="J152" s="2477"/>
      <c r="K152" s="2474"/>
      <c r="L152" s="2477"/>
      <c r="M152" s="2474"/>
      <c r="N152" s="2281"/>
      <c r="O152" s="2266"/>
      <c r="P152" s="2230"/>
      <c r="Q152" s="2281"/>
      <c r="R152" s="2453"/>
      <c r="S152" s="2456"/>
      <c r="T152" s="2284"/>
      <c r="U152" s="2284"/>
      <c r="V152" s="2459"/>
      <c r="W152" s="465">
        <v>5000000</v>
      </c>
      <c r="X152" s="466" t="s">
        <v>637</v>
      </c>
      <c r="Y152" s="2471"/>
      <c r="Z152" s="2266"/>
      <c r="AA152" s="2308"/>
      <c r="AB152" s="2308"/>
      <c r="AC152" s="2308"/>
      <c r="AD152" s="2308"/>
      <c r="AE152" s="2308"/>
      <c r="AF152" s="2308"/>
      <c r="AG152" s="2308"/>
      <c r="AH152" s="2308"/>
      <c r="AI152" s="2308"/>
      <c r="AJ152" s="2308"/>
      <c r="AK152" s="2308"/>
      <c r="AL152" s="2308"/>
      <c r="AM152" s="2308"/>
      <c r="AN152" s="2308"/>
      <c r="AO152" s="2308"/>
      <c r="AP152" s="2308"/>
      <c r="AQ152" s="2308"/>
      <c r="AR152" s="2451"/>
      <c r="AS152" s="2451"/>
      <c r="AT152" s="2427"/>
    </row>
    <row r="153" spans="1:46" s="525" customFormat="1" ht="24.75" customHeight="1" x14ac:dyDescent="0.25">
      <c r="A153" s="2480"/>
      <c r="B153" s="2481"/>
      <c r="C153" s="2272"/>
      <c r="D153" s="2156"/>
      <c r="E153" s="2485"/>
      <c r="F153" s="2486"/>
      <c r="G153" s="2474"/>
      <c r="H153" s="2477"/>
      <c r="I153" s="2474"/>
      <c r="J153" s="2477"/>
      <c r="K153" s="2474"/>
      <c r="L153" s="2477"/>
      <c r="M153" s="2474"/>
      <c r="N153" s="2281"/>
      <c r="O153" s="2266"/>
      <c r="P153" s="2230"/>
      <c r="Q153" s="2281"/>
      <c r="R153" s="2453"/>
      <c r="S153" s="2456"/>
      <c r="T153" s="2284"/>
      <c r="U153" s="2284"/>
      <c r="V153" s="2459"/>
      <c r="W153" s="465">
        <v>1000000</v>
      </c>
      <c r="X153" s="466" t="s">
        <v>638</v>
      </c>
      <c r="Y153" s="2471"/>
      <c r="Z153" s="2266"/>
      <c r="AA153" s="2308"/>
      <c r="AB153" s="2308"/>
      <c r="AC153" s="2308"/>
      <c r="AD153" s="2308"/>
      <c r="AE153" s="2308"/>
      <c r="AF153" s="2308"/>
      <c r="AG153" s="2308"/>
      <c r="AH153" s="2308"/>
      <c r="AI153" s="2308"/>
      <c r="AJ153" s="2308"/>
      <c r="AK153" s="2308"/>
      <c r="AL153" s="2308"/>
      <c r="AM153" s="2308"/>
      <c r="AN153" s="2308"/>
      <c r="AO153" s="2308"/>
      <c r="AP153" s="2308"/>
      <c r="AQ153" s="2308"/>
      <c r="AR153" s="2451"/>
      <c r="AS153" s="2451"/>
      <c r="AT153" s="2427"/>
    </row>
    <row r="154" spans="1:46" s="525" customFormat="1" ht="24.75" customHeight="1" x14ac:dyDescent="0.25">
      <c r="A154" s="2480"/>
      <c r="B154" s="2481"/>
      <c r="C154" s="2272"/>
      <c r="D154" s="2156"/>
      <c r="E154" s="2485"/>
      <c r="F154" s="2486"/>
      <c r="G154" s="2474"/>
      <c r="H154" s="2477"/>
      <c r="I154" s="2474"/>
      <c r="J154" s="2477"/>
      <c r="K154" s="2474"/>
      <c r="L154" s="2477"/>
      <c r="M154" s="2474"/>
      <c r="N154" s="2281"/>
      <c r="O154" s="2266"/>
      <c r="P154" s="2230"/>
      <c r="Q154" s="2281"/>
      <c r="R154" s="2453"/>
      <c r="S154" s="2456"/>
      <c r="T154" s="2284"/>
      <c r="U154" s="2284"/>
      <c r="V154" s="2460"/>
      <c r="W154" s="465">
        <v>4000000</v>
      </c>
      <c r="X154" s="466" t="s">
        <v>639</v>
      </c>
      <c r="Y154" s="2471"/>
      <c r="Z154" s="2266"/>
      <c r="AA154" s="2308"/>
      <c r="AB154" s="2308"/>
      <c r="AC154" s="2308"/>
      <c r="AD154" s="2308"/>
      <c r="AE154" s="2308"/>
      <c r="AF154" s="2308"/>
      <c r="AG154" s="2308"/>
      <c r="AH154" s="2308"/>
      <c r="AI154" s="2308"/>
      <c r="AJ154" s="2308"/>
      <c r="AK154" s="2308"/>
      <c r="AL154" s="2308"/>
      <c r="AM154" s="2308"/>
      <c r="AN154" s="2308"/>
      <c r="AO154" s="2308"/>
      <c r="AP154" s="2308"/>
      <c r="AQ154" s="2308"/>
      <c r="AR154" s="2451"/>
      <c r="AS154" s="2451"/>
      <c r="AT154" s="2427"/>
    </row>
    <row r="155" spans="1:46" s="525" customFormat="1" ht="86.25" customHeight="1" x14ac:dyDescent="0.25">
      <c r="A155" s="2480"/>
      <c r="B155" s="2481"/>
      <c r="C155" s="2272"/>
      <c r="D155" s="2156"/>
      <c r="E155" s="2485"/>
      <c r="F155" s="2486"/>
      <c r="G155" s="2474"/>
      <c r="H155" s="2477"/>
      <c r="I155" s="2474"/>
      <c r="J155" s="2477"/>
      <c r="K155" s="2474"/>
      <c r="L155" s="2477"/>
      <c r="M155" s="2474"/>
      <c r="N155" s="2281"/>
      <c r="O155" s="2266"/>
      <c r="P155" s="2230"/>
      <c r="Q155" s="2281"/>
      <c r="R155" s="2453"/>
      <c r="S155" s="2456"/>
      <c r="T155" s="2284"/>
      <c r="U155" s="2284"/>
      <c r="V155" s="377" t="s">
        <v>640</v>
      </c>
      <c r="W155" s="497">
        <v>10000000</v>
      </c>
      <c r="X155" s="466" t="s">
        <v>641</v>
      </c>
      <c r="Y155" s="2471"/>
      <c r="Z155" s="2266"/>
      <c r="AA155" s="2308"/>
      <c r="AB155" s="2308"/>
      <c r="AC155" s="2308"/>
      <c r="AD155" s="2308"/>
      <c r="AE155" s="2308"/>
      <c r="AF155" s="2308"/>
      <c r="AG155" s="2308"/>
      <c r="AH155" s="2308"/>
      <c r="AI155" s="2308"/>
      <c r="AJ155" s="2308"/>
      <c r="AK155" s="2308"/>
      <c r="AL155" s="2308"/>
      <c r="AM155" s="2308"/>
      <c r="AN155" s="2308"/>
      <c r="AO155" s="2308"/>
      <c r="AP155" s="2308"/>
      <c r="AQ155" s="2308"/>
      <c r="AR155" s="2451"/>
      <c r="AS155" s="2451"/>
      <c r="AT155" s="2427"/>
    </row>
    <row r="156" spans="1:46" s="525" customFormat="1" ht="90" x14ac:dyDescent="0.25">
      <c r="A156" s="2480"/>
      <c r="B156" s="2481"/>
      <c r="C156" s="2272"/>
      <c r="D156" s="2156"/>
      <c r="E156" s="2485"/>
      <c r="F156" s="2486"/>
      <c r="G156" s="2474"/>
      <c r="H156" s="2477"/>
      <c r="I156" s="2474"/>
      <c r="J156" s="2477"/>
      <c r="K156" s="2474"/>
      <c r="L156" s="2477"/>
      <c r="M156" s="2474"/>
      <c r="N156" s="2281"/>
      <c r="O156" s="2266"/>
      <c r="P156" s="2230"/>
      <c r="Q156" s="2281"/>
      <c r="R156" s="2453"/>
      <c r="S156" s="2456"/>
      <c r="T156" s="2284"/>
      <c r="U156" s="2284"/>
      <c r="V156" s="376" t="s">
        <v>642</v>
      </c>
      <c r="W156" s="497">
        <v>10000000</v>
      </c>
      <c r="X156" s="466" t="s">
        <v>641</v>
      </c>
      <c r="Y156" s="2471"/>
      <c r="Z156" s="2266"/>
      <c r="AA156" s="2308"/>
      <c r="AB156" s="2308"/>
      <c r="AC156" s="2308"/>
      <c r="AD156" s="2308"/>
      <c r="AE156" s="2308"/>
      <c r="AF156" s="2308"/>
      <c r="AG156" s="2308"/>
      <c r="AH156" s="2308"/>
      <c r="AI156" s="2308"/>
      <c r="AJ156" s="2308"/>
      <c r="AK156" s="2308"/>
      <c r="AL156" s="2308"/>
      <c r="AM156" s="2308"/>
      <c r="AN156" s="2308"/>
      <c r="AO156" s="2308"/>
      <c r="AP156" s="2308"/>
      <c r="AQ156" s="2308"/>
      <c r="AR156" s="2451"/>
      <c r="AS156" s="2451"/>
      <c r="AT156" s="2427"/>
    </row>
    <row r="157" spans="1:46" s="525" customFormat="1" ht="90" customHeight="1" x14ac:dyDescent="0.25">
      <c r="A157" s="2480"/>
      <c r="B157" s="2481"/>
      <c r="C157" s="2272"/>
      <c r="D157" s="2156"/>
      <c r="E157" s="2466"/>
      <c r="F157" s="2467"/>
      <c r="G157" s="2475"/>
      <c r="H157" s="2478"/>
      <c r="I157" s="2475"/>
      <c r="J157" s="2478"/>
      <c r="K157" s="2475"/>
      <c r="L157" s="2478"/>
      <c r="M157" s="2475"/>
      <c r="N157" s="2282"/>
      <c r="O157" s="2267"/>
      <c r="P157" s="2231"/>
      <c r="Q157" s="2282"/>
      <c r="R157" s="2454"/>
      <c r="S157" s="2457"/>
      <c r="T157" s="2285"/>
      <c r="U157" s="2285"/>
      <c r="V157" s="367" t="s">
        <v>643</v>
      </c>
      <c r="W157" s="465">
        <v>60660648</v>
      </c>
      <c r="X157" s="466" t="s">
        <v>644</v>
      </c>
      <c r="Y157" s="2472"/>
      <c r="Z157" s="2267"/>
      <c r="AA157" s="2309"/>
      <c r="AB157" s="2309"/>
      <c r="AC157" s="2309"/>
      <c r="AD157" s="2309"/>
      <c r="AE157" s="2309"/>
      <c r="AF157" s="2309"/>
      <c r="AG157" s="2309"/>
      <c r="AH157" s="2309"/>
      <c r="AI157" s="2309"/>
      <c r="AJ157" s="2309"/>
      <c r="AK157" s="2309"/>
      <c r="AL157" s="2309"/>
      <c r="AM157" s="2309"/>
      <c r="AN157" s="2309"/>
      <c r="AO157" s="2309"/>
      <c r="AP157" s="2309"/>
      <c r="AQ157" s="2309"/>
      <c r="AR157" s="2452"/>
      <c r="AS157" s="2452"/>
      <c r="AT157" s="2428"/>
    </row>
    <row r="158" spans="1:46" s="3" customFormat="1" ht="15.75" x14ac:dyDescent="0.25">
      <c r="A158" s="2480"/>
      <c r="B158" s="2481"/>
      <c r="C158" s="2272"/>
      <c r="D158" s="2156"/>
      <c r="E158" s="506">
        <v>4502</v>
      </c>
      <c r="F158" s="492" t="s">
        <v>378</v>
      </c>
      <c r="G158" s="492"/>
      <c r="H158" s="173"/>
      <c r="I158" s="492"/>
      <c r="J158" s="173"/>
      <c r="K158" s="492"/>
      <c r="L158" s="173"/>
      <c r="M158" s="492"/>
      <c r="N158" s="173"/>
      <c r="O158" s="492"/>
      <c r="P158" s="492"/>
      <c r="Q158" s="173"/>
      <c r="R158" s="171"/>
      <c r="S158" s="483"/>
      <c r="T158" s="173"/>
      <c r="U158" s="173"/>
      <c r="V158" s="173"/>
      <c r="W158" s="484"/>
      <c r="X158" s="549"/>
      <c r="Y158" s="174"/>
      <c r="Z158" s="173"/>
      <c r="AA158" s="169"/>
      <c r="AB158" s="169"/>
      <c r="AC158" s="169"/>
      <c r="AD158" s="169"/>
      <c r="AE158" s="169"/>
      <c r="AF158" s="169"/>
      <c r="AG158" s="169"/>
      <c r="AH158" s="169"/>
      <c r="AI158" s="169"/>
      <c r="AJ158" s="169"/>
      <c r="AK158" s="169"/>
      <c r="AL158" s="169"/>
      <c r="AM158" s="169"/>
      <c r="AN158" s="169"/>
      <c r="AO158" s="169"/>
      <c r="AP158" s="169"/>
      <c r="AQ158" s="169"/>
      <c r="AR158" s="169"/>
      <c r="AS158" s="169"/>
      <c r="AT158" s="173"/>
    </row>
    <row r="159" spans="1:46" s="525" customFormat="1" ht="95.25" customHeight="1" x14ac:dyDescent="0.25">
      <c r="A159" s="2480"/>
      <c r="B159" s="2481"/>
      <c r="C159" s="2272"/>
      <c r="D159" s="2156"/>
      <c r="E159" s="2464"/>
      <c r="F159" s="2465"/>
      <c r="G159" s="2468">
        <v>4502003</v>
      </c>
      <c r="H159" s="2469" t="s">
        <v>645</v>
      </c>
      <c r="I159" s="2468">
        <v>4502003</v>
      </c>
      <c r="J159" s="2469" t="s">
        <v>645</v>
      </c>
      <c r="K159" s="2468">
        <v>450200300</v>
      </c>
      <c r="L159" s="2469" t="s">
        <v>645</v>
      </c>
      <c r="M159" s="2468">
        <v>450200300</v>
      </c>
      <c r="N159" s="2469" t="s">
        <v>645</v>
      </c>
      <c r="O159" s="2274">
        <v>2</v>
      </c>
      <c r="P159" s="2449" t="s">
        <v>646</v>
      </c>
      <c r="Q159" s="2329" t="s">
        <v>647</v>
      </c>
      <c r="R159" s="2160">
        <f>SUM(W159:W160)/S159</f>
        <v>1</v>
      </c>
      <c r="S159" s="2461">
        <f>SUM(W159:W160)</f>
        <v>38000000</v>
      </c>
      <c r="T159" s="2462" t="s">
        <v>648</v>
      </c>
      <c r="U159" s="2462" t="s">
        <v>649</v>
      </c>
      <c r="V159" s="366" t="s">
        <v>650</v>
      </c>
      <c r="W159" s="497">
        <v>0</v>
      </c>
      <c r="X159" s="466" t="s">
        <v>651</v>
      </c>
      <c r="Y159" s="2463">
        <v>20</v>
      </c>
      <c r="Z159" s="2462" t="s">
        <v>403</v>
      </c>
      <c r="AA159" s="2197">
        <v>295972</v>
      </c>
      <c r="AB159" s="2197">
        <v>285580</v>
      </c>
      <c r="AC159" s="2197">
        <v>135545</v>
      </c>
      <c r="AD159" s="2197">
        <v>44254</v>
      </c>
      <c r="AE159" s="2197">
        <v>309146</v>
      </c>
      <c r="AF159" s="2197">
        <v>92607</v>
      </c>
      <c r="AG159" s="2197">
        <v>2145</v>
      </c>
      <c r="AH159" s="2197">
        <v>12718</v>
      </c>
      <c r="AI159" s="2197">
        <v>26</v>
      </c>
      <c r="AJ159" s="2197">
        <v>37</v>
      </c>
      <c r="AK159" s="2197">
        <v>0</v>
      </c>
      <c r="AL159" s="2197">
        <v>0</v>
      </c>
      <c r="AM159" s="2197">
        <v>44350</v>
      </c>
      <c r="AN159" s="2197">
        <v>21944</v>
      </c>
      <c r="AO159" s="2197"/>
      <c r="AP159" s="2197">
        <v>75687</v>
      </c>
      <c r="AQ159" s="2197">
        <v>581552</v>
      </c>
      <c r="AR159" s="2425">
        <v>44197</v>
      </c>
      <c r="AS159" s="2425">
        <v>44561</v>
      </c>
      <c r="AT159" s="2426" t="s">
        <v>404</v>
      </c>
    </row>
    <row r="160" spans="1:46" s="525" customFormat="1" ht="91.5" customHeight="1" x14ac:dyDescent="0.25">
      <c r="A160" s="2480"/>
      <c r="B160" s="2481"/>
      <c r="C160" s="2273"/>
      <c r="D160" s="2484"/>
      <c r="E160" s="2466"/>
      <c r="F160" s="2467"/>
      <c r="G160" s="2468"/>
      <c r="H160" s="2469"/>
      <c r="I160" s="2468"/>
      <c r="J160" s="2469"/>
      <c r="K160" s="2468"/>
      <c r="L160" s="2469"/>
      <c r="M160" s="2468"/>
      <c r="N160" s="2469"/>
      <c r="O160" s="2274"/>
      <c r="P160" s="2449"/>
      <c r="Q160" s="2329"/>
      <c r="R160" s="2160"/>
      <c r="S160" s="2461"/>
      <c r="T160" s="2462"/>
      <c r="U160" s="2462"/>
      <c r="V160" s="366" t="s">
        <v>652</v>
      </c>
      <c r="W160" s="497">
        <v>38000000</v>
      </c>
      <c r="X160" s="466" t="s">
        <v>651</v>
      </c>
      <c r="Y160" s="2463"/>
      <c r="Z160" s="2462"/>
      <c r="AA160" s="2197"/>
      <c r="AB160" s="2197"/>
      <c r="AC160" s="2197"/>
      <c r="AD160" s="2197"/>
      <c r="AE160" s="2197"/>
      <c r="AF160" s="2197"/>
      <c r="AG160" s="2197"/>
      <c r="AH160" s="2197"/>
      <c r="AI160" s="2197"/>
      <c r="AJ160" s="2197"/>
      <c r="AK160" s="2197"/>
      <c r="AL160" s="2197"/>
      <c r="AM160" s="2197"/>
      <c r="AN160" s="2197"/>
      <c r="AO160" s="2197"/>
      <c r="AP160" s="2197"/>
      <c r="AQ160" s="2197"/>
      <c r="AR160" s="2425"/>
      <c r="AS160" s="2425"/>
      <c r="AT160" s="2428"/>
    </row>
    <row r="161" spans="1:48" ht="15.75" x14ac:dyDescent="0.25">
      <c r="A161" s="550">
        <v>3</v>
      </c>
      <c r="B161" s="2430" t="s">
        <v>653</v>
      </c>
      <c r="C161" s="2430"/>
      <c r="D161" s="2430"/>
      <c r="E161" s="2430"/>
      <c r="F161" s="2430"/>
      <c r="G161" s="2430"/>
      <c r="H161" s="2430"/>
      <c r="I161" s="2430"/>
      <c r="J161" s="144"/>
      <c r="K161" s="145"/>
      <c r="L161" s="144"/>
      <c r="M161" s="145"/>
      <c r="N161" s="144"/>
      <c r="O161" s="145"/>
      <c r="P161" s="145"/>
      <c r="Q161" s="144"/>
      <c r="R161" s="148"/>
      <c r="S161" s="502"/>
      <c r="T161" s="144"/>
      <c r="U161" s="144"/>
      <c r="V161" s="144"/>
      <c r="W161" s="503"/>
      <c r="X161" s="24"/>
      <c r="Y161" s="458"/>
      <c r="Z161" s="144"/>
      <c r="AA161" s="145"/>
      <c r="AB161" s="145"/>
      <c r="AC161" s="145"/>
      <c r="AD161" s="145"/>
      <c r="AE161" s="145"/>
      <c r="AF161" s="145"/>
      <c r="AG161" s="145"/>
      <c r="AH161" s="145"/>
      <c r="AI161" s="145"/>
      <c r="AJ161" s="145"/>
      <c r="AK161" s="145"/>
      <c r="AL161" s="145"/>
      <c r="AM161" s="145"/>
      <c r="AN161" s="145"/>
      <c r="AO161" s="145"/>
      <c r="AP161" s="145"/>
      <c r="AQ161" s="145"/>
      <c r="AR161" s="152"/>
      <c r="AS161" s="152"/>
      <c r="AT161" s="144"/>
    </row>
    <row r="162" spans="1:48" s="74" customFormat="1" ht="15.75" x14ac:dyDescent="0.25">
      <c r="A162" s="2431"/>
      <c r="B162" s="2432"/>
      <c r="C162" s="469">
        <v>40</v>
      </c>
      <c r="D162" s="2435" t="s">
        <v>615</v>
      </c>
      <c r="E162" s="2435"/>
      <c r="F162" s="2435"/>
      <c r="G162" s="2435"/>
      <c r="H162" s="2435"/>
      <c r="I162" s="2435"/>
      <c r="J162" s="2435"/>
      <c r="K162" s="2435"/>
      <c r="L162" s="2435"/>
      <c r="M162" s="521"/>
      <c r="N162" s="494"/>
      <c r="O162" s="472"/>
      <c r="P162" s="472"/>
      <c r="Q162" s="473"/>
      <c r="R162" s="474"/>
      <c r="S162" s="490"/>
      <c r="T162" s="473"/>
      <c r="U162" s="473"/>
      <c r="V162" s="529"/>
      <c r="W162" s="523"/>
      <c r="X162" s="551"/>
      <c r="Y162" s="480"/>
      <c r="Z162" s="473"/>
      <c r="AA162" s="472"/>
      <c r="AB162" s="472"/>
      <c r="AC162" s="472"/>
      <c r="AD162" s="472"/>
      <c r="AE162" s="472"/>
      <c r="AF162" s="472"/>
      <c r="AG162" s="472"/>
      <c r="AH162" s="472"/>
      <c r="AI162" s="472"/>
      <c r="AJ162" s="472"/>
      <c r="AK162" s="472"/>
      <c r="AL162" s="472"/>
      <c r="AM162" s="472"/>
      <c r="AN162" s="472"/>
      <c r="AO162" s="472"/>
      <c r="AP162" s="472"/>
      <c r="AQ162" s="472"/>
      <c r="AR162" s="482"/>
      <c r="AS162" s="482"/>
      <c r="AT162" s="476"/>
    </row>
    <row r="163" spans="1:48" ht="15.75" x14ac:dyDescent="0.25">
      <c r="A163" s="2431"/>
      <c r="B163" s="2432"/>
      <c r="C163" s="2436"/>
      <c r="D163" s="2437"/>
      <c r="E163" s="169">
        <v>34</v>
      </c>
      <c r="F163" s="2442" t="s">
        <v>654</v>
      </c>
      <c r="G163" s="2442"/>
      <c r="H163" s="2442"/>
      <c r="I163" s="2442"/>
      <c r="J163" s="2442"/>
      <c r="K163" s="2442"/>
      <c r="L163" s="2442"/>
      <c r="M163" s="2442"/>
      <c r="N163" s="2442"/>
      <c r="O163" s="2442"/>
      <c r="P163" s="169"/>
      <c r="Q163" s="173"/>
      <c r="R163" s="171"/>
      <c r="S163" s="483"/>
      <c r="T163" s="173"/>
      <c r="U163" s="173"/>
      <c r="V163" s="173"/>
      <c r="W163" s="484"/>
      <c r="X163" s="62"/>
      <c r="Y163" s="174"/>
      <c r="Z163" s="173"/>
      <c r="AA163" s="169"/>
      <c r="AB163" s="169"/>
      <c r="AC163" s="169"/>
      <c r="AD163" s="169"/>
      <c r="AE163" s="169"/>
      <c r="AF163" s="169"/>
      <c r="AG163" s="169"/>
      <c r="AH163" s="169"/>
      <c r="AI163" s="169"/>
      <c r="AJ163" s="169"/>
      <c r="AK163" s="169"/>
      <c r="AL163" s="169"/>
      <c r="AM163" s="169"/>
      <c r="AN163" s="169"/>
      <c r="AO163" s="169"/>
      <c r="AP163" s="169"/>
      <c r="AQ163" s="169"/>
      <c r="AR163" s="175"/>
      <c r="AS163" s="175"/>
      <c r="AT163" s="173"/>
    </row>
    <row r="164" spans="1:48" ht="60" x14ac:dyDescent="0.25">
      <c r="A164" s="2431"/>
      <c r="B164" s="2432"/>
      <c r="C164" s="2438"/>
      <c r="D164" s="2439"/>
      <c r="E164" s="2443"/>
      <c r="F164" s="2444"/>
      <c r="G164" s="552" t="s">
        <v>655</v>
      </c>
      <c r="H164" s="553" t="s">
        <v>656</v>
      </c>
      <c r="I164" s="552" t="s">
        <v>655</v>
      </c>
      <c r="J164" s="553" t="s">
        <v>656</v>
      </c>
      <c r="K164" s="552">
        <v>400301802</v>
      </c>
      <c r="L164" s="376" t="s">
        <v>657</v>
      </c>
      <c r="M164" s="552">
        <v>400301802</v>
      </c>
      <c r="N164" s="376" t="s">
        <v>657</v>
      </c>
      <c r="O164" s="554">
        <v>1</v>
      </c>
      <c r="P164" s="2449" t="s">
        <v>658</v>
      </c>
      <c r="Q164" s="2329" t="s">
        <v>659</v>
      </c>
      <c r="R164" s="555">
        <f>W164/S164</f>
        <v>0.24362284932544206</v>
      </c>
      <c r="S164" s="2429">
        <f>SUM(W164:W172)</f>
        <v>3500159641.6800003</v>
      </c>
      <c r="T164" s="2330" t="s">
        <v>660</v>
      </c>
      <c r="U164" s="2330" t="s">
        <v>661</v>
      </c>
      <c r="V164" s="556" t="s">
        <v>656</v>
      </c>
      <c r="W164" s="508">
        <v>852718865</v>
      </c>
      <c r="X164" s="511" t="s">
        <v>662</v>
      </c>
      <c r="Y164" s="71">
        <v>27</v>
      </c>
      <c r="Z164" s="557" t="s">
        <v>663</v>
      </c>
      <c r="AA164" s="2424">
        <v>295972</v>
      </c>
      <c r="AB164" s="2424">
        <v>294321</v>
      </c>
      <c r="AC164" s="2424">
        <v>132302</v>
      </c>
      <c r="AD164" s="2424">
        <v>43426</v>
      </c>
      <c r="AE164" s="2424">
        <v>313940</v>
      </c>
      <c r="AF164" s="2424">
        <v>100625</v>
      </c>
      <c r="AG164" s="2424">
        <v>2145</v>
      </c>
      <c r="AH164" s="2424">
        <v>12718</v>
      </c>
      <c r="AI164" s="2424">
        <v>36</v>
      </c>
      <c r="AJ164" s="2424">
        <v>0</v>
      </c>
      <c r="AK164" s="2424">
        <v>0</v>
      </c>
      <c r="AL164" s="2424">
        <v>0</v>
      </c>
      <c r="AM164" s="2424">
        <v>70</v>
      </c>
      <c r="AN164" s="2424">
        <v>21944</v>
      </c>
      <c r="AO164" s="2424"/>
      <c r="AP164" s="2424">
        <v>75687</v>
      </c>
      <c r="AQ164" s="2424">
        <v>581552</v>
      </c>
      <c r="AR164" s="2425">
        <v>44197</v>
      </c>
      <c r="AS164" s="2425">
        <v>44561</v>
      </c>
      <c r="AT164" s="2426" t="s">
        <v>404</v>
      </c>
    </row>
    <row r="165" spans="1:48" ht="45" x14ac:dyDescent="0.25">
      <c r="A165" s="2431"/>
      <c r="B165" s="2432"/>
      <c r="C165" s="2438"/>
      <c r="D165" s="2439"/>
      <c r="E165" s="2445"/>
      <c r="F165" s="2446"/>
      <c r="G165" s="2415" t="s">
        <v>664</v>
      </c>
      <c r="H165" s="2412" t="s">
        <v>665</v>
      </c>
      <c r="I165" s="2415" t="s">
        <v>664</v>
      </c>
      <c r="J165" s="2412" t="s">
        <v>665</v>
      </c>
      <c r="K165" s="2415">
        <v>400302500</v>
      </c>
      <c r="L165" s="2412" t="s">
        <v>666</v>
      </c>
      <c r="M165" s="2415">
        <v>400302500</v>
      </c>
      <c r="N165" s="2412" t="s">
        <v>666</v>
      </c>
      <c r="O165" s="2415">
        <v>4</v>
      </c>
      <c r="P165" s="2449"/>
      <c r="Q165" s="2329"/>
      <c r="R165" s="2418">
        <f>SUM(W165:W168)/S164</f>
        <v>0.24404724501937303</v>
      </c>
      <c r="S165" s="2429"/>
      <c r="T165" s="2330"/>
      <c r="U165" s="2330"/>
      <c r="V165" s="2421" t="s">
        <v>665</v>
      </c>
      <c r="W165" s="508">
        <v>230774762</v>
      </c>
      <c r="X165" s="511" t="s">
        <v>667</v>
      </c>
      <c r="Y165" s="71">
        <v>27</v>
      </c>
      <c r="Z165" s="557" t="s">
        <v>663</v>
      </c>
      <c r="AA165" s="2424"/>
      <c r="AB165" s="2424"/>
      <c r="AC165" s="2424"/>
      <c r="AD165" s="2424"/>
      <c r="AE165" s="2424"/>
      <c r="AF165" s="2424"/>
      <c r="AG165" s="2424"/>
      <c r="AH165" s="2424"/>
      <c r="AI165" s="2424"/>
      <c r="AJ165" s="2424"/>
      <c r="AK165" s="2424"/>
      <c r="AL165" s="2424"/>
      <c r="AM165" s="2424"/>
      <c r="AN165" s="2424"/>
      <c r="AO165" s="2424"/>
      <c r="AP165" s="2424"/>
      <c r="AQ165" s="2424"/>
      <c r="AR165" s="2425"/>
      <c r="AS165" s="2425"/>
      <c r="AT165" s="2427"/>
    </row>
    <row r="166" spans="1:48" ht="30" x14ac:dyDescent="0.25">
      <c r="A166" s="2431"/>
      <c r="B166" s="2432"/>
      <c r="C166" s="2438"/>
      <c r="D166" s="2439"/>
      <c r="E166" s="2445"/>
      <c r="F166" s="2446"/>
      <c r="G166" s="2416"/>
      <c r="H166" s="2413"/>
      <c r="I166" s="2416"/>
      <c r="J166" s="2413"/>
      <c r="K166" s="2416"/>
      <c r="L166" s="2413"/>
      <c r="M166" s="2416"/>
      <c r="N166" s="2413"/>
      <c r="O166" s="2416"/>
      <c r="P166" s="2449"/>
      <c r="Q166" s="2329"/>
      <c r="R166" s="2419"/>
      <c r="S166" s="2429"/>
      <c r="T166" s="2330"/>
      <c r="U166" s="2330"/>
      <c r="V166" s="2422"/>
      <c r="W166" s="508">
        <v>450000000</v>
      </c>
      <c r="X166" s="511" t="s">
        <v>668</v>
      </c>
      <c r="Y166" s="531" t="s">
        <v>435</v>
      </c>
      <c r="Z166" s="557" t="s">
        <v>627</v>
      </c>
      <c r="AA166" s="2424"/>
      <c r="AB166" s="2424"/>
      <c r="AC166" s="2424"/>
      <c r="AD166" s="2424"/>
      <c r="AE166" s="2424"/>
      <c r="AF166" s="2424"/>
      <c r="AG166" s="2424"/>
      <c r="AH166" s="2424"/>
      <c r="AI166" s="2424"/>
      <c r="AJ166" s="2424"/>
      <c r="AK166" s="2424"/>
      <c r="AL166" s="2424"/>
      <c r="AM166" s="2424"/>
      <c r="AN166" s="2424"/>
      <c r="AO166" s="2424"/>
      <c r="AP166" s="2424"/>
      <c r="AQ166" s="2424"/>
      <c r="AR166" s="2425"/>
      <c r="AS166" s="2425"/>
      <c r="AT166" s="2427"/>
    </row>
    <row r="167" spans="1:48" ht="30" x14ac:dyDescent="0.25">
      <c r="A167" s="2431"/>
      <c r="B167" s="2432"/>
      <c r="C167" s="2438"/>
      <c r="D167" s="2439"/>
      <c r="E167" s="2445"/>
      <c r="F167" s="2446"/>
      <c r="G167" s="2416"/>
      <c r="H167" s="2413"/>
      <c r="I167" s="2416"/>
      <c r="J167" s="2413"/>
      <c r="K167" s="2416"/>
      <c r="L167" s="2413"/>
      <c r="M167" s="2416"/>
      <c r="N167" s="2413"/>
      <c r="O167" s="2416"/>
      <c r="P167" s="2449"/>
      <c r="Q167" s="2329"/>
      <c r="R167" s="2419"/>
      <c r="S167" s="2429"/>
      <c r="T167" s="2330"/>
      <c r="U167" s="2330"/>
      <c r="V167" s="2422"/>
      <c r="W167" s="508">
        <v>155000000</v>
      </c>
      <c r="X167" s="511" t="s">
        <v>669</v>
      </c>
      <c r="Y167" s="531" t="s">
        <v>670</v>
      </c>
      <c r="Z167" s="70" t="s">
        <v>671</v>
      </c>
      <c r="AA167" s="2424"/>
      <c r="AB167" s="2424"/>
      <c r="AC167" s="2424"/>
      <c r="AD167" s="2424"/>
      <c r="AE167" s="2424"/>
      <c r="AF167" s="2424"/>
      <c r="AG167" s="2424"/>
      <c r="AH167" s="2424"/>
      <c r="AI167" s="2424"/>
      <c r="AJ167" s="2424"/>
      <c r="AK167" s="2424"/>
      <c r="AL167" s="2424"/>
      <c r="AM167" s="2424"/>
      <c r="AN167" s="2424"/>
      <c r="AO167" s="2424"/>
      <c r="AP167" s="2424"/>
      <c r="AQ167" s="2424"/>
      <c r="AR167" s="2425"/>
      <c r="AS167" s="2425"/>
      <c r="AT167" s="2427"/>
    </row>
    <row r="168" spans="1:48" ht="45" x14ac:dyDescent="0.25">
      <c r="A168" s="2431"/>
      <c r="B168" s="2432"/>
      <c r="C168" s="2438"/>
      <c r="D168" s="2439"/>
      <c r="E168" s="2445"/>
      <c r="F168" s="2446"/>
      <c r="G168" s="2417"/>
      <c r="H168" s="2414"/>
      <c r="I168" s="2417"/>
      <c r="J168" s="2414"/>
      <c r="K168" s="2417"/>
      <c r="L168" s="2414"/>
      <c r="M168" s="2417"/>
      <c r="N168" s="2414"/>
      <c r="O168" s="2417"/>
      <c r="P168" s="2449"/>
      <c r="Q168" s="2329"/>
      <c r="R168" s="2420"/>
      <c r="S168" s="2429"/>
      <c r="T168" s="2330"/>
      <c r="U168" s="2330"/>
      <c r="V168" s="2423"/>
      <c r="W168" s="508">
        <v>18429555.68</v>
      </c>
      <c r="X168" s="511" t="s">
        <v>672</v>
      </c>
      <c r="Y168" s="531" t="s">
        <v>673</v>
      </c>
      <c r="Z168" s="70" t="s">
        <v>674</v>
      </c>
      <c r="AA168" s="2424"/>
      <c r="AB168" s="2424"/>
      <c r="AC168" s="2424"/>
      <c r="AD168" s="2424"/>
      <c r="AE168" s="2424"/>
      <c r="AF168" s="2424"/>
      <c r="AG168" s="2424"/>
      <c r="AH168" s="2424"/>
      <c r="AI168" s="2424"/>
      <c r="AJ168" s="2424"/>
      <c r="AK168" s="2424"/>
      <c r="AL168" s="2424"/>
      <c r="AM168" s="2424"/>
      <c r="AN168" s="2424"/>
      <c r="AO168" s="2424"/>
      <c r="AP168" s="2424"/>
      <c r="AQ168" s="2424"/>
      <c r="AR168" s="2425"/>
      <c r="AS168" s="2425"/>
      <c r="AT168" s="2427"/>
    </row>
    <row r="169" spans="1:48" ht="105" x14ac:dyDescent="0.25">
      <c r="A169" s="2431"/>
      <c r="B169" s="2432"/>
      <c r="C169" s="2438"/>
      <c r="D169" s="2439"/>
      <c r="E169" s="2445"/>
      <c r="F169" s="2446"/>
      <c r="G169" s="552" t="s">
        <v>675</v>
      </c>
      <c r="H169" s="558" t="s">
        <v>676</v>
      </c>
      <c r="I169" s="552" t="s">
        <v>675</v>
      </c>
      <c r="J169" s="558" t="s">
        <v>676</v>
      </c>
      <c r="K169" s="552">
        <v>400302600</v>
      </c>
      <c r="L169" s="559" t="s">
        <v>677</v>
      </c>
      <c r="M169" s="552">
        <v>400302600</v>
      </c>
      <c r="N169" s="559" t="s">
        <v>677</v>
      </c>
      <c r="O169" s="554">
        <v>1</v>
      </c>
      <c r="P169" s="2449"/>
      <c r="Q169" s="2329"/>
      <c r="R169" s="555">
        <f>W169/S164</f>
        <v>0.22434304128571222</v>
      </c>
      <c r="S169" s="2429"/>
      <c r="T169" s="2330"/>
      <c r="U169" s="2330"/>
      <c r="V169" s="559" t="s">
        <v>677</v>
      </c>
      <c r="W169" s="508">
        <v>785236459</v>
      </c>
      <c r="X169" s="466" t="s">
        <v>678</v>
      </c>
      <c r="Y169" s="71">
        <v>27</v>
      </c>
      <c r="Z169" s="557" t="s">
        <v>663</v>
      </c>
      <c r="AA169" s="2424"/>
      <c r="AB169" s="2424"/>
      <c r="AC169" s="2424"/>
      <c r="AD169" s="2424"/>
      <c r="AE169" s="2424"/>
      <c r="AF169" s="2424"/>
      <c r="AG169" s="2424"/>
      <c r="AH169" s="2424"/>
      <c r="AI169" s="2424"/>
      <c r="AJ169" s="2424"/>
      <c r="AK169" s="2424"/>
      <c r="AL169" s="2424"/>
      <c r="AM169" s="2424"/>
      <c r="AN169" s="2424"/>
      <c r="AO169" s="2424"/>
      <c r="AP169" s="2424"/>
      <c r="AQ169" s="2424"/>
      <c r="AR169" s="2425"/>
      <c r="AS169" s="2425"/>
      <c r="AT169" s="2427"/>
    </row>
    <row r="170" spans="1:48" ht="75" x14ac:dyDescent="0.25">
      <c r="A170" s="2431"/>
      <c r="B170" s="2432"/>
      <c r="C170" s="2438"/>
      <c r="D170" s="2439"/>
      <c r="E170" s="2445"/>
      <c r="F170" s="2446"/>
      <c r="G170" s="552" t="s">
        <v>679</v>
      </c>
      <c r="H170" s="553" t="s">
        <v>680</v>
      </c>
      <c r="I170" s="552" t="s">
        <v>679</v>
      </c>
      <c r="J170" s="553" t="s">
        <v>680</v>
      </c>
      <c r="K170" s="552">
        <v>400302801</v>
      </c>
      <c r="L170" s="376" t="s">
        <v>681</v>
      </c>
      <c r="M170" s="552">
        <v>400302801</v>
      </c>
      <c r="N170" s="376" t="s">
        <v>681</v>
      </c>
      <c r="O170" s="554">
        <v>4</v>
      </c>
      <c r="P170" s="2449"/>
      <c r="Q170" s="2329"/>
      <c r="R170" s="555">
        <f>W170/S164</f>
        <v>7.971064995940759E-2</v>
      </c>
      <c r="S170" s="2429"/>
      <c r="T170" s="2330"/>
      <c r="U170" s="2330"/>
      <c r="V170" s="553" t="s">
        <v>680</v>
      </c>
      <c r="W170" s="508">
        <v>279000000</v>
      </c>
      <c r="X170" s="466" t="s">
        <v>682</v>
      </c>
      <c r="Y170" s="71">
        <v>27</v>
      </c>
      <c r="Z170" s="557" t="s">
        <v>663</v>
      </c>
      <c r="AA170" s="2424"/>
      <c r="AB170" s="2424"/>
      <c r="AC170" s="2424"/>
      <c r="AD170" s="2424"/>
      <c r="AE170" s="2424"/>
      <c r="AF170" s="2424"/>
      <c r="AG170" s="2424"/>
      <c r="AH170" s="2424"/>
      <c r="AI170" s="2424"/>
      <c r="AJ170" s="2424"/>
      <c r="AK170" s="2424"/>
      <c r="AL170" s="2424"/>
      <c r="AM170" s="2424"/>
      <c r="AN170" s="2424"/>
      <c r="AO170" s="2424"/>
      <c r="AP170" s="2424"/>
      <c r="AQ170" s="2424"/>
      <c r="AR170" s="2425"/>
      <c r="AS170" s="2425"/>
      <c r="AT170" s="2427"/>
    </row>
    <row r="171" spans="1:48" ht="60" customHeight="1" x14ac:dyDescent="0.25">
      <c r="A171" s="2431"/>
      <c r="B171" s="2432"/>
      <c r="C171" s="2438"/>
      <c r="D171" s="2439"/>
      <c r="E171" s="2445"/>
      <c r="F171" s="2446"/>
      <c r="G171" s="552">
        <v>4003042</v>
      </c>
      <c r="H171" s="553" t="s">
        <v>683</v>
      </c>
      <c r="I171" s="552">
        <v>4003042</v>
      </c>
      <c r="J171" s="553" t="s">
        <v>683</v>
      </c>
      <c r="K171" s="552">
        <v>400304200</v>
      </c>
      <c r="L171" s="376" t="s">
        <v>684</v>
      </c>
      <c r="M171" s="552">
        <v>400304200</v>
      </c>
      <c r="N171" s="376" t="s">
        <v>684</v>
      </c>
      <c r="O171" s="554">
        <v>3</v>
      </c>
      <c r="P171" s="2449"/>
      <c r="Q171" s="2329"/>
      <c r="R171" s="555">
        <f>W171/S164</f>
        <v>0.17970608897658558</v>
      </c>
      <c r="S171" s="2429"/>
      <c r="T171" s="2330"/>
      <c r="U171" s="2330"/>
      <c r="V171" s="553" t="s">
        <v>683</v>
      </c>
      <c r="W171" s="508">
        <v>629000000</v>
      </c>
      <c r="X171" s="466" t="s">
        <v>685</v>
      </c>
      <c r="Y171" s="71">
        <v>27</v>
      </c>
      <c r="Z171" s="557" t="s">
        <v>663</v>
      </c>
      <c r="AA171" s="2424"/>
      <c r="AB171" s="2424"/>
      <c r="AC171" s="2424"/>
      <c r="AD171" s="2424"/>
      <c r="AE171" s="2424"/>
      <c r="AF171" s="2424"/>
      <c r="AG171" s="2424"/>
      <c r="AH171" s="2424"/>
      <c r="AI171" s="2424"/>
      <c r="AJ171" s="2424"/>
      <c r="AK171" s="2424"/>
      <c r="AL171" s="2424"/>
      <c r="AM171" s="2424"/>
      <c r="AN171" s="2424"/>
      <c r="AO171" s="2424"/>
      <c r="AP171" s="2424"/>
      <c r="AQ171" s="2424"/>
      <c r="AR171" s="2425"/>
      <c r="AS171" s="2425"/>
      <c r="AT171" s="2427"/>
    </row>
    <row r="172" spans="1:48" ht="120" x14ac:dyDescent="0.25">
      <c r="A172" s="2433"/>
      <c r="B172" s="2434"/>
      <c r="C172" s="2440"/>
      <c r="D172" s="2441"/>
      <c r="E172" s="2447"/>
      <c r="F172" s="2448"/>
      <c r="G172" s="369" t="s">
        <v>62</v>
      </c>
      <c r="H172" s="560" t="s">
        <v>686</v>
      </c>
      <c r="I172" s="369">
        <v>4003006</v>
      </c>
      <c r="J172" s="560" t="s">
        <v>687</v>
      </c>
      <c r="K172" s="369" t="s">
        <v>62</v>
      </c>
      <c r="L172" s="560" t="s">
        <v>688</v>
      </c>
      <c r="M172" s="369">
        <v>400300600</v>
      </c>
      <c r="N172" s="560" t="s">
        <v>689</v>
      </c>
      <c r="O172" s="337">
        <v>1</v>
      </c>
      <c r="P172" s="2449"/>
      <c r="Q172" s="2329"/>
      <c r="R172" s="555">
        <f>W172/S164</f>
        <v>2.8570125433479424E-2</v>
      </c>
      <c r="S172" s="2429"/>
      <c r="T172" s="2330"/>
      <c r="U172" s="2330"/>
      <c r="V172" s="376" t="s">
        <v>686</v>
      </c>
      <c r="W172" s="69">
        <v>100000000</v>
      </c>
      <c r="X172" s="466" t="s">
        <v>690</v>
      </c>
      <c r="Y172" s="71">
        <v>27</v>
      </c>
      <c r="Z172" s="557" t="s">
        <v>663</v>
      </c>
      <c r="AA172" s="2424"/>
      <c r="AB172" s="2424"/>
      <c r="AC172" s="2424"/>
      <c r="AD172" s="2424"/>
      <c r="AE172" s="2424"/>
      <c r="AF172" s="2424"/>
      <c r="AG172" s="2424"/>
      <c r="AH172" s="2424"/>
      <c r="AI172" s="2424"/>
      <c r="AJ172" s="2424"/>
      <c r="AK172" s="2424"/>
      <c r="AL172" s="2424"/>
      <c r="AM172" s="2424"/>
      <c r="AN172" s="2424"/>
      <c r="AO172" s="2424"/>
      <c r="AP172" s="2424"/>
      <c r="AQ172" s="2424"/>
      <c r="AR172" s="2425"/>
      <c r="AS172" s="2425"/>
      <c r="AT172" s="2428"/>
    </row>
    <row r="173" spans="1:48" ht="15.75" x14ac:dyDescent="0.25">
      <c r="A173" s="2406"/>
      <c r="B173" s="2407"/>
      <c r="C173" s="2407"/>
      <c r="D173" s="2407"/>
      <c r="E173" s="2407"/>
      <c r="F173" s="2407"/>
      <c r="G173" s="2407"/>
      <c r="H173" s="2407"/>
      <c r="I173" s="2407"/>
      <c r="J173" s="2407"/>
      <c r="K173" s="2407"/>
      <c r="L173" s="2407"/>
      <c r="M173" s="2407"/>
      <c r="N173" s="2407"/>
      <c r="O173" s="2407"/>
      <c r="P173" s="2407"/>
      <c r="Q173" s="2407"/>
      <c r="R173" s="2408"/>
      <c r="S173" s="115">
        <f>SUM(S12:S172)</f>
        <v>15986154634.140001</v>
      </c>
      <c r="T173" s="114"/>
      <c r="U173" s="114"/>
      <c r="V173" s="109" t="s">
        <v>118</v>
      </c>
      <c r="W173" s="561">
        <f>SUM(W9:W172)</f>
        <v>15986154634.140001</v>
      </c>
      <c r="X173" s="2409"/>
      <c r="Y173" s="2410"/>
      <c r="Z173" s="2410"/>
      <c r="AA173" s="2410"/>
      <c r="AB173" s="2410"/>
      <c r="AC173" s="2410"/>
      <c r="AD173" s="2410"/>
      <c r="AE173" s="2410"/>
      <c r="AF173" s="2410"/>
      <c r="AG173" s="2410"/>
      <c r="AH173" s="2410"/>
      <c r="AI173" s="2410"/>
      <c r="AJ173" s="2410"/>
      <c r="AK173" s="2410"/>
      <c r="AL173" s="2410"/>
      <c r="AM173" s="2410"/>
      <c r="AN173" s="2410"/>
      <c r="AO173" s="2410"/>
      <c r="AP173" s="2410"/>
      <c r="AQ173" s="2410"/>
      <c r="AR173" s="2410"/>
      <c r="AS173" s="2410"/>
      <c r="AT173" s="2411"/>
    </row>
    <row r="174" spans="1:48" ht="15.75" x14ac:dyDescent="0.25">
      <c r="S174" s="127"/>
      <c r="V174" s="562"/>
      <c r="W174" s="563"/>
      <c r="X174" s="4"/>
      <c r="Y174" s="4"/>
      <c r="Z174" s="128"/>
      <c r="AA174" s="124"/>
      <c r="AB174" s="119"/>
      <c r="AR174" s="4"/>
      <c r="AS174" s="4"/>
      <c r="AT174" s="133"/>
      <c r="AU174" s="134"/>
      <c r="AV174" s="118"/>
    </row>
    <row r="175" spans="1:48" ht="15.75" x14ac:dyDescent="0.25">
      <c r="W175" s="564">
        <v>15986154634.139999</v>
      </c>
    </row>
    <row r="178" spans="1:91" s="119" customFormat="1" ht="15" x14ac:dyDescent="0.25">
      <c r="A178" s="132"/>
      <c r="B178" s="4"/>
      <c r="C178" s="4"/>
      <c r="D178" s="4"/>
      <c r="E178" s="4"/>
      <c r="F178" s="4"/>
      <c r="G178" s="4"/>
      <c r="I178" s="3"/>
      <c r="K178" s="3"/>
      <c r="M178" s="3"/>
      <c r="O178" s="3"/>
      <c r="P178" s="3"/>
      <c r="R178" s="121"/>
      <c r="S178" s="128"/>
      <c r="W178" s="128"/>
      <c r="X178" s="128"/>
      <c r="Y178" s="124"/>
      <c r="AA178" s="4"/>
      <c r="AB178" s="4"/>
      <c r="AC178" s="4"/>
      <c r="AD178" s="4"/>
      <c r="AE178" s="4"/>
      <c r="AF178" s="4"/>
      <c r="AG178" s="4"/>
      <c r="AH178" s="4"/>
      <c r="AI178" s="4"/>
      <c r="AJ178" s="4"/>
      <c r="AK178" s="4"/>
      <c r="AL178" s="4"/>
      <c r="AM178" s="4"/>
      <c r="AN178" s="4"/>
      <c r="AO178" s="4"/>
      <c r="AP178" s="4"/>
      <c r="AQ178" s="4"/>
      <c r="AR178" s="133"/>
      <c r="AS178" s="134"/>
      <c r="AT178" s="118"/>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row>
    <row r="179" spans="1:91" s="119" customFormat="1" ht="15" x14ac:dyDescent="0.25">
      <c r="A179" s="132"/>
      <c r="B179" s="4"/>
      <c r="C179" s="4"/>
      <c r="D179" s="4"/>
      <c r="E179" s="4"/>
      <c r="F179" s="4"/>
      <c r="G179" s="4"/>
      <c r="I179" s="3"/>
      <c r="K179" s="3"/>
      <c r="M179" s="3"/>
      <c r="O179" s="3"/>
      <c r="P179" s="3" t="s">
        <v>595</v>
      </c>
      <c r="R179" s="121"/>
      <c r="S179" s="128"/>
      <c r="W179" s="128"/>
      <c r="X179" s="128"/>
      <c r="Y179" s="124"/>
      <c r="AA179" s="4"/>
      <c r="AB179" s="4"/>
      <c r="AC179" s="4"/>
      <c r="AD179" s="4"/>
      <c r="AE179" s="4"/>
      <c r="AF179" s="4"/>
      <c r="AG179" s="4"/>
      <c r="AH179" s="4"/>
      <c r="AI179" s="4"/>
      <c r="AJ179" s="4"/>
      <c r="AK179" s="4"/>
      <c r="AL179" s="4"/>
      <c r="AM179" s="4"/>
      <c r="AN179" s="4"/>
      <c r="AO179" s="4"/>
      <c r="AP179" s="4"/>
      <c r="AQ179" s="4"/>
      <c r="AR179" s="133"/>
      <c r="AS179" s="134"/>
      <c r="AT179" s="118"/>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row>
  </sheetData>
  <sheetProtection algorithmName="SHA-512" hashValue="LZzuFyp208OxpdJlxXQiK7z7NEY1MUvkIjsV0s8CV7+poIxOdK+eyKOsG/jxuWOAZyOZobSv6eOEZlEKZZqFoQ==" saltValue="hEgYBOwr5i6SFGSYEaw6ng==" spinCount="100000" sheet="1" objects="1" scenarios="1"/>
  <mergeCells count="555">
    <mergeCell ref="A1:AR4"/>
    <mergeCell ref="A5:O6"/>
    <mergeCell ref="P5:AT5"/>
    <mergeCell ref="AA6:AP6"/>
    <mergeCell ref="A7:B7"/>
    <mergeCell ref="C7:D7"/>
    <mergeCell ref="E7:F7"/>
    <mergeCell ref="G7:J7"/>
    <mergeCell ref="K7:N7"/>
    <mergeCell ref="O7:W7"/>
    <mergeCell ref="G12:G14"/>
    <mergeCell ref="H12:H14"/>
    <mergeCell ref="I12:I14"/>
    <mergeCell ref="J12:J14"/>
    <mergeCell ref="K12:K14"/>
    <mergeCell ref="L12:L14"/>
    <mergeCell ref="AR7:AR8"/>
    <mergeCell ref="AS7:AS8"/>
    <mergeCell ref="AT7:AT8"/>
    <mergeCell ref="AN8:AO8"/>
    <mergeCell ref="B9:I9"/>
    <mergeCell ref="A10:B72"/>
    <mergeCell ref="D10:L10"/>
    <mergeCell ref="C11:D14"/>
    <mergeCell ref="F11:M11"/>
    <mergeCell ref="E12:F14"/>
    <mergeCell ref="X7:Z7"/>
    <mergeCell ref="AA7:AB7"/>
    <mergeCell ref="AC7:AF7"/>
    <mergeCell ref="AG7:AL7"/>
    <mergeCell ref="AM7:AP7"/>
    <mergeCell ref="AQ7:AQ8"/>
    <mergeCell ref="S12:S14"/>
    <mergeCell ref="T12:T14"/>
    <mergeCell ref="U12:U14"/>
    <mergeCell ref="Y12:Y13"/>
    <mergeCell ref="Z12:Z13"/>
    <mergeCell ref="AA12:AA14"/>
    <mergeCell ref="M12:M14"/>
    <mergeCell ref="N12:N14"/>
    <mergeCell ref="O12:O14"/>
    <mergeCell ref="P12:P14"/>
    <mergeCell ref="Q12:Q14"/>
    <mergeCell ref="R12:R14"/>
    <mergeCell ref="AJ12:AJ14"/>
    <mergeCell ref="AK12:AK14"/>
    <mergeCell ref="AL12:AL14"/>
    <mergeCell ref="AM12:AM14"/>
    <mergeCell ref="AB12:AB14"/>
    <mergeCell ref="AC12:AC14"/>
    <mergeCell ref="AD12:AD14"/>
    <mergeCell ref="AE12:AE14"/>
    <mergeCell ref="AF12:AF14"/>
    <mergeCell ref="AG12:AG14"/>
    <mergeCell ref="L17:L20"/>
    <mergeCell ref="M17:M20"/>
    <mergeCell ref="N17:N20"/>
    <mergeCell ref="O17:O20"/>
    <mergeCell ref="P17:P20"/>
    <mergeCell ref="Q17:Q20"/>
    <mergeCell ref="AT12:AT14"/>
    <mergeCell ref="D15:L15"/>
    <mergeCell ref="C16:D20"/>
    <mergeCell ref="F16:M16"/>
    <mergeCell ref="E17:F20"/>
    <mergeCell ref="G17:G20"/>
    <mergeCell ref="H17:H20"/>
    <mergeCell ref="I17:I20"/>
    <mergeCell ref="J17:J20"/>
    <mergeCell ref="K17:K20"/>
    <mergeCell ref="AN12:AN14"/>
    <mergeCell ref="AO12:AO14"/>
    <mergeCell ref="AP12:AP14"/>
    <mergeCell ref="AQ12:AQ14"/>
    <mergeCell ref="AR12:AR14"/>
    <mergeCell ref="AS12:AS14"/>
    <mergeCell ref="AH12:AH14"/>
    <mergeCell ref="AI12:AI14"/>
    <mergeCell ref="AC17:AC20"/>
    <mergeCell ref="AD17:AD20"/>
    <mergeCell ref="AE17:AE20"/>
    <mergeCell ref="AF17:AF20"/>
    <mergeCell ref="R17:R20"/>
    <mergeCell ref="S17:S20"/>
    <mergeCell ref="T17:T20"/>
    <mergeCell ref="U17:U20"/>
    <mergeCell ref="Y17:Y20"/>
    <mergeCell ref="Z17:Z20"/>
    <mergeCell ref="AS17:AS20"/>
    <mergeCell ref="AT17:AT20"/>
    <mergeCell ref="V18:V19"/>
    <mergeCell ref="D21:J21"/>
    <mergeCell ref="C22:D39"/>
    <mergeCell ref="E23:F39"/>
    <mergeCell ref="G23:G39"/>
    <mergeCell ref="H23:H39"/>
    <mergeCell ref="I23:I39"/>
    <mergeCell ref="J23:J39"/>
    <mergeCell ref="AM17:AM20"/>
    <mergeCell ref="AN17:AN20"/>
    <mergeCell ref="AO17:AO20"/>
    <mergeCell ref="AP17:AP20"/>
    <mergeCell ref="AQ17:AQ20"/>
    <mergeCell ref="AR17:AR20"/>
    <mergeCell ref="AG17:AG20"/>
    <mergeCell ref="AH17:AH20"/>
    <mergeCell ref="AI17:AI20"/>
    <mergeCell ref="AJ17:AJ20"/>
    <mergeCell ref="AK17:AK20"/>
    <mergeCell ref="AL17:AL20"/>
    <mergeCell ref="AA17:AA20"/>
    <mergeCell ref="AB17:AB20"/>
    <mergeCell ref="AD23:AD39"/>
    <mergeCell ref="Q23:Q39"/>
    <mergeCell ref="R23:R39"/>
    <mergeCell ref="S23:S39"/>
    <mergeCell ref="T23:T39"/>
    <mergeCell ref="U23:U39"/>
    <mergeCell ref="V23:V24"/>
    <mergeCell ref="K23:K39"/>
    <mergeCell ref="L23:L39"/>
    <mergeCell ref="M23:M39"/>
    <mergeCell ref="N23:N39"/>
    <mergeCell ref="O23:O39"/>
    <mergeCell ref="P23:P39"/>
    <mergeCell ref="AQ23:AQ39"/>
    <mergeCell ref="AR23:AR39"/>
    <mergeCell ref="AS23:AS39"/>
    <mergeCell ref="AT23:AT39"/>
    <mergeCell ref="V25:V26"/>
    <mergeCell ref="V27:V28"/>
    <mergeCell ref="V32:V35"/>
    <mergeCell ref="AK23:AK39"/>
    <mergeCell ref="AL23:AL39"/>
    <mergeCell ref="AM23:AM39"/>
    <mergeCell ref="AN23:AN39"/>
    <mergeCell ref="AO23:AO39"/>
    <mergeCell ref="AP23:AP39"/>
    <mergeCell ref="AE23:AE39"/>
    <mergeCell ref="AF23:AF39"/>
    <mergeCell ref="AG23:AG39"/>
    <mergeCell ref="AH23:AH39"/>
    <mergeCell ref="AI23:AI39"/>
    <mergeCell ref="AJ23:AJ39"/>
    <mergeCell ref="Y23:Y39"/>
    <mergeCell ref="Z23:Z39"/>
    <mergeCell ref="AA23:AA39"/>
    <mergeCell ref="AB23:AB39"/>
    <mergeCell ref="AC23:AC39"/>
    <mergeCell ref="D40:N40"/>
    <mergeCell ref="C41:D48"/>
    <mergeCell ref="F41:M41"/>
    <mergeCell ref="E42:F48"/>
    <mergeCell ref="G42:G48"/>
    <mergeCell ref="H42:H48"/>
    <mergeCell ref="I42:I48"/>
    <mergeCell ref="J42:J48"/>
    <mergeCell ref="K42:K48"/>
    <mergeCell ref="L42:L48"/>
    <mergeCell ref="S42:S48"/>
    <mergeCell ref="T42:T48"/>
    <mergeCell ref="U42:U48"/>
    <mergeCell ref="Y42:Y48"/>
    <mergeCell ref="Z42:Z48"/>
    <mergeCell ref="AA42:AA48"/>
    <mergeCell ref="M42:M48"/>
    <mergeCell ref="N42:N48"/>
    <mergeCell ref="O42:O48"/>
    <mergeCell ref="P42:P48"/>
    <mergeCell ref="Q42:Q48"/>
    <mergeCell ref="R42:R48"/>
    <mergeCell ref="AJ42:AJ48"/>
    <mergeCell ref="AK42:AK48"/>
    <mergeCell ref="AL42:AL48"/>
    <mergeCell ref="AM42:AM48"/>
    <mergeCell ref="AB42:AB48"/>
    <mergeCell ref="AC42:AC48"/>
    <mergeCell ref="AD42:AD48"/>
    <mergeCell ref="AE42:AE48"/>
    <mergeCell ref="AF42:AF48"/>
    <mergeCell ref="AG42:AG48"/>
    <mergeCell ref="L51:L72"/>
    <mergeCell ref="M51:M72"/>
    <mergeCell ref="N51:N72"/>
    <mergeCell ref="O51:O72"/>
    <mergeCell ref="P51:P72"/>
    <mergeCell ref="Q51:Q72"/>
    <mergeCell ref="AT42:AT48"/>
    <mergeCell ref="V44:V47"/>
    <mergeCell ref="D49:K49"/>
    <mergeCell ref="C50:D72"/>
    <mergeCell ref="E51:F72"/>
    <mergeCell ref="G51:G72"/>
    <mergeCell ref="H51:H72"/>
    <mergeCell ref="I51:I72"/>
    <mergeCell ref="J51:J72"/>
    <mergeCell ref="K51:K72"/>
    <mergeCell ref="AN42:AN48"/>
    <mergeCell ref="AO42:AO48"/>
    <mergeCell ref="AP42:AP48"/>
    <mergeCell ref="AQ42:AQ48"/>
    <mergeCell ref="AR42:AR48"/>
    <mergeCell ref="AS42:AS48"/>
    <mergeCell ref="AH42:AH48"/>
    <mergeCell ref="AI42:AI48"/>
    <mergeCell ref="AJ51:AJ72"/>
    <mergeCell ref="AK51:AK72"/>
    <mergeCell ref="Z51:Z72"/>
    <mergeCell ref="AA51:AA72"/>
    <mergeCell ref="AB51:AB72"/>
    <mergeCell ref="AC51:AC72"/>
    <mergeCell ref="AD51:AD72"/>
    <mergeCell ref="AE51:AE72"/>
    <mergeCell ref="R51:R72"/>
    <mergeCell ref="S51:S72"/>
    <mergeCell ref="T51:T72"/>
    <mergeCell ref="U51:U72"/>
    <mergeCell ref="V51:V52"/>
    <mergeCell ref="Y51:Y72"/>
    <mergeCell ref="V70:V71"/>
    <mergeCell ref="N112:N126"/>
    <mergeCell ref="O112:O126"/>
    <mergeCell ref="P112:P126"/>
    <mergeCell ref="M146:M147"/>
    <mergeCell ref="AR51:AR72"/>
    <mergeCell ref="AS51:AS72"/>
    <mergeCell ref="AT51:AT72"/>
    <mergeCell ref="V53:V57"/>
    <mergeCell ref="V58:V59"/>
    <mergeCell ref="V60:V61"/>
    <mergeCell ref="V62:V63"/>
    <mergeCell ref="V64:V65"/>
    <mergeCell ref="V66:V67"/>
    <mergeCell ref="V68:V69"/>
    <mergeCell ref="AL51:AL72"/>
    <mergeCell ref="AM51:AM72"/>
    <mergeCell ref="AN51:AN72"/>
    <mergeCell ref="AO51:AO72"/>
    <mergeCell ref="AP51:AP72"/>
    <mergeCell ref="AQ51:AQ72"/>
    <mergeCell ref="AF51:AF72"/>
    <mergeCell ref="AG51:AG72"/>
    <mergeCell ref="AH51:AH72"/>
    <mergeCell ref="AI51:AI72"/>
    <mergeCell ref="B73:H73"/>
    <mergeCell ref="A74:B147"/>
    <mergeCell ref="D74:M74"/>
    <mergeCell ref="C75:D109"/>
    <mergeCell ref="F75:L75"/>
    <mergeCell ref="E76:F109"/>
    <mergeCell ref="G76:G78"/>
    <mergeCell ref="H76:H78"/>
    <mergeCell ref="I76:I78"/>
    <mergeCell ref="J76:J78"/>
    <mergeCell ref="L112:L126"/>
    <mergeCell ref="M112:M126"/>
    <mergeCell ref="G127:G143"/>
    <mergeCell ref="H127:H143"/>
    <mergeCell ref="I127:I143"/>
    <mergeCell ref="J127:J143"/>
    <mergeCell ref="K127:K143"/>
    <mergeCell ref="L127:L143"/>
    <mergeCell ref="K76:K78"/>
    <mergeCell ref="L76:L78"/>
    <mergeCell ref="M76:M78"/>
    <mergeCell ref="N76:N78"/>
    <mergeCell ref="O76:O78"/>
    <mergeCell ref="P76:P108"/>
    <mergeCell ref="N79:N108"/>
    <mergeCell ref="O79:O108"/>
    <mergeCell ref="Q76:Q108"/>
    <mergeCell ref="AI76:AI108"/>
    <mergeCell ref="AJ76:AJ108"/>
    <mergeCell ref="AK76:AK108"/>
    <mergeCell ref="Z76:Z108"/>
    <mergeCell ref="AA76:AA108"/>
    <mergeCell ref="AB76:AB108"/>
    <mergeCell ref="AC76:AC108"/>
    <mergeCell ref="AD76:AD108"/>
    <mergeCell ref="AE76:AE108"/>
    <mergeCell ref="AF76:AF108"/>
    <mergeCell ref="AG76:AG108"/>
    <mergeCell ref="AH76:AH108"/>
    <mergeCell ref="Y76:Y108"/>
    <mergeCell ref="R79:R108"/>
    <mergeCell ref="V79:V85"/>
    <mergeCell ref="V87:V88"/>
    <mergeCell ref="V89:V90"/>
    <mergeCell ref="V91:V92"/>
    <mergeCell ref="AR76:AR108"/>
    <mergeCell ref="AS76:AS108"/>
    <mergeCell ref="AT76:AT108"/>
    <mergeCell ref="AL76:AL108"/>
    <mergeCell ref="AM76:AM108"/>
    <mergeCell ref="AN76:AN108"/>
    <mergeCell ref="AO76:AO108"/>
    <mergeCell ref="AP76:AP108"/>
    <mergeCell ref="AQ76:AQ108"/>
    <mergeCell ref="V93:V94"/>
    <mergeCell ref="V95:V96"/>
    <mergeCell ref="V97:V98"/>
    <mergeCell ref="V99:V100"/>
    <mergeCell ref="V102:V103"/>
    <mergeCell ref="R76:R78"/>
    <mergeCell ref="S76:S108"/>
    <mergeCell ref="T76:T108"/>
    <mergeCell ref="U76:U108"/>
    <mergeCell ref="R112:R126"/>
    <mergeCell ref="S112:S126"/>
    <mergeCell ref="T112:T126"/>
    <mergeCell ref="U112:U126"/>
    <mergeCell ref="V112:V113"/>
    <mergeCell ref="Y112:Y126"/>
    <mergeCell ref="Q112:Q126"/>
    <mergeCell ref="V104:V105"/>
    <mergeCell ref="D110:K110"/>
    <mergeCell ref="C111:D143"/>
    <mergeCell ref="F111:L111"/>
    <mergeCell ref="E112:F143"/>
    <mergeCell ref="G112:G126"/>
    <mergeCell ref="H112:H126"/>
    <mergeCell ref="I112:I126"/>
    <mergeCell ref="J112:J126"/>
    <mergeCell ref="K112:K126"/>
    <mergeCell ref="G79:G108"/>
    <mergeCell ref="H79:H108"/>
    <mergeCell ref="I79:I108"/>
    <mergeCell ref="J79:J108"/>
    <mergeCell ref="K79:K108"/>
    <mergeCell ref="L79:L108"/>
    <mergeCell ref="M79:M108"/>
    <mergeCell ref="AR112:AR126"/>
    <mergeCell ref="AS112:AS126"/>
    <mergeCell ref="AT112:AT126"/>
    <mergeCell ref="V115:V116"/>
    <mergeCell ref="V118:V119"/>
    <mergeCell ref="V123:V126"/>
    <mergeCell ref="AL112:AL126"/>
    <mergeCell ref="AM112:AM126"/>
    <mergeCell ref="AN112:AN126"/>
    <mergeCell ref="AO112:AO126"/>
    <mergeCell ref="AP112:AP126"/>
    <mergeCell ref="AQ112:AQ126"/>
    <mergeCell ref="AF112:AF126"/>
    <mergeCell ref="AG112:AG126"/>
    <mergeCell ref="AH112:AH126"/>
    <mergeCell ref="AI112:AI126"/>
    <mergeCell ref="AJ112:AJ126"/>
    <mergeCell ref="AK112:AK126"/>
    <mergeCell ref="Z112:Z126"/>
    <mergeCell ref="AA112:AA126"/>
    <mergeCell ref="AB112:AB126"/>
    <mergeCell ref="AC112:AC126"/>
    <mergeCell ref="AD112:AD126"/>
    <mergeCell ref="AE112:AE126"/>
    <mergeCell ref="S127:S143"/>
    <mergeCell ref="T127:T143"/>
    <mergeCell ref="U127:U143"/>
    <mergeCell ref="V127:V130"/>
    <mergeCell ref="Y127:Y131"/>
    <mergeCell ref="Z127:Z131"/>
    <mergeCell ref="M127:M143"/>
    <mergeCell ref="N127:N143"/>
    <mergeCell ref="O127:O143"/>
    <mergeCell ref="P127:P143"/>
    <mergeCell ref="Q127:Q143"/>
    <mergeCell ref="R127:R143"/>
    <mergeCell ref="AS127:AS143"/>
    <mergeCell ref="AT127:AT143"/>
    <mergeCell ref="V131:V132"/>
    <mergeCell ref="V133:V134"/>
    <mergeCell ref="V137:V138"/>
    <mergeCell ref="V142:V143"/>
    <mergeCell ref="AM127:AM143"/>
    <mergeCell ref="AN127:AN143"/>
    <mergeCell ref="AO127:AO143"/>
    <mergeCell ref="AP127:AP143"/>
    <mergeCell ref="AQ127:AQ143"/>
    <mergeCell ref="AR127:AR143"/>
    <mergeCell ref="AG127:AG143"/>
    <mergeCell ref="AH127:AH143"/>
    <mergeCell ref="AI127:AI143"/>
    <mergeCell ref="AJ127:AJ143"/>
    <mergeCell ref="AK127:AK143"/>
    <mergeCell ref="AL127:AL143"/>
    <mergeCell ref="AA127:AA143"/>
    <mergeCell ref="AB127:AB143"/>
    <mergeCell ref="AC127:AC143"/>
    <mergeCell ref="AD127:AD143"/>
    <mergeCell ref="AE127:AE143"/>
    <mergeCell ref="AF127:AF143"/>
    <mergeCell ref="N146:N147"/>
    <mergeCell ref="O146:O147"/>
    <mergeCell ref="P146:P147"/>
    <mergeCell ref="Q146:Q147"/>
    <mergeCell ref="R146:R147"/>
    <mergeCell ref="D144:J144"/>
    <mergeCell ref="C145:D147"/>
    <mergeCell ref="F145:L145"/>
    <mergeCell ref="E146:F147"/>
    <mergeCell ref="G146:G147"/>
    <mergeCell ref="H146:H147"/>
    <mergeCell ref="I146:I147"/>
    <mergeCell ref="J146:J147"/>
    <mergeCell ref="K146:K147"/>
    <mergeCell ref="L146:L147"/>
    <mergeCell ref="AC146:AC147"/>
    <mergeCell ref="AD146:AD147"/>
    <mergeCell ref="AE146:AE147"/>
    <mergeCell ref="AF146:AF147"/>
    <mergeCell ref="AG146:AG147"/>
    <mergeCell ref="AH146:AH147"/>
    <mergeCell ref="S146:S147"/>
    <mergeCell ref="T146:T147"/>
    <mergeCell ref="U146:U147"/>
    <mergeCell ref="V146:V147"/>
    <mergeCell ref="AA146:AA147"/>
    <mergeCell ref="AB146:AB147"/>
    <mergeCell ref="AO146:AO147"/>
    <mergeCell ref="AP146:AP147"/>
    <mergeCell ref="AQ146:AQ147"/>
    <mergeCell ref="AR146:AR147"/>
    <mergeCell ref="AS146:AS147"/>
    <mergeCell ref="AT146:AT147"/>
    <mergeCell ref="AI146:AI147"/>
    <mergeCell ref="AJ146:AJ147"/>
    <mergeCell ref="AK146:AK147"/>
    <mergeCell ref="AL146:AL147"/>
    <mergeCell ref="AM146:AM147"/>
    <mergeCell ref="AN146:AN147"/>
    <mergeCell ref="K151:K157"/>
    <mergeCell ref="L151:L157"/>
    <mergeCell ref="M151:M157"/>
    <mergeCell ref="N151:N157"/>
    <mergeCell ref="O151:O157"/>
    <mergeCell ref="P151:P157"/>
    <mergeCell ref="B148:J148"/>
    <mergeCell ref="A149:B160"/>
    <mergeCell ref="D149:J149"/>
    <mergeCell ref="C150:D160"/>
    <mergeCell ref="E151:F157"/>
    <mergeCell ref="G151:G157"/>
    <mergeCell ref="H151:H157"/>
    <mergeCell ref="I151:I157"/>
    <mergeCell ref="J151:J157"/>
    <mergeCell ref="L159:L160"/>
    <mergeCell ref="M159:M160"/>
    <mergeCell ref="N159:N160"/>
    <mergeCell ref="O159:O160"/>
    <mergeCell ref="P159:P160"/>
    <mergeCell ref="AT151:AT157"/>
    <mergeCell ref="E159:F160"/>
    <mergeCell ref="G159:G160"/>
    <mergeCell ref="H159:H160"/>
    <mergeCell ref="I159:I160"/>
    <mergeCell ref="J159:J160"/>
    <mergeCell ref="K159:K160"/>
    <mergeCell ref="AK151:AK157"/>
    <mergeCell ref="AL151:AL157"/>
    <mergeCell ref="AM151:AM157"/>
    <mergeCell ref="AN151:AN157"/>
    <mergeCell ref="AO151:AO157"/>
    <mergeCell ref="AP151:AP157"/>
    <mergeCell ref="AE151:AE157"/>
    <mergeCell ref="AF151:AF157"/>
    <mergeCell ref="AG151:AG157"/>
    <mergeCell ref="AH151:AH157"/>
    <mergeCell ref="AI151:AI157"/>
    <mergeCell ref="AJ151:AJ157"/>
    <mergeCell ref="Y151:Y157"/>
    <mergeCell ref="Z151:Z157"/>
    <mergeCell ref="AA151:AA157"/>
    <mergeCell ref="AB151:AB157"/>
    <mergeCell ref="AC151:AC157"/>
    <mergeCell ref="Q159:Q160"/>
    <mergeCell ref="AQ151:AQ157"/>
    <mergeCell ref="AR151:AR157"/>
    <mergeCell ref="AS151:AS157"/>
    <mergeCell ref="AD151:AD157"/>
    <mergeCell ref="Q151:Q157"/>
    <mergeCell ref="R151:R157"/>
    <mergeCell ref="S151:S157"/>
    <mergeCell ref="T151:T157"/>
    <mergeCell ref="U151:U157"/>
    <mergeCell ref="V151:V154"/>
    <mergeCell ref="AC159:AC160"/>
    <mergeCell ref="AD159:AD160"/>
    <mergeCell ref="AE159:AE160"/>
    <mergeCell ref="AF159:AF160"/>
    <mergeCell ref="R159:R160"/>
    <mergeCell ref="S159:S160"/>
    <mergeCell ref="T159:T160"/>
    <mergeCell ref="U159:U160"/>
    <mergeCell ref="Y159:Y160"/>
    <mergeCell ref="Z159:Z160"/>
    <mergeCell ref="AS159:AS160"/>
    <mergeCell ref="AT159:AT160"/>
    <mergeCell ref="B161:I161"/>
    <mergeCell ref="A162:B172"/>
    <mergeCell ref="D162:L162"/>
    <mergeCell ref="C163:D172"/>
    <mergeCell ref="F163:O163"/>
    <mergeCell ref="E164:F172"/>
    <mergeCell ref="P164:P172"/>
    <mergeCell ref="Q164:Q172"/>
    <mergeCell ref="AM159:AM160"/>
    <mergeCell ref="AN159:AN160"/>
    <mergeCell ref="AO159:AO160"/>
    <mergeCell ref="AP159:AP160"/>
    <mergeCell ref="AQ159:AQ160"/>
    <mergeCell ref="AR159:AR160"/>
    <mergeCell ref="AG159:AG160"/>
    <mergeCell ref="AH159:AH160"/>
    <mergeCell ref="AI159:AI160"/>
    <mergeCell ref="AJ159:AJ160"/>
    <mergeCell ref="AK159:AK160"/>
    <mergeCell ref="AL159:AL160"/>
    <mergeCell ref="AA159:AA160"/>
    <mergeCell ref="AB159:AB160"/>
    <mergeCell ref="AD164:AD172"/>
    <mergeCell ref="AE164:AE172"/>
    <mergeCell ref="AF164:AF172"/>
    <mergeCell ref="AG164:AG172"/>
    <mergeCell ref="AH164:AH172"/>
    <mergeCell ref="AI164:AI172"/>
    <mergeCell ref="S164:S172"/>
    <mergeCell ref="T164:T172"/>
    <mergeCell ref="U164:U172"/>
    <mergeCell ref="AA164:AA172"/>
    <mergeCell ref="AB164:AB172"/>
    <mergeCell ref="AC164:AC172"/>
    <mergeCell ref="A173:R173"/>
    <mergeCell ref="X173:AT173"/>
    <mergeCell ref="L165:L168"/>
    <mergeCell ref="M165:M168"/>
    <mergeCell ref="N165:N168"/>
    <mergeCell ref="O165:O168"/>
    <mergeCell ref="R165:R168"/>
    <mergeCell ref="V165:V168"/>
    <mergeCell ref="AP164:AP172"/>
    <mergeCell ref="AQ164:AQ172"/>
    <mergeCell ref="AR164:AR172"/>
    <mergeCell ref="AS164:AS172"/>
    <mergeCell ref="AT164:AT172"/>
    <mergeCell ref="G165:G168"/>
    <mergeCell ref="H165:H168"/>
    <mergeCell ref="I165:I168"/>
    <mergeCell ref="J165:J168"/>
    <mergeCell ref="K165:K168"/>
    <mergeCell ref="AJ164:AJ172"/>
    <mergeCell ref="AK164:AK172"/>
    <mergeCell ref="AL164:AL172"/>
    <mergeCell ref="AM164:AM172"/>
    <mergeCell ref="AN164:AN172"/>
    <mergeCell ref="AO164:AO172"/>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226"/>
  <sheetViews>
    <sheetView showGridLines="0" topLeftCell="U219" zoomScale="70" zoomScaleNormal="70" workbookViewId="0">
      <selection activeCell="AH12" sqref="AH12:AH20"/>
    </sheetView>
  </sheetViews>
  <sheetFormatPr baseColWidth="10" defaultColWidth="13.140625" defaultRowHeight="27" customHeight="1" x14ac:dyDescent="0.25"/>
  <cols>
    <col min="1" max="1" width="9.5703125" style="2063" customWidth="1"/>
    <col min="2" max="2" width="12.42578125" style="1867" customWidth="1"/>
    <col min="3" max="3" width="10.42578125" style="1867" customWidth="1"/>
    <col min="4" max="4" width="10.7109375" style="1867" customWidth="1"/>
    <col min="5" max="5" width="12.42578125" style="1867" customWidth="1"/>
    <col min="6" max="6" width="10.7109375" style="1867" customWidth="1"/>
    <col min="7" max="7" width="12.5703125" style="1867" customWidth="1"/>
    <col min="8" max="8" width="24.5703125" style="2064" customWidth="1"/>
    <col min="9" max="9" width="23" style="1867" customWidth="1"/>
    <col min="10" max="10" width="29.140625" style="2064" customWidth="1"/>
    <col min="11" max="11" width="15.7109375" style="1866" customWidth="1"/>
    <col min="12" max="12" width="30.5703125" style="2064" customWidth="1"/>
    <col min="13" max="13" width="25.42578125" style="1866" customWidth="1"/>
    <col min="14" max="14" width="23.42578125" style="1866" customWidth="1"/>
    <col min="15" max="15" width="18.140625" style="1866" customWidth="1"/>
    <col min="16" max="16" width="21.85546875" style="1866" customWidth="1"/>
    <col min="17" max="17" width="32" style="2064" customWidth="1"/>
    <col min="18" max="18" width="19.7109375" style="2065" customWidth="1"/>
    <col min="19" max="19" width="31.7109375" style="2066" customWidth="1"/>
    <col min="20" max="20" width="43.42578125" style="2064" customWidth="1"/>
    <col min="21" max="21" width="38.140625" style="2064" customWidth="1"/>
    <col min="22" max="22" width="53.42578125" style="2064" customWidth="1"/>
    <col min="23" max="23" width="32.5703125" style="2067" customWidth="1"/>
    <col min="24" max="24" width="49.5703125" style="2066" customWidth="1"/>
    <col min="25" max="25" width="22.85546875" style="2068" customWidth="1"/>
    <col min="26" max="26" width="30.28515625" style="1866" customWidth="1"/>
    <col min="27" max="30" width="10.7109375" style="1867" customWidth="1"/>
    <col min="31" max="31" width="12.28515625" style="1867" customWidth="1"/>
    <col min="32" max="41" width="10.7109375" style="1867" customWidth="1"/>
    <col min="42" max="42" width="11.28515625" style="1867" customWidth="1"/>
    <col min="43" max="43" width="20.7109375" style="2069" customWidth="1"/>
    <col min="44" max="44" width="23.5703125" style="2069" customWidth="1"/>
    <col min="45" max="45" width="28.5703125" style="1867" customWidth="1"/>
    <col min="46" max="16384" width="13.140625" style="1867"/>
  </cols>
  <sheetData>
    <row r="1" spans="1:65" ht="22.5" customHeight="1" x14ac:dyDescent="0.25">
      <c r="A1" s="2940" t="s">
        <v>3349</v>
      </c>
      <c r="B1" s="2940"/>
      <c r="C1" s="2940"/>
      <c r="D1" s="2940"/>
      <c r="E1" s="2940"/>
      <c r="F1" s="2940"/>
      <c r="G1" s="2940"/>
      <c r="H1" s="2940"/>
      <c r="I1" s="2940"/>
      <c r="J1" s="2940"/>
      <c r="K1" s="2940"/>
      <c r="L1" s="2940"/>
      <c r="M1" s="2940"/>
      <c r="N1" s="2940"/>
      <c r="O1" s="2940"/>
      <c r="P1" s="2940"/>
      <c r="Q1" s="2940"/>
      <c r="R1" s="2940"/>
      <c r="S1" s="2940"/>
      <c r="T1" s="2940"/>
      <c r="U1" s="2940"/>
      <c r="V1" s="2940"/>
      <c r="W1" s="2940"/>
      <c r="X1" s="2940"/>
      <c r="Y1" s="2940"/>
      <c r="Z1" s="2940"/>
      <c r="AA1" s="2940"/>
      <c r="AB1" s="2940"/>
      <c r="AC1" s="2940"/>
      <c r="AD1" s="2940"/>
      <c r="AE1" s="2940"/>
      <c r="AF1" s="2940"/>
      <c r="AG1" s="2940"/>
      <c r="AH1" s="2940"/>
      <c r="AI1" s="2940"/>
      <c r="AJ1" s="2940"/>
      <c r="AK1" s="2940"/>
      <c r="AL1" s="2940"/>
      <c r="AM1" s="2940"/>
      <c r="AN1" s="2940"/>
      <c r="AO1" s="2940"/>
      <c r="AP1" s="2940"/>
      <c r="AQ1" s="2941"/>
      <c r="AR1" s="1183" t="s">
        <v>1</v>
      </c>
      <c r="AS1" s="1183" t="s">
        <v>1141</v>
      </c>
      <c r="AT1" s="1866"/>
      <c r="AU1" s="1866"/>
      <c r="AV1" s="1866"/>
      <c r="AW1" s="1866"/>
      <c r="AX1" s="1866"/>
      <c r="AY1" s="1866"/>
      <c r="AZ1" s="1866"/>
      <c r="BA1" s="1866"/>
      <c r="BB1" s="1866"/>
      <c r="BC1" s="1866"/>
      <c r="BD1" s="1866"/>
      <c r="BE1" s="1866"/>
      <c r="BF1" s="1866"/>
      <c r="BG1" s="1866"/>
      <c r="BH1" s="1866"/>
      <c r="BI1" s="1866"/>
      <c r="BJ1" s="1866"/>
      <c r="BK1" s="1866"/>
      <c r="BL1" s="1866"/>
      <c r="BM1" s="1866"/>
    </row>
    <row r="2" spans="1:65" ht="24.75" customHeight="1" x14ac:dyDescent="0.25">
      <c r="A2" s="2940"/>
      <c r="B2" s="2940"/>
      <c r="C2" s="2940"/>
      <c r="D2" s="2940"/>
      <c r="E2" s="2940"/>
      <c r="F2" s="2940"/>
      <c r="G2" s="2940"/>
      <c r="H2" s="2940"/>
      <c r="I2" s="2940"/>
      <c r="J2" s="2940"/>
      <c r="K2" s="2940"/>
      <c r="L2" s="2940"/>
      <c r="M2" s="2940"/>
      <c r="N2" s="2940"/>
      <c r="O2" s="2940"/>
      <c r="P2" s="2940"/>
      <c r="Q2" s="2940"/>
      <c r="R2" s="2940"/>
      <c r="S2" s="2940"/>
      <c r="T2" s="2940"/>
      <c r="U2" s="2940"/>
      <c r="V2" s="2940"/>
      <c r="W2" s="2940"/>
      <c r="X2" s="2940"/>
      <c r="Y2" s="2940"/>
      <c r="Z2" s="2940"/>
      <c r="AA2" s="2940"/>
      <c r="AB2" s="2940"/>
      <c r="AC2" s="2940"/>
      <c r="AD2" s="2940"/>
      <c r="AE2" s="2940"/>
      <c r="AF2" s="2940"/>
      <c r="AG2" s="2940"/>
      <c r="AH2" s="2940"/>
      <c r="AI2" s="2940"/>
      <c r="AJ2" s="2940"/>
      <c r="AK2" s="2940"/>
      <c r="AL2" s="2940"/>
      <c r="AM2" s="2940"/>
      <c r="AN2" s="2940"/>
      <c r="AO2" s="2940"/>
      <c r="AP2" s="2940"/>
      <c r="AQ2" s="2941"/>
      <c r="AR2" s="1183" t="s">
        <v>3</v>
      </c>
      <c r="AS2" s="1183" t="s">
        <v>693</v>
      </c>
      <c r="AT2" s="1866"/>
      <c r="AU2" s="1866"/>
      <c r="AV2" s="1866"/>
      <c r="AW2" s="1866"/>
      <c r="AX2" s="1866"/>
      <c r="AY2" s="1866"/>
      <c r="AZ2" s="1866"/>
      <c r="BA2" s="1866"/>
      <c r="BB2" s="1866"/>
      <c r="BC2" s="1866"/>
      <c r="BD2" s="1866"/>
      <c r="BE2" s="1866"/>
      <c r="BF2" s="1866"/>
      <c r="BG2" s="1866"/>
      <c r="BH2" s="1866"/>
      <c r="BI2" s="1866"/>
      <c r="BJ2" s="1866"/>
      <c r="BK2" s="1866"/>
      <c r="BL2" s="1866"/>
      <c r="BM2" s="1866"/>
    </row>
    <row r="3" spans="1:65" ht="26.25" customHeight="1" x14ac:dyDescent="0.25">
      <c r="A3" s="2940"/>
      <c r="B3" s="2940"/>
      <c r="C3" s="2940"/>
      <c r="D3" s="2940"/>
      <c r="E3" s="2940"/>
      <c r="F3" s="2940"/>
      <c r="G3" s="2940"/>
      <c r="H3" s="2940"/>
      <c r="I3" s="2940"/>
      <c r="J3" s="2940"/>
      <c r="K3" s="2940"/>
      <c r="L3" s="2940"/>
      <c r="M3" s="2940"/>
      <c r="N3" s="2940"/>
      <c r="O3" s="2940"/>
      <c r="P3" s="2940"/>
      <c r="Q3" s="2940"/>
      <c r="R3" s="2940"/>
      <c r="S3" s="2940"/>
      <c r="T3" s="2940"/>
      <c r="U3" s="2940"/>
      <c r="V3" s="2940"/>
      <c r="W3" s="2940"/>
      <c r="X3" s="2940"/>
      <c r="Y3" s="2940"/>
      <c r="Z3" s="2940"/>
      <c r="AA3" s="2940"/>
      <c r="AB3" s="2940"/>
      <c r="AC3" s="2940"/>
      <c r="AD3" s="2940"/>
      <c r="AE3" s="2940"/>
      <c r="AF3" s="2940"/>
      <c r="AG3" s="2940"/>
      <c r="AH3" s="2940"/>
      <c r="AI3" s="2940"/>
      <c r="AJ3" s="2940"/>
      <c r="AK3" s="2940"/>
      <c r="AL3" s="2940"/>
      <c r="AM3" s="2940"/>
      <c r="AN3" s="2940"/>
      <c r="AO3" s="2940"/>
      <c r="AP3" s="2940"/>
      <c r="AQ3" s="2941"/>
      <c r="AR3" s="1183" t="s">
        <v>4</v>
      </c>
      <c r="AS3" s="1868" t="s">
        <v>3032</v>
      </c>
      <c r="AT3" s="1866"/>
      <c r="AU3" s="1866"/>
      <c r="AV3" s="1866"/>
      <c r="AW3" s="1866"/>
      <c r="AX3" s="1866"/>
      <c r="AY3" s="1866"/>
      <c r="AZ3" s="1866"/>
      <c r="BA3" s="1866"/>
      <c r="BB3" s="1866"/>
      <c r="BC3" s="1866"/>
      <c r="BD3" s="1866"/>
      <c r="BE3" s="1866"/>
      <c r="BF3" s="1866"/>
      <c r="BG3" s="1866"/>
      <c r="BH3" s="1866"/>
      <c r="BI3" s="1866"/>
      <c r="BJ3" s="1866"/>
      <c r="BK3" s="1866"/>
      <c r="BL3" s="1866"/>
      <c r="BM3" s="1866"/>
    </row>
    <row r="4" spans="1:65" ht="13.5" customHeight="1" x14ac:dyDescent="0.25">
      <c r="A4" s="2942"/>
      <c r="B4" s="2942"/>
      <c r="C4" s="2942"/>
      <c r="D4" s="2942"/>
      <c r="E4" s="2942"/>
      <c r="F4" s="2942"/>
      <c r="G4" s="2942"/>
      <c r="H4" s="2942"/>
      <c r="I4" s="2942"/>
      <c r="J4" s="2942"/>
      <c r="K4" s="2942"/>
      <c r="L4" s="2942"/>
      <c r="M4" s="2942"/>
      <c r="N4" s="2942"/>
      <c r="O4" s="2942"/>
      <c r="P4" s="2942"/>
      <c r="Q4" s="2942"/>
      <c r="R4" s="2942"/>
      <c r="S4" s="2942"/>
      <c r="T4" s="2942"/>
      <c r="U4" s="2942"/>
      <c r="V4" s="2942"/>
      <c r="W4" s="2942"/>
      <c r="X4" s="2942"/>
      <c r="Y4" s="2942"/>
      <c r="Z4" s="2942"/>
      <c r="AA4" s="2942"/>
      <c r="AB4" s="2942"/>
      <c r="AC4" s="2942"/>
      <c r="AD4" s="2942"/>
      <c r="AE4" s="2942"/>
      <c r="AF4" s="2942"/>
      <c r="AG4" s="2942"/>
      <c r="AH4" s="2942"/>
      <c r="AI4" s="2942"/>
      <c r="AJ4" s="2942"/>
      <c r="AK4" s="2942"/>
      <c r="AL4" s="2942"/>
      <c r="AM4" s="2942"/>
      <c r="AN4" s="2942"/>
      <c r="AO4" s="2942"/>
      <c r="AP4" s="2942"/>
      <c r="AQ4" s="2943"/>
      <c r="AR4" s="1183" t="s">
        <v>5</v>
      </c>
      <c r="AS4" s="1186" t="s">
        <v>120</v>
      </c>
      <c r="AT4" s="1866"/>
      <c r="AU4" s="1866"/>
      <c r="AV4" s="1866"/>
      <c r="AW4" s="1866"/>
      <c r="AX4" s="1866"/>
      <c r="AY4" s="1866"/>
      <c r="AZ4" s="1866"/>
      <c r="BA4" s="1866"/>
      <c r="BB4" s="1866"/>
      <c r="BC4" s="1866"/>
      <c r="BD4" s="1866"/>
      <c r="BE4" s="1866"/>
      <c r="BF4" s="1866"/>
      <c r="BG4" s="1866"/>
      <c r="BH4" s="1866"/>
      <c r="BI4" s="1866"/>
      <c r="BJ4" s="1866"/>
      <c r="BK4" s="1866"/>
      <c r="BL4" s="1866"/>
      <c r="BM4" s="1866"/>
    </row>
    <row r="5" spans="1:65" ht="18" customHeight="1" x14ac:dyDescent="0.25">
      <c r="A5" s="2944" t="s">
        <v>3033</v>
      </c>
      <c r="B5" s="2944"/>
      <c r="C5" s="2944"/>
      <c r="D5" s="2944"/>
      <c r="E5" s="2944"/>
      <c r="F5" s="2944"/>
      <c r="G5" s="2944"/>
      <c r="H5" s="2944"/>
      <c r="I5" s="2944"/>
      <c r="J5" s="2944"/>
      <c r="K5" s="2944"/>
      <c r="L5" s="2944"/>
      <c r="M5" s="2944"/>
      <c r="N5" s="2944"/>
      <c r="O5" s="2944"/>
      <c r="P5" s="2947"/>
      <c r="Q5" s="2947"/>
      <c r="R5" s="2947"/>
      <c r="S5" s="2947"/>
      <c r="T5" s="2947"/>
      <c r="U5" s="2947"/>
      <c r="V5" s="2947"/>
      <c r="W5" s="2947"/>
      <c r="X5" s="2947"/>
      <c r="Y5" s="2947"/>
      <c r="Z5" s="2947"/>
      <c r="AA5" s="2947"/>
      <c r="AB5" s="2947"/>
      <c r="AC5" s="2947"/>
      <c r="AD5" s="2947"/>
      <c r="AE5" s="2947"/>
      <c r="AF5" s="2947"/>
      <c r="AG5" s="2947"/>
      <c r="AH5" s="2947"/>
      <c r="AI5" s="2947"/>
      <c r="AJ5" s="2947"/>
      <c r="AK5" s="2947"/>
      <c r="AL5" s="2947"/>
      <c r="AM5" s="2947"/>
      <c r="AN5" s="2947"/>
      <c r="AO5" s="2947"/>
      <c r="AP5" s="2947"/>
      <c r="AQ5" s="2947"/>
      <c r="AR5" s="2947"/>
      <c r="AS5" s="2947"/>
      <c r="AT5" s="1866"/>
      <c r="AU5" s="1866"/>
      <c r="AV5" s="1866"/>
      <c r="AW5" s="1866"/>
      <c r="AX5" s="1866"/>
      <c r="AY5" s="1866"/>
      <c r="AZ5" s="1866"/>
      <c r="BA5" s="1866"/>
      <c r="BB5" s="1866"/>
      <c r="BC5" s="1866"/>
      <c r="BD5" s="1866"/>
      <c r="BE5" s="1866"/>
      <c r="BF5" s="1866"/>
      <c r="BG5" s="1866"/>
      <c r="BH5" s="1866"/>
      <c r="BI5" s="1866"/>
      <c r="BJ5" s="1866"/>
      <c r="BK5" s="1866"/>
      <c r="BL5" s="1866"/>
      <c r="BM5" s="1866"/>
    </row>
    <row r="6" spans="1:65" ht="16.5" customHeight="1" x14ac:dyDescent="0.25">
      <c r="A6" s="2945"/>
      <c r="B6" s="2945"/>
      <c r="C6" s="2945"/>
      <c r="D6" s="2945"/>
      <c r="E6" s="2945"/>
      <c r="F6" s="2945"/>
      <c r="G6" s="2945"/>
      <c r="H6" s="2945"/>
      <c r="I6" s="2945"/>
      <c r="J6" s="2945"/>
      <c r="K6" s="2945"/>
      <c r="L6" s="2945"/>
      <c r="M6" s="2945"/>
      <c r="N6" s="2945"/>
      <c r="O6" s="2946"/>
      <c r="P6" s="1869"/>
      <c r="Q6" s="1870"/>
      <c r="R6" s="1869"/>
      <c r="S6" s="1869"/>
      <c r="T6" s="1870"/>
      <c r="U6" s="1870"/>
      <c r="V6" s="1870"/>
      <c r="W6" s="1871"/>
      <c r="X6" s="1872"/>
      <c r="Y6" s="1872"/>
      <c r="Z6" s="1872"/>
      <c r="AA6" s="2948" t="s">
        <v>8</v>
      </c>
      <c r="AB6" s="2945"/>
      <c r="AC6" s="2945"/>
      <c r="AD6" s="2945"/>
      <c r="AE6" s="2945"/>
      <c r="AF6" s="2945"/>
      <c r="AG6" s="2945"/>
      <c r="AH6" s="2945"/>
      <c r="AI6" s="2945"/>
      <c r="AJ6" s="2945"/>
      <c r="AK6" s="2945"/>
      <c r="AL6" s="2945"/>
      <c r="AM6" s="2945"/>
      <c r="AN6" s="2945"/>
      <c r="AO6" s="2949"/>
      <c r="AP6" s="1872"/>
      <c r="AQ6" s="1872"/>
      <c r="AR6" s="1872"/>
      <c r="AS6" s="1873"/>
      <c r="AT6" s="1866"/>
      <c r="AU6" s="1866"/>
      <c r="AV6" s="1866"/>
      <c r="AW6" s="1866"/>
      <c r="AX6" s="1866"/>
      <c r="AY6" s="1866"/>
      <c r="AZ6" s="1866"/>
      <c r="BA6" s="1866"/>
      <c r="BB6" s="1866"/>
      <c r="BC6" s="1866"/>
      <c r="BD6" s="1866"/>
      <c r="BE6" s="1866"/>
      <c r="BF6" s="1866"/>
      <c r="BG6" s="1866"/>
      <c r="BH6" s="1866"/>
      <c r="BI6" s="1866"/>
      <c r="BJ6" s="1866"/>
      <c r="BK6" s="1866"/>
      <c r="BL6" s="1866"/>
      <c r="BM6" s="1866"/>
    </row>
    <row r="7" spans="1:65" ht="36.75" customHeight="1" x14ac:dyDescent="0.25">
      <c r="A7" s="2950" t="s">
        <v>9</v>
      </c>
      <c r="B7" s="2951"/>
      <c r="C7" s="2952" t="s">
        <v>10</v>
      </c>
      <c r="D7" s="2950"/>
      <c r="E7" s="2950" t="s">
        <v>11</v>
      </c>
      <c r="F7" s="2951"/>
      <c r="G7" s="2247" t="s">
        <v>12</v>
      </c>
      <c r="H7" s="2248"/>
      <c r="I7" s="2248"/>
      <c r="J7" s="2248"/>
      <c r="K7" s="2247" t="s">
        <v>13</v>
      </c>
      <c r="L7" s="2248"/>
      <c r="M7" s="2248"/>
      <c r="N7" s="2248"/>
      <c r="O7" s="2953" t="s">
        <v>14</v>
      </c>
      <c r="P7" s="2953"/>
      <c r="Q7" s="2953"/>
      <c r="R7" s="2953"/>
      <c r="S7" s="2953"/>
      <c r="T7" s="2953"/>
      <c r="U7" s="2953"/>
      <c r="V7" s="2953"/>
      <c r="W7" s="2953"/>
      <c r="X7" s="2931" t="s">
        <v>15</v>
      </c>
      <c r="Y7" s="2931"/>
      <c r="Z7" s="2932"/>
      <c r="AA7" s="2933" t="s">
        <v>16</v>
      </c>
      <c r="AB7" s="2933"/>
      <c r="AC7" s="2934" t="s">
        <v>17</v>
      </c>
      <c r="AD7" s="2934"/>
      <c r="AE7" s="2934"/>
      <c r="AF7" s="2934"/>
      <c r="AG7" s="2935" t="s">
        <v>18</v>
      </c>
      <c r="AH7" s="2936"/>
      <c r="AI7" s="2936"/>
      <c r="AJ7" s="2936"/>
      <c r="AK7" s="2936"/>
      <c r="AL7" s="2937"/>
      <c r="AM7" s="2934" t="s">
        <v>19</v>
      </c>
      <c r="AN7" s="2934"/>
      <c r="AO7" s="2934"/>
      <c r="AP7" s="2938" t="s">
        <v>20</v>
      </c>
      <c r="AQ7" s="2921" t="s">
        <v>21</v>
      </c>
      <c r="AR7" s="2921" t="s">
        <v>22</v>
      </c>
      <c r="AS7" s="2923" t="s">
        <v>23</v>
      </c>
      <c r="AT7" s="1866"/>
      <c r="AU7" s="1866"/>
      <c r="AV7" s="1866"/>
      <c r="AW7" s="1866"/>
      <c r="AX7" s="1866"/>
      <c r="AY7" s="1866"/>
      <c r="AZ7" s="1866"/>
      <c r="BA7" s="1866"/>
      <c r="BB7" s="1866"/>
      <c r="BC7" s="1866"/>
      <c r="BD7" s="1866"/>
      <c r="BE7" s="1866"/>
      <c r="BF7" s="1866"/>
      <c r="BG7" s="1866"/>
      <c r="BH7" s="1866"/>
      <c r="BI7" s="1866"/>
      <c r="BJ7" s="1866"/>
      <c r="BK7" s="1866"/>
      <c r="BL7" s="1866"/>
      <c r="BM7" s="1866"/>
    </row>
    <row r="8" spans="1:65" ht="117" customHeight="1" x14ac:dyDescent="0.25">
      <c r="A8" s="1874" t="s">
        <v>24</v>
      </c>
      <c r="B8" s="1875" t="s">
        <v>25</v>
      </c>
      <c r="C8" s="1874" t="s">
        <v>24</v>
      </c>
      <c r="D8" s="1875" t="s">
        <v>25</v>
      </c>
      <c r="E8" s="1876" t="s">
        <v>24</v>
      </c>
      <c r="F8" s="1875" t="s">
        <v>25</v>
      </c>
      <c r="G8" s="240" t="s">
        <v>26</v>
      </c>
      <c r="H8" s="240" t="s">
        <v>27</v>
      </c>
      <c r="I8" s="240" t="s">
        <v>28</v>
      </c>
      <c r="J8" s="240" t="s">
        <v>122</v>
      </c>
      <c r="K8" s="240" t="s">
        <v>26</v>
      </c>
      <c r="L8" s="240" t="s">
        <v>30</v>
      </c>
      <c r="M8" s="18" t="s">
        <v>31</v>
      </c>
      <c r="N8" s="18" t="s">
        <v>32</v>
      </c>
      <c r="O8" s="1877" t="s">
        <v>185</v>
      </c>
      <c r="P8" s="1877" t="s">
        <v>34</v>
      </c>
      <c r="Q8" s="1877" t="s">
        <v>35</v>
      </c>
      <c r="R8" s="1878" t="s">
        <v>36</v>
      </c>
      <c r="S8" s="1879" t="s">
        <v>37</v>
      </c>
      <c r="T8" s="1880" t="s">
        <v>38</v>
      </c>
      <c r="U8" s="1880" t="s">
        <v>39</v>
      </c>
      <c r="V8" s="1877" t="s">
        <v>40</v>
      </c>
      <c r="W8" s="1881" t="s">
        <v>37</v>
      </c>
      <c r="X8" s="1875" t="s">
        <v>42</v>
      </c>
      <c r="Y8" s="1882" t="s">
        <v>43</v>
      </c>
      <c r="Z8" s="1875" t="s">
        <v>25</v>
      </c>
      <c r="AA8" s="1883" t="s">
        <v>3034</v>
      </c>
      <c r="AB8" s="1884" t="s">
        <v>3035</v>
      </c>
      <c r="AC8" s="1885" t="s">
        <v>46</v>
      </c>
      <c r="AD8" s="1885" t="s">
        <v>47</v>
      </c>
      <c r="AE8" s="1885" t="s">
        <v>188</v>
      </c>
      <c r="AF8" s="1885" t="s">
        <v>49</v>
      </c>
      <c r="AG8" s="1885" t="s">
        <v>50</v>
      </c>
      <c r="AH8" s="1885" t="s">
        <v>51</v>
      </c>
      <c r="AI8" s="1885" t="s">
        <v>52</v>
      </c>
      <c r="AJ8" s="1885" t="s">
        <v>189</v>
      </c>
      <c r="AK8" s="1885" t="s">
        <v>54</v>
      </c>
      <c r="AL8" s="1885" t="s">
        <v>55</v>
      </c>
      <c r="AM8" s="1885" t="s">
        <v>56</v>
      </c>
      <c r="AN8" s="1885" t="s">
        <v>57</v>
      </c>
      <c r="AO8" s="1885" t="s">
        <v>58</v>
      </c>
      <c r="AP8" s="2939"/>
      <c r="AQ8" s="2922"/>
      <c r="AR8" s="2922"/>
      <c r="AS8" s="2924"/>
      <c r="AT8" s="1866"/>
      <c r="AU8" s="1866"/>
      <c r="AV8" s="1866"/>
      <c r="AW8" s="1866"/>
      <c r="AX8" s="1866"/>
      <c r="AY8" s="1866"/>
      <c r="AZ8" s="1866"/>
      <c r="BA8" s="1866"/>
      <c r="BB8" s="1866"/>
      <c r="BC8" s="1866"/>
      <c r="BD8" s="1866"/>
      <c r="BE8" s="1866"/>
      <c r="BF8" s="1866"/>
      <c r="BG8" s="1866"/>
      <c r="BH8" s="1866"/>
      <c r="BI8" s="1866"/>
      <c r="BJ8" s="1866"/>
      <c r="BK8" s="1866"/>
      <c r="BL8" s="1866"/>
      <c r="BM8" s="1866"/>
    </row>
    <row r="9" spans="1:65" ht="27" customHeight="1" x14ac:dyDescent="0.25">
      <c r="A9" s="1886">
        <v>1</v>
      </c>
      <c r="B9" s="2925" t="s">
        <v>706</v>
      </c>
      <c r="C9" s="2926"/>
      <c r="D9" s="2926"/>
      <c r="E9" s="2926"/>
      <c r="F9" s="2926"/>
      <c r="G9" s="1887"/>
      <c r="H9" s="1888"/>
      <c r="I9" s="1887"/>
      <c r="J9" s="1889"/>
      <c r="K9" s="1890"/>
      <c r="L9" s="1889"/>
      <c r="M9" s="1890"/>
      <c r="N9" s="1890"/>
      <c r="O9" s="1890"/>
      <c r="P9" s="1890"/>
      <c r="Q9" s="1889"/>
      <c r="R9" s="1891"/>
      <c r="S9" s="1892"/>
      <c r="T9" s="1889"/>
      <c r="U9" s="1889"/>
      <c r="V9" s="1889"/>
      <c r="W9" s="1893"/>
      <c r="X9" s="1890"/>
      <c r="Y9" s="1894"/>
      <c r="Z9" s="1890"/>
      <c r="AA9" s="1890"/>
      <c r="AB9" s="1890"/>
      <c r="AC9" s="1890"/>
      <c r="AD9" s="1890"/>
      <c r="AE9" s="1890"/>
      <c r="AF9" s="1890"/>
      <c r="AG9" s="1890"/>
      <c r="AH9" s="1890"/>
      <c r="AI9" s="1890"/>
      <c r="AJ9" s="1890"/>
      <c r="AK9" s="1890"/>
      <c r="AL9" s="1890"/>
      <c r="AM9" s="1890"/>
      <c r="AN9" s="1890"/>
      <c r="AO9" s="1890"/>
      <c r="AP9" s="1890"/>
      <c r="AQ9" s="1895"/>
      <c r="AR9" s="1895"/>
      <c r="AS9" s="1896"/>
      <c r="AT9" s="1866"/>
      <c r="AU9" s="1866"/>
      <c r="AV9" s="1866"/>
      <c r="AW9" s="1866"/>
      <c r="AX9" s="1866"/>
      <c r="AY9" s="1866"/>
      <c r="AZ9" s="1866"/>
      <c r="BA9" s="1866"/>
      <c r="BB9" s="1866"/>
      <c r="BC9" s="1866"/>
      <c r="BD9" s="1866"/>
      <c r="BE9" s="1866"/>
      <c r="BF9" s="1866"/>
      <c r="BG9" s="1866"/>
      <c r="BH9" s="1866"/>
      <c r="BI9" s="1866"/>
      <c r="BJ9" s="1866"/>
      <c r="BK9" s="1866"/>
      <c r="BL9" s="1866"/>
      <c r="BM9" s="1866"/>
    </row>
    <row r="10" spans="1:65" ht="27" customHeight="1" x14ac:dyDescent="0.25">
      <c r="A10" s="1897"/>
      <c r="B10" s="1898"/>
      <c r="C10" s="36">
        <v>12</v>
      </c>
      <c r="D10" s="2927" t="s">
        <v>391</v>
      </c>
      <c r="E10" s="2928"/>
      <c r="F10" s="2928"/>
      <c r="G10" s="2928"/>
      <c r="H10" s="2928"/>
      <c r="I10" s="2928"/>
      <c r="J10" s="1899"/>
      <c r="K10" s="1900"/>
      <c r="L10" s="1899"/>
      <c r="M10" s="1900"/>
      <c r="N10" s="1900"/>
      <c r="O10" s="1900"/>
      <c r="P10" s="1900"/>
      <c r="Q10" s="1899"/>
      <c r="R10" s="1901"/>
      <c r="S10" s="1902"/>
      <c r="T10" s="1899"/>
      <c r="U10" s="1899"/>
      <c r="V10" s="1899"/>
      <c r="W10" s="1903"/>
      <c r="X10" s="1900"/>
      <c r="Y10" s="1904"/>
      <c r="Z10" s="1900"/>
      <c r="AA10" s="1900"/>
      <c r="AB10" s="1900"/>
      <c r="AC10" s="1900"/>
      <c r="AD10" s="1900"/>
      <c r="AE10" s="1900"/>
      <c r="AF10" s="1900"/>
      <c r="AG10" s="1900"/>
      <c r="AH10" s="1900"/>
      <c r="AI10" s="1900"/>
      <c r="AJ10" s="1900"/>
      <c r="AK10" s="1900"/>
      <c r="AL10" s="1900"/>
      <c r="AM10" s="1900"/>
      <c r="AN10" s="1900"/>
      <c r="AO10" s="1900"/>
      <c r="AP10" s="1900"/>
      <c r="AQ10" s="1905"/>
      <c r="AR10" s="1905"/>
      <c r="AS10" s="1906"/>
    </row>
    <row r="11" spans="1:65" s="1866" customFormat="1" ht="27" customHeight="1" x14ac:dyDescent="0.25">
      <c r="A11" s="2798"/>
      <c r="B11" s="2670"/>
      <c r="C11" s="1907"/>
      <c r="D11" s="1908"/>
      <c r="E11" s="1909">
        <v>1202</v>
      </c>
      <c r="F11" s="2929" t="s">
        <v>3036</v>
      </c>
      <c r="G11" s="2930"/>
      <c r="H11" s="2930"/>
      <c r="I11" s="2930"/>
      <c r="J11" s="2930"/>
      <c r="K11" s="2930"/>
      <c r="L11" s="2930"/>
      <c r="M11" s="2930"/>
      <c r="N11" s="2930"/>
      <c r="O11" s="2930"/>
      <c r="P11" s="2930"/>
      <c r="Q11" s="1910"/>
      <c r="R11" s="1911"/>
      <c r="S11" s="1911"/>
      <c r="T11" s="1910"/>
      <c r="U11" s="1910"/>
      <c r="V11" s="1910"/>
      <c r="W11" s="1912"/>
      <c r="X11" s="1913"/>
      <c r="Y11" s="1911"/>
      <c r="Z11" s="1911"/>
      <c r="AA11" s="1911"/>
      <c r="AB11" s="1911"/>
      <c r="AC11" s="1911"/>
      <c r="AD11" s="1911"/>
      <c r="AE11" s="1911"/>
      <c r="AF11" s="1911"/>
      <c r="AG11" s="1911"/>
      <c r="AH11" s="1911"/>
      <c r="AI11" s="1911"/>
      <c r="AJ11" s="1911"/>
      <c r="AK11" s="1911"/>
      <c r="AL11" s="1911"/>
      <c r="AM11" s="1911"/>
      <c r="AN11" s="1911"/>
      <c r="AO11" s="1911"/>
      <c r="AP11" s="1911"/>
      <c r="AQ11" s="1911"/>
      <c r="AR11" s="1911"/>
      <c r="AS11" s="1914"/>
    </row>
    <row r="12" spans="1:65" s="1866" customFormat="1" ht="48" customHeight="1" x14ac:dyDescent="0.25">
      <c r="A12" s="2798"/>
      <c r="B12" s="2670"/>
      <c r="C12" s="1915"/>
      <c r="D12" s="1916"/>
      <c r="E12" s="2879"/>
      <c r="F12" s="2879"/>
      <c r="G12" s="2722">
        <v>1202004</v>
      </c>
      <c r="H12" s="2869" t="s">
        <v>3037</v>
      </c>
      <c r="I12" s="2722">
        <v>1202004</v>
      </c>
      <c r="J12" s="2869" t="s">
        <v>3037</v>
      </c>
      <c r="K12" s="2742">
        <v>120200400</v>
      </c>
      <c r="L12" s="2911" t="s">
        <v>289</v>
      </c>
      <c r="M12" s="2742">
        <v>120200400</v>
      </c>
      <c r="N12" s="2742" t="s">
        <v>289</v>
      </c>
      <c r="O12" s="2742">
        <v>12</v>
      </c>
      <c r="P12" s="2738" t="s">
        <v>3038</v>
      </c>
      <c r="Q12" s="2918" t="s">
        <v>3039</v>
      </c>
      <c r="R12" s="2866">
        <f>S12/SUM(W12:W20)</f>
        <v>1</v>
      </c>
      <c r="S12" s="2914">
        <f>SUM(W12:W20)</f>
        <v>149000000</v>
      </c>
      <c r="T12" s="2915" t="s">
        <v>3040</v>
      </c>
      <c r="U12" s="2871" t="s">
        <v>3041</v>
      </c>
      <c r="V12" s="2550" t="s">
        <v>3042</v>
      </c>
      <c r="W12" s="2070">
        <v>15400000</v>
      </c>
      <c r="X12" s="1805" t="s">
        <v>3043</v>
      </c>
      <c r="Y12" s="1917">
        <v>20</v>
      </c>
      <c r="Z12" s="1800" t="s">
        <v>2351</v>
      </c>
      <c r="AA12" s="2913">
        <v>291786</v>
      </c>
      <c r="AB12" s="2913">
        <v>270331</v>
      </c>
      <c r="AC12" s="2913">
        <v>102045</v>
      </c>
      <c r="AD12" s="2913">
        <v>39183</v>
      </c>
      <c r="AE12" s="2913">
        <v>310195</v>
      </c>
      <c r="AF12" s="2913">
        <v>110694</v>
      </c>
      <c r="AG12" s="2913">
        <v>2145</v>
      </c>
      <c r="AH12" s="2913">
        <v>12718</v>
      </c>
      <c r="AI12" s="2913">
        <v>26</v>
      </c>
      <c r="AJ12" s="2913">
        <v>37</v>
      </c>
      <c r="AK12" s="2913">
        <v>0</v>
      </c>
      <c r="AL12" s="2913">
        <v>0</v>
      </c>
      <c r="AM12" s="2913">
        <v>44350</v>
      </c>
      <c r="AN12" s="2913">
        <v>21944</v>
      </c>
      <c r="AO12" s="2913">
        <v>75687</v>
      </c>
      <c r="AP12" s="2913">
        <f>AA12+AB12</f>
        <v>562117</v>
      </c>
      <c r="AQ12" s="2877">
        <v>44211</v>
      </c>
      <c r="AR12" s="2840">
        <v>44560</v>
      </c>
      <c r="AS12" s="2842" t="s">
        <v>3044</v>
      </c>
    </row>
    <row r="13" spans="1:65" s="1866" customFormat="1" ht="48" customHeight="1" x14ac:dyDescent="0.25">
      <c r="A13" s="2798"/>
      <c r="B13" s="2670"/>
      <c r="C13" s="1915"/>
      <c r="D13" s="1916"/>
      <c r="E13" s="2879"/>
      <c r="F13" s="2879"/>
      <c r="G13" s="2722"/>
      <c r="H13" s="2869"/>
      <c r="I13" s="2722"/>
      <c r="J13" s="2869"/>
      <c r="K13" s="2742"/>
      <c r="L13" s="2911"/>
      <c r="M13" s="2742"/>
      <c r="N13" s="2742"/>
      <c r="O13" s="2742"/>
      <c r="P13" s="2738"/>
      <c r="Q13" s="2919"/>
      <c r="R13" s="2866"/>
      <c r="S13" s="2914"/>
      <c r="T13" s="2915"/>
      <c r="U13" s="2872"/>
      <c r="V13" s="2551"/>
      <c r="W13" s="2070">
        <v>25000000</v>
      </c>
      <c r="X13" s="1805" t="s">
        <v>3045</v>
      </c>
      <c r="Y13" s="1917">
        <v>88</v>
      </c>
      <c r="Z13" s="1800" t="s">
        <v>3046</v>
      </c>
      <c r="AA13" s="2913"/>
      <c r="AB13" s="2913"/>
      <c r="AC13" s="2913"/>
      <c r="AD13" s="2913"/>
      <c r="AE13" s="2913"/>
      <c r="AF13" s="2913"/>
      <c r="AG13" s="2913"/>
      <c r="AH13" s="2913"/>
      <c r="AI13" s="2913"/>
      <c r="AJ13" s="2913"/>
      <c r="AK13" s="2913"/>
      <c r="AL13" s="2913"/>
      <c r="AM13" s="2913"/>
      <c r="AN13" s="2913"/>
      <c r="AO13" s="2913"/>
      <c r="AP13" s="2913"/>
      <c r="AQ13" s="2877"/>
      <c r="AR13" s="2841"/>
      <c r="AS13" s="2843"/>
    </row>
    <row r="14" spans="1:65" s="1866" customFormat="1" ht="52.5" customHeight="1" x14ac:dyDescent="0.25">
      <c r="A14" s="2798"/>
      <c r="B14" s="2670"/>
      <c r="C14" s="1915"/>
      <c r="D14" s="1916"/>
      <c r="E14" s="2879"/>
      <c r="F14" s="2879"/>
      <c r="G14" s="2723"/>
      <c r="H14" s="2869"/>
      <c r="I14" s="2723"/>
      <c r="J14" s="2869"/>
      <c r="K14" s="2742"/>
      <c r="L14" s="2911"/>
      <c r="M14" s="2742"/>
      <c r="N14" s="2742"/>
      <c r="O14" s="2742"/>
      <c r="P14" s="2491"/>
      <c r="Q14" s="2919"/>
      <c r="R14" s="2866"/>
      <c r="S14" s="2914"/>
      <c r="T14" s="2915"/>
      <c r="U14" s="2872"/>
      <c r="V14" s="692" t="s">
        <v>3047</v>
      </c>
      <c r="W14" s="2070">
        <v>15400000</v>
      </c>
      <c r="X14" s="1805" t="s">
        <v>3043</v>
      </c>
      <c r="Y14" s="1917">
        <v>20</v>
      </c>
      <c r="Z14" s="1800" t="s">
        <v>2351</v>
      </c>
      <c r="AA14" s="2913"/>
      <c r="AB14" s="2913"/>
      <c r="AC14" s="2913"/>
      <c r="AD14" s="2913"/>
      <c r="AE14" s="2913"/>
      <c r="AF14" s="2913"/>
      <c r="AG14" s="2913"/>
      <c r="AH14" s="2913"/>
      <c r="AI14" s="2913"/>
      <c r="AJ14" s="2913"/>
      <c r="AK14" s="2913"/>
      <c r="AL14" s="2913"/>
      <c r="AM14" s="2913"/>
      <c r="AN14" s="2913"/>
      <c r="AO14" s="2913"/>
      <c r="AP14" s="2913"/>
      <c r="AQ14" s="2877"/>
      <c r="AR14" s="2841"/>
      <c r="AS14" s="2843"/>
    </row>
    <row r="15" spans="1:65" s="1866" customFormat="1" ht="45.95" customHeight="1" x14ac:dyDescent="0.25">
      <c r="A15" s="2798"/>
      <c r="B15" s="2670"/>
      <c r="C15" s="1915"/>
      <c r="D15" s="1916"/>
      <c r="E15" s="2879"/>
      <c r="F15" s="2879"/>
      <c r="G15" s="2723"/>
      <c r="H15" s="2869"/>
      <c r="I15" s="2723"/>
      <c r="J15" s="2869"/>
      <c r="K15" s="2742"/>
      <c r="L15" s="2911"/>
      <c r="M15" s="2742"/>
      <c r="N15" s="2742"/>
      <c r="O15" s="2742"/>
      <c r="P15" s="2491"/>
      <c r="Q15" s="2919"/>
      <c r="R15" s="2866"/>
      <c r="S15" s="2914"/>
      <c r="T15" s="2915"/>
      <c r="U15" s="2872"/>
      <c r="V15" s="2550" t="s">
        <v>3048</v>
      </c>
      <c r="W15" s="2070">
        <v>15400000</v>
      </c>
      <c r="X15" s="1805" t="s">
        <v>3043</v>
      </c>
      <c r="Y15" s="1917">
        <v>20</v>
      </c>
      <c r="Z15" s="1800" t="s">
        <v>2351</v>
      </c>
      <c r="AA15" s="2913"/>
      <c r="AB15" s="2913"/>
      <c r="AC15" s="2913"/>
      <c r="AD15" s="2913"/>
      <c r="AE15" s="2913"/>
      <c r="AF15" s="2913"/>
      <c r="AG15" s="2913"/>
      <c r="AH15" s="2913"/>
      <c r="AI15" s="2913"/>
      <c r="AJ15" s="2913"/>
      <c r="AK15" s="2913"/>
      <c r="AL15" s="2913"/>
      <c r="AM15" s="2913"/>
      <c r="AN15" s="2913"/>
      <c r="AO15" s="2913"/>
      <c r="AP15" s="2913"/>
      <c r="AQ15" s="2877"/>
      <c r="AR15" s="2841"/>
      <c r="AS15" s="2843"/>
    </row>
    <row r="16" spans="1:65" s="1866" customFormat="1" ht="60.75" customHeight="1" x14ac:dyDescent="0.25">
      <c r="A16" s="2798"/>
      <c r="B16" s="2670"/>
      <c r="C16" s="1915"/>
      <c r="D16" s="1916"/>
      <c r="E16" s="2879"/>
      <c r="F16" s="2879"/>
      <c r="G16" s="2723"/>
      <c r="H16" s="2869"/>
      <c r="I16" s="2723"/>
      <c r="J16" s="2869"/>
      <c r="K16" s="2742"/>
      <c r="L16" s="2911"/>
      <c r="M16" s="2742"/>
      <c r="N16" s="2742"/>
      <c r="O16" s="2742"/>
      <c r="P16" s="2491"/>
      <c r="Q16" s="2919"/>
      <c r="R16" s="2866"/>
      <c r="S16" s="2914"/>
      <c r="T16" s="2915"/>
      <c r="U16" s="2872"/>
      <c r="V16" s="2551"/>
      <c r="W16" s="2070">
        <v>10000000</v>
      </c>
      <c r="X16" s="1805" t="s">
        <v>3045</v>
      </c>
      <c r="Y16" s="1917">
        <v>88</v>
      </c>
      <c r="Z16" s="1800" t="s">
        <v>3046</v>
      </c>
      <c r="AA16" s="2913"/>
      <c r="AB16" s="2913"/>
      <c r="AC16" s="2913"/>
      <c r="AD16" s="2913"/>
      <c r="AE16" s="2913"/>
      <c r="AF16" s="2913"/>
      <c r="AG16" s="2913"/>
      <c r="AH16" s="2913"/>
      <c r="AI16" s="2913"/>
      <c r="AJ16" s="2913"/>
      <c r="AK16" s="2913"/>
      <c r="AL16" s="2913"/>
      <c r="AM16" s="2913"/>
      <c r="AN16" s="2913"/>
      <c r="AO16" s="2913"/>
      <c r="AP16" s="2913"/>
      <c r="AQ16" s="2877"/>
      <c r="AR16" s="2841"/>
      <c r="AS16" s="2843"/>
    </row>
    <row r="17" spans="1:45" s="1866" customFormat="1" ht="52.5" customHeight="1" x14ac:dyDescent="0.25">
      <c r="A17" s="2798"/>
      <c r="B17" s="2670"/>
      <c r="C17" s="1915"/>
      <c r="D17" s="1916"/>
      <c r="E17" s="2879"/>
      <c r="F17" s="2879"/>
      <c r="G17" s="2723"/>
      <c r="H17" s="2869"/>
      <c r="I17" s="2723"/>
      <c r="J17" s="2869"/>
      <c r="K17" s="2742"/>
      <c r="L17" s="2911"/>
      <c r="M17" s="2742"/>
      <c r="N17" s="2742"/>
      <c r="O17" s="2742"/>
      <c r="P17" s="2491"/>
      <c r="Q17" s="2919"/>
      <c r="R17" s="2866"/>
      <c r="S17" s="2914"/>
      <c r="T17" s="2915"/>
      <c r="U17" s="2872"/>
      <c r="V17" s="689" t="s">
        <v>3049</v>
      </c>
      <c r="W17" s="2070">
        <v>2000000</v>
      </c>
      <c r="X17" s="1805" t="s">
        <v>3050</v>
      </c>
      <c r="Y17" s="1917">
        <v>20</v>
      </c>
      <c r="Z17" s="1800" t="s">
        <v>2351</v>
      </c>
      <c r="AA17" s="2913"/>
      <c r="AB17" s="2913"/>
      <c r="AC17" s="2913"/>
      <c r="AD17" s="2913"/>
      <c r="AE17" s="2913"/>
      <c r="AF17" s="2913"/>
      <c r="AG17" s="2913"/>
      <c r="AH17" s="2913"/>
      <c r="AI17" s="2913"/>
      <c r="AJ17" s="2913"/>
      <c r="AK17" s="2913"/>
      <c r="AL17" s="2913"/>
      <c r="AM17" s="2913"/>
      <c r="AN17" s="2913"/>
      <c r="AO17" s="2913"/>
      <c r="AP17" s="2913"/>
      <c r="AQ17" s="2877"/>
      <c r="AR17" s="2841"/>
      <c r="AS17" s="2843"/>
    </row>
    <row r="18" spans="1:45" s="1866" customFormat="1" ht="45" x14ac:dyDescent="0.25">
      <c r="A18" s="2798"/>
      <c r="B18" s="2670"/>
      <c r="C18" s="1915"/>
      <c r="D18" s="1916"/>
      <c r="E18" s="2879"/>
      <c r="F18" s="2879"/>
      <c r="G18" s="2723"/>
      <c r="H18" s="2869"/>
      <c r="I18" s="2723"/>
      <c r="J18" s="2869"/>
      <c r="K18" s="2742"/>
      <c r="L18" s="2911"/>
      <c r="M18" s="2742"/>
      <c r="N18" s="2742"/>
      <c r="O18" s="2742"/>
      <c r="P18" s="2491"/>
      <c r="Q18" s="2919"/>
      <c r="R18" s="2866"/>
      <c r="S18" s="2914"/>
      <c r="T18" s="2915"/>
      <c r="U18" s="2872"/>
      <c r="V18" s="1918" t="s">
        <v>3051</v>
      </c>
      <c r="W18" s="2070">
        <v>3000000</v>
      </c>
      <c r="X18" s="1805" t="s">
        <v>3050</v>
      </c>
      <c r="Y18" s="1917">
        <v>20</v>
      </c>
      <c r="Z18" s="1800" t="s">
        <v>2351</v>
      </c>
      <c r="AA18" s="2913"/>
      <c r="AB18" s="2913"/>
      <c r="AC18" s="2913"/>
      <c r="AD18" s="2913"/>
      <c r="AE18" s="2913"/>
      <c r="AF18" s="2913"/>
      <c r="AG18" s="2913"/>
      <c r="AH18" s="2913"/>
      <c r="AI18" s="2913"/>
      <c r="AJ18" s="2913"/>
      <c r="AK18" s="2913"/>
      <c r="AL18" s="2913"/>
      <c r="AM18" s="2913"/>
      <c r="AN18" s="2913"/>
      <c r="AO18" s="2913"/>
      <c r="AP18" s="2913"/>
      <c r="AQ18" s="2877"/>
      <c r="AR18" s="2841"/>
      <c r="AS18" s="2843"/>
    </row>
    <row r="19" spans="1:45" s="1866" customFormat="1" ht="64.5" customHeight="1" x14ac:dyDescent="0.25">
      <c r="A19" s="2798"/>
      <c r="B19" s="2670"/>
      <c r="C19" s="1915"/>
      <c r="D19" s="1916"/>
      <c r="E19" s="2879"/>
      <c r="F19" s="2879"/>
      <c r="G19" s="2723"/>
      <c r="H19" s="2869"/>
      <c r="I19" s="2723"/>
      <c r="J19" s="2869"/>
      <c r="K19" s="2742"/>
      <c r="L19" s="2911"/>
      <c r="M19" s="2742"/>
      <c r="N19" s="2742"/>
      <c r="O19" s="2742"/>
      <c r="P19" s="2491"/>
      <c r="Q19" s="2919"/>
      <c r="R19" s="2866"/>
      <c r="S19" s="2914"/>
      <c r="T19" s="2915"/>
      <c r="U19" s="2872"/>
      <c r="V19" s="1918" t="s">
        <v>3052</v>
      </c>
      <c r="W19" s="2071">
        <v>2800000</v>
      </c>
      <c r="X19" s="1805" t="s">
        <v>3043</v>
      </c>
      <c r="Y19" s="1919">
        <v>20</v>
      </c>
      <c r="Z19" s="1801" t="s">
        <v>2351</v>
      </c>
      <c r="AA19" s="2913"/>
      <c r="AB19" s="2913"/>
      <c r="AC19" s="2913"/>
      <c r="AD19" s="2913"/>
      <c r="AE19" s="2913"/>
      <c r="AF19" s="2913"/>
      <c r="AG19" s="2913"/>
      <c r="AH19" s="2913"/>
      <c r="AI19" s="2913"/>
      <c r="AJ19" s="2913"/>
      <c r="AK19" s="2913"/>
      <c r="AL19" s="2913"/>
      <c r="AM19" s="2913"/>
      <c r="AN19" s="2913"/>
      <c r="AO19" s="2913"/>
      <c r="AP19" s="2913"/>
      <c r="AQ19" s="2877"/>
      <c r="AR19" s="2841"/>
      <c r="AS19" s="2843"/>
    </row>
    <row r="20" spans="1:45" s="1866" customFormat="1" ht="60" customHeight="1" x14ac:dyDescent="0.25">
      <c r="A20" s="2798"/>
      <c r="B20" s="2670"/>
      <c r="C20" s="1915"/>
      <c r="D20" s="1916"/>
      <c r="E20" s="2879"/>
      <c r="F20" s="2880"/>
      <c r="G20" s="2723"/>
      <c r="H20" s="2906"/>
      <c r="I20" s="2723"/>
      <c r="J20" s="2906"/>
      <c r="K20" s="2894"/>
      <c r="L20" s="2912"/>
      <c r="M20" s="2894"/>
      <c r="N20" s="2894"/>
      <c r="O20" s="2894"/>
      <c r="P20" s="2917"/>
      <c r="Q20" s="2920"/>
      <c r="R20" s="2866"/>
      <c r="S20" s="2914"/>
      <c r="T20" s="2915"/>
      <c r="U20" s="2887"/>
      <c r="V20" s="1920" t="s">
        <v>3053</v>
      </c>
      <c r="W20" s="2072">
        <v>60000000</v>
      </c>
      <c r="X20" s="1813" t="s">
        <v>3043</v>
      </c>
      <c r="Y20" s="1921">
        <v>20</v>
      </c>
      <c r="Z20" s="1799" t="s">
        <v>2351</v>
      </c>
      <c r="AA20" s="2916"/>
      <c r="AB20" s="2913"/>
      <c r="AC20" s="2913"/>
      <c r="AD20" s="2913"/>
      <c r="AE20" s="2913"/>
      <c r="AF20" s="2913"/>
      <c r="AG20" s="2913"/>
      <c r="AH20" s="2913"/>
      <c r="AI20" s="2913"/>
      <c r="AJ20" s="2913"/>
      <c r="AK20" s="2913"/>
      <c r="AL20" s="2913"/>
      <c r="AM20" s="2913"/>
      <c r="AN20" s="2913"/>
      <c r="AO20" s="2913"/>
      <c r="AP20" s="2913"/>
      <c r="AQ20" s="2877"/>
      <c r="AR20" s="2841"/>
      <c r="AS20" s="2843"/>
    </row>
    <row r="21" spans="1:45" s="1866" customFormat="1" ht="35.1" customHeight="1" x14ac:dyDescent="0.25">
      <c r="A21" s="2798"/>
      <c r="B21" s="2670"/>
      <c r="C21" s="1915"/>
      <c r="D21" s="1916"/>
      <c r="E21" s="1922">
        <v>1203</v>
      </c>
      <c r="F21" s="2901" t="s">
        <v>3054</v>
      </c>
      <c r="G21" s="2902"/>
      <c r="H21" s="2902"/>
      <c r="I21" s="2902"/>
      <c r="J21" s="2902"/>
      <c r="K21" s="2902"/>
      <c r="L21" s="2902"/>
      <c r="M21" s="2902"/>
      <c r="N21" s="2902"/>
      <c r="O21" s="1923"/>
      <c r="P21" s="1924"/>
      <c r="Q21" s="1910"/>
      <c r="R21" s="1911"/>
      <c r="S21" s="2129"/>
      <c r="T21" s="1910"/>
      <c r="U21" s="1910"/>
      <c r="V21" s="1910"/>
      <c r="W21" s="2073"/>
      <c r="X21" s="1923"/>
      <c r="Y21" s="1923"/>
      <c r="Z21" s="1923"/>
      <c r="AA21" s="1911"/>
      <c r="AB21" s="1911"/>
      <c r="AC21" s="1911"/>
      <c r="AD21" s="1911"/>
      <c r="AE21" s="1911"/>
      <c r="AF21" s="1911"/>
      <c r="AG21" s="1911"/>
      <c r="AH21" s="1911"/>
      <c r="AI21" s="1911"/>
      <c r="AJ21" s="1911"/>
      <c r="AK21" s="1911"/>
      <c r="AL21" s="1911"/>
      <c r="AM21" s="1911"/>
      <c r="AN21" s="1911"/>
      <c r="AO21" s="1911"/>
      <c r="AP21" s="1911"/>
      <c r="AQ21" s="1911"/>
      <c r="AR21" s="1911"/>
      <c r="AS21" s="1914"/>
    </row>
    <row r="22" spans="1:45" s="1866" customFormat="1" ht="108" customHeight="1" x14ac:dyDescent="0.25">
      <c r="A22" s="2798"/>
      <c r="B22" s="2670"/>
      <c r="C22" s="1915"/>
      <c r="D22" s="1916"/>
      <c r="E22" s="2879"/>
      <c r="F22" s="2903"/>
      <c r="G22" s="2904">
        <v>1203002</v>
      </c>
      <c r="H22" s="2905" t="s">
        <v>3055</v>
      </c>
      <c r="I22" s="2904">
        <v>1203002</v>
      </c>
      <c r="J22" s="2905" t="s">
        <v>3055</v>
      </c>
      <c r="K22" s="2907">
        <v>120300200</v>
      </c>
      <c r="L22" s="2910" t="s">
        <v>3056</v>
      </c>
      <c r="M22" s="2907">
        <v>120300200</v>
      </c>
      <c r="N22" s="2893" t="s">
        <v>3056</v>
      </c>
      <c r="O22" s="2895">
        <v>40</v>
      </c>
      <c r="P22" s="2740" t="s">
        <v>3057</v>
      </c>
      <c r="Q22" s="2732" t="s">
        <v>3058</v>
      </c>
      <c r="R22" s="2897">
        <f>S22/SUM(W22:W24)</f>
        <v>1</v>
      </c>
      <c r="S22" s="2900">
        <f>SUM(W22:W24)</f>
        <v>69028401</v>
      </c>
      <c r="T22" s="2752" t="s">
        <v>3059</v>
      </c>
      <c r="U22" s="2871" t="s">
        <v>3060</v>
      </c>
      <c r="V22" s="2888" t="s">
        <v>3061</v>
      </c>
      <c r="W22" s="2074">
        <v>7000000</v>
      </c>
      <c r="X22" s="1805" t="s">
        <v>3062</v>
      </c>
      <c r="Y22" s="1925">
        <v>20</v>
      </c>
      <c r="Z22" s="1926" t="s">
        <v>2351</v>
      </c>
      <c r="AA22" s="2890">
        <v>291786</v>
      </c>
      <c r="AB22" s="2884">
        <v>270331</v>
      </c>
      <c r="AC22" s="2884">
        <v>102045</v>
      </c>
      <c r="AD22" s="2884">
        <v>39183</v>
      </c>
      <c r="AE22" s="2884">
        <v>310195</v>
      </c>
      <c r="AF22" s="2884">
        <v>110694</v>
      </c>
      <c r="AG22" s="2884">
        <v>2145</v>
      </c>
      <c r="AH22" s="2884">
        <v>12718</v>
      </c>
      <c r="AI22" s="2884">
        <v>26</v>
      </c>
      <c r="AJ22" s="2884">
        <v>37</v>
      </c>
      <c r="AK22" s="2884">
        <v>0</v>
      </c>
      <c r="AL22" s="2884">
        <v>0</v>
      </c>
      <c r="AM22" s="2884">
        <v>44350</v>
      </c>
      <c r="AN22" s="2884">
        <v>21944</v>
      </c>
      <c r="AO22" s="2884">
        <v>75687</v>
      </c>
      <c r="AP22" s="2874">
        <f>AA22+AB22</f>
        <v>562117</v>
      </c>
      <c r="AQ22" s="2877">
        <v>43832</v>
      </c>
      <c r="AR22" s="2877">
        <v>44195</v>
      </c>
      <c r="AS22" s="2878" t="s">
        <v>3063</v>
      </c>
    </row>
    <row r="23" spans="1:45" s="1866" customFormat="1" ht="108" customHeight="1" x14ac:dyDescent="0.25">
      <c r="A23" s="2798"/>
      <c r="B23" s="2670"/>
      <c r="C23" s="1915"/>
      <c r="D23" s="1916"/>
      <c r="E23" s="2879"/>
      <c r="F23" s="2879"/>
      <c r="G23" s="2904"/>
      <c r="H23" s="2869"/>
      <c r="I23" s="2904"/>
      <c r="J23" s="2869"/>
      <c r="K23" s="2908"/>
      <c r="L23" s="2911"/>
      <c r="M23" s="2908"/>
      <c r="N23" s="2742"/>
      <c r="O23" s="2739"/>
      <c r="P23" s="2739"/>
      <c r="Q23" s="2745"/>
      <c r="R23" s="2898"/>
      <c r="S23" s="2900"/>
      <c r="T23" s="2724"/>
      <c r="U23" s="2872"/>
      <c r="V23" s="2889"/>
      <c r="W23" s="2074">
        <v>33028401</v>
      </c>
      <c r="X23" s="1805" t="s">
        <v>3064</v>
      </c>
      <c r="Y23" s="1917">
        <v>88</v>
      </c>
      <c r="Z23" s="1800" t="s">
        <v>3046</v>
      </c>
      <c r="AA23" s="2891"/>
      <c r="AB23" s="2885"/>
      <c r="AC23" s="2885"/>
      <c r="AD23" s="2885"/>
      <c r="AE23" s="2885"/>
      <c r="AF23" s="2885"/>
      <c r="AG23" s="2885"/>
      <c r="AH23" s="2885"/>
      <c r="AI23" s="2885"/>
      <c r="AJ23" s="2885"/>
      <c r="AK23" s="2885"/>
      <c r="AL23" s="2885"/>
      <c r="AM23" s="2885"/>
      <c r="AN23" s="2885"/>
      <c r="AO23" s="2885"/>
      <c r="AP23" s="2875"/>
      <c r="AQ23" s="2877"/>
      <c r="AR23" s="2877"/>
      <c r="AS23" s="2878"/>
    </row>
    <row r="24" spans="1:45" s="1866" customFormat="1" ht="48" customHeight="1" x14ac:dyDescent="0.25">
      <c r="A24" s="2798"/>
      <c r="B24" s="2670"/>
      <c r="C24" s="1915"/>
      <c r="D24" s="1916"/>
      <c r="E24" s="2879"/>
      <c r="F24" s="2880"/>
      <c r="G24" s="2904"/>
      <c r="H24" s="2906"/>
      <c r="I24" s="2904"/>
      <c r="J24" s="2906"/>
      <c r="K24" s="2909"/>
      <c r="L24" s="2912"/>
      <c r="M24" s="2909"/>
      <c r="N24" s="2894"/>
      <c r="O24" s="2896"/>
      <c r="P24" s="2738"/>
      <c r="Q24" s="2744"/>
      <c r="R24" s="2899"/>
      <c r="S24" s="2900"/>
      <c r="T24" s="2725"/>
      <c r="U24" s="2887"/>
      <c r="V24" s="1927" t="s">
        <v>3065</v>
      </c>
      <c r="W24" s="2074">
        <v>29000000</v>
      </c>
      <c r="X24" s="1805" t="s">
        <v>3062</v>
      </c>
      <c r="Y24" s="1925">
        <v>20</v>
      </c>
      <c r="Z24" s="1926" t="s">
        <v>2351</v>
      </c>
      <c r="AA24" s="2892"/>
      <c r="AB24" s="2886"/>
      <c r="AC24" s="2886"/>
      <c r="AD24" s="2886"/>
      <c r="AE24" s="2886"/>
      <c r="AF24" s="2886"/>
      <c r="AG24" s="2886"/>
      <c r="AH24" s="2886"/>
      <c r="AI24" s="2886"/>
      <c r="AJ24" s="2886"/>
      <c r="AK24" s="2886"/>
      <c r="AL24" s="2886"/>
      <c r="AM24" s="2886"/>
      <c r="AN24" s="2886"/>
      <c r="AO24" s="2886"/>
      <c r="AP24" s="2876"/>
      <c r="AQ24" s="2877"/>
      <c r="AR24" s="2877"/>
      <c r="AS24" s="2878"/>
    </row>
    <row r="25" spans="1:45" s="1866" customFormat="1" ht="32.1" customHeight="1" x14ac:dyDescent="0.25">
      <c r="A25" s="2798"/>
      <c r="B25" s="2670"/>
      <c r="C25" s="1915"/>
      <c r="D25" s="1916"/>
      <c r="E25" s="1922">
        <v>1206</v>
      </c>
      <c r="F25" s="2815" t="s">
        <v>3066</v>
      </c>
      <c r="G25" s="2163"/>
      <c r="H25" s="2163"/>
      <c r="I25" s="2163"/>
      <c r="J25" s="2163"/>
      <c r="K25" s="2163"/>
      <c r="L25" s="2163"/>
      <c r="M25" s="2163"/>
      <c r="N25" s="2163"/>
      <c r="O25" s="1924"/>
      <c r="P25" s="1911"/>
      <c r="Q25" s="1910"/>
      <c r="R25" s="1911"/>
      <c r="S25" s="2129"/>
      <c r="T25" s="1910"/>
      <c r="U25" s="1910"/>
      <c r="V25" s="1910"/>
      <c r="W25" s="2075"/>
      <c r="X25" s="1923"/>
      <c r="Y25" s="1923"/>
      <c r="Z25" s="1924"/>
      <c r="AA25" s="1911"/>
      <c r="AB25" s="1911"/>
      <c r="AC25" s="1911"/>
      <c r="AD25" s="1911"/>
      <c r="AE25" s="1911"/>
      <c r="AF25" s="1911"/>
      <c r="AG25" s="1911"/>
      <c r="AH25" s="1911"/>
      <c r="AI25" s="1911"/>
      <c r="AJ25" s="1911"/>
      <c r="AK25" s="1911"/>
      <c r="AL25" s="1911"/>
      <c r="AM25" s="1911"/>
      <c r="AN25" s="1911"/>
      <c r="AO25" s="1911"/>
      <c r="AP25" s="1911"/>
      <c r="AQ25" s="1913"/>
      <c r="AR25" s="1913"/>
      <c r="AS25" s="1928"/>
    </row>
    <row r="26" spans="1:45" s="1866" customFormat="1" ht="93" customHeight="1" x14ac:dyDescent="0.25">
      <c r="A26" s="2798"/>
      <c r="B26" s="2670"/>
      <c r="C26" s="1915"/>
      <c r="D26" s="1916"/>
      <c r="E26" s="2879"/>
      <c r="F26" s="2879"/>
      <c r="G26" s="2881">
        <v>1206005</v>
      </c>
      <c r="H26" s="2724" t="s">
        <v>3067</v>
      </c>
      <c r="I26" s="2881">
        <v>1206005</v>
      </c>
      <c r="J26" s="2724" t="s">
        <v>3067</v>
      </c>
      <c r="K26" s="2739">
        <v>120600500</v>
      </c>
      <c r="L26" s="2745" t="s">
        <v>3068</v>
      </c>
      <c r="M26" s="2739">
        <v>120600500</v>
      </c>
      <c r="N26" s="2739" t="s">
        <v>3068</v>
      </c>
      <c r="O26" s="2743">
        <v>20</v>
      </c>
      <c r="P26" s="2740" t="s">
        <v>3069</v>
      </c>
      <c r="Q26" s="2312" t="s">
        <v>3070</v>
      </c>
      <c r="R26" s="2866">
        <f>S26/SUM(W26:W30)</f>
        <v>1</v>
      </c>
      <c r="S26" s="2867">
        <f>SUM(W26:W30)</f>
        <v>36000000</v>
      </c>
      <c r="T26" s="2868" t="s">
        <v>3071</v>
      </c>
      <c r="U26" s="2871" t="s">
        <v>3072</v>
      </c>
      <c r="V26" s="1929" t="s">
        <v>3073</v>
      </c>
      <c r="W26" s="2076">
        <f>20000000-20000000</f>
        <v>0</v>
      </c>
      <c r="X26" s="1805" t="s">
        <v>3074</v>
      </c>
      <c r="Y26" s="1925">
        <v>20</v>
      </c>
      <c r="Z26" s="1930" t="s">
        <v>2351</v>
      </c>
      <c r="AA26" s="2863">
        <v>290</v>
      </c>
      <c r="AB26" s="2703">
        <v>1260</v>
      </c>
      <c r="AC26" s="2703"/>
      <c r="AD26" s="2703">
        <v>150</v>
      </c>
      <c r="AE26" s="2703">
        <v>1350</v>
      </c>
      <c r="AF26" s="2703">
        <v>50</v>
      </c>
      <c r="AG26" s="2703"/>
      <c r="AH26" s="2703"/>
      <c r="AI26" s="2703"/>
      <c r="AJ26" s="2703"/>
      <c r="AK26" s="2703"/>
      <c r="AL26" s="2703"/>
      <c r="AM26" s="2703"/>
      <c r="AN26" s="2703"/>
      <c r="AO26" s="2811"/>
      <c r="AP26" s="2861">
        <f>AC26+AD26+AE26+AF26</f>
        <v>1550</v>
      </c>
      <c r="AQ26" s="2862">
        <v>44198</v>
      </c>
      <c r="AR26" s="2769">
        <v>44195</v>
      </c>
      <c r="AS26" s="2757" t="s">
        <v>3063</v>
      </c>
    </row>
    <row r="27" spans="1:45" s="1866" customFormat="1" ht="93" customHeight="1" x14ac:dyDescent="0.25">
      <c r="A27" s="2798"/>
      <c r="B27" s="2670"/>
      <c r="C27" s="1915"/>
      <c r="D27" s="1916"/>
      <c r="E27" s="2879"/>
      <c r="F27" s="2879"/>
      <c r="G27" s="2882"/>
      <c r="H27" s="2724"/>
      <c r="I27" s="2882"/>
      <c r="J27" s="2724"/>
      <c r="K27" s="2739"/>
      <c r="L27" s="2745"/>
      <c r="M27" s="2739"/>
      <c r="N27" s="2739"/>
      <c r="O27" s="2742"/>
      <c r="P27" s="2739"/>
      <c r="Q27" s="2312"/>
      <c r="R27" s="2866"/>
      <c r="S27" s="2867"/>
      <c r="T27" s="2869"/>
      <c r="U27" s="2872"/>
      <c r="V27" s="2853" t="s">
        <v>3075</v>
      </c>
      <c r="W27" s="2077">
        <f>10000000+20000000</f>
        <v>30000000</v>
      </c>
      <c r="X27" s="1805" t="s">
        <v>3074</v>
      </c>
      <c r="Y27" s="2855">
        <v>20</v>
      </c>
      <c r="Z27" s="2856" t="s">
        <v>2351</v>
      </c>
      <c r="AA27" s="2864"/>
      <c r="AB27" s="2704"/>
      <c r="AC27" s="2704"/>
      <c r="AD27" s="2704"/>
      <c r="AE27" s="2704"/>
      <c r="AF27" s="2704"/>
      <c r="AG27" s="2704"/>
      <c r="AH27" s="2704"/>
      <c r="AI27" s="2704"/>
      <c r="AJ27" s="2704"/>
      <c r="AK27" s="2704"/>
      <c r="AL27" s="2704"/>
      <c r="AM27" s="2704"/>
      <c r="AN27" s="2704"/>
      <c r="AO27" s="2812"/>
      <c r="AP27" s="2861"/>
      <c r="AQ27" s="2862"/>
      <c r="AR27" s="2769"/>
      <c r="AS27" s="2757"/>
    </row>
    <row r="28" spans="1:45" s="1866" customFormat="1" ht="93" customHeight="1" x14ac:dyDescent="0.25">
      <c r="A28" s="2798"/>
      <c r="B28" s="2670"/>
      <c r="C28" s="1915"/>
      <c r="D28" s="1916"/>
      <c r="E28" s="2879"/>
      <c r="F28" s="2879"/>
      <c r="G28" s="2882"/>
      <c r="H28" s="2724"/>
      <c r="I28" s="2882"/>
      <c r="J28" s="2724"/>
      <c r="K28" s="2739"/>
      <c r="L28" s="2745"/>
      <c r="M28" s="2739"/>
      <c r="N28" s="2739"/>
      <c r="O28" s="2742"/>
      <c r="P28" s="2739"/>
      <c r="Q28" s="2312"/>
      <c r="R28" s="2866"/>
      <c r="S28" s="2867"/>
      <c r="T28" s="2869"/>
      <c r="U28" s="2872"/>
      <c r="V28" s="2854"/>
      <c r="W28" s="2077">
        <v>3000000</v>
      </c>
      <c r="X28" s="1805" t="s">
        <v>3076</v>
      </c>
      <c r="Y28" s="2855"/>
      <c r="Z28" s="2857"/>
      <c r="AA28" s="2864"/>
      <c r="AB28" s="2704"/>
      <c r="AC28" s="2704"/>
      <c r="AD28" s="2704"/>
      <c r="AE28" s="2704"/>
      <c r="AF28" s="2704"/>
      <c r="AG28" s="2704"/>
      <c r="AH28" s="2704"/>
      <c r="AI28" s="2704"/>
      <c r="AJ28" s="2704"/>
      <c r="AK28" s="2704"/>
      <c r="AL28" s="2704"/>
      <c r="AM28" s="2704"/>
      <c r="AN28" s="2704"/>
      <c r="AO28" s="2812"/>
      <c r="AP28" s="2861"/>
      <c r="AQ28" s="2862"/>
      <c r="AR28" s="2769"/>
      <c r="AS28" s="2757"/>
    </row>
    <row r="29" spans="1:45" s="1866" customFormat="1" ht="65.25" customHeight="1" x14ac:dyDescent="0.25">
      <c r="A29" s="2798"/>
      <c r="B29" s="2670"/>
      <c r="C29" s="1915"/>
      <c r="D29" s="1916"/>
      <c r="E29" s="2879"/>
      <c r="F29" s="2879"/>
      <c r="G29" s="2882"/>
      <c r="H29" s="2724"/>
      <c r="I29" s="2882"/>
      <c r="J29" s="2724"/>
      <c r="K29" s="2739"/>
      <c r="L29" s="2745"/>
      <c r="M29" s="2739"/>
      <c r="N29" s="2739"/>
      <c r="O29" s="2742"/>
      <c r="P29" s="2739"/>
      <c r="Q29" s="2312"/>
      <c r="R29" s="2866"/>
      <c r="S29" s="2867"/>
      <c r="T29" s="2869"/>
      <c r="U29" s="2872"/>
      <c r="V29" s="2854"/>
      <c r="W29" s="2078">
        <v>2900000</v>
      </c>
      <c r="X29" s="1805" t="s">
        <v>3077</v>
      </c>
      <c r="Y29" s="2855"/>
      <c r="Z29" s="2858"/>
      <c r="AA29" s="2864"/>
      <c r="AB29" s="2704"/>
      <c r="AC29" s="2704"/>
      <c r="AD29" s="2704"/>
      <c r="AE29" s="2704"/>
      <c r="AF29" s="2704"/>
      <c r="AG29" s="2704"/>
      <c r="AH29" s="2704"/>
      <c r="AI29" s="2704"/>
      <c r="AJ29" s="2704"/>
      <c r="AK29" s="2704"/>
      <c r="AL29" s="2704"/>
      <c r="AM29" s="2704"/>
      <c r="AN29" s="2704"/>
      <c r="AO29" s="2812"/>
      <c r="AP29" s="2861"/>
      <c r="AQ29" s="2862"/>
      <c r="AR29" s="2769"/>
      <c r="AS29" s="2757"/>
    </row>
    <row r="30" spans="1:45" s="1866" customFormat="1" ht="63.95" customHeight="1" x14ac:dyDescent="0.25">
      <c r="A30" s="2798"/>
      <c r="B30" s="2670"/>
      <c r="C30" s="1931"/>
      <c r="D30" s="1932"/>
      <c r="E30" s="2880"/>
      <c r="F30" s="2880"/>
      <c r="G30" s="2882"/>
      <c r="H30" s="2883"/>
      <c r="I30" s="2882"/>
      <c r="J30" s="2725"/>
      <c r="K30" s="2738"/>
      <c r="L30" s="2744"/>
      <c r="M30" s="2738"/>
      <c r="N30" s="2738"/>
      <c r="O30" s="2741"/>
      <c r="P30" s="2738"/>
      <c r="Q30" s="2312"/>
      <c r="R30" s="2866"/>
      <c r="S30" s="2867"/>
      <c r="T30" s="2870"/>
      <c r="U30" s="2873"/>
      <c r="V30" s="1933" t="s">
        <v>3078</v>
      </c>
      <c r="W30" s="2079">
        <v>100000</v>
      </c>
      <c r="X30" s="1813" t="s">
        <v>3077</v>
      </c>
      <c r="Y30" s="1921">
        <v>20</v>
      </c>
      <c r="Z30" s="1930" t="s">
        <v>2351</v>
      </c>
      <c r="AA30" s="2865"/>
      <c r="AB30" s="2859"/>
      <c r="AC30" s="2859"/>
      <c r="AD30" s="2859"/>
      <c r="AE30" s="2859"/>
      <c r="AF30" s="2859"/>
      <c r="AG30" s="2859"/>
      <c r="AH30" s="2859"/>
      <c r="AI30" s="2859"/>
      <c r="AJ30" s="2859"/>
      <c r="AK30" s="2859"/>
      <c r="AL30" s="2859"/>
      <c r="AM30" s="2859"/>
      <c r="AN30" s="2859"/>
      <c r="AO30" s="2860"/>
      <c r="AP30" s="2861"/>
      <c r="AQ30" s="2862"/>
      <c r="AR30" s="2769"/>
      <c r="AS30" s="2757"/>
    </row>
    <row r="31" spans="1:45" ht="31.5" customHeight="1" x14ac:dyDescent="0.25">
      <c r="A31" s="48"/>
      <c r="B31" s="67"/>
      <c r="C31" s="1934">
        <v>22</v>
      </c>
      <c r="D31" s="2399" t="s">
        <v>423</v>
      </c>
      <c r="E31" s="2797"/>
      <c r="F31" s="2797"/>
      <c r="G31" s="2797"/>
      <c r="H31" s="1935"/>
      <c r="I31" s="1936"/>
      <c r="J31" s="1935"/>
      <c r="K31" s="1937"/>
      <c r="L31" s="1935"/>
      <c r="M31" s="1937"/>
      <c r="N31" s="1937"/>
      <c r="O31" s="1937"/>
      <c r="P31" s="1937"/>
      <c r="Q31" s="1938"/>
      <c r="R31" s="1939"/>
      <c r="S31" s="2130"/>
      <c r="T31" s="1935"/>
      <c r="U31" s="1940"/>
      <c r="V31" s="1941"/>
      <c r="W31" s="2080"/>
      <c r="X31" s="1942"/>
      <c r="Y31" s="1943"/>
      <c r="Z31" s="1944"/>
      <c r="AA31" s="1945"/>
      <c r="AB31" s="1945"/>
      <c r="AC31" s="1945"/>
      <c r="AD31" s="1945"/>
      <c r="AE31" s="1945"/>
      <c r="AF31" s="1945"/>
      <c r="AG31" s="1945"/>
      <c r="AH31" s="1945"/>
      <c r="AI31" s="1945"/>
      <c r="AJ31" s="1945"/>
      <c r="AK31" s="1945"/>
      <c r="AL31" s="1945"/>
      <c r="AM31" s="1945"/>
      <c r="AN31" s="1945"/>
      <c r="AO31" s="1945"/>
      <c r="AP31" s="1946"/>
      <c r="AQ31" s="1947"/>
      <c r="AR31" s="1947"/>
      <c r="AS31" s="1948"/>
    </row>
    <row r="32" spans="1:45" s="1866" customFormat="1" ht="39.950000000000003" customHeight="1" x14ac:dyDescent="0.25">
      <c r="A32" s="1949"/>
      <c r="B32" s="1916"/>
      <c r="C32" s="1915"/>
      <c r="D32" s="1908"/>
      <c r="E32" s="1005">
        <v>2201</v>
      </c>
      <c r="F32" s="2162" t="s">
        <v>2638</v>
      </c>
      <c r="G32" s="2163"/>
      <c r="H32" s="2163"/>
      <c r="I32" s="2163"/>
      <c r="J32" s="2163"/>
      <c r="K32" s="2163"/>
      <c r="L32" s="2163"/>
      <c r="M32" s="2163"/>
      <c r="N32" s="2163"/>
      <c r="O32" s="1911"/>
      <c r="P32" s="1911"/>
      <c r="Q32" s="1910"/>
      <c r="R32" s="1911"/>
      <c r="S32" s="2129"/>
      <c r="T32" s="1910"/>
      <c r="U32" s="1910"/>
      <c r="V32" s="1910"/>
      <c r="W32" s="2081"/>
      <c r="X32" s="1913"/>
      <c r="Y32" s="1913"/>
      <c r="Z32" s="1913"/>
      <c r="AA32" s="1911"/>
      <c r="AB32" s="1911"/>
      <c r="AC32" s="1911"/>
      <c r="AD32" s="1911"/>
      <c r="AE32" s="1911"/>
      <c r="AF32" s="1911"/>
      <c r="AG32" s="1911"/>
      <c r="AH32" s="1911"/>
      <c r="AI32" s="1911"/>
      <c r="AJ32" s="1911"/>
      <c r="AK32" s="1911"/>
      <c r="AL32" s="1911"/>
      <c r="AM32" s="1911"/>
      <c r="AN32" s="1911"/>
      <c r="AO32" s="1911"/>
      <c r="AP32" s="1911"/>
      <c r="AQ32" s="1911"/>
      <c r="AR32" s="1911"/>
      <c r="AS32" s="1914"/>
    </row>
    <row r="33" spans="1:45" s="1866" customFormat="1" ht="53.25" customHeight="1" x14ac:dyDescent="0.25">
      <c r="A33" s="1949"/>
      <c r="B33" s="1916"/>
      <c r="C33" s="1915"/>
      <c r="D33" s="1916"/>
      <c r="E33" s="2673"/>
      <c r="F33" s="2673"/>
      <c r="G33" s="2674">
        <v>2201068</v>
      </c>
      <c r="H33" s="2661" t="s">
        <v>2743</v>
      </c>
      <c r="I33" s="2674">
        <v>2201068</v>
      </c>
      <c r="J33" s="2661" t="s">
        <v>2743</v>
      </c>
      <c r="K33" s="2666">
        <v>220106800</v>
      </c>
      <c r="L33" s="2281" t="s">
        <v>2744</v>
      </c>
      <c r="M33" s="2666">
        <v>220106800</v>
      </c>
      <c r="N33" s="2157" t="s">
        <v>2744</v>
      </c>
      <c r="O33" s="2817">
        <v>70</v>
      </c>
      <c r="P33" s="2287" t="s">
        <v>3079</v>
      </c>
      <c r="Q33" s="2280" t="s">
        <v>3080</v>
      </c>
      <c r="R33" s="2290">
        <f>SUM(W33:W38)/S33</f>
        <v>1</v>
      </c>
      <c r="S33" s="2814">
        <f>SUM(W33:W38)</f>
        <v>124287500</v>
      </c>
      <c r="T33" s="2280" t="s">
        <v>3081</v>
      </c>
      <c r="U33" s="2810" t="s">
        <v>3082</v>
      </c>
      <c r="V33" s="2847" t="s">
        <v>3083</v>
      </c>
      <c r="W33" s="2082">
        <f>14000000-2200000</f>
        <v>11800000</v>
      </c>
      <c r="X33" s="1805" t="s">
        <v>3084</v>
      </c>
      <c r="Y33" s="1950">
        <v>20</v>
      </c>
      <c r="Z33" s="1802" t="s">
        <v>2351</v>
      </c>
      <c r="AA33" s="2737">
        <v>19507</v>
      </c>
      <c r="AB33" s="2703">
        <v>19809</v>
      </c>
      <c r="AC33" s="2703">
        <v>27714</v>
      </c>
      <c r="AD33" s="2703">
        <v>10230</v>
      </c>
      <c r="AE33" s="2703">
        <v>1292</v>
      </c>
      <c r="AF33" s="2703">
        <v>80</v>
      </c>
      <c r="AG33" s="2703">
        <v>291</v>
      </c>
      <c r="AH33" s="2703">
        <v>334</v>
      </c>
      <c r="AI33" s="2703">
        <v>0</v>
      </c>
      <c r="AJ33" s="2703">
        <v>0</v>
      </c>
      <c r="AK33" s="2703">
        <v>0</v>
      </c>
      <c r="AL33" s="2703">
        <v>0</v>
      </c>
      <c r="AM33" s="2703">
        <v>3158</v>
      </c>
      <c r="AN33" s="2703">
        <v>2437</v>
      </c>
      <c r="AO33" s="2811">
        <v>990</v>
      </c>
      <c r="AP33" s="2789">
        <f>AC33+AD33+AE33+AF33</f>
        <v>39316</v>
      </c>
      <c r="AQ33" s="2694">
        <v>44198</v>
      </c>
      <c r="AR33" s="2840">
        <v>44195</v>
      </c>
      <c r="AS33" s="2845" t="s">
        <v>3063</v>
      </c>
    </row>
    <row r="34" spans="1:45" s="1866" customFormat="1" ht="60" customHeight="1" x14ac:dyDescent="0.25">
      <c r="A34" s="1949"/>
      <c r="B34" s="1916"/>
      <c r="C34" s="1915"/>
      <c r="D34" s="1916"/>
      <c r="E34" s="2673"/>
      <c r="F34" s="2673"/>
      <c r="G34" s="2674"/>
      <c r="H34" s="2661"/>
      <c r="I34" s="2674"/>
      <c r="J34" s="2661"/>
      <c r="K34" s="2666"/>
      <c r="L34" s="2281"/>
      <c r="M34" s="2666"/>
      <c r="N34" s="2157"/>
      <c r="O34" s="2666"/>
      <c r="P34" s="2666"/>
      <c r="Q34" s="2281"/>
      <c r="R34" s="2291"/>
      <c r="S34" s="2773"/>
      <c r="T34" s="2281"/>
      <c r="U34" s="2366"/>
      <c r="V34" s="2852"/>
      <c r="W34" s="2083">
        <f>10000000+21217500</f>
        <v>31217500</v>
      </c>
      <c r="X34" s="1805" t="s">
        <v>3085</v>
      </c>
      <c r="Y34" s="1951">
        <v>88</v>
      </c>
      <c r="Z34" s="1803" t="s">
        <v>3046</v>
      </c>
      <c r="AA34" s="2709"/>
      <c r="AB34" s="2704"/>
      <c r="AC34" s="2704"/>
      <c r="AD34" s="2704"/>
      <c r="AE34" s="2704"/>
      <c r="AF34" s="2704"/>
      <c r="AG34" s="2704"/>
      <c r="AH34" s="2704"/>
      <c r="AI34" s="2704"/>
      <c r="AJ34" s="2704"/>
      <c r="AK34" s="2704"/>
      <c r="AL34" s="2704"/>
      <c r="AM34" s="2704"/>
      <c r="AN34" s="2704"/>
      <c r="AO34" s="2812"/>
      <c r="AP34" s="2789"/>
      <c r="AQ34" s="2695"/>
      <c r="AR34" s="2841"/>
      <c r="AS34" s="2845"/>
    </row>
    <row r="35" spans="1:45" s="1866" customFormat="1" ht="43.5" customHeight="1" x14ac:dyDescent="0.25">
      <c r="A35" s="1949"/>
      <c r="B35" s="1916"/>
      <c r="C35" s="1915"/>
      <c r="D35" s="1916"/>
      <c r="E35" s="2673"/>
      <c r="F35" s="2673"/>
      <c r="G35" s="2675"/>
      <c r="H35" s="2661"/>
      <c r="I35" s="2675"/>
      <c r="J35" s="2661"/>
      <c r="K35" s="2666"/>
      <c r="L35" s="2281"/>
      <c r="M35" s="2666"/>
      <c r="N35" s="2157"/>
      <c r="O35" s="2666"/>
      <c r="P35" s="2666"/>
      <c r="Q35" s="2281"/>
      <c r="R35" s="2291"/>
      <c r="S35" s="2773"/>
      <c r="T35" s="2281"/>
      <c r="U35" s="2366"/>
      <c r="V35" s="2847" t="s">
        <v>3086</v>
      </c>
      <c r="W35" s="2084">
        <f>2000000-2000000</f>
        <v>0</v>
      </c>
      <c r="X35" s="1808" t="s">
        <v>3084</v>
      </c>
      <c r="Y35" s="1950">
        <v>20</v>
      </c>
      <c r="Z35" s="1802" t="s">
        <v>2351</v>
      </c>
      <c r="AA35" s="2709"/>
      <c r="AB35" s="2704"/>
      <c r="AC35" s="2704"/>
      <c r="AD35" s="2704"/>
      <c r="AE35" s="2704"/>
      <c r="AF35" s="2704"/>
      <c r="AG35" s="2704"/>
      <c r="AH35" s="2704"/>
      <c r="AI35" s="2704"/>
      <c r="AJ35" s="2704"/>
      <c r="AK35" s="2704"/>
      <c r="AL35" s="2704"/>
      <c r="AM35" s="2704"/>
      <c r="AN35" s="2704"/>
      <c r="AO35" s="2812"/>
      <c r="AP35" s="2789"/>
      <c r="AQ35" s="2695"/>
      <c r="AR35" s="2841"/>
      <c r="AS35" s="2845"/>
    </row>
    <row r="36" spans="1:45" s="1866" customFormat="1" ht="59.1" customHeight="1" x14ac:dyDescent="0.25">
      <c r="A36" s="1949"/>
      <c r="B36" s="1916"/>
      <c r="C36" s="1915"/>
      <c r="D36" s="1916"/>
      <c r="E36" s="2673"/>
      <c r="F36" s="2673"/>
      <c r="G36" s="2675"/>
      <c r="H36" s="2661"/>
      <c r="I36" s="2675"/>
      <c r="J36" s="2661"/>
      <c r="K36" s="2666"/>
      <c r="L36" s="2281"/>
      <c r="M36" s="2666"/>
      <c r="N36" s="2157"/>
      <c r="O36" s="2666"/>
      <c r="P36" s="2666"/>
      <c r="Q36" s="2281"/>
      <c r="R36" s="2291"/>
      <c r="S36" s="2773"/>
      <c r="T36" s="2281"/>
      <c r="U36" s="2366"/>
      <c r="V36" s="2848"/>
      <c r="W36" s="2083">
        <f>10000000+21535000</f>
        <v>31535000</v>
      </c>
      <c r="X36" s="1805" t="s">
        <v>3085</v>
      </c>
      <c r="Y36" s="1951">
        <v>88</v>
      </c>
      <c r="Z36" s="1803" t="s">
        <v>3046</v>
      </c>
      <c r="AA36" s="2709"/>
      <c r="AB36" s="2704"/>
      <c r="AC36" s="2704"/>
      <c r="AD36" s="2704"/>
      <c r="AE36" s="2704"/>
      <c r="AF36" s="2704"/>
      <c r="AG36" s="2704"/>
      <c r="AH36" s="2704"/>
      <c r="AI36" s="2704"/>
      <c r="AJ36" s="2704"/>
      <c r="AK36" s="2704"/>
      <c r="AL36" s="2704"/>
      <c r="AM36" s="2704"/>
      <c r="AN36" s="2704"/>
      <c r="AO36" s="2812"/>
      <c r="AP36" s="2851"/>
      <c r="AQ36" s="2695"/>
      <c r="AR36" s="2841"/>
      <c r="AS36" s="2846"/>
    </row>
    <row r="37" spans="1:45" s="1866" customFormat="1" ht="59.1" customHeight="1" x14ac:dyDescent="0.25">
      <c r="A37" s="1949"/>
      <c r="B37" s="1916"/>
      <c r="C37" s="1915"/>
      <c r="D37" s="1916"/>
      <c r="E37" s="2673"/>
      <c r="F37" s="2673"/>
      <c r="G37" s="2675"/>
      <c r="H37" s="2661"/>
      <c r="I37" s="2675"/>
      <c r="J37" s="2661"/>
      <c r="K37" s="2666"/>
      <c r="L37" s="2281"/>
      <c r="M37" s="2666"/>
      <c r="N37" s="2157"/>
      <c r="O37" s="2666"/>
      <c r="P37" s="2666"/>
      <c r="Q37" s="2281"/>
      <c r="R37" s="2291"/>
      <c r="S37" s="2773"/>
      <c r="T37" s="2281"/>
      <c r="U37" s="2366"/>
      <c r="V37" s="2849" t="s">
        <v>3087</v>
      </c>
      <c r="W37" s="2085">
        <f>14000000+4200000</f>
        <v>18200000</v>
      </c>
      <c r="X37" s="1805" t="s">
        <v>3084</v>
      </c>
      <c r="Y37" s="1950">
        <v>20</v>
      </c>
      <c r="Z37" s="1802" t="s">
        <v>2351</v>
      </c>
      <c r="AA37" s="2709"/>
      <c r="AB37" s="2704"/>
      <c r="AC37" s="2704"/>
      <c r="AD37" s="2704"/>
      <c r="AE37" s="2704"/>
      <c r="AF37" s="2704"/>
      <c r="AG37" s="2704"/>
      <c r="AH37" s="2704"/>
      <c r="AI37" s="2704"/>
      <c r="AJ37" s="2704"/>
      <c r="AK37" s="2704"/>
      <c r="AL37" s="2704"/>
      <c r="AM37" s="2704"/>
      <c r="AN37" s="2704"/>
      <c r="AO37" s="2812"/>
      <c r="AP37" s="2851"/>
      <c r="AQ37" s="2695"/>
      <c r="AR37" s="2841"/>
      <c r="AS37" s="2846"/>
    </row>
    <row r="38" spans="1:45" s="1866" customFormat="1" ht="54.75" customHeight="1" x14ac:dyDescent="0.25">
      <c r="A38" s="1949"/>
      <c r="B38" s="1916"/>
      <c r="C38" s="1952"/>
      <c r="D38" s="1916"/>
      <c r="E38" s="2776"/>
      <c r="F38" s="2776"/>
      <c r="G38" s="2675"/>
      <c r="H38" s="2777"/>
      <c r="I38" s="2675"/>
      <c r="J38" s="2777"/>
      <c r="K38" s="2666"/>
      <c r="L38" s="2281"/>
      <c r="M38" s="2666"/>
      <c r="N38" s="2157"/>
      <c r="O38" s="2666"/>
      <c r="P38" s="2666"/>
      <c r="Q38" s="2281"/>
      <c r="R38" s="2291"/>
      <c r="S38" s="2773"/>
      <c r="T38" s="2281"/>
      <c r="U38" s="2366"/>
      <c r="V38" s="2850"/>
      <c r="W38" s="2083">
        <f>16000000+15535000</f>
        <v>31535000</v>
      </c>
      <c r="X38" s="1805" t="s">
        <v>3085</v>
      </c>
      <c r="Y38" s="1951">
        <v>88</v>
      </c>
      <c r="Z38" s="1803" t="s">
        <v>3046</v>
      </c>
      <c r="AA38" s="2709"/>
      <c r="AB38" s="2704"/>
      <c r="AC38" s="2704"/>
      <c r="AD38" s="2704"/>
      <c r="AE38" s="2704"/>
      <c r="AF38" s="2704"/>
      <c r="AG38" s="2704"/>
      <c r="AH38" s="2704"/>
      <c r="AI38" s="2704"/>
      <c r="AJ38" s="2704"/>
      <c r="AK38" s="2704"/>
      <c r="AL38" s="2704"/>
      <c r="AM38" s="2704"/>
      <c r="AN38" s="2704"/>
      <c r="AO38" s="2812"/>
      <c r="AP38" s="2851"/>
      <c r="AQ38" s="2695"/>
      <c r="AR38" s="2841"/>
      <c r="AS38" s="2846"/>
    </row>
    <row r="39" spans="1:45" ht="37.5" customHeight="1" x14ac:dyDescent="0.25">
      <c r="A39" s="48"/>
      <c r="B39" s="440"/>
      <c r="C39" s="155">
        <v>41</v>
      </c>
      <c r="D39" s="2681" t="s">
        <v>3088</v>
      </c>
      <c r="E39" s="2731"/>
      <c r="F39" s="2731"/>
      <c r="G39" s="2731"/>
      <c r="H39" s="2731"/>
      <c r="I39" s="2731"/>
      <c r="J39" s="1953"/>
      <c r="K39" s="1954"/>
      <c r="L39" s="1955"/>
      <c r="M39" s="1954"/>
      <c r="N39" s="1956"/>
      <c r="O39" s="1954"/>
      <c r="P39" s="1954"/>
      <c r="Q39" s="1955"/>
      <c r="R39" s="1957"/>
      <c r="S39" s="2131"/>
      <c r="T39" s="1955"/>
      <c r="U39" s="1955"/>
      <c r="V39" s="1958"/>
      <c r="W39" s="2086"/>
      <c r="X39" s="1959"/>
      <c r="Y39" s="1954"/>
      <c r="Z39" s="1956"/>
      <c r="AA39" s="1960"/>
      <c r="AB39" s="1960"/>
      <c r="AC39" s="1960"/>
      <c r="AD39" s="1960"/>
      <c r="AE39" s="1960"/>
      <c r="AF39" s="1960"/>
      <c r="AG39" s="1960"/>
      <c r="AH39" s="1960"/>
      <c r="AI39" s="1960"/>
      <c r="AJ39" s="1960"/>
      <c r="AK39" s="1960"/>
      <c r="AL39" s="1960"/>
      <c r="AM39" s="1960"/>
      <c r="AN39" s="1960"/>
      <c r="AO39" s="1960"/>
      <c r="AP39" s="1961"/>
      <c r="AQ39" s="1962"/>
      <c r="AR39" s="1962"/>
      <c r="AS39" s="1963"/>
    </row>
    <row r="40" spans="1:45" s="1866" customFormat="1" ht="41.1" customHeight="1" x14ac:dyDescent="0.25">
      <c r="A40" s="2798"/>
      <c r="B40" s="1916"/>
      <c r="C40" s="1907"/>
      <c r="D40" s="1916"/>
      <c r="E40" s="1964">
        <v>4101</v>
      </c>
      <c r="F40" s="2750" t="s">
        <v>3089</v>
      </c>
      <c r="G40" s="2672"/>
      <c r="H40" s="2672"/>
      <c r="I40" s="2672"/>
      <c r="J40" s="2672"/>
      <c r="K40" s="2672"/>
      <c r="L40" s="2672"/>
      <c r="M40" s="2672"/>
      <c r="N40" s="1924"/>
      <c r="O40" s="1924"/>
      <c r="P40" s="1924"/>
      <c r="Q40" s="1965"/>
      <c r="R40" s="1923"/>
      <c r="S40" s="2132"/>
      <c r="T40" s="1966"/>
      <c r="U40" s="1966"/>
      <c r="V40" s="1965"/>
      <c r="W40" s="2075"/>
      <c r="X40" s="1923"/>
      <c r="Y40" s="1923"/>
      <c r="Z40" s="1923"/>
      <c r="AA40" s="1924"/>
      <c r="AB40" s="1924"/>
      <c r="AC40" s="1924"/>
      <c r="AD40" s="1924"/>
      <c r="AE40" s="1924"/>
      <c r="AF40" s="1924"/>
      <c r="AG40" s="1924"/>
      <c r="AH40" s="1924"/>
      <c r="AI40" s="1924"/>
      <c r="AJ40" s="1924"/>
      <c r="AK40" s="1924"/>
      <c r="AL40" s="1924"/>
      <c r="AM40" s="1924"/>
      <c r="AN40" s="1924"/>
      <c r="AO40" s="1924"/>
      <c r="AP40" s="1924"/>
      <c r="AQ40" s="1924"/>
      <c r="AR40" s="1924"/>
      <c r="AS40" s="1967"/>
    </row>
    <row r="41" spans="1:45" s="1866" customFormat="1" ht="110.25" customHeight="1" x14ac:dyDescent="0.25">
      <c r="A41" s="2798"/>
      <c r="B41" s="1916"/>
      <c r="C41" s="1915"/>
      <c r="D41" s="1916"/>
      <c r="E41" s="2673"/>
      <c r="F41" s="2673"/>
      <c r="G41" s="2674">
        <v>4101023</v>
      </c>
      <c r="H41" s="2661" t="s">
        <v>3090</v>
      </c>
      <c r="I41" s="2674">
        <v>4101023</v>
      </c>
      <c r="J41" s="2661" t="s">
        <v>3090</v>
      </c>
      <c r="K41" s="2666">
        <v>410102300</v>
      </c>
      <c r="L41" s="2281" t="s">
        <v>3091</v>
      </c>
      <c r="M41" s="2666">
        <v>410102300</v>
      </c>
      <c r="N41" s="2287" t="s">
        <v>3091</v>
      </c>
      <c r="O41" s="2817">
        <v>500</v>
      </c>
      <c r="P41" s="2817" t="s">
        <v>3092</v>
      </c>
      <c r="Q41" s="2810" t="s">
        <v>3093</v>
      </c>
      <c r="R41" s="2839">
        <f>SUM(W41:W60)/S41</f>
        <v>0.48383523549382862</v>
      </c>
      <c r="S41" s="2658">
        <f>SUM(W41:W89)</f>
        <v>547707113</v>
      </c>
      <c r="T41" s="2793" t="s">
        <v>3094</v>
      </c>
      <c r="U41" s="2802" t="s">
        <v>3095</v>
      </c>
      <c r="V41" s="2828" t="s">
        <v>3096</v>
      </c>
      <c r="W41" s="2087">
        <v>5000000</v>
      </c>
      <c r="X41" s="1805" t="s">
        <v>3097</v>
      </c>
      <c r="Y41" s="1950">
        <v>20</v>
      </c>
      <c r="Z41" s="1802" t="s">
        <v>2351</v>
      </c>
      <c r="AA41" s="2737">
        <v>23022</v>
      </c>
      <c r="AB41" s="2703">
        <v>20392</v>
      </c>
      <c r="AC41" s="2703">
        <v>6024</v>
      </c>
      <c r="AD41" s="2703">
        <v>4684</v>
      </c>
      <c r="AE41" s="2703">
        <v>27478</v>
      </c>
      <c r="AF41" s="2703">
        <v>5228</v>
      </c>
      <c r="AG41" s="2561">
        <v>1963</v>
      </c>
      <c r="AH41" s="2561">
        <v>2207</v>
      </c>
      <c r="AI41" s="2561">
        <v>96</v>
      </c>
      <c r="AJ41" s="2561">
        <v>58</v>
      </c>
      <c r="AK41" s="2561">
        <v>0</v>
      </c>
      <c r="AL41" s="2561">
        <v>59</v>
      </c>
      <c r="AM41" s="2561">
        <v>15466</v>
      </c>
      <c r="AN41" s="2561">
        <v>2644</v>
      </c>
      <c r="AO41" s="2561">
        <v>43414</v>
      </c>
      <c r="AP41" s="2842">
        <f>+AA41+AB41</f>
        <v>43414</v>
      </c>
      <c r="AQ41" s="2840">
        <v>44198</v>
      </c>
      <c r="AR41" s="2840">
        <v>44195</v>
      </c>
      <c r="AS41" s="2842" t="s">
        <v>3098</v>
      </c>
    </row>
    <row r="42" spans="1:45" s="1866" customFormat="1" ht="110.25" customHeight="1" x14ac:dyDescent="0.25">
      <c r="A42" s="2798"/>
      <c r="B42" s="1916"/>
      <c r="C42" s="1915"/>
      <c r="D42" s="1916"/>
      <c r="E42" s="2673"/>
      <c r="F42" s="2673"/>
      <c r="G42" s="2674"/>
      <c r="H42" s="2661"/>
      <c r="I42" s="2674"/>
      <c r="J42" s="2661"/>
      <c r="K42" s="2666"/>
      <c r="L42" s="2281"/>
      <c r="M42" s="2666"/>
      <c r="N42" s="2157"/>
      <c r="O42" s="2666"/>
      <c r="P42" s="2666"/>
      <c r="Q42" s="2366"/>
      <c r="R42" s="2839"/>
      <c r="S42" s="2658"/>
      <c r="T42" s="2793"/>
      <c r="U42" s="2802"/>
      <c r="V42" s="2827"/>
      <c r="W42" s="2087">
        <v>15000000</v>
      </c>
      <c r="X42" s="1805" t="s">
        <v>3099</v>
      </c>
      <c r="Y42" s="1951">
        <v>88</v>
      </c>
      <c r="Z42" s="1803" t="s">
        <v>3046</v>
      </c>
      <c r="AA42" s="2709"/>
      <c r="AB42" s="2704"/>
      <c r="AC42" s="2704"/>
      <c r="AD42" s="2704"/>
      <c r="AE42" s="2704"/>
      <c r="AF42" s="2704"/>
      <c r="AG42" s="2562"/>
      <c r="AH42" s="2562"/>
      <c r="AI42" s="2562"/>
      <c r="AJ42" s="2562"/>
      <c r="AK42" s="2562"/>
      <c r="AL42" s="2562"/>
      <c r="AM42" s="2562"/>
      <c r="AN42" s="2562"/>
      <c r="AO42" s="2562"/>
      <c r="AP42" s="2843"/>
      <c r="AQ42" s="2841"/>
      <c r="AR42" s="2841"/>
      <c r="AS42" s="2843"/>
    </row>
    <row r="43" spans="1:45" s="1866" customFormat="1" ht="110.25" customHeight="1" x14ac:dyDescent="0.25">
      <c r="A43" s="2798"/>
      <c r="B43" s="1916"/>
      <c r="C43" s="1915"/>
      <c r="D43" s="1916"/>
      <c r="E43" s="2673"/>
      <c r="F43" s="2673"/>
      <c r="G43" s="2675"/>
      <c r="H43" s="2661"/>
      <c r="I43" s="2675"/>
      <c r="J43" s="2661"/>
      <c r="K43" s="2666"/>
      <c r="L43" s="2281"/>
      <c r="M43" s="2666"/>
      <c r="N43" s="2157"/>
      <c r="O43" s="2666"/>
      <c r="P43" s="2666"/>
      <c r="Q43" s="2366"/>
      <c r="R43" s="2839"/>
      <c r="S43" s="2658"/>
      <c r="T43" s="2793"/>
      <c r="U43" s="2802"/>
      <c r="V43" s="2828" t="s">
        <v>3100</v>
      </c>
      <c r="W43" s="2087">
        <v>15000000</v>
      </c>
      <c r="X43" s="1805" t="s">
        <v>3097</v>
      </c>
      <c r="Y43" s="1950">
        <v>20</v>
      </c>
      <c r="Z43" s="1802" t="s">
        <v>2351</v>
      </c>
      <c r="AA43" s="2709"/>
      <c r="AB43" s="2704"/>
      <c r="AC43" s="2704"/>
      <c r="AD43" s="2704"/>
      <c r="AE43" s="2704"/>
      <c r="AF43" s="2704"/>
      <c r="AG43" s="2562"/>
      <c r="AH43" s="2562"/>
      <c r="AI43" s="2562"/>
      <c r="AJ43" s="2562"/>
      <c r="AK43" s="2562"/>
      <c r="AL43" s="2562"/>
      <c r="AM43" s="2562"/>
      <c r="AN43" s="2562"/>
      <c r="AO43" s="2562"/>
      <c r="AP43" s="2843"/>
      <c r="AQ43" s="2841"/>
      <c r="AR43" s="2841"/>
      <c r="AS43" s="2843"/>
    </row>
    <row r="44" spans="1:45" s="1866" customFormat="1" ht="110.25" customHeight="1" x14ac:dyDescent="0.25">
      <c r="A44" s="2798"/>
      <c r="B44" s="1916"/>
      <c r="C44" s="1915"/>
      <c r="D44" s="1916"/>
      <c r="E44" s="2673"/>
      <c r="F44" s="2673"/>
      <c r="G44" s="2675"/>
      <c r="H44" s="2661"/>
      <c r="I44" s="2675"/>
      <c r="J44" s="2661"/>
      <c r="K44" s="2666"/>
      <c r="L44" s="2281"/>
      <c r="M44" s="2666"/>
      <c r="N44" s="2157"/>
      <c r="O44" s="2666"/>
      <c r="P44" s="2666"/>
      <c r="Q44" s="2366"/>
      <c r="R44" s="2839"/>
      <c r="S44" s="2658"/>
      <c r="T44" s="2793"/>
      <c r="U44" s="2802"/>
      <c r="V44" s="2827"/>
      <c r="W44" s="2087">
        <v>20000000</v>
      </c>
      <c r="X44" s="1805" t="s">
        <v>3099</v>
      </c>
      <c r="Y44" s="1951">
        <v>88</v>
      </c>
      <c r="Z44" s="1803" t="s">
        <v>3046</v>
      </c>
      <c r="AA44" s="2709"/>
      <c r="AB44" s="2704"/>
      <c r="AC44" s="2704"/>
      <c r="AD44" s="2704"/>
      <c r="AE44" s="2704"/>
      <c r="AF44" s="2704"/>
      <c r="AG44" s="2562"/>
      <c r="AH44" s="2562"/>
      <c r="AI44" s="2562"/>
      <c r="AJ44" s="2562"/>
      <c r="AK44" s="2562"/>
      <c r="AL44" s="2562"/>
      <c r="AM44" s="2562"/>
      <c r="AN44" s="2562"/>
      <c r="AO44" s="2562"/>
      <c r="AP44" s="2843"/>
      <c r="AQ44" s="2841"/>
      <c r="AR44" s="2841"/>
      <c r="AS44" s="2843"/>
    </row>
    <row r="45" spans="1:45" s="1866" customFormat="1" ht="110.25" customHeight="1" x14ac:dyDescent="0.25">
      <c r="A45" s="2798"/>
      <c r="B45" s="1916"/>
      <c r="C45" s="1915"/>
      <c r="D45" s="1916"/>
      <c r="E45" s="2673"/>
      <c r="F45" s="2673"/>
      <c r="G45" s="2675"/>
      <c r="H45" s="2661"/>
      <c r="I45" s="2675"/>
      <c r="J45" s="2661"/>
      <c r="K45" s="2666"/>
      <c r="L45" s="2281"/>
      <c r="M45" s="2666"/>
      <c r="N45" s="2157"/>
      <c r="O45" s="2666"/>
      <c r="P45" s="2666"/>
      <c r="Q45" s="2366"/>
      <c r="R45" s="2839"/>
      <c r="S45" s="2658"/>
      <c r="T45" s="2793"/>
      <c r="U45" s="2802"/>
      <c r="V45" s="2828" t="s">
        <v>3101</v>
      </c>
      <c r="W45" s="2087">
        <v>17000000</v>
      </c>
      <c r="X45" s="1805" t="s">
        <v>3097</v>
      </c>
      <c r="Y45" s="1950">
        <v>20</v>
      </c>
      <c r="Z45" s="1802" t="s">
        <v>2351</v>
      </c>
      <c r="AA45" s="2709"/>
      <c r="AB45" s="2704"/>
      <c r="AC45" s="2704"/>
      <c r="AD45" s="2704"/>
      <c r="AE45" s="2704"/>
      <c r="AF45" s="2704"/>
      <c r="AG45" s="2562"/>
      <c r="AH45" s="2562"/>
      <c r="AI45" s="2562"/>
      <c r="AJ45" s="2562"/>
      <c r="AK45" s="2562"/>
      <c r="AL45" s="2562"/>
      <c r="AM45" s="2562"/>
      <c r="AN45" s="2562"/>
      <c r="AO45" s="2562"/>
      <c r="AP45" s="2843"/>
      <c r="AQ45" s="2841"/>
      <c r="AR45" s="2841"/>
      <c r="AS45" s="2843"/>
    </row>
    <row r="46" spans="1:45" s="1866" customFormat="1" ht="110.25" customHeight="1" x14ac:dyDescent="0.25">
      <c r="A46" s="2798"/>
      <c r="B46" s="1916"/>
      <c r="C46" s="1915"/>
      <c r="D46" s="1916"/>
      <c r="E46" s="2673"/>
      <c r="F46" s="2673"/>
      <c r="G46" s="2675"/>
      <c r="H46" s="2661"/>
      <c r="I46" s="2675"/>
      <c r="J46" s="2661"/>
      <c r="K46" s="2666"/>
      <c r="L46" s="2281"/>
      <c r="M46" s="2666"/>
      <c r="N46" s="2157"/>
      <c r="O46" s="2666"/>
      <c r="P46" s="2666"/>
      <c r="Q46" s="2366"/>
      <c r="R46" s="2839"/>
      <c r="S46" s="2658"/>
      <c r="T46" s="2793"/>
      <c r="U46" s="2802"/>
      <c r="V46" s="2827"/>
      <c r="W46" s="2087">
        <v>35000000</v>
      </c>
      <c r="X46" s="1805" t="s">
        <v>3099</v>
      </c>
      <c r="Y46" s="1951">
        <v>88</v>
      </c>
      <c r="Z46" s="1803" t="s">
        <v>3046</v>
      </c>
      <c r="AA46" s="2709"/>
      <c r="AB46" s="2704"/>
      <c r="AC46" s="2704"/>
      <c r="AD46" s="2704"/>
      <c r="AE46" s="2704"/>
      <c r="AF46" s="2704"/>
      <c r="AG46" s="2562"/>
      <c r="AH46" s="2562"/>
      <c r="AI46" s="2562"/>
      <c r="AJ46" s="2562"/>
      <c r="AK46" s="2562"/>
      <c r="AL46" s="2562"/>
      <c r="AM46" s="2562"/>
      <c r="AN46" s="2562"/>
      <c r="AO46" s="2562"/>
      <c r="AP46" s="2843"/>
      <c r="AQ46" s="2841"/>
      <c r="AR46" s="2841"/>
      <c r="AS46" s="2843"/>
    </row>
    <row r="47" spans="1:45" s="1866" customFormat="1" ht="68.25" customHeight="1" x14ac:dyDescent="0.25">
      <c r="A47" s="2798"/>
      <c r="B47" s="1916"/>
      <c r="C47" s="1915"/>
      <c r="D47" s="1916"/>
      <c r="E47" s="2673"/>
      <c r="F47" s="2673"/>
      <c r="G47" s="2675"/>
      <c r="H47" s="2661"/>
      <c r="I47" s="2675"/>
      <c r="J47" s="2661"/>
      <c r="K47" s="2666"/>
      <c r="L47" s="2281"/>
      <c r="M47" s="2666"/>
      <c r="N47" s="2157"/>
      <c r="O47" s="2666"/>
      <c r="P47" s="2666"/>
      <c r="Q47" s="2366"/>
      <c r="R47" s="2839"/>
      <c r="S47" s="2658"/>
      <c r="T47" s="2793"/>
      <c r="U47" s="2802"/>
      <c r="V47" s="2828" t="s">
        <v>3102</v>
      </c>
      <c r="W47" s="2087">
        <f>7000000-5000000</f>
        <v>2000000</v>
      </c>
      <c r="X47" s="1805" t="s">
        <v>3103</v>
      </c>
      <c r="Y47" s="1950">
        <v>20</v>
      </c>
      <c r="Z47" s="1802" t="s">
        <v>2351</v>
      </c>
      <c r="AA47" s="2709"/>
      <c r="AB47" s="2704"/>
      <c r="AC47" s="2704"/>
      <c r="AD47" s="2704"/>
      <c r="AE47" s="2704"/>
      <c r="AF47" s="2704"/>
      <c r="AG47" s="2562"/>
      <c r="AH47" s="2562"/>
      <c r="AI47" s="2562"/>
      <c r="AJ47" s="2562"/>
      <c r="AK47" s="2562"/>
      <c r="AL47" s="2562"/>
      <c r="AM47" s="2562"/>
      <c r="AN47" s="2562"/>
      <c r="AO47" s="2562"/>
      <c r="AP47" s="2843"/>
      <c r="AQ47" s="2841"/>
      <c r="AR47" s="2841"/>
      <c r="AS47" s="2843"/>
    </row>
    <row r="48" spans="1:45" s="1866" customFormat="1" ht="68.25" customHeight="1" x14ac:dyDescent="0.25">
      <c r="A48" s="2798"/>
      <c r="B48" s="1916"/>
      <c r="C48" s="1915"/>
      <c r="D48" s="1916"/>
      <c r="E48" s="2673"/>
      <c r="F48" s="2673"/>
      <c r="G48" s="2675"/>
      <c r="H48" s="2661"/>
      <c r="I48" s="2675"/>
      <c r="J48" s="2661"/>
      <c r="K48" s="2666"/>
      <c r="L48" s="2281"/>
      <c r="M48" s="2666"/>
      <c r="N48" s="2157"/>
      <c r="O48" s="2666"/>
      <c r="P48" s="2666"/>
      <c r="Q48" s="2366"/>
      <c r="R48" s="2839"/>
      <c r="S48" s="2658"/>
      <c r="T48" s="2793"/>
      <c r="U48" s="2802"/>
      <c r="V48" s="2173"/>
      <c r="W48" s="2087">
        <v>5000000</v>
      </c>
      <c r="X48" s="1805" t="s">
        <v>3104</v>
      </c>
      <c r="Y48" s="1951">
        <v>88</v>
      </c>
      <c r="Z48" s="1803" t="s">
        <v>3046</v>
      </c>
      <c r="AA48" s="2709"/>
      <c r="AB48" s="2704"/>
      <c r="AC48" s="2704"/>
      <c r="AD48" s="2704"/>
      <c r="AE48" s="2704"/>
      <c r="AF48" s="2704"/>
      <c r="AG48" s="2562"/>
      <c r="AH48" s="2562"/>
      <c r="AI48" s="2562"/>
      <c r="AJ48" s="2562"/>
      <c r="AK48" s="2562"/>
      <c r="AL48" s="2562"/>
      <c r="AM48" s="2562"/>
      <c r="AN48" s="2562"/>
      <c r="AO48" s="2562"/>
      <c r="AP48" s="2843"/>
      <c r="AQ48" s="2841"/>
      <c r="AR48" s="2841"/>
      <c r="AS48" s="2843"/>
    </row>
    <row r="49" spans="1:45" s="1866" customFormat="1" ht="68.25" customHeight="1" x14ac:dyDescent="0.25">
      <c r="A49" s="2798"/>
      <c r="B49" s="1916"/>
      <c r="C49" s="1915"/>
      <c r="D49" s="1916"/>
      <c r="E49" s="2673"/>
      <c r="F49" s="2673"/>
      <c r="G49" s="2675"/>
      <c r="H49" s="2661"/>
      <c r="I49" s="2675"/>
      <c r="J49" s="2661"/>
      <c r="K49" s="2666"/>
      <c r="L49" s="2281"/>
      <c r="M49" s="2666"/>
      <c r="N49" s="2157"/>
      <c r="O49" s="2666"/>
      <c r="P49" s="2666"/>
      <c r="Q49" s="2366"/>
      <c r="R49" s="2839"/>
      <c r="S49" s="2658"/>
      <c r="T49" s="2793"/>
      <c r="U49" s="2802"/>
      <c r="V49" s="2173"/>
      <c r="W49" s="2087">
        <v>25000000</v>
      </c>
      <c r="X49" s="1805" t="s">
        <v>3099</v>
      </c>
      <c r="Y49" s="1951">
        <v>88</v>
      </c>
      <c r="Z49" s="1803" t="s">
        <v>3046</v>
      </c>
      <c r="AA49" s="2709"/>
      <c r="AB49" s="2704"/>
      <c r="AC49" s="2704"/>
      <c r="AD49" s="2704"/>
      <c r="AE49" s="2704"/>
      <c r="AF49" s="2704"/>
      <c r="AG49" s="2562"/>
      <c r="AH49" s="2562"/>
      <c r="AI49" s="2562"/>
      <c r="AJ49" s="2562"/>
      <c r="AK49" s="2562"/>
      <c r="AL49" s="2562"/>
      <c r="AM49" s="2562"/>
      <c r="AN49" s="2562"/>
      <c r="AO49" s="2562"/>
      <c r="AP49" s="2843"/>
      <c r="AQ49" s="2841"/>
      <c r="AR49" s="2841"/>
      <c r="AS49" s="2843"/>
    </row>
    <row r="50" spans="1:45" s="1866" customFormat="1" ht="68.25" customHeight="1" x14ac:dyDescent="0.25">
      <c r="A50" s="2798"/>
      <c r="B50" s="1916"/>
      <c r="C50" s="1915"/>
      <c r="D50" s="1916"/>
      <c r="E50" s="2673"/>
      <c r="F50" s="2673"/>
      <c r="G50" s="2675"/>
      <c r="H50" s="2661"/>
      <c r="I50" s="2675"/>
      <c r="J50" s="2661"/>
      <c r="K50" s="2666"/>
      <c r="L50" s="2281"/>
      <c r="M50" s="2666"/>
      <c r="N50" s="2157"/>
      <c r="O50" s="2666"/>
      <c r="P50" s="2666"/>
      <c r="Q50" s="2366"/>
      <c r="R50" s="2839"/>
      <c r="S50" s="2658"/>
      <c r="T50" s="2793"/>
      <c r="U50" s="2802"/>
      <c r="V50" s="2297"/>
      <c r="W50" s="2087">
        <v>5000000</v>
      </c>
      <c r="X50" s="1805" t="s">
        <v>3097</v>
      </c>
      <c r="Y50" s="1950">
        <v>20</v>
      </c>
      <c r="Z50" s="1802" t="s">
        <v>2351</v>
      </c>
      <c r="AA50" s="2709"/>
      <c r="AB50" s="2704"/>
      <c r="AC50" s="2704"/>
      <c r="AD50" s="2704"/>
      <c r="AE50" s="2704"/>
      <c r="AF50" s="2704"/>
      <c r="AG50" s="2562"/>
      <c r="AH50" s="2562"/>
      <c r="AI50" s="2562"/>
      <c r="AJ50" s="2562"/>
      <c r="AK50" s="2562"/>
      <c r="AL50" s="2562"/>
      <c r="AM50" s="2562"/>
      <c r="AN50" s="2562"/>
      <c r="AO50" s="2562"/>
      <c r="AP50" s="2843"/>
      <c r="AQ50" s="2841"/>
      <c r="AR50" s="2841"/>
      <c r="AS50" s="2843"/>
    </row>
    <row r="51" spans="1:45" s="1866" customFormat="1" ht="74.25" customHeight="1" x14ac:dyDescent="0.25">
      <c r="A51" s="2798"/>
      <c r="B51" s="1916"/>
      <c r="C51" s="1915"/>
      <c r="D51" s="1916"/>
      <c r="E51" s="2673"/>
      <c r="F51" s="2673"/>
      <c r="G51" s="2675"/>
      <c r="H51" s="2661"/>
      <c r="I51" s="2675"/>
      <c r="J51" s="2661"/>
      <c r="K51" s="2666"/>
      <c r="L51" s="2281"/>
      <c r="M51" s="2666"/>
      <c r="N51" s="2157"/>
      <c r="O51" s="2666"/>
      <c r="P51" s="2666"/>
      <c r="Q51" s="2366"/>
      <c r="R51" s="2839"/>
      <c r="S51" s="2658"/>
      <c r="T51" s="2793"/>
      <c r="U51" s="2802"/>
      <c r="V51" s="2172" t="s">
        <v>3105</v>
      </c>
      <c r="W51" s="2087">
        <v>5000000</v>
      </c>
      <c r="X51" s="1805" t="s">
        <v>3097</v>
      </c>
      <c r="Y51" s="1950">
        <v>20</v>
      </c>
      <c r="Z51" s="1802" t="s">
        <v>2351</v>
      </c>
      <c r="AA51" s="2709"/>
      <c r="AB51" s="2704"/>
      <c r="AC51" s="2704"/>
      <c r="AD51" s="2704"/>
      <c r="AE51" s="2704"/>
      <c r="AF51" s="2704"/>
      <c r="AG51" s="2562"/>
      <c r="AH51" s="2562"/>
      <c r="AI51" s="2562"/>
      <c r="AJ51" s="2562"/>
      <c r="AK51" s="2562"/>
      <c r="AL51" s="2562"/>
      <c r="AM51" s="2562"/>
      <c r="AN51" s="2562"/>
      <c r="AO51" s="2562"/>
      <c r="AP51" s="2843"/>
      <c r="AQ51" s="2841"/>
      <c r="AR51" s="2841"/>
      <c r="AS51" s="2843"/>
    </row>
    <row r="52" spans="1:45" s="1866" customFormat="1" ht="74.25" customHeight="1" x14ac:dyDescent="0.25">
      <c r="A52" s="2798"/>
      <c r="B52" s="1916"/>
      <c r="C52" s="1915"/>
      <c r="D52" s="1916"/>
      <c r="E52" s="2673"/>
      <c r="F52" s="2673"/>
      <c r="G52" s="2675"/>
      <c r="H52" s="2661"/>
      <c r="I52" s="2675"/>
      <c r="J52" s="2661"/>
      <c r="K52" s="2666"/>
      <c r="L52" s="2281"/>
      <c r="M52" s="2666"/>
      <c r="N52" s="2157"/>
      <c r="O52" s="2666"/>
      <c r="P52" s="2666"/>
      <c r="Q52" s="2366"/>
      <c r="R52" s="2839"/>
      <c r="S52" s="2658"/>
      <c r="T52" s="2793"/>
      <c r="U52" s="2802"/>
      <c r="V52" s="2297"/>
      <c r="W52" s="2087">
        <v>40000000</v>
      </c>
      <c r="X52" s="1805" t="s">
        <v>3099</v>
      </c>
      <c r="Y52" s="1951">
        <v>88</v>
      </c>
      <c r="Z52" s="1803" t="s">
        <v>3046</v>
      </c>
      <c r="AA52" s="2709"/>
      <c r="AB52" s="2704"/>
      <c r="AC52" s="2704"/>
      <c r="AD52" s="2704"/>
      <c r="AE52" s="2704"/>
      <c r="AF52" s="2704"/>
      <c r="AG52" s="2562"/>
      <c r="AH52" s="2562"/>
      <c r="AI52" s="2562"/>
      <c r="AJ52" s="2562"/>
      <c r="AK52" s="2562"/>
      <c r="AL52" s="2562"/>
      <c r="AM52" s="2562"/>
      <c r="AN52" s="2562"/>
      <c r="AO52" s="2562"/>
      <c r="AP52" s="2843"/>
      <c r="AQ52" s="2841"/>
      <c r="AR52" s="2841"/>
      <c r="AS52" s="2843"/>
    </row>
    <row r="53" spans="1:45" s="1866" customFormat="1" ht="38.25" customHeight="1" x14ac:dyDescent="0.25">
      <c r="A53" s="2798"/>
      <c r="B53" s="1916"/>
      <c r="C53" s="1915"/>
      <c r="D53" s="1916"/>
      <c r="E53" s="2673"/>
      <c r="F53" s="2673"/>
      <c r="G53" s="2675"/>
      <c r="H53" s="2661"/>
      <c r="I53" s="2675"/>
      <c r="J53" s="2661"/>
      <c r="K53" s="2666"/>
      <c r="L53" s="2281"/>
      <c r="M53" s="2666"/>
      <c r="N53" s="2157"/>
      <c r="O53" s="2666"/>
      <c r="P53" s="2666"/>
      <c r="Q53" s="2366"/>
      <c r="R53" s="2839"/>
      <c r="S53" s="2658"/>
      <c r="T53" s="2793"/>
      <c r="U53" s="2802"/>
      <c r="V53" s="2172" t="s">
        <v>3106</v>
      </c>
      <c r="W53" s="2087">
        <v>3000000</v>
      </c>
      <c r="X53" s="1805" t="s">
        <v>3097</v>
      </c>
      <c r="Y53" s="1950">
        <v>20</v>
      </c>
      <c r="Z53" s="1802" t="s">
        <v>2351</v>
      </c>
      <c r="AA53" s="2709"/>
      <c r="AB53" s="2704"/>
      <c r="AC53" s="2704"/>
      <c r="AD53" s="2704"/>
      <c r="AE53" s="2704"/>
      <c r="AF53" s="2704"/>
      <c r="AG53" s="2562"/>
      <c r="AH53" s="2562"/>
      <c r="AI53" s="2562"/>
      <c r="AJ53" s="2562"/>
      <c r="AK53" s="2562"/>
      <c r="AL53" s="2562"/>
      <c r="AM53" s="2562"/>
      <c r="AN53" s="2562"/>
      <c r="AO53" s="2562"/>
      <c r="AP53" s="2843"/>
      <c r="AQ53" s="2841"/>
      <c r="AR53" s="2841"/>
      <c r="AS53" s="2843"/>
    </row>
    <row r="54" spans="1:45" s="1866" customFormat="1" ht="38.25" customHeight="1" x14ac:dyDescent="0.25">
      <c r="A54" s="2798"/>
      <c r="B54" s="1916"/>
      <c r="C54" s="1915"/>
      <c r="D54" s="1916"/>
      <c r="E54" s="2673"/>
      <c r="F54" s="2673"/>
      <c r="G54" s="2675"/>
      <c r="H54" s="2661"/>
      <c r="I54" s="2675"/>
      <c r="J54" s="2661"/>
      <c r="K54" s="2666"/>
      <c r="L54" s="2281"/>
      <c r="M54" s="2666"/>
      <c r="N54" s="2157"/>
      <c r="O54" s="2666"/>
      <c r="P54" s="2666"/>
      <c r="Q54" s="2366"/>
      <c r="R54" s="2839"/>
      <c r="S54" s="2658"/>
      <c r="T54" s="2793"/>
      <c r="U54" s="2802"/>
      <c r="V54" s="2297"/>
      <c r="W54" s="2087">
        <v>10000000</v>
      </c>
      <c r="X54" s="1805" t="s">
        <v>3099</v>
      </c>
      <c r="Y54" s="1951">
        <v>88</v>
      </c>
      <c r="Z54" s="1803" t="s">
        <v>3046</v>
      </c>
      <c r="AA54" s="2709"/>
      <c r="AB54" s="2704"/>
      <c r="AC54" s="2704"/>
      <c r="AD54" s="2704"/>
      <c r="AE54" s="2704"/>
      <c r="AF54" s="2704"/>
      <c r="AG54" s="2562"/>
      <c r="AH54" s="2562"/>
      <c r="AI54" s="2562"/>
      <c r="AJ54" s="2562"/>
      <c r="AK54" s="2562"/>
      <c r="AL54" s="2562"/>
      <c r="AM54" s="2562"/>
      <c r="AN54" s="2562"/>
      <c r="AO54" s="2562"/>
      <c r="AP54" s="2843"/>
      <c r="AQ54" s="2841"/>
      <c r="AR54" s="2841"/>
      <c r="AS54" s="2843"/>
    </row>
    <row r="55" spans="1:45" s="1866" customFormat="1" ht="87" customHeight="1" x14ac:dyDescent="0.25">
      <c r="A55" s="2798"/>
      <c r="B55" s="1916"/>
      <c r="C55" s="1915"/>
      <c r="D55" s="1916"/>
      <c r="E55" s="2673"/>
      <c r="F55" s="2673"/>
      <c r="G55" s="2675"/>
      <c r="H55" s="2661"/>
      <c r="I55" s="2675"/>
      <c r="J55" s="2661"/>
      <c r="K55" s="2666"/>
      <c r="L55" s="2281"/>
      <c r="M55" s="2666"/>
      <c r="N55" s="2157"/>
      <c r="O55" s="2666"/>
      <c r="P55" s="2666"/>
      <c r="Q55" s="2366"/>
      <c r="R55" s="2839"/>
      <c r="S55" s="2658"/>
      <c r="T55" s="2793"/>
      <c r="U55" s="2802"/>
      <c r="V55" s="2172" t="s">
        <v>3107</v>
      </c>
      <c r="W55" s="2087">
        <v>5000000</v>
      </c>
      <c r="X55" s="1805" t="s">
        <v>3097</v>
      </c>
      <c r="Y55" s="1950">
        <v>20</v>
      </c>
      <c r="Z55" s="1802" t="s">
        <v>2351</v>
      </c>
      <c r="AA55" s="2709"/>
      <c r="AB55" s="2704"/>
      <c r="AC55" s="2704"/>
      <c r="AD55" s="2704"/>
      <c r="AE55" s="2704"/>
      <c r="AF55" s="2704"/>
      <c r="AG55" s="2562"/>
      <c r="AH55" s="2562"/>
      <c r="AI55" s="2562"/>
      <c r="AJ55" s="2562"/>
      <c r="AK55" s="2562"/>
      <c r="AL55" s="2562"/>
      <c r="AM55" s="2562"/>
      <c r="AN55" s="2562"/>
      <c r="AO55" s="2562"/>
      <c r="AP55" s="2843"/>
      <c r="AQ55" s="2841"/>
      <c r="AR55" s="2841"/>
      <c r="AS55" s="2843"/>
    </row>
    <row r="56" spans="1:45" s="1866" customFormat="1" ht="87" customHeight="1" x14ac:dyDescent="0.25">
      <c r="A56" s="2798"/>
      <c r="B56" s="1916"/>
      <c r="C56" s="1915"/>
      <c r="D56" s="1916"/>
      <c r="E56" s="2673"/>
      <c r="F56" s="2673"/>
      <c r="G56" s="2675"/>
      <c r="H56" s="2661"/>
      <c r="I56" s="2675"/>
      <c r="J56" s="2661"/>
      <c r="K56" s="2666"/>
      <c r="L56" s="2281"/>
      <c r="M56" s="2666"/>
      <c r="N56" s="2157"/>
      <c r="O56" s="2666"/>
      <c r="P56" s="2666"/>
      <c r="Q56" s="2366"/>
      <c r="R56" s="2839"/>
      <c r="S56" s="2658"/>
      <c r="T56" s="2793"/>
      <c r="U56" s="2802"/>
      <c r="V56" s="2827"/>
      <c r="W56" s="2087">
        <v>18000000</v>
      </c>
      <c r="X56" s="1805" t="s">
        <v>3099</v>
      </c>
      <c r="Y56" s="1951">
        <v>88</v>
      </c>
      <c r="Z56" s="1803" t="s">
        <v>3046</v>
      </c>
      <c r="AA56" s="2709"/>
      <c r="AB56" s="2704"/>
      <c r="AC56" s="2704"/>
      <c r="AD56" s="2704"/>
      <c r="AE56" s="2704"/>
      <c r="AF56" s="2704"/>
      <c r="AG56" s="2562"/>
      <c r="AH56" s="2562"/>
      <c r="AI56" s="2562"/>
      <c r="AJ56" s="2562"/>
      <c r="AK56" s="2562"/>
      <c r="AL56" s="2562"/>
      <c r="AM56" s="2562"/>
      <c r="AN56" s="2562"/>
      <c r="AO56" s="2562"/>
      <c r="AP56" s="2843"/>
      <c r="AQ56" s="2841"/>
      <c r="AR56" s="2841"/>
      <c r="AS56" s="2843"/>
    </row>
    <row r="57" spans="1:45" s="1866" customFormat="1" ht="67.5" customHeight="1" x14ac:dyDescent="0.25">
      <c r="A57" s="2798"/>
      <c r="B57" s="1916"/>
      <c r="C57" s="1915"/>
      <c r="D57" s="1916"/>
      <c r="E57" s="2673"/>
      <c r="F57" s="2673"/>
      <c r="G57" s="2675"/>
      <c r="H57" s="2661"/>
      <c r="I57" s="2675"/>
      <c r="J57" s="2661"/>
      <c r="K57" s="2666"/>
      <c r="L57" s="2281"/>
      <c r="M57" s="2666"/>
      <c r="N57" s="2157"/>
      <c r="O57" s="2666"/>
      <c r="P57" s="2666"/>
      <c r="Q57" s="2366"/>
      <c r="R57" s="2839"/>
      <c r="S57" s="2658"/>
      <c r="T57" s="2793"/>
      <c r="U57" s="2802"/>
      <c r="V57" s="2828" t="s">
        <v>3108</v>
      </c>
      <c r="W57" s="2087">
        <v>3000000</v>
      </c>
      <c r="X57" s="1805" t="s">
        <v>3109</v>
      </c>
      <c r="Y57" s="1950">
        <v>20</v>
      </c>
      <c r="Z57" s="1802" t="s">
        <v>2351</v>
      </c>
      <c r="AA57" s="2709"/>
      <c r="AB57" s="2704"/>
      <c r="AC57" s="2704"/>
      <c r="AD57" s="2704"/>
      <c r="AE57" s="2704"/>
      <c r="AF57" s="2704"/>
      <c r="AG57" s="2562"/>
      <c r="AH57" s="2562"/>
      <c r="AI57" s="2562"/>
      <c r="AJ57" s="2562"/>
      <c r="AK57" s="2562"/>
      <c r="AL57" s="2562"/>
      <c r="AM57" s="2562"/>
      <c r="AN57" s="2562"/>
      <c r="AO57" s="2562"/>
      <c r="AP57" s="2843"/>
      <c r="AQ57" s="2841"/>
      <c r="AR57" s="2841"/>
      <c r="AS57" s="2843"/>
    </row>
    <row r="58" spans="1:45" s="1866" customFormat="1" ht="67.5" customHeight="1" x14ac:dyDescent="0.25">
      <c r="A58" s="2798"/>
      <c r="B58" s="1916"/>
      <c r="C58" s="1915"/>
      <c r="D58" s="1916"/>
      <c r="E58" s="2673"/>
      <c r="F58" s="2673"/>
      <c r="G58" s="2675"/>
      <c r="H58" s="2661"/>
      <c r="I58" s="2675"/>
      <c r="J58" s="2661"/>
      <c r="K58" s="2666"/>
      <c r="L58" s="2281"/>
      <c r="M58" s="2666"/>
      <c r="N58" s="2157"/>
      <c r="O58" s="2666"/>
      <c r="P58" s="2666"/>
      <c r="Q58" s="2366"/>
      <c r="R58" s="2839"/>
      <c r="S58" s="2658"/>
      <c r="T58" s="2793"/>
      <c r="U58" s="2802"/>
      <c r="V58" s="2827"/>
      <c r="W58" s="2087">
        <v>10000000</v>
      </c>
      <c r="X58" s="1805" t="s">
        <v>3110</v>
      </c>
      <c r="Y58" s="1951">
        <v>88</v>
      </c>
      <c r="Z58" s="1803" t="s">
        <v>3046</v>
      </c>
      <c r="AA58" s="2709"/>
      <c r="AB58" s="2704"/>
      <c r="AC58" s="2704"/>
      <c r="AD58" s="2704"/>
      <c r="AE58" s="2704"/>
      <c r="AF58" s="2704"/>
      <c r="AG58" s="2562"/>
      <c r="AH58" s="2562"/>
      <c r="AI58" s="2562"/>
      <c r="AJ58" s="2562"/>
      <c r="AK58" s="2562"/>
      <c r="AL58" s="2562"/>
      <c r="AM58" s="2562"/>
      <c r="AN58" s="2562"/>
      <c r="AO58" s="2562"/>
      <c r="AP58" s="2843"/>
      <c r="AQ58" s="2841"/>
      <c r="AR58" s="2841"/>
      <c r="AS58" s="2843"/>
    </row>
    <row r="59" spans="1:45" s="1866" customFormat="1" ht="67.5" customHeight="1" x14ac:dyDescent="0.25">
      <c r="A59" s="2798"/>
      <c r="B59" s="1916"/>
      <c r="C59" s="1915"/>
      <c r="D59" s="1916"/>
      <c r="E59" s="2673"/>
      <c r="F59" s="2673"/>
      <c r="G59" s="2675"/>
      <c r="H59" s="2661"/>
      <c r="I59" s="2675"/>
      <c r="J59" s="2661"/>
      <c r="K59" s="2666"/>
      <c r="L59" s="2281"/>
      <c r="M59" s="2666"/>
      <c r="N59" s="2157"/>
      <c r="O59" s="2666"/>
      <c r="P59" s="2666"/>
      <c r="Q59" s="2366"/>
      <c r="R59" s="2839"/>
      <c r="S59" s="2658"/>
      <c r="T59" s="2793"/>
      <c r="U59" s="2802"/>
      <c r="V59" s="2828" t="s">
        <v>3111</v>
      </c>
      <c r="W59" s="2087">
        <v>10000000</v>
      </c>
      <c r="X59" s="1805" t="s">
        <v>3097</v>
      </c>
      <c r="Y59" s="1950">
        <v>20</v>
      </c>
      <c r="Z59" s="1802" t="s">
        <v>2351</v>
      </c>
      <c r="AA59" s="2709"/>
      <c r="AB59" s="2704"/>
      <c r="AC59" s="2704"/>
      <c r="AD59" s="2704"/>
      <c r="AE59" s="2704"/>
      <c r="AF59" s="2704"/>
      <c r="AG59" s="2562"/>
      <c r="AH59" s="2562"/>
      <c r="AI59" s="2562"/>
      <c r="AJ59" s="2562"/>
      <c r="AK59" s="2562"/>
      <c r="AL59" s="2562"/>
      <c r="AM59" s="2562"/>
      <c r="AN59" s="2562"/>
      <c r="AO59" s="2562"/>
      <c r="AP59" s="2843"/>
      <c r="AQ59" s="2841"/>
      <c r="AR59" s="2841"/>
      <c r="AS59" s="2843"/>
    </row>
    <row r="60" spans="1:45" s="1866" customFormat="1" ht="46.5" customHeight="1" x14ac:dyDescent="0.25">
      <c r="A60" s="2798"/>
      <c r="B60" s="1916"/>
      <c r="C60" s="1915"/>
      <c r="D60" s="1916"/>
      <c r="E60" s="2673"/>
      <c r="F60" s="2673"/>
      <c r="G60" s="2675"/>
      <c r="H60" s="2676"/>
      <c r="I60" s="2675"/>
      <c r="J60" s="2676"/>
      <c r="K60" s="2667"/>
      <c r="L60" s="2282"/>
      <c r="M60" s="2667"/>
      <c r="N60" s="2304"/>
      <c r="O60" s="2667"/>
      <c r="P60" s="2666"/>
      <c r="Q60" s="2366"/>
      <c r="R60" s="2839"/>
      <c r="S60" s="2658"/>
      <c r="T60" s="2793"/>
      <c r="U60" s="2802"/>
      <c r="V60" s="2827"/>
      <c r="W60" s="2087">
        <v>17000000</v>
      </c>
      <c r="X60" s="1805" t="s">
        <v>3099</v>
      </c>
      <c r="Y60" s="1951">
        <v>88</v>
      </c>
      <c r="Z60" s="1803" t="s">
        <v>3046</v>
      </c>
      <c r="AA60" s="2709"/>
      <c r="AB60" s="2704"/>
      <c r="AC60" s="2704"/>
      <c r="AD60" s="2704"/>
      <c r="AE60" s="2704"/>
      <c r="AF60" s="2704"/>
      <c r="AG60" s="2562"/>
      <c r="AH60" s="2562"/>
      <c r="AI60" s="2562"/>
      <c r="AJ60" s="2562"/>
      <c r="AK60" s="2562"/>
      <c r="AL60" s="2562"/>
      <c r="AM60" s="2562"/>
      <c r="AN60" s="2562"/>
      <c r="AO60" s="2562"/>
      <c r="AP60" s="2843"/>
      <c r="AQ60" s="2841"/>
      <c r="AR60" s="2841"/>
      <c r="AS60" s="2843"/>
    </row>
    <row r="61" spans="1:45" s="1866" customFormat="1" ht="61.5" customHeight="1" x14ac:dyDescent="0.25">
      <c r="A61" s="2798"/>
      <c r="B61" s="1916"/>
      <c r="C61" s="1915"/>
      <c r="D61" s="1916"/>
      <c r="E61" s="2673"/>
      <c r="F61" s="2673"/>
      <c r="G61" s="2675">
        <v>4101025</v>
      </c>
      <c r="H61" s="2660" t="s">
        <v>3112</v>
      </c>
      <c r="I61" s="2675">
        <v>4101025</v>
      </c>
      <c r="J61" s="2660" t="s">
        <v>3112</v>
      </c>
      <c r="K61" s="2817">
        <v>410102511</v>
      </c>
      <c r="L61" s="2280" t="s">
        <v>3113</v>
      </c>
      <c r="M61" s="2817">
        <v>410102511</v>
      </c>
      <c r="N61" s="2287" t="s">
        <v>3113</v>
      </c>
      <c r="O61" s="2817">
        <v>100</v>
      </c>
      <c r="P61" s="2666"/>
      <c r="Q61" s="2366"/>
      <c r="R61" s="2839">
        <f>SUM(W61:W66)/S41</f>
        <v>9.4941253757279576E-2</v>
      </c>
      <c r="S61" s="2658"/>
      <c r="T61" s="2793"/>
      <c r="U61" s="2802" t="s">
        <v>3114</v>
      </c>
      <c r="V61" s="2828" t="s">
        <v>3115</v>
      </c>
      <c r="W61" s="2088">
        <v>22000000</v>
      </c>
      <c r="X61" s="1805" t="s">
        <v>3116</v>
      </c>
      <c r="Y61" s="1950">
        <v>20</v>
      </c>
      <c r="Z61" s="1802" t="s">
        <v>2351</v>
      </c>
      <c r="AA61" s="2709"/>
      <c r="AB61" s="2704"/>
      <c r="AC61" s="2704"/>
      <c r="AD61" s="2704"/>
      <c r="AE61" s="2704"/>
      <c r="AF61" s="2704"/>
      <c r="AG61" s="2562"/>
      <c r="AH61" s="2562"/>
      <c r="AI61" s="2562"/>
      <c r="AJ61" s="2562"/>
      <c r="AK61" s="2562"/>
      <c r="AL61" s="2562"/>
      <c r="AM61" s="2562"/>
      <c r="AN61" s="2562"/>
      <c r="AO61" s="2562"/>
      <c r="AP61" s="2843"/>
      <c r="AQ61" s="2841"/>
      <c r="AR61" s="2841"/>
      <c r="AS61" s="2843"/>
    </row>
    <row r="62" spans="1:45" s="1866" customFormat="1" ht="61.5" customHeight="1" x14ac:dyDescent="0.25">
      <c r="A62" s="2798"/>
      <c r="B62" s="1916"/>
      <c r="C62" s="1915"/>
      <c r="D62" s="1916"/>
      <c r="E62" s="2673"/>
      <c r="F62" s="2673"/>
      <c r="G62" s="2675"/>
      <c r="H62" s="2661"/>
      <c r="I62" s="2675"/>
      <c r="J62" s="2661"/>
      <c r="K62" s="2666"/>
      <c r="L62" s="2281"/>
      <c r="M62" s="2666"/>
      <c r="N62" s="2157"/>
      <c r="O62" s="2666"/>
      <c r="P62" s="2666"/>
      <c r="Q62" s="2366"/>
      <c r="R62" s="2839"/>
      <c r="S62" s="2658"/>
      <c r="T62" s="2793"/>
      <c r="U62" s="2802"/>
      <c r="V62" s="2827"/>
      <c r="W62" s="2087">
        <v>5000000</v>
      </c>
      <c r="X62" s="1805" t="s">
        <v>3117</v>
      </c>
      <c r="Y62" s="1951">
        <v>88</v>
      </c>
      <c r="Z62" s="1803" t="s">
        <v>3046</v>
      </c>
      <c r="AA62" s="2709"/>
      <c r="AB62" s="2704"/>
      <c r="AC62" s="2704"/>
      <c r="AD62" s="2704"/>
      <c r="AE62" s="2704"/>
      <c r="AF62" s="2704"/>
      <c r="AG62" s="2562"/>
      <c r="AH62" s="2562"/>
      <c r="AI62" s="2562"/>
      <c r="AJ62" s="2562"/>
      <c r="AK62" s="2562"/>
      <c r="AL62" s="2562"/>
      <c r="AM62" s="2562"/>
      <c r="AN62" s="2562"/>
      <c r="AO62" s="2562"/>
      <c r="AP62" s="2843"/>
      <c r="AQ62" s="2841"/>
      <c r="AR62" s="2841"/>
      <c r="AS62" s="2843"/>
    </row>
    <row r="63" spans="1:45" s="1866" customFormat="1" ht="69" customHeight="1" x14ac:dyDescent="0.25">
      <c r="A63" s="2798"/>
      <c r="B63" s="1916"/>
      <c r="C63" s="1915"/>
      <c r="D63" s="1916"/>
      <c r="E63" s="2673"/>
      <c r="F63" s="2673"/>
      <c r="G63" s="2675"/>
      <c r="H63" s="2661"/>
      <c r="I63" s="2675"/>
      <c r="J63" s="2661"/>
      <c r="K63" s="2666"/>
      <c r="L63" s="2281"/>
      <c r="M63" s="2666"/>
      <c r="N63" s="2157"/>
      <c r="O63" s="2666"/>
      <c r="P63" s="2666"/>
      <c r="Q63" s="2366"/>
      <c r="R63" s="2839"/>
      <c r="S63" s="2658"/>
      <c r="T63" s="2793"/>
      <c r="U63" s="2802"/>
      <c r="V63" s="2828" t="s">
        <v>3118</v>
      </c>
      <c r="W63" s="2087">
        <v>12000000</v>
      </c>
      <c r="X63" s="1805" t="s">
        <v>3116</v>
      </c>
      <c r="Y63" s="1950">
        <v>20</v>
      </c>
      <c r="Z63" s="1802" t="s">
        <v>2351</v>
      </c>
      <c r="AA63" s="2709"/>
      <c r="AB63" s="2704"/>
      <c r="AC63" s="2704"/>
      <c r="AD63" s="2704"/>
      <c r="AE63" s="2704"/>
      <c r="AF63" s="2704"/>
      <c r="AG63" s="2562"/>
      <c r="AH63" s="2562"/>
      <c r="AI63" s="2562"/>
      <c r="AJ63" s="2562"/>
      <c r="AK63" s="2562"/>
      <c r="AL63" s="2562"/>
      <c r="AM63" s="2562"/>
      <c r="AN63" s="2562"/>
      <c r="AO63" s="2562"/>
      <c r="AP63" s="2843"/>
      <c r="AQ63" s="2841"/>
      <c r="AR63" s="2841"/>
      <c r="AS63" s="2843"/>
    </row>
    <row r="64" spans="1:45" s="1866" customFormat="1" ht="69" customHeight="1" x14ac:dyDescent="0.25">
      <c r="A64" s="2798"/>
      <c r="B64" s="1916"/>
      <c r="C64" s="1915"/>
      <c r="D64" s="1916"/>
      <c r="E64" s="2673"/>
      <c r="F64" s="2673"/>
      <c r="G64" s="2675"/>
      <c r="H64" s="2661"/>
      <c r="I64" s="2675"/>
      <c r="J64" s="2661"/>
      <c r="K64" s="2666"/>
      <c r="L64" s="2281"/>
      <c r="M64" s="2666"/>
      <c r="N64" s="2157"/>
      <c r="O64" s="2666"/>
      <c r="P64" s="2666"/>
      <c r="Q64" s="2366"/>
      <c r="R64" s="2839"/>
      <c r="S64" s="2658"/>
      <c r="T64" s="2793"/>
      <c r="U64" s="2802"/>
      <c r="V64" s="2827"/>
      <c r="W64" s="2087">
        <v>7000000</v>
      </c>
      <c r="X64" s="1805" t="s">
        <v>3117</v>
      </c>
      <c r="Y64" s="1951">
        <v>88</v>
      </c>
      <c r="Z64" s="1803" t="s">
        <v>3046</v>
      </c>
      <c r="AA64" s="2709"/>
      <c r="AB64" s="2704"/>
      <c r="AC64" s="2704"/>
      <c r="AD64" s="2704"/>
      <c r="AE64" s="2704"/>
      <c r="AF64" s="2704"/>
      <c r="AG64" s="2562"/>
      <c r="AH64" s="2562"/>
      <c r="AI64" s="2562"/>
      <c r="AJ64" s="2562"/>
      <c r="AK64" s="2562"/>
      <c r="AL64" s="2562"/>
      <c r="AM64" s="2562"/>
      <c r="AN64" s="2562"/>
      <c r="AO64" s="2562"/>
      <c r="AP64" s="2843"/>
      <c r="AQ64" s="2841"/>
      <c r="AR64" s="2841"/>
      <c r="AS64" s="2843"/>
    </row>
    <row r="65" spans="1:45" s="1866" customFormat="1" ht="33.75" customHeight="1" x14ac:dyDescent="0.25">
      <c r="A65" s="2798"/>
      <c r="B65" s="1916"/>
      <c r="C65" s="1915"/>
      <c r="D65" s="1916"/>
      <c r="E65" s="2673"/>
      <c r="F65" s="2673"/>
      <c r="G65" s="2675"/>
      <c r="H65" s="2661"/>
      <c r="I65" s="2675"/>
      <c r="J65" s="2661"/>
      <c r="K65" s="2666"/>
      <c r="L65" s="2281"/>
      <c r="M65" s="2666"/>
      <c r="N65" s="2157"/>
      <c r="O65" s="2666"/>
      <c r="P65" s="2666"/>
      <c r="Q65" s="2366"/>
      <c r="R65" s="2839"/>
      <c r="S65" s="2658"/>
      <c r="T65" s="2793"/>
      <c r="U65" s="2802"/>
      <c r="V65" s="1968" t="s">
        <v>3119</v>
      </c>
      <c r="W65" s="2088">
        <v>3000000</v>
      </c>
      <c r="X65" s="1805" t="s">
        <v>3116</v>
      </c>
      <c r="Y65" s="1950">
        <v>20</v>
      </c>
      <c r="Z65" s="1802" t="s">
        <v>2351</v>
      </c>
      <c r="AA65" s="2709"/>
      <c r="AB65" s="2704"/>
      <c r="AC65" s="2704"/>
      <c r="AD65" s="2704"/>
      <c r="AE65" s="2704"/>
      <c r="AF65" s="2704"/>
      <c r="AG65" s="2562"/>
      <c r="AH65" s="2562"/>
      <c r="AI65" s="2562"/>
      <c r="AJ65" s="2562"/>
      <c r="AK65" s="2562"/>
      <c r="AL65" s="2562"/>
      <c r="AM65" s="2562"/>
      <c r="AN65" s="2562"/>
      <c r="AO65" s="2562"/>
      <c r="AP65" s="2843"/>
      <c r="AQ65" s="2841"/>
      <c r="AR65" s="2841"/>
      <c r="AS65" s="2843"/>
    </row>
    <row r="66" spans="1:45" s="1866" customFormat="1" ht="56.25" customHeight="1" x14ac:dyDescent="0.25">
      <c r="A66" s="2798"/>
      <c r="B66" s="1916"/>
      <c r="C66" s="1915"/>
      <c r="D66" s="1916"/>
      <c r="E66" s="2673"/>
      <c r="F66" s="2673"/>
      <c r="G66" s="2675"/>
      <c r="H66" s="2676"/>
      <c r="I66" s="2675"/>
      <c r="J66" s="2676"/>
      <c r="K66" s="2667"/>
      <c r="L66" s="2282"/>
      <c r="M66" s="2667"/>
      <c r="N66" s="2304"/>
      <c r="O66" s="2667"/>
      <c r="P66" s="2666"/>
      <c r="Q66" s="2366"/>
      <c r="R66" s="2839"/>
      <c r="S66" s="2658"/>
      <c r="T66" s="2793"/>
      <c r="U66" s="2802"/>
      <c r="V66" s="1968" t="s">
        <v>3120</v>
      </c>
      <c r="W66" s="2088">
        <v>3000000</v>
      </c>
      <c r="X66" s="1805" t="s">
        <v>3116</v>
      </c>
      <c r="Y66" s="1950">
        <v>20</v>
      </c>
      <c r="Z66" s="1802" t="s">
        <v>2351</v>
      </c>
      <c r="AA66" s="2709"/>
      <c r="AB66" s="2704"/>
      <c r="AC66" s="2704"/>
      <c r="AD66" s="2704"/>
      <c r="AE66" s="2704"/>
      <c r="AF66" s="2704"/>
      <c r="AG66" s="2562"/>
      <c r="AH66" s="2562"/>
      <c r="AI66" s="2562"/>
      <c r="AJ66" s="2562"/>
      <c r="AK66" s="2562"/>
      <c r="AL66" s="2562"/>
      <c r="AM66" s="2562"/>
      <c r="AN66" s="2562"/>
      <c r="AO66" s="2562"/>
      <c r="AP66" s="2843"/>
      <c r="AQ66" s="2841"/>
      <c r="AR66" s="2841"/>
      <c r="AS66" s="2843"/>
    </row>
    <row r="67" spans="1:45" s="1866" customFormat="1" ht="48" customHeight="1" x14ac:dyDescent="0.25">
      <c r="A67" s="2798"/>
      <c r="B67" s="1916"/>
      <c r="C67" s="1915"/>
      <c r="D67" s="1916"/>
      <c r="E67" s="2673"/>
      <c r="F67" s="2673"/>
      <c r="G67" s="2675">
        <v>4101038</v>
      </c>
      <c r="H67" s="2660" t="s">
        <v>3121</v>
      </c>
      <c r="I67" s="2675">
        <v>4101038</v>
      </c>
      <c r="J67" s="2660" t="s">
        <v>3121</v>
      </c>
      <c r="K67" s="2817">
        <v>410103800</v>
      </c>
      <c r="L67" s="2280" t="s">
        <v>3122</v>
      </c>
      <c r="M67" s="2817">
        <v>410103800</v>
      </c>
      <c r="N67" s="2287" t="s">
        <v>3122</v>
      </c>
      <c r="O67" s="2817">
        <v>12</v>
      </c>
      <c r="P67" s="2666"/>
      <c r="Q67" s="2366"/>
      <c r="R67" s="2839">
        <f>SUM(W67:W75)/S41</f>
        <v>8.5812287049848848E-2</v>
      </c>
      <c r="S67" s="2658"/>
      <c r="T67" s="2793"/>
      <c r="U67" s="2802" t="s">
        <v>3123</v>
      </c>
      <c r="V67" s="1968" t="s">
        <v>3124</v>
      </c>
      <c r="W67" s="2088">
        <v>6000000</v>
      </c>
      <c r="X67" s="1805" t="s">
        <v>3125</v>
      </c>
      <c r="Y67" s="1950">
        <v>20</v>
      </c>
      <c r="Z67" s="1802" t="s">
        <v>2351</v>
      </c>
      <c r="AA67" s="2709"/>
      <c r="AB67" s="2704"/>
      <c r="AC67" s="2704"/>
      <c r="AD67" s="2704"/>
      <c r="AE67" s="2704"/>
      <c r="AF67" s="2704"/>
      <c r="AG67" s="2562"/>
      <c r="AH67" s="2562"/>
      <c r="AI67" s="2562"/>
      <c r="AJ67" s="2562"/>
      <c r="AK67" s="2562"/>
      <c r="AL67" s="2562"/>
      <c r="AM67" s="2562"/>
      <c r="AN67" s="2562"/>
      <c r="AO67" s="2562"/>
      <c r="AP67" s="2843"/>
      <c r="AQ67" s="2841"/>
      <c r="AR67" s="2841"/>
      <c r="AS67" s="2843"/>
    </row>
    <row r="68" spans="1:45" s="1866" customFormat="1" ht="47.25" customHeight="1" x14ac:dyDescent="0.25">
      <c r="A68" s="2798"/>
      <c r="B68" s="1916"/>
      <c r="C68" s="1915"/>
      <c r="D68" s="1916"/>
      <c r="E68" s="2673"/>
      <c r="F68" s="2673"/>
      <c r="G68" s="2675"/>
      <c r="H68" s="2661"/>
      <c r="I68" s="2675"/>
      <c r="J68" s="2661"/>
      <c r="K68" s="2666"/>
      <c r="L68" s="2281"/>
      <c r="M68" s="2666"/>
      <c r="N68" s="2157"/>
      <c r="O68" s="2666"/>
      <c r="P68" s="2666"/>
      <c r="Q68" s="2366"/>
      <c r="R68" s="2839"/>
      <c r="S68" s="2658"/>
      <c r="T68" s="2793"/>
      <c r="U68" s="2802"/>
      <c r="V68" s="1968" t="s">
        <v>3126</v>
      </c>
      <c r="W68" s="2087">
        <v>17000000</v>
      </c>
      <c r="X68" s="1805" t="s">
        <v>3125</v>
      </c>
      <c r="Y68" s="1950">
        <v>20</v>
      </c>
      <c r="Z68" s="1802" t="s">
        <v>2351</v>
      </c>
      <c r="AA68" s="2709"/>
      <c r="AB68" s="2704"/>
      <c r="AC68" s="2704"/>
      <c r="AD68" s="2704"/>
      <c r="AE68" s="2704"/>
      <c r="AF68" s="2704"/>
      <c r="AG68" s="2562"/>
      <c r="AH68" s="2562"/>
      <c r="AI68" s="2562"/>
      <c r="AJ68" s="2562"/>
      <c r="AK68" s="2562"/>
      <c r="AL68" s="2562"/>
      <c r="AM68" s="2562"/>
      <c r="AN68" s="2562"/>
      <c r="AO68" s="2562"/>
      <c r="AP68" s="2843"/>
      <c r="AQ68" s="2841"/>
      <c r="AR68" s="2841"/>
      <c r="AS68" s="2843"/>
    </row>
    <row r="69" spans="1:45" s="1866" customFormat="1" ht="41.25" customHeight="1" x14ac:dyDescent="0.25">
      <c r="A69" s="2798"/>
      <c r="B69" s="1916"/>
      <c r="C69" s="1915"/>
      <c r="D69" s="1916"/>
      <c r="E69" s="2673"/>
      <c r="F69" s="2673"/>
      <c r="G69" s="2675"/>
      <c r="H69" s="2661"/>
      <c r="I69" s="2675"/>
      <c r="J69" s="2661"/>
      <c r="K69" s="2666"/>
      <c r="L69" s="2281"/>
      <c r="M69" s="2666"/>
      <c r="N69" s="2157"/>
      <c r="O69" s="2666"/>
      <c r="P69" s="2666"/>
      <c r="Q69" s="2366"/>
      <c r="R69" s="2839"/>
      <c r="S69" s="2658"/>
      <c r="T69" s="2793"/>
      <c r="U69" s="2802"/>
      <c r="V69" s="2828" t="s">
        <v>3127</v>
      </c>
      <c r="W69" s="2087">
        <v>5000000</v>
      </c>
      <c r="X69" s="1805" t="s">
        <v>3128</v>
      </c>
      <c r="Y69" s="1950">
        <v>20</v>
      </c>
      <c r="Z69" s="1802" t="s">
        <v>2351</v>
      </c>
      <c r="AA69" s="2709"/>
      <c r="AB69" s="2704"/>
      <c r="AC69" s="2704"/>
      <c r="AD69" s="2704"/>
      <c r="AE69" s="2704"/>
      <c r="AF69" s="2704"/>
      <c r="AG69" s="2562"/>
      <c r="AH69" s="2562"/>
      <c r="AI69" s="2562"/>
      <c r="AJ69" s="2562"/>
      <c r="AK69" s="2562"/>
      <c r="AL69" s="2562"/>
      <c r="AM69" s="2562"/>
      <c r="AN69" s="2562"/>
      <c r="AO69" s="2562"/>
      <c r="AP69" s="2843"/>
      <c r="AQ69" s="2841"/>
      <c r="AR69" s="2841"/>
      <c r="AS69" s="2843"/>
    </row>
    <row r="70" spans="1:45" s="1866" customFormat="1" ht="29.25" customHeight="1" x14ac:dyDescent="0.25">
      <c r="A70" s="2798"/>
      <c r="B70" s="1916"/>
      <c r="C70" s="1915"/>
      <c r="D70" s="1916"/>
      <c r="E70" s="2673"/>
      <c r="F70" s="2673"/>
      <c r="G70" s="2675"/>
      <c r="H70" s="2661"/>
      <c r="I70" s="2675"/>
      <c r="J70" s="2661"/>
      <c r="K70" s="2666"/>
      <c r="L70" s="2281"/>
      <c r="M70" s="2666"/>
      <c r="N70" s="2157"/>
      <c r="O70" s="2666"/>
      <c r="P70" s="2666"/>
      <c r="Q70" s="2366"/>
      <c r="R70" s="2839"/>
      <c r="S70" s="2658"/>
      <c r="T70" s="2793"/>
      <c r="U70" s="2802"/>
      <c r="V70" s="2173"/>
      <c r="W70" s="2088">
        <v>2500000</v>
      </c>
      <c r="X70" s="1805" t="s">
        <v>3129</v>
      </c>
      <c r="Y70" s="1950">
        <v>20</v>
      </c>
      <c r="Z70" s="1802" t="s">
        <v>2351</v>
      </c>
      <c r="AA70" s="2709"/>
      <c r="AB70" s="2704"/>
      <c r="AC70" s="2704"/>
      <c r="AD70" s="2704"/>
      <c r="AE70" s="2704"/>
      <c r="AF70" s="2704"/>
      <c r="AG70" s="2562"/>
      <c r="AH70" s="2562"/>
      <c r="AI70" s="2562"/>
      <c r="AJ70" s="2562"/>
      <c r="AK70" s="2562"/>
      <c r="AL70" s="2562"/>
      <c r="AM70" s="2562"/>
      <c r="AN70" s="2562"/>
      <c r="AO70" s="2562"/>
      <c r="AP70" s="2843"/>
      <c r="AQ70" s="2841"/>
      <c r="AR70" s="2841"/>
      <c r="AS70" s="2843"/>
    </row>
    <row r="71" spans="1:45" s="1866" customFormat="1" ht="29.25" customHeight="1" x14ac:dyDescent="0.25">
      <c r="A71" s="2798"/>
      <c r="B71" s="1916"/>
      <c r="C71" s="1915"/>
      <c r="D71" s="1916"/>
      <c r="E71" s="2673"/>
      <c r="F71" s="2673"/>
      <c r="G71" s="2675"/>
      <c r="H71" s="2661"/>
      <c r="I71" s="2675"/>
      <c r="J71" s="2661"/>
      <c r="K71" s="2666"/>
      <c r="L71" s="2281"/>
      <c r="M71" s="2666"/>
      <c r="N71" s="2157"/>
      <c r="O71" s="2666"/>
      <c r="P71" s="2666"/>
      <c r="Q71" s="2366"/>
      <c r="R71" s="2839"/>
      <c r="S71" s="2658"/>
      <c r="T71" s="2793"/>
      <c r="U71" s="2802"/>
      <c r="V71" s="2827"/>
      <c r="W71" s="2089">
        <v>3000000</v>
      </c>
      <c r="X71" s="1805" t="s">
        <v>3130</v>
      </c>
      <c r="Y71" s="1951">
        <v>88</v>
      </c>
      <c r="Z71" s="1803" t="s">
        <v>3046</v>
      </c>
      <c r="AA71" s="2709"/>
      <c r="AB71" s="2704"/>
      <c r="AC71" s="2704"/>
      <c r="AD71" s="2704"/>
      <c r="AE71" s="2704"/>
      <c r="AF71" s="2704"/>
      <c r="AG71" s="2562"/>
      <c r="AH71" s="2562"/>
      <c r="AI71" s="2562"/>
      <c r="AJ71" s="2562"/>
      <c r="AK71" s="2562"/>
      <c r="AL71" s="2562"/>
      <c r="AM71" s="2562"/>
      <c r="AN71" s="2562"/>
      <c r="AO71" s="2562"/>
      <c r="AP71" s="2843"/>
      <c r="AQ71" s="2841"/>
      <c r="AR71" s="2841"/>
      <c r="AS71" s="2843"/>
    </row>
    <row r="72" spans="1:45" s="1866" customFormat="1" ht="35.25" customHeight="1" x14ac:dyDescent="0.25">
      <c r="A72" s="2798"/>
      <c r="B72" s="1916"/>
      <c r="C72" s="1915"/>
      <c r="D72" s="1916"/>
      <c r="E72" s="2673"/>
      <c r="F72" s="2673"/>
      <c r="G72" s="2675"/>
      <c r="H72" s="2661"/>
      <c r="I72" s="2675"/>
      <c r="J72" s="2661"/>
      <c r="K72" s="2666"/>
      <c r="L72" s="2281"/>
      <c r="M72" s="2666"/>
      <c r="N72" s="2157"/>
      <c r="O72" s="2666"/>
      <c r="P72" s="2666"/>
      <c r="Q72" s="2366"/>
      <c r="R72" s="2839"/>
      <c r="S72" s="2658"/>
      <c r="T72" s="2793"/>
      <c r="U72" s="2802"/>
      <c r="V72" s="1968" t="s">
        <v>3119</v>
      </c>
      <c r="W72" s="2089">
        <v>2500000</v>
      </c>
      <c r="X72" s="1805" t="s">
        <v>3129</v>
      </c>
      <c r="Y72" s="1950">
        <v>20</v>
      </c>
      <c r="Z72" s="1802" t="s">
        <v>2351</v>
      </c>
      <c r="AA72" s="2709"/>
      <c r="AB72" s="2704"/>
      <c r="AC72" s="2704"/>
      <c r="AD72" s="2704"/>
      <c r="AE72" s="2704"/>
      <c r="AF72" s="2704"/>
      <c r="AG72" s="2562"/>
      <c r="AH72" s="2562"/>
      <c r="AI72" s="2562"/>
      <c r="AJ72" s="2562"/>
      <c r="AK72" s="2562"/>
      <c r="AL72" s="2562"/>
      <c r="AM72" s="2562"/>
      <c r="AN72" s="2562"/>
      <c r="AO72" s="2562"/>
      <c r="AP72" s="2843"/>
      <c r="AQ72" s="2841"/>
      <c r="AR72" s="2841"/>
      <c r="AS72" s="2843"/>
    </row>
    <row r="73" spans="1:45" s="1866" customFormat="1" ht="54.75" customHeight="1" x14ac:dyDescent="0.25">
      <c r="A73" s="2798"/>
      <c r="B73" s="1916"/>
      <c r="C73" s="1915"/>
      <c r="D73" s="1916"/>
      <c r="E73" s="2673"/>
      <c r="F73" s="2673"/>
      <c r="G73" s="2675"/>
      <c r="H73" s="2661"/>
      <c r="I73" s="2675"/>
      <c r="J73" s="2661"/>
      <c r="K73" s="2666"/>
      <c r="L73" s="2281"/>
      <c r="M73" s="2666"/>
      <c r="N73" s="2157"/>
      <c r="O73" s="2666"/>
      <c r="P73" s="2666"/>
      <c r="Q73" s="2366"/>
      <c r="R73" s="2839"/>
      <c r="S73" s="2658"/>
      <c r="T73" s="2793"/>
      <c r="U73" s="2802"/>
      <c r="V73" s="2828" t="s">
        <v>3131</v>
      </c>
      <c r="W73" s="2089">
        <v>5000000</v>
      </c>
      <c r="X73" s="1805" t="s">
        <v>3125</v>
      </c>
      <c r="Y73" s="1950">
        <v>20</v>
      </c>
      <c r="Z73" s="1802" t="s">
        <v>2351</v>
      </c>
      <c r="AA73" s="2709"/>
      <c r="AB73" s="2704"/>
      <c r="AC73" s="2704"/>
      <c r="AD73" s="2704"/>
      <c r="AE73" s="2704"/>
      <c r="AF73" s="2704"/>
      <c r="AG73" s="2562"/>
      <c r="AH73" s="2562"/>
      <c r="AI73" s="2562"/>
      <c r="AJ73" s="2562"/>
      <c r="AK73" s="2562"/>
      <c r="AL73" s="2562"/>
      <c r="AM73" s="2562"/>
      <c r="AN73" s="2562"/>
      <c r="AO73" s="2562"/>
      <c r="AP73" s="2843"/>
      <c r="AQ73" s="2841"/>
      <c r="AR73" s="2841"/>
      <c r="AS73" s="2843"/>
    </row>
    <row r="74" spans="1:45" s="1866" customFormat="1" ht="54.75" customHeight="1" x14ac:dyDescent="0.25">
      <c r="A74" s="2798"/>
      <c r="B74" s="1916"/>
      <c r="C74" s="1915"/>
      <c r="D74" s="1916"/>
      <c r="E74" s="2673"/>
      <c r="F74" s="2673"/>
      <c r="G74" s="2675"/>
      <c r="H74" s="2661"/>
      <c r="I74" s="2675"/>
      <c r="J74" s="2661"/>
      <c r="K74" s="2666"/>
      <c r="L74" s="2281"/>
      <c r="M74" s="2666"/>
      <c r="N74" s="2157"/>
      <c r="O74" s="2666"/>
      <c r="P74" s="2666"/>
      <c r="Q74" s="2366"/>
      <c r="R74" s="2839"/>
      <c r="S74" s="2658"/>
      <c r="T74" s="2793"/>
      <c r="U74" s="2802"/>
      <c r="V74" s="2827"/>
      <c r="W74" s="2089">
        <v>3000000</v>
      </c>
      <c r="X74" s="1805" t="s">
        <v>3132</v>
      </c>
      <c r="Y74" s="1951">
        <v>88</v>
      </c>
      <c r="Z74" s="1803" t="s">
        <v>3046</v>
      </c>
      <c r="AA74" s="2709"/>
      <c r="AB74" s="2704"/>
      <c r="AC74" s="2704"/>
      <c r="AD74" s="2704"/>
      <c r="AE74" s="2704"/>
      <c r="AF74" s="2704"/>
      <c r="AG74" s="2562"/>
      <c r="AH74" s="2562"/>
      <c r="AI74" s="2562"/>
      <c r="AJ74" s="2562"/>
      <c r="AK74" s="2562"/>
      <c r="AL74" s="2562"/>
      <c r="AM74" s="2562"/>
      <c r="AN74" s="2562"/>
      <c r="AO74" s="2562"/>
      <c r="AP74" s="2843"/>
      <c r="AQ74" s="2841"/>
      <c r="AR74" s="2841"/>
      <c r="AS74" s="2843"/>
    </row>
    <row r="75" spans="1:45" s="1866" customFormat="1" ht="71.25" customHeight="1" x14ac:dyDescent="0.25">
      <c r="A75" s="2798"/>
      <c r="B75" s="1916"/>
      <c r="C75" s="1915"/>
      <c r="D75" s="1916"/>
      <c r="E75" s="2673"/>
      <c r="F75" s="2673"/>
      <c r="G75" s="2675"/>
      <c r="H75" s="2676"/>
      <c r="I75" s="2675"/>
      <c r="J75" s="2676"/>
      <c r="K75" s="2667"/>
      <c r="L75" s="2282"/>
      <c r="M75" s="2667"/>
      <c r="N75" s="2304"/>
      <c r="O75" s="2667"/>
      <c r="P75" s="2666"/>
      <c r="Q75" s="2366"/>
      <c r="R75" s="2839"/>
      <c r="S75" s="2658"/>
      <c r="T75" s="2793"/>
      <c r="U75" s="2802"/>
      <c r="V75" s="1968" t="s">
        <v>3133</v>
      </c>
      <c r="W75" s="2087">
        <v>3000000</v>
      </c>
      <c r="X75" s="1808" t="s">
        <v>3125</v>
      </c>
      <c r="Y75" s="1950">
        <v>20</v>
      </c>
      <c r="Z75" s="1802" t="s">
        <v>2351</v>
      </c>
      <c r="AA75" s="2709"/>
      <c r="AB75" s="2704"/>
      <c r="AC75" s="2704"/>
      <c r="AD75" s="2704"/>
      <c r="AE75" s="2704"/>
      <c r="AF75" s="2704"/>
      <c r="AG75" s="2562"/>
      <c r="AH75" s="2562"/>
      <c r="AI75" s="2562"/>
      <c r="AJ75" s="2562"/>
      <c r="AK75" s="2562"/>
      <c r="AL75" s="2562"/>
      <c r="AM75" s="2562"/>
      <c r="AN75" s="2562"/>
      <c r="AO75" s="2562"/>
      <c r="AP75" s="2843"/>
      <c r="AQ75" s="2841"/>
      <c r="AR75" s="2841"/>
      <c r="AS75" s="2843"/>
    </row>
    <row r="76" spans="1:45" s="1866" customFormat="1" ht="70.5" customHeight="1" x14ac:dyDescent="0.25">
      <c r="A76" s="2798"/>
      <c r="B76" s="1916"/>
      <c r="C76" s="1915"/>
      <c r="D76" s="1916"/>
      <c r="E76" s="2673"/>
      <c r="F76" s="2673"/>
      <c r="G76" s="2832">
        <v>4101073</v>
      </c>
      <c r="H76" s="2834" t="s">
        <v>3134</v>
      </c>
      <c r="I76" s="2832">
        <v>4101073</v>
      </c>
      <c r="J76" s="2836" t="s">
        <v>3134</v>
      </c>
      <c r="K76" s="2817">
        <v>410107300</v>
      </c>
      <c r="L76" s="2280" t="s">
        <v>3135</v>
      </c>
      <c r="M76" s="2817">
        <v>410107300</v>
      </c>
      <c r="N76" s="2287" t="s">
        <v>3135</v>
      </c>
      <c r="O76" s="2817">
        <v>30</v>
      </c>
      <c r="P76" s="2666"/>
      <c r="Q76" s="2366"/>
      <c r="R76" s="2819">
        <f>SUM(W76:W81)/S41</f>
        <v>0.24959893664919411</v>
      </c>
      <c r="S76" s="2658"/>
      <c r="T76" s="2793"/>
      <c r="U76" s="2829" t="s">
        <v>3136</v>
      </c>
      <c r="V76" s="2830" t="s">
        <v>3137</v>
      </c>
      <c r="W76" s="2090">
        <f>40000000-40000000</f>
        <v>0</v>
      </c>
      <c r="X76" s="1786" t="s">
        <v>3138</v>
      </c>
      <c r="Y76" s="1950">
        <v>20</v>
      </c>
      <c r="Z76" s="1802" t="s">
        <v>2351</v>
      </c>
      <c r="AA76" s="2709"/>
      <c r="AB76" s="2704"/>
      <c r="AC76" s="2704"/>
      <c r="AD76" s="2704"/>
      <c r="AE76" s="2704"/>
      <c r="AF76" s="2704"/>
      <c r="AG76" s="2562"/>
      <c r="AH76" s="2562"/>
      <c r="AI76" s="2562"/>
      <c r="AJ76" s="2562"/>
      <c r="AK76" s="2562"/>
      <c r="AL76" s="2562"/>
      <c r="AM76" s="2562"/>
      <c r="AN76" s="2562"/>
      <c r="AO76" s="2562"/>
      <c r="AP76" s="2843"/>
      <c r="AQ76" s="2841"/>
      <c r="AR76" s="2841"/>
      <c r="AS76" s="2843"/>
    </row>
    <row r="77" spans="1:45" s="1866" customFormat="1" ht="70.5" customHeight="1" x14ac:dyDescent="0.25">
      <c r="A77" s="2798"/>
      <c r="B77" s="1916"/>
      <c r="C77" s="1915"/>
      <c r="D77" s="1916"/>
      <c r="E77" s="2673"/>
      <c r="F77" s="2673"/>
      <c r="G77" s="2833"/>
      <c r="H77" s="2824"/>
      <c r="I77" s="2833"/>
      <c r="J77" s="2837"/>
      <c r="K77" s="2666"/>
      <c r="L77" s="2281"/>
      <c r="M77" s="2666"/>
      <c r="N77" s="2157"/>
      <c r="O77" s="2666"/>
      <c r="P77" s="2666"/>
      <c r="Q77" s="2366"/>
      <c r="R77" s="2820"/>
      <c r="S77" s="2658"/>
      <c r="T77" s="2793"/>
      <c r="U77" s="2824"/>
      <c r="V77" s="2831"/>
      <c r="W77" s="2090">
        <v>36707113</v>
      </c>
      <c r="X77" s="1786" t="s">
        <v>3139</v>
      </c>
      <c r="Y77" s="1951">
        <v>88</v>
      </c>
      <c r="Z77" s="1803" t="s">
        <v>3046</v>
      </c>
      <c r="AA77" s="2709"/>
      <c r="AB77" s="2704"/>
      <c r="AC77" s="2704"/>
      <c r="AD77" s="2704"/>
      <c r="AE77" s="2704"/>
      <c r="AF77" s="2704"/>
      <c r="AG77" s="2562"/>
      <c r="AH77" s="2562"/>
      <c r="AI77" s="2562"/>
      <c r="AJ77" s="2562"/>
      <c r="AK77" s="2562"/>
      <c r="AL77" s="2562"/>
      <c r="AM77" s="2562"/>
      <c r="AN77" s="2562"/>
      <c r="AO77" s="2562"/>
      <c r="AP77" s="2843"/>
      <c r="AQ77" s="2841"/>
      <c r="AR77" s="2841"/>
      <c r="AS77" s="2843"/>
    </row>
    <row r="78" spans="1:45" s="1866" customFormat="1" ht="70.5" customHeight="1" x14ac:dyDescent="0.25">
      <c r="A78" s="2798"/>
      <c r="B78" s="1916"/>
      <c r="C78" s="1915"/>
      <c r="D78" s="1916"/>
      <c r="E78" s="2673"/>
      <c r="F78" s="2673"/>
      <c r="G78" s="2833"/>
      <c r="H78" s="2824"/>
      <c r="I78" s="2833"/>
      <c r="J78" s="2837"/>
      <c r="K78" s="2666"/>
      <c r="L78" s="2281"/>
      <c r="M78" s="2666"/>
      <c r="N78" s="2157"/>
      <c r="O78" s="2666"/>
      <c r="P78" s="2666"/>
      <c r="Q78" s="2366"/>
      <c r="R78" s="2820"/>
      <c r="S78" s="2658"/>
      <c r="T78" s="2793"/>
      <c r="U78" s="2824"/>
      <c r="V78" s="2831"/>
      <c r="W78" s="2090">
        <v>20000000</v>
      </c>
      <c r="X78" s="1786" t="s">
        <v>3140</v>
      </c>
      <c r="Y78" s="1950">
        <v>20</v>
      </c>
      <c r="Z78" s="1802" t="s">
        <v>2351</v>
      </c>
      <c r="AA78" s="2709"/>
      <c r="AB78" s="2704"/>
      <c r="AC78" s="2704"/>
      <c r="AD78" s="2704"/>
      <c r="AE78" s="2704"/>
      <c r="AF78" s="2704"/>
      <c r="AG78" s="2562"/>
      <c r="AH78" s="2562"/>
      <c r="AI78" s="2562"/>
      <c r="AJ78" s="2562"/>
      <c r="AK78" s="2562"/>
      <c r="AL78" s="2562"/>
      <c r="AM78" s="2562"/>
      <c r="AN78" s="2562"/>
      <c r="AO78" s="2562"/>
      <c r="AP78" s="2843"/>
      <c r="AQ78" s="2841"/>
      <c r="AR78" s="2841"/>
      <c r="AS78" s="2843"/>
    </row>
    <row r="79" spans="1:45" s="1866" customFormat="1" ht="70.5" customHeight="1" x14ac:dyDescent="0.25">
      <c r="A79" s="2798"/>
      <c r="B79" s="1916"/>
      <c r="C79" s="1915"/>
      <c r="D79" s="1916"/>
      <c r="E79" s="2673"/>
      <c r="F79" s="2673"/>
      <c r="G79" s="2833"/>
      <c r="H79" s="2824"/>
      <c r="I79" s="2833"/>
      <c r="J79" s="2837"/>
      <c r="K79" s="2666"/>
      <c r="L79" s="2281"/>
      <c r="M79" s="2666"/>
      <c r="N79" s="2157"/>
      <c r="O79" s="2666"/>
      <c r="P79" s="2666"/>
      <c r="Q79" s="2366"/>
      <c r="R79" s="2820"/>
      <c r="S79" s="2658"/>
      <c r="T79" s="2793"/>
      <c r="U79" s="2824"/>
      <c r="V79" s="2831"/>
      <c r="W79" s="2090">
        <v>30000000</v>
      </c>
      <c r="X79" s="1786" t="s">
        <v>3141</v>
      </c>
      <c r="Y79" s="1951">
        <v>88</v>
      </c>
      <c r="Z79" s="1803" t="s">
        <v>3046</v>
      </c>
      <c r="AA79" s="2709"/>
      <c r="AB79" s="2704"/>
      <c r="AC79" s="2704"/>
      <c r="AD79" s="2704"/>
      <c r="AE79" s="2704"/>
      <c r="AF79" s="2704"/>
      <c r="AG79" s="2562"/>
      <c r="AH79" s="2562"/>
      <c r="AI79" s="2562"/>
      <c r="AJ79" s="2562"/>
      <c r="AK79" s="2562"/>
      <c r="AL79" s="2562"/>
      <c r="AM79" s="2562"/>
      <c r="AN79" s="2562"/>
      <c r="AO79" s="2562"/>
      <c r="AP79" s="2843"/>
      <c r="AQ79" s="2841"/>
      <c r="AR79" s="2841"/>
      <c r="AS79" s="2843"/>
    </row>
    <row r="80" spans="1:45" s="1866" customFormat="1" ht="70.5" customHeight="1" x14ac:dyDescent="0.25">
      <c r="A80" s="2798"/>
      <c r="B80" s="1916"/>
      <c r="C80" s="1915"/>
      <c r="D80" s="1916"/>
      <c r="E80" s="2673"/>
      <c r="F80" s="2673"/>
      <c r="G80" s="2833"/>
      <c r="H80" s="2824"/>
      <c r="I80" s="2833"/>
      <c r="J80" s="2837"/>
      <c r="K80" s="2666"/>
      <c r="L80" s="2281"/>
      <c r="M80" s="2666"/>
      <c r="N80" s="2157"/>
      <c r="O80" s="2666"/>
      <c r="P80" s="2666"/>
      <c r="Q80" s="2366"/>
      <c r="R80" s="2820"/>
      <c r="S80" s="2658"/>
      <c r="T80" s="2793"/>
      <c r="U80" s="2824"/>
      <c r="V80" s="2831"/>
      <c r="W80" s="2090">
        <v>30000000</v>
      </c>
      <c r="X80" s="1786" t="s">
        <v>3142</v>
      </c>
      <c r="Y80" s="1951">
        <v>88</v>
      </c>
      <c r="Z80" s="1803" t="s">
        <v>3046</v>
      </c>
      <c r="AA80" s="2709"/>
      <c r="AB80" s="2704"/>
      <c r="AC80" s="2704"/>
      <c r="AD80" s="2704"/>
      <c r="AE80" s="2704"/>
      <c r="AF80" s="2704"/>
      <c r="AG80" s="2562"/>
      <c r="AH80" s="2562"/>
      <c r="AI80" s="2562"/>
      <c r="AJ80" s="2562"/>
      <c r="AK80" s="2562"/>
      <c r="AL80" s="2562"/>
      <c r="AM80" s="2562"/>
      <c r="AN80" s="2562"/>
      <c r="AO80" s="2562"/>
      <c r="AP80" s="2843"/>
      <c r="AQ80" s="2841"/>
      <c r="AR80" s="2841"/>
      <c r="AS80" s="2843"/>
    </row>
    <row r="81" spans="1:45" s="1866" customFormat="1" ht="70.5" customHeight="1" x14ac:dyDescent="0.25">
      <c r="A81" s="2798"/>
      <c r="B81" s="1916"/>
      <c r="C81" s="1915"/>
      <c r="D81" s="1916"/>
      <c r="E81" s="2673"/>
      <c r="F81" s="2673"/>
      <c r="G81" s="2674"/>
      <c r="H81" s="2835"/>
      <c r="I81" s="2674"/>
      <c r="J81" s="2838"/>
      <c r="K81" s="2667"/>
      <c r="L81" s="2282"/>
      <c r="M81" s="2667"/>
      <c r="N81" s="2304"/>
      <c r="O81" s="2667"/>
      <c r="P81" s="2666"/>
      <c r="Q81" s="2366"/>
      <c r="R81" s="2821"/>
      <c r="S81" s="2658"/>
      <c r="T81" s="2793"/>
      <c r="U81" s="2825"/>
      <c r="V81" s="2831"/>
      <c r="W81" s="2090">
        <v>20000000</v>
      </c>
      <c r="X81" s="1786" t="s">
        <v>3143</v>
      </c>
      <c r="Y81" s="1950">
        <v>20</v>
      </c>
      <c r="Z81" s="1802" t="s">
        <v>2351</v>
      </c>
      <c r="AA81" s="2709"/>
      <c r="AB81" s="2704"/>
      <c r="AC81" s="2704"/>
      <c r="AD81" s="2704"/>
      <c r="AE81" s="2704"/>
      <c r="AF81" s="2704"/>
      <c r="AG81" s="2562"/>
      <c r="AH81" s="2562"/>
      <c r="AI81" s="2562"/>
      <c r="AJ81" s="2562"/>
      <c r="AK81" s="2562"/>
      <c r="AL81" s="2562"/>
      <c r="AM81" s="2562"/>
      <c r="AN81" s="2562"/>
      <c r="AO81" s="2562"/>
      <c r="AP81" s="2843"/>
      <c r="AQ81" s="2841"/>
      <c r="AR81" s="2841"/>
      <c r="AS81" s="2843"/>
    </row>
    <row r="82" spans="1:45" s="1866" customFormat="1" ht="50.25" customHeight="1" x14ac:dyDescent="0.25">
      <c r="A82" s="2798"/>
      <c r="B82" s="1916"/>
      <c r="C82" s="1915"/>
      <c r="D82" s="1916"/>
      <c r="E82" s="2673"/>
      <c r="F82" s="2673"/>
      <c r="G82" s="2675">
        <v>4101011</v>
      </c>
      <c r="H82" s="2660" t="s">
        <v>3144</v>
      </c>
      <c r="I82" s="2675">
        <v>4101011</v>
      </c>
      <c r="J82" s="2660" t="s">
        <v>3144</v>
      </c>
      <c r="K82" s="2817">
        <v>410101100</v>
      </c>
      <c r="L82" s="2280" t="s">
        <v>3145</v>
      </c>
      <c r="M82" s="2817">
        <v>410101100</v>
      </c>
      <c r="N82" s="2287" t="s">
        <v>3145</v>
      </c>
      <c r="O82" s="2817">
        <v>2</v>
      </c>
      <c r="P82" s="2666"/>
      <c r="Q82" s="2366"/>
      <c r="R82" s="2819">
        <f>SUM(W82:W89)/S41</f>
        <v>8.5812287049848848E-2</v>
      </c>
      <c r="S82" s="2658"/>
      <c r="T82" s="2793"/>
      <c r="U82" s="2822" t="s">
        <v>3146</v>
      </c>
      <c r="V82" s="2826" t="s">
        <v>3147</v>
      </c>
      <c r="W82" s="2091">
        <v>3000000</v>
      </c>
      <c r="X82" s="1806" t="s">
        <v>3148</v>
      </c>
      <c r="Y82" s="1950">
        <v>20</v>
      </c>
      <c r="Z82" s="1802" t="s">
        <v>2351</v>
      </c>
      <c r="AA82" s="2709"/>
      <c r="AB82" s="2704"/>
      <c r="AC82" s="2704"/>
      <c r="AD82" s="2704"/>
      <c r="AE82" s="2704"/>
      <c r="AF82" s="2704"/>
      <c r="AG82" s="2562"/>
      <c r="AH82" s="2562"/>
      <c r="AI82" s="2562"/>
      <c r="AJ82" s="2562"/>
      <c r="AK82" s="2562"/>
      <c r="AL82" s="2562"/>
      <c r="AM82" s="2562"/>
      <c r="AN82" s="2562"/>
      <c r="AO82" s="2562"/>
      <c r="AP82" s="2843"/>
      <c r="AQ82" s="2841"/>
      <c r="AR82" s="2841"/>
      <c r="AS82" s="2843"/>
    </row>
    <row r="83" spans="1:45" s="1866" customFormat="1" ht="50.25" customHeight="1" x14ac:dyDescent="0.25">
      <c r="A83" s="2798"/>
      <c r="B83" s="1916"/>
      <c r="C83" s="1915"/>
      <c r="D83" s="1916"/>
      <c r="E83" s="2673"/>
      <c r="F83" s="2673"/>
      <c r="G83" s="2675"/>
      <c r="H83" s="2661"/>
      <c r="I83" s="2675"/>
      <c r="J83" s="2661"/>
      <c r="K83" s="2666"/>
      <c r="L83" s="2281"/>
      <c r="M83" s="2666"/>
      <c r="N83" s="2157"/>
      <c r="O83" s="2666"/>
      <c r="P83" s="2666"/>
      <c r="Q83" s="2366"/>
      <c r="R83" s="2820"/>
      <c r="S83" s="2658"/>
      <c r="T83" s="2793"/>
      <c r="U83" s="2823"/>
      <c r="V83" s="2826"/>
      <c r="W83" s="2092">
        <v>20000000</v>
      </c>
      <c r="X83" s="1807" t="s">
        <v>3149</v>
      </c>
      <c r="Y83" s="1951">
        <v>88</v>
      </c>
      <c r="Z83" s="1803" t="s">
        <v>3046</v>
      </c>
      <c r="AA83" s="2709"/>
      <c r="AB83" s="2704"/>
      <c r="AC83" s="2704"/>
      <c r="AD83" s="2704"/>
      <c r="AE83" s="2704"/>
      <c r="AF83" s="2704"/>
      <c r="AG83" s="2562"/>
      <c r="AH83" s="2562"/>
      <c r="AI83" s="2562"/>
      <c r="AJ83" s="2562"/>
      <c r="AK83" s="2562"/>
      <c r="AL83" s="2562"/>
      <c r="AM83" s="2562"/>
      <c r="AN83" s="2562"/>
      <c r="AO83" s="2562"/>
      <c r="AP83" s="2843"/>
      <c r="AQ83" s="2841"/>
      <c r="AR83" s="2841"/>
      <c r="AS83" s="2843"/>
    </row>
    <row r="84" spans="1:45" s="1866" customFormat="1" ht="53.25" customHeight="1" x14ac:dyDescent="0.25">
      <c r="A84" s="2798"/>
      <c r="B84" s="1916"/>
      <c r="C84" s="1915"/>
      <c r="D84" s="1916"/>
      <c r="E84" s="2673"/>
      <c r="F84" s="2673"/>
      <c r="G84" s="2675"/>
      <c r="H84" s="2661"/>
      <c r="I84" s="2675"/>
      <c r="J84" s="2661"/>
      <c r="K84" s="2666"/>
      <c r="L84" s="2281"/>
      <c r="M84" s="2666"/>
      <c r="N84" s="2157"/>
      <c r="O84" s="2666"/>
      <c r="P84" s="2666"/>
      <c r="Q84" s="2366"/>
      <c r="R84" s="2820"/>
      <c r="S84" s="2658"/>
      <c r="T84" s="2793"/>
      <c r="U84" s="2824"/>
      <c r="V84" s="2173" t="s">
        <v>3150</v>
      </c>
      <c r="W84" s="2089">
        <v>7000000</v>
      </c>
      <c r="X84" s="1805" t="s">
        <v>3151</v>
      </c>
      <c r="Y84" s="1950">
        <v>20</v>
      </c>
      <c r="Z84" s="1802" t="s">
        <v>2351</v>
      </c>
      <c r="AA84" s="2709"/>
      <c r="AB84" s="2704"/>
      <c r="AC84" s="2704"/>
      <c r="AD84" s="2704"/>
      <c r="AE84" s="2704"/>
      <c r="AF84" s="2704"/>
      <c r="AG84" s="2562"/>
      <c r="AH84" s="2562"/>
      <c r="AI84" s="2562"/>
      <c r="AJ84" s="2562"/>
      <c r="AK84" s="2562"/>
      <c r="AL84" s="2562"/>
      <c r="AM84" s="2562"/>
      <c r="AN84" s="2562"/>
      <c r="AO84" s="2562"/>
      <c r="AP84" s="2843"/>
      <c r="AQ84" s="2841"/>
      <c r="AR84" s="2841"/>
      <c r="AS84" s="2843"/>
    </row>
    <row r="85" spans="1:45" s="1866" customFormat="1" ht="53.25" customHeight="1" x14ac:dyDescent="0.25">
      <c r="A85" s="2798"/>
      <c r="B85" s="1916"/>
      <c r="C85" s="1915"/>
      <c r="D85" s="1916"/>
      <c r="E85" s="2673"/>
      <c r="F85" s="2673"/>
      <c r="G85" s="2675"/>
      <c r="H85" s="2661"/>
      <c r="I85" s="2675"/>
      <c r="J85" s="2661"/>
      <c r="K85" s="2666"/>
      <c r="L85" s="2281"/>
      <c r="M85" s="2666"/>
      <c r="N85" s="2157"/>
      <c r="O85" s="2666"/>
      <c r="P85" s="2666"/>
      <c r="Q85" s="2366"/>
      <c r="R85" s="2820"/>
      <c r="S85" s="2658"/>
      <c r="T85" s="2793"/>
      <c r="U85" s="2824"/>
      <c r="V85" s="2827"/>
      <c r="W85" s="2088">
        <v>10000000</v>
      </c>
      <c r="X85" s="1805" t="s">
        <v>3149</v>
      </c>
      <c r="Y85" s="1951">
        <v>88</v>
      </c>
      <c r="Z85" s="1803" t="s">
        <v>3046</v>
      </c>
      <c r="AA85" s="2709"/>
      <c r="AB85" s="2704"/>
      <c r="AC85" s="2704"/>
      <c r="AD85" s="2704"/>
      <c r="AE85" s="2704"/>
      <c r="AF85" s="2704"/>
      <c r="AG85" s="2562"/>
      <c r="AH85" s="2562"/>
      <c r="AI85" s="2562"/>
      <c r="AJ85" s="2562"/>
      <c r="AK85" s="2562"/>
      <c r="AL85" s="2562"/>
      <c r="AM85" s="2562"/>
      <c r="AN85" s="2562"/>
      <c r="AO85" s="2562"/>
      <c r="AP85" s="2843"/>
      <c r="AQ85" s="2841"/>
      <c r="AR85" s="2841"/>
      <c r="AS85" s="2843"/>
    </row>
    <row r="86" spans="1:45" s="1866" customFormat="1" ht="38.25" customHeight="1" x14ac:dyDescent="0.25">
      <c r="A86" s="2798"/>
      <c r="B86" s="1916"/>
      <c r="C86" s="1915"/>
      <c r="D86" s="1916"/>
      <c r="E86" s="2673"/>
      <c r="F86" s="2673"/>
      <c r="G86" s="2675"/>
      <c r="H86" s="2661"/>
      <c r="I86" s="2675"/>
      <c r="J86" s="2661"/>
      <c r="K86" s="2666"/>
      <c r="L86" s="2281"/>
      <c r="M86" s="2666"/>
      <c r="N86" s="2157"/>
      <c r="O86" s="2666"/>
      <c r="P86" s="2666"/>
      <c r="Q86" s="2366"/>
      <c r="R86" s="2820"/>
      <c r="S86" s="2658"/>
      <c r="T86" s="2793"/>
      <c r="U86" s="2824"/>
      <c r="V86" s="1969" t="s">
        <v>3119</v>
      </c>
      <c r="W86" s="2088">
        <v>2000000</v>
      </c>
      <c r="X86" s="1805" t="s">
        <v>3152</v>
      </c>
      <c r="Y86" s="1950">
        <v>20</v>
      </c>
      <c r="Z86" s="1802" t="s">
        <v>2351</v>
      </c>
      <c r="AA86" s="2709"/>
      <c r="AB86" s="2704"/>
      <c r="AC86" s="2704"/>
      <c r="AD86" s="2704"/>
      <c r="AE86" s="2704"/>
      <c r="AF86" s="2704"/>
      <c r="AG86" s="2562"/>
      <c r="AH86" s="2562"/>
      <c r="AI86" s="2562"/>
      <c r="AJ86" s="2562"/>
      <c r="AK86" s="2562"/>
      <c r="AL86" s="2562"/>
      <c r="AM86" s="2562"/>
      <c r="AN86" s="2562"/>
      <c r="AO86" s="2562"/>
      <c r="AP86" s="2843"/>
      <c r="AQ86" s="2841"/>
      <c r="AR86" s="2841"/>
      <c r="AS86" s="2843"/>
    </row>
    <row r="87" spans="1:45" s="1866" customFormat="1" ht="38.25" customHeight="1" x14ac:dyDescent="0.25">
      <c r="A87" s="2798"/>
      <c r="B87" s="1916"/>
      <c r="C87" s="1915"/>
      <c r="D87" s="1916"/>
      <c r="E87" s="2673"/>
      <c r="F87" s="2673"/>
      <c r="G87" s="2675"/>
      <c r="H87" s="2661"/>
      <c r="I87" s="2675"/>
      <c r="J87" s="2661"/>
      <c r="K87" s="2666"/>
      <c r="L87" s="2281"/>
      <c r="M87" s="2666"/>
      <c r="N87" s="2157"/>
      <c r="O87" s="2666"/>
      <c r="P87" s="2666"/>
      <c r="Q87" s="2366"/>
      <c r="R87" s="2820"/>
      <c r="S87" s="2658"/>
      <c r="T87" s="2793"/>
      <c r="U87" s="2824"/>
      <c r="V87" s="2828" t="s">
        <v>3153</v>
      </c>
      <c r="W87" s="2087">
        <v>1000000</v>
      </c>
      <c r="X87" s="1805" t="s">
        <v>3152</v>
      </c>
      <c r="Y87" s="1950">
        <v>20</v>
      </c>
      <c r="Z87" s="1802" t="s">
        <v>2351</v>
      </c>
      <c r="AA87" s="2709"/>
      <c r="AB87" s="2704"/>
      <c r="AC87" s="2704"/>
      <c r="AD87" s="2704"/>
      <c r="AE87" s="2704"/>
      <c r="AF87" s="2704"/>
      <c r="AG87" s="2562"/>
      <c r="AH87" s="2562"/>
      <c r="AI87" s="2562"/>
      <c r="AJ87" s="2562"/>
      <c r="AK87" s="2562"/>
      <c r="AL87" s="2562"/>
      <c r="AM87" s="2562"/>
      <c r="AN87" s="2562"/>
      <c r="AO87" s="2562"/>
      <c r="AP87" s="2843"/>
      <c r="AQ87" s="2841"/>
      <c r="AR87" s="2841"/>
      <c r="AS87" s="2843"/>
    </row>
    <row r="88" spans="1:45" s="1866" customFormat="1" ht="38.25" customHeight="1" x14ac:dyDescent="0.25">
      <c r="A88" s="2798"/>
      <c r="B88" s="1916"/>
      <c r="C88" s="1915"/>
      <c r="D88" s="1916"/>
      <c r="E88" s="2673"/>
      <c r="F88" s="2673"/>
      <c r="G88" s="2675"/>
      <c r="H88" s="2661"/>
      <c r="I88" s="2675"/>
      <c r="J88" s="2661"/>
      <c r="K88" s="2666"/>
      <c r="L88" s="2281"/>
      <c r="M88" s="2666"/>
      <c r="N88" s="2157"/>
      <c r="O88" s="2666"/>
      <c r="P88" s="2666"/>
      <c r="Q88" s="2366"/>
      <c r="R88" s="2820"/>
      <c r="S88" s="2658"/>
      <c r="T88" s="2793"/>
      <c r="U88" s="2824"/>
      <c r="V88" s="2173"/>
      <c r="W88" s="2087">
        <v>2000000</v>
      </c>
      <c r="X88" s="1805" t="s">
        <v>3149</v>
      </c>
      <c r="Y88" s="1951">
        <v>88</v>
      </c>
      <c r="Z88" s="1803" t="s">
        <v>3046</v>
      </c>
      <c r="AA88" s="2709"/>
      <c r="AB88" s="2704"/>
      <c r="AC88" s="2704"/>
      <c r="AD88" s="2704"/>
      <c r="AE88" s="2704"/>
      <c r="AF88" s="2704"/>
      <c r="AG88" s="2562"/>
      <c r="AH88" s="2562"/>
      <c r="AI88" s="2562"/>
      <c r="AJ88" s="2562"/>
      <c r="AK88" s="2562"/>
      <c r="AL88" s="2562"/>
      <c r="AM88" s="2562"/>
      <c r="AN88" s="2562"/>
      <c r="AO88" s="2562"/>
      <c r="AP88" s="2843"/>
      <c r="AQ88" s="2841"/>
      <c r="AR88" s="2841"/>
      <c r="AS88" s="2843"/>
    </row>
    <row r="89" spans="1:45" s="1866" customFormat="1" ht="38.25" customHeight="1" x14ac:dyDescent="0.25">
      <c r="A89" s="2798"/>
      <c r="B89" s="1916"/>
      <c r="C89" s="1915"/>
      <c r="D89" s="1916"/>
      <c r="E89" s="2673"/>
      <c r="F89" s="2776"/>
      <c r="G89" s="2675"/>
      <c r="H89" s="2777"/>
      <c r="I89" s="2675"/>
      <c r="J89" s="2777"/>
      <c r="K89" s="2816"/>
      <c r="L89" s="2774"/>
      <c r="M89" s="2816"/>
      <c r="N89" s="2818"/>
      <c r="O89" s="2816"/>
      <c r="P89" s="2816"/>
      <c r="Q89" s="2844"/>
      <c r="R89" s="2821"/>
      <c r="S89" s="2658"/>
      <c r="T89" s="2793"/>
      <c r="U89" s="2825"/>
      <c r="V89" s="2827"/>
      <c r="W89" s="2087">
        <v>2000000</v>
      </c>
      <c r="X89" s="1813" t="s">
        <v>3151</v>
      </c>
      <c r="Y89" s="1970">
        <v>20</v>
      </c>
      <c r="Z89" s="1787" t="s">
        <v>2351</v>
      </c>
      <c r="AA89" s="2709"/>
      <c r="AB89" s="2704"/>
      <c r="AC89" s="2704"/>
      <c r="AD89" s="2704"/>
      <c r="AE89" s="2704"/>
      <c r="AF89" s="2704"/>
      <c r="AG89" s="2562"/>
      <c r="AH89" s="2562"/>
      <c r="AI89" s="2562"/>
      <c r="AJ89" s="2562"/>
      <c r="AK89" s="2562"/>
      <c r="AL89" s="2562"/>
      <c r="AM89" s="2562"/>
      <c r="AN89" s="2562"/>
      <c r="AO89" s="2562"/>
      <c r="AP89" s="2843"/>
      <c r="AQ89" s="2841"/>
      <c r="AR89" s="2841"/>
      <c r="AS89" s="2843"/>
    </row>
    <row r="90" spans="1:45" s="1866" customFormat="1" ht="21.75" customHeight="1" x14ac:dyDescent="0.25">
      <c r="A90" s="2798"/>
      <c r="B90" s="1916"/>
      <c r="C90" s="1915"/>
      <c r="D90" s="1916"/>
      <c r="E90" s="1922">
        <v>4103</v>
      </c>
      <c r="F90" s="2815" t="s">
        <v>866</v>
      </c>
      <c r="G90" s="2163"/>
      <c r="H90" s="2163"/>
      <c r="I90" s="2163"/>
      <c r="J90" s="2163"/>
      <c r="K90" s="2163"/>
      <c r="L90" s="2163"/>
      <c r="M90" s="2163"/>
      <c r="N90" s="2163"/>
      <c r="O90" s="2163"/>
      <c r="P90" s="2163"/>
      <c r="Q90" s="1965"/>
      <c r="R90" s="1924"/>
      <c r="S90" s="2133"/>
      <c r="T90" s="1965"/>
      <c r="U90" s="1965"/>
      <c r="V90" s="1971"/>
      <c r="W90" s="2093"/>
      <c r="X90" s="1923"/>
      <c r="Y90" s="1923"/>
      <c r="Z90" s="1923"/>
      <c r="AA90" s="1911"/>
      <c r="AB90" s="1911"/>
      <c r="AC90" s="1911"/>
      <c r="AD90" s="1911"/>
      <c r="AE90" s="1911"/>
      <c r="AF90" s="1911"/>
      <c r="AG90" s="1911"/>
      <c r="AH90" s="1911"/>
      <c r="AI90" s="1911"/>
      <c r="AJ90" s="1911"/>
      <c r="AK90" s="1911"/>
      <c r="AL90" s="1911"/>
      <c r="AM90" s="1911"/>
      <c r="AN90" s="1911"/>
      <c r="AO90" s="1911"/>
      <c r="AP90" s="1911"/>
      <c r="AQ90" s="1911"/>
      <c r="AR90" s="1911"/>
      <c r="AS90" s="1914"/>
    </row>
    <row r="91" spans="1:45" s="1866" customFormat="1" ht="43.5" customHeight="1" x14ac:dyDescent="0.25">
      <c r="A91" s="2798"/>
      <c r="B91" s="1916"/>
      <c r="C91" s="1915"/>
      <c r="D91" s="1916"/>
      <c r="E91" s="2673"/>
      <c r="F91" s="2673"/>
      <c r="G91" s="2674" t="s">
        <v>62</v>
      </c>
      <c r="H91" s="2661" t="s">
        <v>3154</v>
      </c>
      <c r="I91" s="2674">
        <v>4103052</v>
      </c>
      <c r="J91" s="2661" t="s">
        <v>874</v>
      </c>
      <c r="K91" s="2666" t="s">
        <v>62</v>
      </c>
      <c r="L91" s="2281" t="s">
        <v>3155</v>
      </c>
      <c r="M91" s="2666">
        <v>410305201</v>
      </c>
      <c r="N91" s="2157" t="s">
        <v>3156</v>
      </c>
      <c r="O91" s="2666">
        <v>25</v>
      </c>
      <c r="P91" s="2666" t="s">
        <v>3157</v>
      </c>
      <c r="Q91" s="2280" t="s">
        <v>3158</v>
      </c>
      <c r="R91" s="2813">
        <f>SUM(W91:W100)/S91</f>
        <v>1</v>
      </c>
      <c r="S91" s="2814">
        <f>SUM(W91:W100)</f>
        <v>34027629</v>
      </c>
      <c r="T91" s="2280" t="s">
        <v>3159</v>
      </c>
      <c r="U91" s="2810" t="s">
        <v>3160</v>
      </c>
      <c r="V91" s="2808" t="s">
        <v>3161</v>
      </c>
      <c r="W91" s="2092">
        <f>5000000-5000000</f>
        <v>0</v>
      </c>
      <c r="X91" s="1805" t="s">
        <v>3162</v>
      </c>
      <c r="Y91" s="1972">
        <v>20</v>
      </c>
      <c r="Z91" s="1802" t="s">
        <v>2351</v>
      </c>
      <c r="AA91" s="2737">
        <v>91</v>
      </c>
      <c r="AB91" s="2811">
        <v>237</v>
      </c>
      <c r="AC91" s="2804">
        <v>0</v>
      </c>
      <c r="AD91" s="2804">
        <v>0</v>
      </c>
      <c r="AE91" s="2804">
        <v>0</v>
      </c>
      <c r="AF91" s="2804">
        <v>0</v>
      </c>
      <c r="AG91" s="2804">
        <v>0</v>
      </c>
      <c r="AH91" s="2804">
        <v>0</v>
      </c>
      <c r="AI91" s="2804">
        <v>0</v>
      </c>
      <c r="AJ91" s="2804">
        <v>0</v>
      </c>
      <c r="AK91" s="2804">
        <v>0</v>
      </c>
      <c r="AL91" s="2804">
        <v>0</v>
      </c>
      <c r="AM91" s="2804">
        <v>0</v>
      </c>
      <c r="AN91" s="2804">
        <v>0</v>
      </c>
      <c r="AO91" s="2804">
        <v>0</v>
      </c>
      <c r="AP91" s="2803">
        <f>+AA91+AB91</f>
        <v>328</v>
      </c>
      <c r="AQ91" s="2805">
        <v>44198</v>
      </c>
      <c r="AR91" s="2806">
        <v>44195</v>
      </c>
      <c r="AS91" s="2807" t="s">
        <v>3044</v>
      </c>
    </row>
    <row r="92" spans="1:45" s="1866" customFormat="1" ht="43.5" customHeight="1" x14ac:dyDescent="0.25">
      <c r="A92" s="2798"/>
      <c r="B92" s="1916"/>
      <c r="C92" s="1915"/>
      <c r="D92" s="1916"/>
      <c r="E92" s="2673"/>
      <c r="F92" s="2673"/>
      <c r="G92" s="2674"/>
      <c r="H92" s="2661"/>
      <c r="I92" s="2674"/>
      <c r="J92" s="2661"/>
      <c r="K92" s="2666"/>
      <c r="L92" s="2281"/>
      <c r="M92" s="2666"/>
      <c r="N92" s="2157"/>
      <c r="O92" s="2666"/>
      <c r="P92" s="2666"/>
      <c r="Q92" s="2281"/>
      <c r="R92" s="2772"/>
      <c r="S92" s="2773"/>
      <c r="T92" s="2281"/>
      <c r="U92" s="2366"/>
      <c r="V92" s="2808"/>
      <c r="W92" s="2092">
        <v>5000000</v>
      </c>
      <c r="X92" s="1805" t="s">
        <v>3163</v>
      </c>
      <c r="Y92" s="1972">
        <v>20</v>
      </c>
      <c r="Z92" s="1802" t="s">
        <v>2351</v>
      </c>
      <c r="AA92" s="2709"/>
      <c r="AB92" s="2812"/>
      <c r="AC92" s="2804"/>
      <c r="AD92" s="2804"/>
      <c r="AE92" s="2804"/>
      <c r="AF92" s="2804"/>
      <c r="AG92" s="2804"/>
      <c r="AH92" s="2804"/>
      <c r="AI92" s="2804"/>
      <c r="AJ92" s="2804"/>
      <c r="AK92" s="2804"/>
      <c r="AL92" s="2804"/>
      <c r="AM92" s="2804"/>
      <c r="AN92" s="2804"/>
      <c r="AO92" s="2804"/>
      <c r="AP92" s="2804"/>
      <c r="AQ92" s="2806"/>
      <c r="AR92" s="2806"/>
      <c r="AS92" s="2807"/>
    </row>
    <row r="93" spans="1:45" s="1866" customFormat="1" ht="43.5" customHeight="1" x14ac:dyDescent="0.25">
      <c r="A93" s="2798"/>
      <c r="B93" s="1916"/>
      <c r="C93" s="1915"/>
      <c r="D93" s="1916"/>
      <c r="E93" s="2673"/>
      <c r="F93" s="2673"/>
      <c r="G93" s="2675"/>
      <c r="H93" s="2661"/>
      <c r="I93" s="2675"/>
      <c r="J93" s="2661"/>
      <c r="K93" s="2666"/>
      <c r="L93" s="2281"/>
      <c r="M93" s="2666"/>
      <c r="N93" s="2157"/>
      <c r="O93" s="2666"/>
      <c r="P93" s="2666"/>
      <c r="Q93" s="2281"/>
      <c r="R93" s="2772"/>
      <c r="S93" s="2773"/>
      <c r="T93" s="2281"/>
      <c r="U93" s="2366"/>
      <c r="V93" s="2808"/>
      <c r="W93" s="2092">
        <v>3027629</v>
      </c>
      <c r="X93" s="1805" t="s">
        <v>3164</v>
      </c>
      <c r="Y93" s="1972">
        <v>88</v>
      </c>
      <c r="Z93" s="1803" t="s">
        <v>3046</v>
      </c>
      <c r="AA93" s="2709"/>
      <c r="AB93" s="2812"/>
      <c r="AC93" s="2804"/>
      <c r="AD93" s="2804"/>
      <c r="AE93" s="2804"/>
      <c r="AF93" s="2804"/>
      <c r="AG93" s="2804"/>
      <c r="AH93" s="2804"/>
      <c r="AI93" s="2804"/>
      <c r="AJ93" s="2804"/>
      <c r="AK93" s="2804"/>
      <c r="AL93" s="2804"/>
      <c r="AM93" s="2804"/>
      <c r="AN93" s="2804"/>
      <c r="AO93" s="2804"/>
      <c r="AP93" s="2804"/>
      <c r="AQ93" s="2806"/>
      <c r="AR93" s="2806"/>
      <c r="AS93" s="2807"/>
    </row>
    <row r="94" spans="1:45" s="1866" customFormat="1" ht="40.5" customHeight="1" x14ac:dyDescent="0.25">
      <c r="A94" s="2798"/>
      <c r="B94" s="1916"/>
      <c r="C94" s="1915"/>
      <c r="D94" s="1916"/>
      <c r="E94" s="2673"/>
      <c r="F94" s="2673"/>
      <c r="G94" s="2675"/>
      <c r="H94" s="2661"/>
      <c r="I94" s="2675"/>
      <c r="J94" s="2661"/>
      <c r="K94" s="2666"/>
      <c r="L94" s="2281"/>
      <c r="M94" s="2666"/>
      <c r="N94" s="2157"/>
      <c r="O94" s="2666"/>
      <c r="P94" s="2666"/>
      <c r="Q94" s="2281"/>
      <c r="R94" s="2772"/>
      <c r="S94" s="2773"/>
      <c r="T94" s="2281"/>
      <c r="U94" s="2366"/>
      <c r="V94" s="2808" t="s">
        <v>3165</v>
      </c>
      <c r="W94" s="2092">
        <f>9000000-9000000</f>
        <v>0</v>
      </c>
      <c r="X94" s="1805" t="s">
        <v>3162</v>
      </c>
      <c r="Y94" s="1972">
        <v>20</v>
      </c>
      <c r="Z94" s="1802" t="s">
        <v>2351</v>
      </c>
      <c r="AA94" s="2709"/>
      <c r="AB94" s="2812"/>
      <c r="AC94" s="2804"/>
      <c r="AD94" s="2804"/>
      <c r="AE94" s="2804"/>
      <c r="AF94" s="2804"/>
      <c r="AG94" s="2804"/>
      <c r="AH94" s="2804"/>
      <c r="AI94" s="2804"/>
      <c r="AJ94" s="2804"/>
      <c r="AK94" s="2804"/>
      <c r="AL94" s="2804"/>
      <c r="AM94" s="2804"/>
      <c r="AN94" s="2804"/>
      <c r="AO94" s="2804"/>
      <c r="AP94" s="2804"/>
      <c r="AQ94" s="2806"/>
      <c r="AR94" s="2806"/>
      <c r="AS94" s="2807"/>
    </row>
    <row r="95" spans="1:45" s="1866" customFormat="1" ht="40.5" customHeight="1" x14ac:dyDescent="0.25">
      <c r="A95" s="2798"/>
      <c r="B95" s="1916"/>
      <c r="C95" s="1915"/>
      <c r="D95" s="1916"/>
      <c r="E95" s="2673"/>
      <c r="F95" s="2673"/>
      <c r="G95" s="2675"/>
      <c r="H95" s="2661"/>
      <c r="I95" s="2675"/>
      <c r="J95" s="2661"/>
      <c r="K95" s="2666"/>
      <c r="L95" s="2281"/>
      <c r="M95" s="2666"/>
      <c r="N95" s="2157"/>
      <c r="O95" s="2666"/>
      <c r="P95" s="2666"/>
      <c r="Q95" s="2281"/>
      <c r="R95" s="2772"/>
      <c r="S95" s="2773"/>
      <c r="T95" s="2281"/>
      <c r="U95" s="2366"/>
      <c r="V95" s="2808"/>
      <c r="W95" s="2092">
        <v>5000000</v>
      </c>
      <c r="X95" s="1805" t="s">
        <v>3166</v>
      </c>
      <c r="Y95" s="1972">
        <v>20</v>
      </c>
      <c r="Z95" s="1802" t="s">
        <v>2351</v>
      </c>
      <c r="AA95" s="2709"/>
      <c r="AB95" s="2812"/>
      <c r="AC95" s="2804"/>
      <c r="AD95" s="2804"/>
      <c r="AE95" s="2804"/>
      <c r="AF95" s="2804"/>
      <c r="AG95" s="2804"/>
      <c r="AH95" s="2804"/>
      <c r="AI95" s="2804"/>
      <c r="AJ95" s="2804"/>
      <c r="AK95" s="2804"/>
      <c r="AL95" s="2804"/>
      <c r="AM95" s="2804"/>
      <c r="AN95" s="2804"/>
      <c r="AO95" s="2804"/>
      <c r="AP95" s="2804"/>
      <c r="AQ95" s="2806"/>
      <c r="AR95" s="2806"/>
      <c r="AS95" s="2807"/>
    </row>
    <row r="96" spans="1:45" s="1866" customFormat="1" ht="40.5" customHeight="1" x14ac:dyDescent="0.25">
      <c r="A96" s="2798"/>
      <c r="B96" s="1916"/>
      <c r="C96" s="1915"/>
      <c r="D96" s="1916"/>
      <c r="E96" s="2673"/>
      <c r="F96" s="2673"/>
      <c r="G96" s="2675"/>
      <c r="H96" s="2661"/>
      <c r="I96" s="2675"/>
      <c r="J96" s="2661"/>
      <c r="K96" s="2666"/>
      <c r="L96" s="2281"/>
      <c r="M96" s="2666"/>
      <c r="N96" s="2157"/>
      <c r="O96" s="2666"/>
      <c r="P96" s="2666"/>
      <c r="Q96" s="2281"/>
      <c r="R96" s="2772"/>
      <c r="S96" s="2773"/>
      <c r="T96" s="2281"/>
      <c r="U96" s="2366"/>
      <c r="V96" s="2808"/>
      <c r="W96" s="2092">
        <v>4000000</v>
      </c>
      <c r="X96" s="1805" t="s">
        <v>3167</v>
      </c>
      <c r="Y96" s="1972">
        <v>20</v>
      </c>
      <c r="Z96" s="1802" t="s">
        <v>2351</v>
      </c>
      <c r="AA96" s="2709"/>
      <c r="AB96" s="2812"/>
      <c r="AC96" s="2804"/>
      <c r="AD96" s="2804"/>
      <c r="AE96" s="2804"/>
      <c r="AF96" s="2804"/>
      <c r="AG96" s="2804"/>
      <c r="AH96" s="2804"/>
      <c r="AI96" s="2804"/>
      <c r="AJ96" s="2804"/>
      <c r="AK96" s="2804"/>
      <c r="AL96" s="2804"/>
      <c r="AM96" s="2804"/>
      <c r="AN96" s="2804"/>
      <c r="AO96" s="2804"/>
      <c r="AP96" s="2804"/>
      <c r="AQ96" s="2806"/>
      <c r="AR96" s="2806"/>
      <c r="AS96" s="2807"/>
    </row>
    <row r="97" spans="1:45" s="1866" customFormat="1" ht="40.5" customHeight="1" x14ac:dyDescent="0.25">
      <c r="A97" s="2798"/>
      <c r="B97" s="1916"/>
      <c r="C97" s="1915"/>
      <c r="D97" s="1916"/>
      <c r="E97" s="2673"/>
      <c r="F97" s="2673"/>
      <c r="G97" s="2675"/>
      <c r="H97" s="2661"/>
      <c r="I97" s="2675"/>
      <c r="J97" s="2661"/>
      <c r="K97" s="2666"/>
      <c r="L97" s="2281"/>
      <c r="M97" s="2666"/>
      <c r="N97" s="2157"/>
      <c r="O97" s="2666"/>
      <c r="P97" s="2666"/>
      <c r="Q97" s="2281"/>
      <c r="R97" s="2772"/>
      <c r="S97" s="2773"/>
      <c r="T97" s="2281"/>
      <c r="U97" s="2366"/>
      <c r="V97" s="2808"/>
      <c r="W97" s="2094">
        <v>5000000</v>
      </c>
      <c r="X97" s="1805" t="s">
        <v>3168</v>
      </c>
      <c r="Y97" s="1972">
        <v>88</v>
      </c>
      <c r="Z97" s="1803" t="s">
        <v>3046</v>
      </c>
      <c r="AA97" s="2709"/>
      <c r="AB97" s="2812"/>
      <c r="AC97" s="2804"/>
      <c r="AD97" s="2804"/>
      <c r="AE97" s="2804"/>
      <c r="AF97" s="2804"/>
      <c r="AG97" s="2804"/>
      <c r="AH97" s="2804"/>
      <c r="AI97" s="2804"/>
      <c r="AJ97" s="2804"/>
      <c r="AK97" s="2804"/>
      <c r="AL97" s="2804"/>
      <c r="AM97" s="2804"/>
      <c r="AN97" s="2804"/>
      <c r="AO97" s="2804"/>
      <c r="AP97" s="2804"/>
      <c r="AQ97" s="2806"/>
      <c r="AR97" s="2806"/>
      <c r="AS97" s="2807"/>
    </row>
    <row r="98" spans="1:45" s="1866" customFormat="1" ht="40.5" customHeight="1" x14ac:dyDescent="0.25">
      <c r="A98" s="2798"/>
      <c r="B98" s="1916"/>
      <c r="C98" s="1915"/>
      <c r="D98" s="1916"/>
      <c r="E98" s="2673"/>
      <c r="F98" s="2673"/>
      <c r="G98" s="2675"/>
      <c r="H98" s="2661"/>
      <c r="I98" s="2675"/>
      <c r="J98" s="2661"/>
      <c r="K98" s="2666"/>
      <c r="L98" s="2281"/>
      <c r="M98" s="2666"/>
      <c r="N98" s="2157"/>
      <c r="O98" s="2666"/>
      <c r="P98" s="2666"/>
      <c r="Q98" s="2281"/>
      <c r="R98" s="2772"/>
      <c r="S98" s="2773"/>
      <c r="T98" s="2281"/>
      <c r="U98" s="2366"/>
      <c r="V98" s="2809"/>
      <c r="W98" s="2095">
        <v>3000000</v>
      </c>
      <c r="X98" s="1808" t="s">
        <v>3169</v>
      </c>
      <c r="Y98" s="1973">
        <v>88</v>
      </c>
      <c r="Z98" s="1803" t="s">
        <v>3046</v>
      </c>
      <c r="AA98" s="2709"/>
      <c r="AB98" s="2812"/>
      <c r="AC98" s="2804"/>
      <c r="AD98" s="2804"/>
      <c r="AE98" s="2804"/>
      <c r="AF98" s="2804"/>
      <c r="AG98" s="2804"/>
      <c r="AH98" s="2804"/>
      <c r="AI98" s="2804"/>
      <c r="AJ98" s="2804"/>
      <c r="AK98" s="2804"/>
      <c r="AL98" s="2804"/>
      <c r="AM98" s="2804"/>
      <c r="AN98" s="2804"/>
      <c r="AO98" s="2804"/>
      <c r="AP98" s="2804"/>
      <c r="AQ98" s="2806"/>
      <c r="AR98" s="2806"/>
      <c r="AS98" s="2807"/>
    </row>
    <row r="99" spans="1:45" s="1866" customFormat="1" ht="40.5" customHeight="1" x14ac:dyDescent="0.25">
      <c r="A99" s="2798"/>
      <c r="B99" s="1916"/>
      <c r="C99" s="1915"/>
      <c r="D99" s="1916"/>
      <c r="E99" s="2673"/>
      <c r="F99" s="2673"/>
      <c r="G99" s="2675"/>
      <c r="H99" s="2661"/>
      <c r="I99" s="2675"/>
      <c r="J99" s="2661"/>
      <c r="K99" s="2666"/>
      <c r="L99" s="2281"/>
      <c r="M99" s="2666"/>
      <c r="N99" s="2157"/>
      <c r="O99" s="2666"/>
      <c r="P99" s="2666"/>
      <c r="Q99" s="2281"/>
      <c r="R99" s="2772"/>
      <c r="S99" s="2773"/>
      <c r="T99" s="2281"/>
      <c r="U99" s="2366"/>
      <c r="V99" s="2808" t="s">
        <v>3170</v>
      </c>
      <c r="W99" s="2092">
        <v>4000000</v>
      </c>
      <c r="X99" s="1805" t="s">
        <v>3166</v>
      </c>
      <c r="Y99" s="1972">
        <v>20</v>
      </c>
      <c r="Z99" s="1802" t="s">
        <v>2351</v>
      </c>
      <c r="AA99" s="2709"/>
      <c r="AB99" s="2812"/>
      <c r="AC99" s="2804"/>
      <c r="AD99" s="2804"/>
      <c r="AE99" s="2804"/>
      <c r="AF99" s="2804"/>
      <c r="AG99" s="2804"/>
      <c r="AH99" s="2804"/>
      <c r="AI99" s="2804"/>
      <c r="AJ99" s="2804"/>
      <c r="AK99" s="2804"/>
      <c r="AL99" s="2804"/>
      <c r="AM99" s="2804"/>
      <c r="AN99" s="2804"/>
      <c r="AO99" s="2804"/>
      <c r="AP99" s="2804"/>
      <c r="AQ99" s="2806"/>
      <c r="AR99" s="2806"/>
      <c r="AS99" s="2807"/>
    </row>
    <row r="100" spans="1:45" s="1866" customFormat="1" ht="46.5" customHeight="1" x14ac:dyDescent="0.25">
      <c r="A100" s="2798"/>
      <c r="B100" s="1916"/>
      <c r="C100" s="1952"/>
      <c r="D100" s="1974"/>
      <c r="E100" s="2776"/>
      <c r="F100" s="2776"/>
      <c r="G100" s="2675"/>
      <c r="H100" s="2777"/>
      <c r="I100" s="2675"/>
      <c r="J100" s="2777"/>
      <c r="K100" s="2816"/>
      <c r="L100" s="2281"/>
      <c r="M100" s="2666"/>
      <c r="N100" s="2157"/>
      <c r="O100" s="2666"/>
      <c r="P100" s="2666"/>
      <c r="Q100" s="2281"/>
      <c r="R100" s="2772"/>
      <c r="S100" s="2773"/>
      <c r="T100" s="2281"/>
      <c r="U100" s="2366"/>
      <c r="V100" s="2808"/>
      <c r="W100" s="2096">
        <v>5000000</v>
      </c>
      <c r="X100" s="1805" t="s">
        <v>3164</v>
      </c>
      <c r="Y100" s="1972">
        <v>88</v>
      </c>
      <c r="Z100" s="1975" t="s">
        <v>3046</v>
      </c>
      <c r="AA100" s="2709"/>
      <c r="AB100" s="2812"/>
      <c r="AC100" s="2804"/>
      <c r="AD100" s="2804"/>
      <c r="AE100" s="2804"/>
      <c r="AF100" s="2804"/>
      <c r="AG100" s="2804"/>
      <c r="AH100" s="2804"/>
      <c r="AI100" s="2804"/>
      <c r="AJ100" s="2804"/>
      <c r="AK100" s="2804"/>
      <c r="AL100" s="2804"/>
      <c r="AM100" s="2804"/>
      <c r="AN100" s="2804"/>
      <c r="AO100" s="2804"/>
      <c r="AP100" s="2804"/>
      <c r="AQ100" s="2806"/>
      <c r="AR100" s="2806"/>
      <c r="AS100" s="2807"/>
    </row>
    <row r="101" spans="1:45" ht="25.5" customHeight="1" x14ac:dyDescent="0.25">
      <c r="A101" s="48"/>
      <c r="B101" s="440"/>
      <c r="C101" s="1447">
        <v>45</v>
      </c>
      <c r="D101" s="2730" t="s">
        <v>60</v>
      </c>
      <c r="E101" s="2731"/>
      <c r="F101" s="2797"/>
      <c r="G101" s="2797"/>
      <c r="H101" s="2797"/>
      <c r="I101" s="1976"/>
      <c r="J101" s="1839"/>
      <c r="K101" s="1976"/>
      <c r="L101" s="1163"/>
      <c r="M101" s="1977"/>
      <c r="N101" s="1164"/>
      <c r="O101" s="1954"/>
      <c r="P101" s="1954"/>
      <c r="Q101" s="1955"/>
      <c r="R101" s="1957"/>
      <c r="S101" s="2131"/>
      <c r="T101" s="1955"/>
      <c r="U101" s="1955"/>
      <c r="V101" s="1978"/>
      <c r="W101" s="2086"/>
      <c r="X101" s="1959"/>
      <c r="Y101" s="1959"/>
      <c r="Z101" s="1979"/>
      <c r="AA101" s="1960"/>
      <c r="AB101" s="1960"/>
      <c r="AC101" s="1980"/>
      <c r="AD101" s="1980"/>
      <c r="AE101" s="1980"/>
      <c r="AF101" s="1980"/>
      <c r="AG101" s="1980"/>
      <c r="AH101" s="1980"/>
      <c r="AI101" s="1980"/>
      <c r="AJ101" s="1980"/>
      <c r="AK101" s="1980"/>
      <c r="AL101" s="1980"/>
      <c r="AM101" s="1980"/>
      <c r="AN101" s="1980"/>
      <c r="AO101" s="1980"/>
      <c r="AP101" s="1980"/>
      <c r="AQ101" s="1962"/>
      <c r="AR101" s="1962"/>
      <c r="AS101" s="1963"/>
    </row>
    <row r="102" spans="1:45" s="1866" customFormat="1" ht="29.25" customHeight="1" x14ac:dyDescent="0.25">
      <c r="A102" s="2798"/>
      <c r="B102" s="2800"/>
      <c r="C102" s="1981"/>
      <c r="D102" s="1982"/>
      <c r="E102" s="1005">
        <v>4501</v>
      </c>
      <c r="F102" s="2671" t="s">
        <v>3171</v>
      </c>
      <c r="G102" s="2672"/>
      <c r="H102" s="2672"/>
      <c r="I102" s="2672"/>
      <c r="J102" s="2672"/>
      <c r="K102" s="2672"/>
      <c r="L102" s="2672"/>
      <c r="M102" s="2672"/>
      <c r="N102" s="2672"/>
      <c r="O102" s="1923"/>
      <c r="P102" s="1923"/>
      <c r="Q102" s="1966"/>
      <c r="R102" s="1923"/>
      <c r="S102" s="2132"/>
      <c r="T102" s="1966"/>
      <c r="U102" s="1966"/>
      <c r="V102" s="1965"/>
      <c r="W102" s="2075"/>
      <c r="X102" s="1923"/>
      <c r="Y102" s="1924"/>
      <c r="Z102" s="1924"/>
      <c r="AA102" s="1923"/>
      <c r="AB102" s="1923"/>
      <c r="AC102" s="1923"/>
      <c r="AD102" s="1923"/>
      <c r="AE102" s="1923"/>
      <c r="AF102" s="1923"/>
      <c r="AG102" s="1923"/>
      <c r="AH102" s="1923"/>
      <c r="AI102" s="1923"/>
      <c r="AJ102" s="1923"/>
      <c r="AK102" s="1923"/>
      <c r="AL102" s="1923"/>
      <c r="AM102" s="1923"/>
      <c r="AN102" s="1923"/>
      <c r="AO102" s="1923"/>
      <c r="AP102" s="1923"/>
      <c r="AQ102" s="1923"/>
      <c r="AR102" s="1923"/>
      <c r="AS102" s="1983"/>
    </row>
    <row r="103" spans="1:45" s="1866" customFormat="1" ht="42" customHeight="1" x14ac:dyDescent="0.25">
      <c r="A103" s="2798"/>
      <c r="B103" s="2800"/>
      <c r="C103" s="1949"/>
      <c r="D103" s="1982"/>
      <c r="E103" s="2673"/>
      <c r="F103" s="2673"/>
      <c r="G103" s="2675" t="s">
        <v>62</v>
      </c>
      <c r="H103" s="2802" t="s">
        <v>3172</v>
      </c>
      <c r="I103" s="2675">
        <v>4501029</v>
      </c>
      <c r="J103" s="2802" t="s">
        <v>3173</v>
      </c>
      <c r="K103" s="2675" t="s">
        <v>62</v>
      </c>
      <c r="L103" s="2793" t="s">
        <v>3174</v>
      </c>
      <c r="M103" s="2675">
        <v>450102900</v>
      </c>
      <c r="N103" s="2165" t="s">
        <v>3175</v>
      </c>
      <c r="O103" s="2675">
        <v>5</v>
      </c>
      <c r="P103" s="2675" t="s">
        <v>3176</v>
      </c>
      <c r="Q103" s="2793" t="s">
        <v>3177</v>
      </c>
      <c r="R103" s="2794">
        <f>SUM(W103:W121)/S103</f>
        <v>1</v>
      </c>
      <c r="S103" s="2795">
        <f>SUM(W103:W121)</f>
        <v>4387879528.3299999</v>
      </c>
      <c r="T103" s="2793" t="s">
        <v>3178</v>
      </c>
      <c r="U103" s="2793" t="s">
        <v>3179</v>
      </c>
      <c r="V103" s="2778" t="s">
        <v>3180</v>
      </c>
      <c r="W103" s="2097">
        <f>1055182726-771385127</f>
        <v>283797599</v>
      </c>
      <c r="X103" s="1805" t="s">
        <v>3181</v>
      </c>
      <c r="Y103" s="336">
        <v>42</v>
      </c>
      <c r="Z103" s="1984" t="s">
        <v>3182</v>
      </c>
      <c r="AA103" s="2790">
        <v>291786</v>
      </c>
      <c r="AB103" s="2790">
        <v>270331</v>
      </c>
      <c r="AC103" s="2790">
        <v>102045</v>
      </c>
      <c r="AD103" s="2792">
        <v>39183</v>
      </c>
      <c r="AE103" s="2792">
        <v>310195</v>
      </c>
      <c r="AF103" s="2790">
        <v>110694</v>
      </c>
      <c r="AG103" s="2757">
        <v>2145</v>
      </c>
      <c r="AH103" s="2757">
        <v>12718</v>
      </c>
      <c r="AI103" s="2757">
        <v>26</v>
      </c>
      <c r="AJ103" s="2789">
        <v>37</v>
      </c>
      <c r="AK103" s="2789">
        <v>0</v>
      </c>
      <c r="AL103" s="2789">
        <v>0</v>
      </c>
      <c r="AM103" s="2789">
        <v>44350</v>
      </c>
      <c r="AN103" s="2789">
        <v>21944</v>
      </c>
      <c r="AO103" s="2789">
        <v>75687</v>
      </c>
      <c r="AP103" s="2789">
        <f>AA103+AB103</f>
        <v>562117</v>
      </c>
      <c r="AQ103" s="2769">
        <v>44198</v>
      </c>
      <c r="AR103" s="2769">
        <v>44195</v>
      </c>
      <c r="AS103" s="2757" t="s">
        <v>3044</v>
      </c>
    </row>
    <row r="104" spans="1:45" s="1866" customFormat="1" ht="42" customHeight="1" x14ac:dyDescent="0.25">
      <c r="A104" s="2798"/>
      <c r="B104" s="2800"/>
      <c r="C104" s="1949"/>
      <c r="D104" s="1982"/>
      <c r="E104" s="2673"/>
      <c r="F104" s="2673"/>
      <c r="G104" s="2675"/>
      <c r="H104" s="2802"/>
      <c r="I104" s="2675"/>
      <c r="J104" s="2802"/>
      <c r="K104" s="2675"/>
      <c r="L104" s="2793"/>
      <c r="M104" s="2675"/>
      <c r="N104" s="2165"/>
      <c r="O104" s="2675"/>
      <c r="P104" s="2675"/>
      <c r="Q104" s="2793"/>
      <c r="R104" s="2794"/>
      <c r="S104" s="2795"/>
      <c r="T104" s="2793"/>
      <c r="U104" s="2793"/>
      <c r="V104" s="2779"/>
      <c r="W104" s="2097">
        <v>1234817274</v>
      </c>
      <c r="X104" s="1805" t="s">
        <v>3183</v>
      </c>
      <c r="Y104" s="336">
        <v>92</v>
      </c>
      <c r="Z104" s="1984" t="s">
        <v>3184</v>
      </c>
      <c r="AA104" s="2790"/>
      <c r="AB104" s="2790"/>
      <c r="AC104" s="2790"/>
      <c r="AD104" s="2792"/>
      <c r="AE104" s="2792"/>
      <c r="AF104" s="2790"/>
      <c r="AG104" s="2757"/>
      <c r="AH104" s="2757"/>
      <c r="AI104" s="2757"/>
      <c r="AJ104" s="2789"/>
      <c r="AK104" s="2789"/>
      <c r="AL104" s="2789"/>
      <c r="AM104" s="2789"/>
      <c r="AN104" s="2789"/>
      <c r="AO104" s="2789"/>
      <c r="AP104" s="2789"/>
      <c r="AQ104" s="2769"/>
      <c r="AR104" s="2769"/>
      <c r="AS104" s="2757"/>
    </row>
    <row r="105" spans="1:45" s="1866" customFormat="1" ht="36.75" customHeight="1" x14ac:dyDescent="0.25">
      <c r="A105" s="2798"/>
      <c r="B105" s="2800"/>
      <c r="C105" s="1949"/>
      <c r="D105" s="1982"/>
      <c r="E105" s="2673"/>
      <c r="F105" s="2673"/>
      <c r="G105" s="2675"/>
      <c r="H105" s="2802"/>
      <c r="I105" s="2675"/>
      <c r="J105" s="2802"/>
      <c r="K105" s="2675"/>
      <c r="L105" s="2793"/>
      <c r="M105" s="2675"/>
      <c r="N105" s="2165"/>
      <c r="O105" s="2675"/>
      <c r="P105" s="2675"/>
      <c r="Q105" s="2793"/>
      <c r="R105" s="2794"/>
      <c r="S105" s="2795"/>
      <c r="T105" s="2793"/>
      <c r="U105" s="2793"/>
      <c r="V105" s="1985" t="s">
        <v>3185</v>
      </c>
      <c r="W105" s="2097">
        <v>100000000</v>
      </c>
      <c r="X105" s="1805" t="s">
        <v>3186</v>
      </c>
      <c r="Y105" s="336">
        <v>42</v>
      </c>
      <c r="Z105" s="1984" t="s">
        <v>3182</v>
      </c>
      <c r="AA105" s="2790"/>
      <c r="AB105" s="2790"/>
      <c r="AC105" s="2790"/>
      <c r="AD105" s="2792"/>
      <c r="AE105" s="2792"/>
      <c r="AF105" s="2790"/>
      <c r="AG105" s="2757"/>
      <c r="AH105" s="2757"/>
      <c r="AI105" s="2757"/>
      <c r="AJ105" s="2789"/>
      <c r="AK105" s="2789"/>
      <c r="AL105" s="2789"/>
      <c r="AM105" s="2789"/>
      <c r="AN105" s="2789"/>
      <c r="AO105" s="2789"/>
      <c r="AP105" s="2789"/>
      <c r="AQ105" s="2769"/>
      <c r="AR105" s="2769"/>
      <c r="AS105" s="2757"/>
    </row>
    <row r="106" spans="1:45" s="1866" customFormat="1" ht="51" customHeight="1" x14ac:dyDescent="0.25">
      <c r="A106" s="2798"/>
      <c r="B106" s="2800"/>
      <c r="C106" s="1949"/>
      <c r="D106" s="1982"/>
      <c r="E106" s="2673"/>
      <c r="F106" s="2673"/>
      <c r="G106" s="2675"/>
      <c r="H106" s="2802"/>
      <c r="I106" s="2675"/>
      <c r="J106" s="2802"/>
      <c r="K106" s="2675"/>
      <c r="L106" s="2793"/>
      <c r="M106" s="2675"/>
      <c r="N106" s="2165"/>
      <c r="O106" s="2675"/>
      <c r="P106" s="2675"/>
      <c r="Q106" s="2793"/>
      <c r="R106" s="2794"/>
      <c r="S106" s="2795"/>
      <c r="T106" s="2793"/>
      <c r="U106" s="2793"/>
      <c r="V106" s="2778" t="s">
        <v>3187</v>
      </c>
      <c r="W106" s="2097">
        <f>121000000+771385127</f>
        <v>892385127</v>
      </c>
      <c r="X106" s="1805" t="s">
        <v>3188</v>
      </c>
      <c r="Y106" s="336">
        <v>42</v>
      </c>
      <c r="Z106" s="1984" t="s">
        <v>3182</v>
      </c>
      <c r="AA106" s="2790"/>
      <c r="AB106" s="2790"/>
      <c r="AC106" s="2790"/>
      <c r="AD106" s="2792"/>
      <c r="AE106" s="2792"/>
      <c r="AF106" s="2790"/>
      <c r="AG106" s="2757"/>
      <c r="AH106" s="2757"/>
      <c r="AI106" s="2757"/>
      <c r="AJ106" s="2789"/>
      <c r="AK106" s="2789"/>
      <c r="AL106" s="2789"/>
      <c r="AM106" s="2789"/>
      <c r="AN106" s="2789"/>
      <c r="AO106" s="2789"/>
      <c r="AP106" s="2789"/>
      <c r="AQ106" s="2769"/>
      <c r="AR106" s="2769"/>
      <c r="AS106" s="2757"/>
    </row>
    <row r="107" spans="1:45" s="1866" customFormat="1" ht="51" customHeight="1" x14ac:dyDescent="0.25">
      <c r="A107" s="2798"/>
      <c r="B107" s="2800"/>
      <c r="C107" s="1949"/>
      <c r="D107" s="1982"/>
      <c r="E107" s="2673"/>
      <c r="F107" s="2673"/>
      <c r="G107" s="2675"/>
      <c r="H107" s="2802"/>
      <c r="I107" s="2675"/>
      <c r="J107" s="2802"/>
      <c r="K107" s="2675"/>
      <c r="L107" s="2793"/>
      <c r="M107" s="2675"/>
      <c r="N107" s="2165"/>
      <c r="O107" s="2675"/>
      <c r="P107" s="2675"/>
      <c r="Q107" s="2793"/>
      <c r="R107" s="2794"/>
      <c r="S107" s="2795"/>
      <c r="T107" s="2793"/>
      <c r="U107" s="2793"/>
      <c r="V107" s="2779"/>
      <c r="W107" s="2097">
        <v>315614874</v>
      </c>
      <c r="X107" s="1805" t="s">
        <v>3189</v>
      </c>
      <c r="Y107" s="336">
        <v>92</v>
      </c>
      <c r="Z107" s="1984" t="s">
        <v>3184</v>
      </c>
      <c r="AA107" s="2790"/>
      <c r="AB107" s="2790"/>
      <c r="AC107" s="2790"/>
      <c r="AD107" s="2792"/>
      <c r="AE107" s="2792"/>
      <c r="AF107" s="2790"/>
      <c r="AG107" s="2757"/>
      <c r="AH107" s="2757"/>
      <c r="AI107" s="2757"/>
      <c r="AJ107" s="2789"/>
      <c r="AK107" s="2789"/>
      <c r="AL107" s="2789"/>
      <c r="AM107" s="2789"/>
      <c r="AN107" s="2789"/>
      <c r="AO107" s="2789"/>
      <c r="AP107" s="2789"/>
      <c r="AQ107" s="2769"/>
      <c r="AR107" s="2769"/>
      <c r="AS107" s="2757"/>
    </row>
    <row r="108" spans="1:45" s="1866" customFormat="1" ht="30.75" customHeight="1" x14ac:dyDescent="0.25">
      <c r="A108" s="2798"/>
      <c r="B108" s="2800"/>
      <c r="C108" s="1949"/>
      <c r="D108" s="1982"/>
      <c r="E108" s="2673"/>
      <c r="F108" s="2673"/>
      <c r="G108" s="2675"/>
      <c r="H108" s="2802"/>
      <c r="I108" s="2675"/>
      <c r="J108" s="2802"/>
      <c r="K108" s="2675"/>
      <c r="L108" s="2793"/>
      <c r="M108" s="2675"/>
      <c r="N108" s="2165"/>
      <c r="O108" s="2675"/>
      <c r="P108" s="2675"/>
      <c r="Q108" s="2793"/>
      <c r="R108" s="2794"/>
      <c r="S108" s="2795"/>
      <c r="T108" s="2793"/>
      <c r="U108" s="2793"/>
      <c r="V108" s="2780" t="s">
        <v>3190</v>
      </c>
      <c r="W108" s="2097">
        <v>22000000</v>
      </c>
      <c r="X108" s="1805" t="s">
        <v>3181</v>
      </c>
      <c r="Y108" s="336">
        <v>42</v>
      </c>
      <c r="Z108" s="1984" t="s">
        <v>3182</v>
      </c>
      <c r="AA108" s="2790"/>
      <c r="AB108" s="2790"/>
      <c r="AC108" s="2790"/>
      <c r="AD108" s="2792"/>
      <c r="AE108" s="2792"/>
      <c r="AF108" s="2790"/>
      <c r="AG108" s="2757"/>
      <c r="AH108" s="2757"/>
      <c r="AI108" s="2757"/>
      <c r="AJ108" s="2789"/>
      <c r="AK108" s="2789"/>
      <c r="AL108" s="2789"/>
      <c r="AM108" s="2789"/>
      <c r="AN108" s="2789"/>
      <c r="AO108" s="2789"/>
      <c r="AP108" s="2789"/>
      <c r="AQ108" s="2769"/>
      <c r="AR108" s="2769"/>
      <c r="AS108" s="2757"/>
    </row>
    <row r="109" spans="1:45" s="1866" customFormat="1" ht="38.25" customHeight="1" x14ac:dyDescent="0.25">
      <c r="A109" s="2798"/>
      <c r="B109" s="2800"/>
      <c r="C109" s="1949"/>
      <c r="D109" s="1982"/>
      <c r="E109" s="2673"/>
      <c r="F109" s="2673"/>
      <c r="G109" s="2675"/>
      <c r="H109" s="2802"/>
      <c r="I109" s="2675"/>
      <c r="J109" s="2802"/>
      <c r="K109" s="2675"/>
      <c r="L109" s="2793"/>
      <c r="M109" s="2675"/>
      <c r="N109" s="2165"/>
      <c r="O109" s="2675"/>
      <c r="P109" s="2675"/>
      <c r="Q109" s="2793"/>
      <c r="R109" s="2794"/>
      <c r="S109" s="2795"/>
      <c r="T109" s="2793"/>
      <c r="U109" s="2793"/>
      <c r="V109" s="2781"/>
      <c r="W109" s="2097">
        <f>8000000-1000000</f>
        <v>7000000</v>
      </c>
      <c r="X109" s="1805" t="s">
        <v>3191</v>
      </c>
      <c r="Y109" s="336">
        <v>42</v>
      </c>
      <c r="Z109" s="1984" t="s">
        <v>3182</v>
      </c>
      <c r="AA109" s="2790"/>
      <c r="AB109" s="2790"/>
      <c r="AC109" s="2790"/>
      <c r="AD109" s="2792"/>
      <c r="AE109" s="2792"/>
      <c r="AF109" s="2790"/>
      <c r="AG109" s="2757"/>
      <c r="AH109" s="2757"/>
      <c r="AI109" s="2757"/>
      <c r="AJ109" s="2789"/>
      <c r="AK109" s="2789"/>
      <c r="AL109" s="2789"/>
      <c r="AM109" s="2789"/>
      <c r="AN109" s="2789"/>
      <c r="AO109" s="2789"/>
      <c r="AP109" s="2789"/>
      <c r="AQ109" s="2769"/>
      <c r="AR109" s="2769"/>
      <c r="AS109" s="2757"/>
    </row>
    <row r="110" spans="1:45" s="1866" customFormat="1" ht="64.5" customHeight="1" x14ac:dyDescent="0.25">
      <c r="A110" s="2798"/>
      <c r="B110" s="2800"/>
      <c r="C110" s="1949"/>
      <c r="D110" s="1982"/>
      <c r="E110" s="2673"/>
      <c r="F110" s="2673"/>
      <c r="G110" s="2675"/>
      <c r="H110" s="2802"/>
      <c r="I110" s="2675"/>
      <c r="J110" s="2802"/>
      <c r="K110" s="2675"/>
      <c r="L110" s="2793"/>
      <c r="M110" s="2675"/>
      <c r="N110" s="2165"/>
      <c r="O110" s="2675"/>
      <c r="P110" s="2675"/>
      <c r="Q110" s="2793"/>
      <c r="R110" s="2794"/>
      <c r="S110" s="2795"/>
      <c r="T110" s="2793"/>
      <c r="U110" s="2793"/>
      <c r="V110" s="1986" t="s">
        <v>3192</v>
      </c>
      <c r="W110" s="2097">
        <v>50000000</v>
      </c>
      <c r="X110" s="1805" t="s">
        <v>3191</v>
      </c>
      <c r="Y110" s="336">
        <v>42</v>
      </c>
      <c r="Z110" s="1984" t="s">
        <v>3182</v>
      </c>
      <c r="AA110" s="2790"/>
      <c r="AB110" s="2790"/>
      <c r="AC110" s="2790"/>
      <c r="AD110" s="2792"/>
      <c r="AE110" s="2792"/>
      <c r="AF110" s="2790"/>
      <c r="AG110" s="2757"/>
      <c r="AH110" s="2757"/>
      <c r="AI110" s="2757"/>
      <c r="AJ110" s="2789"/>
      <c r="AK110" s="2789"/>
      <c r="AL110" s="2789"/>
      <c r="AM110" s="2789"/>
      <c r="AN110" s="2789"/>
      <c r="AO110" s="2789"/>
      <c r="AP110" s="2789"/>
      <c r="AQ110" s="2769"/>
      <c r="AR110" s="2769"/>
      <c r="AS110" s="2757"/>
    </row>
    <row r="111" spans="1:45" s="1866" customFormat="1" ht="30" customHeight="1" x14ac:dyDescent="0.25">
      <c r="A111" s="2798"/>
      <c r="B111" s="2800"/>
      <c r="C111" s="1949"/>
      <c r="D111" s="1982"/>
      <c r="E111" s="2673"/>
      <c r="F111" s="2673"/>
      <c r="G111" s="2675"/>
      <c r="H111" s="2802"/>
      <c r="I111" s="2675"/>
      <c r="J111" s="2802"/>
      <c r="K111" s="2675"/>
      <c r="L111" s="2793"/>
      <c r="M111" s="2675"/>
      <c r="N111" s="2165"/>
      <c r="O111" s="2675"/>
      <c r="P111" s="2675"/>
      <c r="Q111" s="2793"/>
      <c r="R111" s="2794"/>
      <c r="S111" s="2795"/>
      <c r="T111" s="2793"/>
      <c r="U111" s="2793"/>
      <c r="V111" s="1986" t="s">
        <v>3193</v>
      </c>
      <c r="W111" s="2098">
        <f>40000000-458751+25000000</f>
        <v>64541249</v>
      </c>
      <c r="X111" s="1805" t="s">
        <v>3191</v>
      </c>
      <c r="Y111" s="336">
        <v>42</v>
      </c>
      <c r="Z111" s="1984" t="s">
        <v>3182</v>
      </c>
      <c r="AA111" s="2790"/>
      <c r="AB111" s="2790"/>
      <c r="AC111" s="2790"/>
      <c r="AD111" s="2792"/>
      <c r="AE111" s="2792"/>
      <c r="AF111" s="2790"/>
      <c r="AG111" s="2757"/>
      <c r="AH111" s="2757"/>
      <c r="AI111" s="2757"/>
      <c r="AJ111" s="2789"/>
      <c r="AK111" s="2789"/>
      <c r="AL111" s="2789"/>
      <c r="AM111" s="2789"/>
      <c r="AN111" s="2789"/>
      <c r="AO111" s="2789"/>
      <c r="AP111" s="2789"/>
      <c r="AQ111" s="2769"/>
      <c r="AR111" s="2769"/>
      <c r="AS111" s="2757"/>
    </row>
    <row r="112" spans="1:45" s="1866" customFormat="1" ht="30" customHeight="1" x14ac:dyDescent="0.25">
      <c r="A112" s="2798"/>
      <c r="B112" s="2800"/>
      <c r="C112" s="1949"/>
      <c r="D112" s="1982"/>
      <c r="E112" s="2673"/>
      <c r="F112" s="2673"/>
      <c r="G112" s="2675"/>
      <c r="H112" s="2802"/>
      <c r="I112" s="2675"/>
      <c r="J112" s="2802"/>
      <c r="K112" s="2675"/>
      <c r="L112" s="2793"/>
      <c r="M112" s="2675"/>
      <c r="N112" s="2165"/>
      <c r="O112" s="2675"/>
      <c r="P112" s="2675"/>
      <c r="Q112" s="2793"/>
      <c r="R112" s="2794"/>
      <c r="S112" s="2795"/>
      <c r="T112" s="2793"/>
      <c r="U112" s="2793"/>
      <c r="V112" s="2782" t="s">
        <v>3194</v>
      </c>
      <c r="W112" s="2099">
        <f>50000000-25000000-25000000</f>
        <v>0</v>
      </c>
      <c r="X112" s="443" t="s">
        <v>3195</v>
      </c>
      <c r="Y112" s="2761">
        <v>42</v>
      </c>
      <c r="Z112" s="2763" t="s">
        <v>3182</v>
      </c>
      <c r="AA112" s="2790"/>
      <c r="AB112" s="2790"/>
      <c r="AC112" s="2790"/>
      <c r="AD112" s="2792"/>
      <c r="AE112" s="2792"/>
      <c r="AF112" s="2790"/>
      <c r="AG112" s="2757"/>
      <c r="AH112" s="2757"/>
      <c r="AI112" s="2757"/>
      <c r="AJ112" s="2789"/>
      <c r="AK112" s="2789"/>
      <c r="AL112" s="2789"/>
      <c r="AM112" s="2789"/>
      <c r="AN112" s="2789"/>
      <c r="AO112" s="2789"/>
      <c r="AP112" s="2789"/>
      <c r="AQ112" s="2769"/>
      <c r="AR112" s="2769"/>
      <c r="AS112" s="2757"/>
    </row>
    <row r="113" spans="1:45" s="1866" customFormat="1" ht="38.25" customHeight="1" x14ac:dyDescent="0.25">
      <c r="A113" s="2798"/>
      <c r="B113" s="2800"/>
      <c r="C113" s="1949"/>
      <c r="D113" s="1982"/>
      <c r="E113" s="2673"/>
      <c r="F113" s="2673"/>
      <c r="G113" s="2675"/>
      <c r="H113" s="2802"/>
      <c r="I113" s="2675"/>
      <c r="J113" s="2802"/>
      <c r="K113" s="2675"/>
      <c r="L113" s="2793"/>
      <c r="M113" s="2675"/>
      <c r="N113" s="2165"/>
      <c r="O113" s="2675"/>
      <c r="P113" s="2675"/>
      <c r="Q113" s="2793"/>
      <c r="R113" s="2794"/>
      <c r="S113" s="2795"/>
      <c r="T113" s="2793"/>
      <c r="U113" s="2793"/>
      <c r="V113" s="2783"/>
      <c r="W113" s="2096">
        <v>48000000</v>
      </c>
      <c r="X113" s="1805" t="s">
        <v>3188</v>
      </c>
      <c r="Y113" s="2784"/>
      <c r="Z113" s="2785"/>
      <c r="AA113" s="2790"/>
      <c r="AB113" s="2790"/>
      <c r="AC113" s="2790"/>
      <c r="AD113" s="2792"/>
      <c r="AE113" s="2792"/>
      <c r="AF113" s="2790"/>
      <c r="AG113" s="2757"/>
      <c r="AH113" s="2757"/>
      <c r="AI113" s="2757"/>
      <c r="AJ113" s="2789"/>
      <c r="AK113" s="2789"/>
      <c r="AL113" s="2789"/>
      <c r="AM113" s="2789"/>
      <c r="AN113" s="2789"/>
      <c r="AO113" s="2789"/>
      <c r="AP113" s="2789"/>
      <c r="AQ113" s="2769"/>
      <c r="AR113" s="2769"/>
      <c r="AS113" s="2757"/>
    </row>
    <row r="114" spans="1:45" s="1866" customFormat="1" ht="38.25" customHeight="1" x14ac:dyDescent="0.25">
      <c r="A114" s="2798"/>
      <c r="B114" s="2800"/>
      <c r="C114" s="1949"/>
      <c r="D114" s="1982"/>
      <c r="E114" s="2673"/>
      <c r="F114" s="2673"/>
      <c r="G114" s="2675"/>
      <c r="H114" s="2802"/>
      <c r="I114" s="2675"/>
      <c r="J114" s="2802"/>
      <c r="K114" s="2675"/>
      <c r="L114" s="2793"/>
      <c r="M114" s="2675"/>
      <c r="N114" s="2165"/>
      <c r="O114" s="2675"/>
      <c r="P114" s="2675"/>
      <c r="Q114" s="2793"/>
      <c r="R114" s="2794"/>
      <c r="S114" s="2795"/>
      <c r="T114" s="2793"/>
      <c r="U114" s="2793"/>
      <c r="V114" s="1987" t="s">
        <v>3196</v>
      </c>
      <c r="W114" s="2096">
        <v>25000000</v>
      </c>
      <c r="X114" s="443" t="s">
        <v>3197</v>
      </c>
      <c r="Y114" s="336">
        <v>42</v>
      </c>
      <c r="Z114" s="1984" t="s">
        <v>3182</v>
      </c>
      <c r="AA114" s="2790"/>
      <c r="AB114" s="2790"/>
      <c r="AC114" s="2790"/>
      <c r="AD114" s="2792"/>
      <c r="AE114" s="2792"/>
      <c r="AF114" s="2790"/>
      <c r="AG114" s="2757"/>
      <c r="AH114" s="2757"/>
      <c r="AI114" s="2757"/>
      <c r="AJ114" s="2789"/>
      <c r="AK114" s="2789"/>
      <c r="AL114" s="2789"/>
      <c r="AM114" s="2789"/>
      <c r="AN114" s="2789"/>
      <c r="AO114" s="2789"/>
      <c r="AP114" s="2789"/>
      <c r="AQ114" s="2769"/>
      <c r="AR114" s="2769"/>
      <c r="AS114" s="2757"/>
    </row>
    <row r="115" spans="1:45" s="1866" customFormat="1" ht="62.25" customHeight="1" x14ac:dyDescent="0.25">
      <c r="A115" s="2798"/>
      <c r="B115" s="2800"/>
      <c r="C115" s="1949"/>
      <c r="D115" s="1982"/>
      <c r="E115" s="2673"/>
      <c r="F115" s="2673"/>
      <c r="G115" s="2675"/>
      <c r="H115" s="2802"/>
      <c r="I115" s="2675"/>
      <c r="J115" s="2802"/>
      <c r="K115" s="2675"/>
      <c r="L115" s="2793"/>
      <c r="M115" s="2675"/>
      <c r="N115" s="2165"/>
      <c r="O115" s="2675"/>
      <c r="P115" s="2675"/>
      <c r="Q115" s="2793"/>
      <c r="R115" s="2794"/>
      <c r="S115" s="2795"/>
      <c r="T115" s="2793"/>
      <c r="U115" s="2793"/>
      <c r="V115" s="1988" t="s">
        <v>3198</v>
      </c>
      <c r="W115" s="2096">
        <f>40000000-28460000</f>
        <v>11540000</v>
      </c>
      <c r="X115" s="1805" t="s">
        <v>3191</v>
      </c>
      <c r="Y115" s="336">
        <v>42</v>
      </c>
      <c r="Z115" s="1984" t="s">
        <v>3182</v>
      </c>
      <c r="AA115" s="2790"/>
      <c r="AB115" s="2790"/>
      <c r="AC115" s="2790"/>
      <c r="AD115" s="2792"/>
      <c r="AE115" s="2792"/>
      <c r="AF115" s="2790"/>
      <c r="AG115" s="2757"/>
      <c r="AH115" s="2757"/>
      <c r="AI115" s="2757"/>
      <c r="AJ115" s="2789"/>
      <c r="AK115" s="2789"/>
      <c r="AL115" s="2789"/>
      <c r="AM115" s="2789"/>
      <c r="AN115" s="2789"/>
      <c r="AO115" s="2789"/>
      <c r="AP115" s="2789"/>
      <c r="AQ115" s="2769"/>
      <c r="AR115" s="2769"/>
      <c r="AS115" s="2757"/>
    </row>
    <row r="116" spans="1:45" s="1866" customFormat="1" ht="31.5" customHeight="1" x14ac:dyDescent="0.25">
      <c r="A116" s="2798"/>
      <c r="B116" s="2800"/>
      <c r="C116" s="1949"/>
      <c r="D116" s="1982"/>
      <c r="E116" s="2673"/>
      <c r="F116" s="2673"/>
      <c r="G116" s="2675"/>
      <c r="H116" s="2802"/>
      <c r="I116" s="2675"/>
      <c r="J116" s="2802"/>
      <c r="K116" s="2675"/>
      <c r="L116" s="2793"/>
      <c r="M116" s="2675"/>
      <c r="N116" s="2165"/>
      <c r="O116" s="2675"/>
      <c r="P116" s="2675"/>
      <c r="Q116" s="2793"/>
      <c r="R116" s="2794"/>
      <c r="S116" s="2795"/>
      <c r="T116" s="2793"/>
      <c r="U116" s="2793"/>
      <c r="V116" s="2780" t="s">
        <v>3199</v>
      </c>
      <c r="W116" s="2100">
        <v>71000000</v>
      </c>
      <c r="X116" s="1804" t="s">
        <v>3188</v>
      </c>
      <c r="Y116" s="336">
        <v>42</v>
      </c>
      <c r="Z116" s="1984" t="s">
        <v>3182</v>
      </c>
      <c r="AA116" s="2790"/>
      <c r="AB116" s="2790"/>
      <c r="AC116" s="2790"/>
      <c r="AD116" s="2792"/>
      <c r="AE116" s="2792"/>
      <c r="AF116" s="2790"/>
      <c r="AG116" s="2757"/>
      <c r="AH116" s="2757"/>
      <c r="AI116" s="2757"/>
      <c r="AJ116" s="2789"/>
      <c r="AK116" s="2789"/>
      <c r="AL116" s="2789"/>
      <c r="AM116" s="2789"/>
      <c r="AN116" s="2789"/>
      <c r="AO116" s="2789"/>
      <c r="AP116" s="2789"/>
      <c r="AQ116" s="2769"/>
      <c r="AR116" s="2769"/>
      <c r="AS116" s="2757"/>
    </row>
    <row r="117" spans="1:45" s="1866" customFormat="1" ht="33.75" customHeight="1" x14ac:dyDescent="0.25">
      <c r="A117" s="2798"/>
      <c r="B117" s="2800"/>
      <c r="C117" s="1949"/>
      <c r="D117" s="1982"/>
      <c r="E117" s="2673"/>
      <c r="F117" s="2673"/>
      <c r="G117" s="2675"/>
      <c r="H117" s="2802"/>
      <c r="I117" s="2675"/>
      <c r="J117" s="2802"/>
      <c r="K117" s="2675"/>
      <c r="L117" s="2793"/>
      <c r="M117" s="2675"/>
      <c r="N117" s="2165"/>
      <c r="O117" s="2675"/>
      <c r="P117" s="2675"/>
      <c r="Q117" s="2793"/>
      <c r="R117" s="2794"/>
      <c r="S117" s="2795"/>
      <c r="T117" s="2793"/>
      <c r="U117" s="2793"/>
      <c r="V117" s="2786"/>
      <c r="W117" s="2100">
        <v>50000000</v>
      </c>
      <c r="X117" s="1805" t="s">
        <v>3186</v>
      </c>
      <c r="Y117" s="336">
        <v>42</v>
      </c>
      <c r="Z117" s="1984" t="s">
        <v>3182</v>
      </c>
      <c r="AA117" s="2790"/>
      <c r="AB117" s="2790"/>
      <c r="AC117" s="2790"/>
      <c r="AD117" s="2792"/>
      <c r="AE117" s="2792"/>
      <c r="AF117" s="2790"/>
      <c r="AG117" s="2757"/>
      <c r="AH117" s="2757"/>
      <c r="AI117" s="2757"/>
      <c r="AJ117" s="2789"/>
      <c r="AK117" s="2789"/>
      <c r="AL117" s="2789"/>
      <c r="AM117" s="2789"/>
      <c r="AN117" s="2789"/>
      <c r="AO117" s="2789"/>
      <c r="AP117" s="2789"/>
      <c r="AQ117" s="2769"/>
      <c r="AR117" s="2769"/>
      <c r="AS117" s="2757"/>
    </row>
    <row r="118" spans="1:45" s="1866" customFormat="1" ht="30" customHeight="1" x14ac:dyDescent="0.25">
      <c r="A118" s="2798"/>
      <c r="B118" s="2800"/>
      <c r="C118" s="1949"/>
      <c r="D118" s="1982"/>
      <c r="E118" s="2673"/>
      <c r="F118" s="2673"/>
      <c r="G118" s="2675"/>
      <c r="H118" s="2802"/>
      <c r="I118" s="2675"/>
      <c r="J118" s="2802"/>
      <c r="K118" s="2675"/>
      <c r="L118" s="2793"/>
      <c r="M118" s="2675"/>
      <c r="N118" s="2165"/>
      <c r="O118" s="2675"/>
      <c r="P118" s="2675"/>
      <c r="Q118" s="2793"/>
      <c r="R118" s="2794"/>
      <c r="S118" s="2795"/>
      <c r="T118" s="2793"/>
      <c r="U118" s="2793"/>
      <c r="V118" s="2781"/>
      <c r="W118" s="2097">
        <v>19000000</v>
      </c>
      <c r="X118" s="1805" t="s">
        <v>3191</v>
      </c>
      <c r="Y118" s="336">
        <v>42</v>
      </c>
      <c r="Z118" s="1989" t="s">
        <v>3182</v>
      </c>
      <c r="AA118" s="2790"/>
      <c r="AB118" s="2790"/>
      <c r="AC118" s="2790"/>
      <c r="AD118" s="2792"/>
      <c r="AE118" s="2792"/>
      <c r="AF118" s="2790"/>
      <c r="AG118" s="2757"/>
      <c r="AH118" s="2757"/>
      <c r="AI118" s="2757"/>
      <c r="AJ118" s="2789"/>
      <c r="AK118" s="2789"/>
      <c r="AL118" s="2789"/>
      <c r="AM118" s="2789"/>
      <c r="AN118" s="2789"/>
      <c r="AO118" s="2789"/>
      <c r="AP118" s="2789"/>
      <c r="AQ118" s="2769"/>
      <c r="AR118" s="2769"/>
      <c r="AS118" s="2757"/>
    </row>
    <row r="119" spans="1:45" s="1866" customFormat="1" ht="39.950000000000003" customHeight="1" x14ac:dyDescent="0.25">
      <c r="A119" s="2798"/>
      <c r="B119" s="2800"/>
      <c r="C119" s="1949"/>
      <c r="D119" s="1982"/>
      <c r="E119" s="2673"/>
      <c r="F119" s="2673"/>
      <c r="G119" s="2675"/>
      <c r="H119" s="2802"/>
      <c r="I119" s="2675"/>
      <c r="J119" s="2802"/>
      <c r="K119" s="2675"/>
      <c r="L119" s="2793"/>
      <c r="M119" s="2675"/>
      <c r="N119" s="2165"/>
      <c r="O119" s="2675"/>
      <c r="P119" s="2675"/>
      <c r="Q119" s="2793"/>
      <c r="R119" s="2794"/>
      <c r="S119" s="2795"/>
      <c r="T119" s="2793"/>
      <c r="U119" s="2793"/>
      <c r="V119" s="1990" t="s">
        <v>3200</v>
      </c>
      <c r="W119" s="2070">
        <v>50000000</v>
      </c>
      <c r="X119" s="1805" t="s">
        <v>3188</v>
      </c>
      <c r="Y119" s="1991">
        <v>42</v>
      </c>
      <c r="Z119" s="1802" t="s">
        <v>3182</v>
      </c>
      <c r="AA119" s="2791"/>
      <c r="AB119" s="2790"/>
      <c r="AC119" s="2790"/>
      <c r="AD119" s="2792"/>
      <c r="AE119" s="2792"/>
      <c r="AF119" s="2790"/>
      <c r="AG119" s="2757"/>
      <c r="AH119" s="2757"/>
      <c r="AI119" s="2757"/>
      <c r="AJ119" s="2789"/>
      <c r="AK119" s="2789"/>
      <c r="AL119" s="2789"/>
      <c r="AM119" s="2789"/>
      <c r="AN119" s="2789"/>
      <c r="AO119" s="2789"/>
      <c r="AP119" s="2789"/>
      <c r="AQ119" s="2769"/>
      <c r="AR119" s="2769"/>
      <c r="AS119" s="2757"/>
    </row>
    <row r="120" spans="1:45" s="1866" customFormat="1" ht="39.950000000000003" customHeight="1" x14ac:dyDescent="0.25">
      <c r="A120" s="2798"/>
      <c r="B120" s="2800"/>
      <c r="C120" s="1949"/>
      <c r="D120" s="1982"/>
      <c r="E120" s="2673"/>
      <c r="F120" s="2673"/>
      <c r="G120" s="2675"/>
      <c r="H120" s="2802"/>
      <c r="I120" s="2675"/>
      <c r="J120" s="2802"/>
      <c r="K120" s="2675"/>
      <c r="L120" s="2793"/>
      <c r="M120" s="2675"/>
      <c r="N120" s="2165"/>
      <c r="O120" s="2796"/>
      <c r="P120" s="2665"/>
      <c r="Q120" s="2793"/>
      <c r="R120" s="2794"/>
      <c r="S120" s="2795"/>
      <c r="T120" s="2793"/>
      <c r="U120" s="2793"/>
      <c r="V120" s="2787" t="s">
        <v>3201</v>
      </c>
      <c r="W120" s="2071">
        <v>29918751</v>
      </c>
      <c r="X120" s="1805" t="s">
        <v>3191</v>
      </c>
      <c r="Y120" s="1991">
        <v>42</v>
      </c>
      <c r="Z120" s="1802" t="s">
        <v>3182</v>
      </c>
      <c r="AA120" s="2791"/>
      <c r="AB120" s="2790"/>
      <c r="AC120" s="2790"/>
      <c r="AD120" s="2792"/>
      <c r="AE120" s="2792"/>
      <c r="AF120" s="2790"/>
      <c r="AG120" s="2757"/>
      <c r="AH120" s="2757"/>
      <c r="AI120" s="2757"/>
      <c r="AJ120" s="2789"/>
      <c r="AK120" s="2789"/>
      <c r="AL120" s="2789"/>
      <c r="AM120" s="2789"/>
      <c r="AN120" s="2789"/>
      <c r="AO120" s="2789"/>
      <c r="AP120" s="2789"/>
      <c r="AQ120" s="2769"/>
      <c r="AR120" s="2769"/>
      <c r="AS120" s="2757"/>
    </row>
    <row r="121" spans="1:45" s="1866" customFormat="1" ht="68.25" customHeight="1" x14ac:dyDescent="0.25">
      <c r="A121" s="2798"/>
      <c r="B121" s="2800"/>
      <c r="C121" s="1949"/>
      <c r="D121" s="1982"/>
      <c r="E121" s="2673"/>
      <c r="F121" s="2673"/>
      <c r="G121" s="2675"/>
      <c r="H121" s="2802"/>
      <c r="I121" s="2675"/>
      <c r="J121" s="2802"/>
      <c r="K121" s="2675"/>
      <c r="L121" s="2793"/>
      <c r="M121" s="2675"/>
      <c r="N121" s="2165"/>
      <c r="O121" s="2796"/>
      <c r="P121" s="2665"/>
      <c r="Q121" s="2793"/>
      <c r="R121" s="2794"/>
      <c r="S121" s="2795"/>
      <c r="T121" s="2793"/>
      <c r="U121" s="2793"/>
      <c r="V121" s="2788"/>
      <c r="W121" s="2071">
        <f>113264654.33+1000000000</f>
        <v>1113264654.3299999</v>
      </c>
      <c r="X121" s="1805" t="s">
        <v>3202</v>
      </c>
      <c r="Y121" s="1991">
        <v>92</v>
      </c>
      <c r="Z121" s="1992" t="s">
        <v>3203</v>
      </c>
      <c r="AA121" s="2790"/>
      <c r="AB121" s="2790"/>
      <c r="AC121" s="2790"/>
      <c r="AD121" s="2792"/>
      <c r="AE121" s="2792"/>
      <c r="AF121" s="2790"/>
      <c r="AG121" s="2757"/>
      <c r="AH121" s="2757"/>
      <c r="AI121" s="2757"/>
      <c r="AJ121" s="2789"/>
      <c r="AK121" s="2789"/>
      <c r="AL121" s="2789"/>
      <c r="AM121" s="2789"/>
      <c r="AN121" s="2789"/>
      <c r="AO121" s="2789"/>
      <c r="AP121" s="2789"/>
      <c r="AQ121" s="2769"/>
      <c r="AR121" s="2769"/>
      <c r="AS121" s="2757"/>
    </row>
    <row r="122" spans="1:45" s="1866" customFormat="1" ht="57.75" customHeight="1" x14ac:dyDescent="0.25">
      <c r="A122" s="2798"/>
      <c r="B122" s="2800"/>
      <c r="C122" s="1949"/>
      <c r="D122" s="1982"/>
      <c r="E122" s="2673"/>
      <c r="F122" s="2673"/>
      <c r="G122" s="2675">
        <v>4501001</v>
      </c>
      <c r="H122" s="2661" t="s">
        <v>3204</v>
      </c>
      <c r="I122" s="2675">
        <v>4501001</v>
      </c>
      <c r="J122" s="2661" t="s">
        <v>3204</v>
      </c>
      <c r="K122" s="2666">
        <v>450100100</v>
      </c>
      <c r="L122" s="2281" t="s">
        <v>3205</v>
      </c>
      <c r="M122" s="2666">
        <v>450100100</v>
      </c>
      <c r="N122" s="2157" t="s">
        <v>3205</v>
      </c>
      <c r="O122" s="2666">
        <v>12</v>
      </c>
      <c r="P122" s="2666" t="s">
        <v>3206</v>
      </c>
      <c r="Q122" s="2281" t="s">
        <v>3207</v>
      </c>
      <c r="R122" s="2772">
        <f>SUM(W122:W125)/S122</f>
        <v>1</v>
      </c>
      <c r="S122" s="2773">
        <f>SUM(W122:W125)</f>
        <v>61000000</v>
      </c>
      <c r="T122" s="2280" t="s">
        <v>3071</v>
      </c>
      <c r="U122" s="2281" t="s">
        <v>3208</v>
      </c>
      <c r="V122" s="2759" t="s">
        <v>3209</v>
      </c>
      <c r="W122" s="2096">
        <v>30000000</v>
      </c>
      <c r="X122" s="1805" t="s">
        <v>3210</v>
      </c>
      <c r="Y122" s="336">
        <v>20</v>
      </c>
      <c r="Z122" s="1984" t="s">
        <v>2351</v>
      </c>
      <c r="AA122" s="2342">
        <v>291786</v>
      </c>
      <c r="AB122" s="2709">
        <v>270331</v>
      </c>
      <c r="AC122" s="2771">
        <v>102045</v>
      </c>
      <c r="AD122" s="2704">
        <v>39183</v>
      </c>
      <c r="AE122" s="2704">
        <v>310195</v>
      </c>
      <c r="AF122" s="2704">
        <v>110694</v>
      </c>
      <c r="AG122" s="2704">
        <v>2145</v>
      </c>
      <c r="AH122" s="2704">
        <v>12718</v>
      </c>
      <c r="AI122" s="2704">
        <v>26</v>
      </c>
      <c r="AJ122" s="2704">
        <v>37</v>
      </c>
      <c r="AK122" s="2704"/>
      <c r="AL122" s="2704"/>
      <c r="AM122" s="2767">
        <v>44350</v>
      </c>
      <c r="AN122" s="2342">
        <v>21944</v>
      </c>
      <c r="AO122" s="2342">
        <v>75687</v>
      </c>
      <c r="AP122" s="2756">
        <f>SUM(AA122:AB125)</f>
        <v>562117</v>
      </c>
      <c r="AQ122" s="2768">
        <v>44198</v>
      </c>
      <c r="AR122" s="2768">
        <v>44561</v>
      </c>
      <c r="AS122" s="2756" t="s">
        <v>3044</v>
      </c>
    </row>
    <row r="123" spans="1:45" s="1866" customFormat="1" ht="57.75" customHeight="1" x14ac:dyDescent="0.25">
      <c r="A123" s="2798"/>
      <c r="B123" s="2800"/>
      <c r="C123" s="1949"/>
      <c r="D123" s="1982"/>
      <c r="E123" s="2673"/>
      <c r="F123" s="2673"/>
      <c r="G123" s="2675"/>
      <c r="H123" s="2661"/>
      <c r="I123" s="2675"/>
      <c r="J123" s="2661"/>
      <c r="K123" s="2666"/>
      <c r="L123" s="2281"/>
      <c r="M123" s="2666"/>
      <c r="N123" s="2157"/>
      <c r="O123" s="2666"/>
      <c r="P123" s="2666"/>
      <c r="Q123" s="2281"/>
      <c r="R123" s="2772"/>
      <c r="S123" s="2773"/>
      <c r="T123" s="2281"/>
      <c r="U123" s="2281"/>
      <c r="V123" s="2775"/>
      <c r="W123" s="2096">
        <v>25000000</v>
      </c>
      <c r="X123" s="1805" t="s">
        <v>3211</v>
      </c>
      <c r="Y123" s="1972">
        <v>88</v>
      </c>
      <c r="Z123" s="1803" t="s">
        <v>3046</v>
      </c>
      <c r="AA123" s="2342"/>
      <c r="AB123" s="2709"/>
      <c r="AC123" s="2771"/>
      <c r="AD123" s="2704"/>
      <c r="AE123" s="2704"/>
      <c r="AF123" s="2704"/>
      <c r="AG123" s="2704"/>
      <c r="AH123" s="2704"/>
      <c r="AI123" s="2704"/>
      <c r="AJ123" s="2704"/>
      <c r="AK123" s="2704"/>
      <c r="AL123" s="2704"/>
      <c r="AM123" s="2767"/>
      <c r="AN123" s="2342"/>
      <c r="AO123" s="2342"/>
      <c r="AP123" s="2756"/>
      <c r="AQ123" s="2768"/>
      <c r="AR123" s="2768"/>
      <c r="AS123" s="2756"/>
    </row>
    <row r="124" spans="1:45" s="1866" customFormat="1" ht="39" customHeight="1" x14ac:dyDescent="0.25">
      <c r="A124" s="2798"/>
      <c r="B124" s="2800"/>
      <c r="C124" s="1949"/>
      <c r="D124" s="1982"/>
      <c r="E124" s="2673"/>
      <c r="F124" s="2673"/>
      <c r="G124" s="2675"/>
      <c r="H124" s="2661"/>
      <c r="I124" s="2675"/>
      <c r="J124" s="2661"/>
      <c r="K124" s="2666"/>
      <c r="L124" s="2281"/>
      <c r="M124" s="2666"/>
      <c r="N124" s="2157"/>
      <c r="O124" s="2666"/>
      <c r="P124" s="2666"/>
      <c r="Q124" s="2281"/>
      <c r="R124" s="2772"/>
      <c r="S124" s="2773"/>
      <c r="T124" s="2281"/>
      <c r="U124" s="2281"/>
      <c r="V124" s="2759" t="s">
        <v>3212</v>
      </c>
      <c r="W124" s="2101">
        <v>1000000</v>
      </c>
      <c r="X124" s="1805" t="s">
        <v>3210</v>
      </c>
      <c r="Y124" s="2761">
        <v>20</v>
      </c>
      <c r="Z124" s="2763" t="s">
        <v>2351</v>
      </c>
      <c r="AA124" s="2339"/>
      <c r="AB124" s="2709"/>
      <c r="AC124" s="2771"/>
      <c r="AD124" s="2704"/>
      <c r="AE124" s="2704"/>
      <c r="AF124" s="2704"/>
      <c r="AG124" s="2704"/>
      <c r="AH124" s="2704"/>
      <c r="AI124" s="2704"/>
      <c r="AJ124" s="2704"/>
      <c r="AK124" s="2704"/>
      <c r="AL124" s="2704"/>
      <c r="AM124" s="2767"/>
      <c r="AN124" s="2339"/>
      <c r="AO124" s="2339"/>
      <c r="AP124" s="2757"/>
      <c r="AQ124" s="2769"/>
      <c r="AR124" s="2769"/>
      <c r="AS124" s="2757"/>
    </row>
    <row r="125" spans="1:45" s="1866" customFormat="1" ht="64.5" customHeight="1" x14ac:dyDescent="0.25">
      <c r="A125" s="2799"/>
      <c r="B125" s="2801"/>
      <c r="C125" s="1993"/>
      <c r="D125" s="1994"/>
      <c r="E125" s="2776"/>
      <c r="F125" s="2776"/>
      <c r="G125" s="2675"/>
      <c r="H125" s="2777"/>
      <c r="I125" s="2675"/>
      <c r="J125" s="2661"/>
      <c r="K125" s="2666"/>
      <c r="L125" s="2281"/>
      <c r="M125" s="2666"/>
      <c r="N125" s="2157"/>
      <c r="O125" s="2666"/>
      <c r="P125" s="2666"/>
      <c r="Q125" s="2281"/>
      <c r="R125" s="2772"/>
      <c r="S125" s="2773"/>
      <c r="T125" s="2774"/>
      <c r="U125" s="2281"/>
      <c r="V125" s="2760"/>
      <c r="W125" s="2099">
        <v>5000000</v>
      </c>
      <c r="X125" s="1805" t="s">
        <v>3213</v>
      </c>
      <c r="Y125" s="2762"/>
      <c r="Z125" s="2764"/>
      <c r="AA125" s="2340"/>
      <c r="AB125" s="2709"/>
      <c r="AC125" s="2771"/>
      <c r="AD125" s="2704"/>
      <c r="AE125" s="2704"/>
      <c r="AF125" s="2704"/>
      <c r="AG125" s="2704"/>
      <c r="AH125" s="2704"/>
      <c r="AI125" s="2704"/>
      <c r="AJ125" s="2704"/>
      <c r="AK125" s="2704"/>
      <c r="AL125" s="2704"/>
      <c r="AM125" s="2767"/>
      <c r="AN125" s="2340"/>
      <c r="AO125" s="2340"/>
      <c r="AP125" s="2758"/>
      <c r="AQ125" s="2770"/>
      <c r="AR125" s="2770"/>
      <c r="AS125" s="2758"/>
    </row>
    <row r="126" spans="1:45" ht="27.75" customHeight="1" x14ac:dyDescent="0.25">
      <c r="A126" s="1995">
        <v>3</v>
      </c>
      <c r="B126" s="2765" t="s">
        <v>503</v>
      </c>
      <c r="C126" s="2766"/>
      <c r="D126" s="2766"/>
      <c r="E126" s="2766"/>
      <c r="F126" s="2766"/>
      <c r="G126" s="2766"/>
      <c r="H126" s="2766"/>
      <c r="I126" s="1996"/>
      <c r="J126" s="1997"/>
      <c r="K126" s="1998"/>
      <c r="L126" s="1997"/>
      <c r="M126" s="1998"/>
      <c r="N126" s="1998"/>
      <c r="O126" s="1998"/>
      <c r="P126" s="1998"/>
      <c r="Q126" s="1997"/>
      <c r="R126" s="1998"/>
      <c r="S126" s="2134"/>
      <c r="T126" s="1997"/>
      <c r="U126" s="1997"/>
      <c r="V126" s="1997"/>
      <c r="W126" s="2102"/>
      <c r="X126" s="1996"/>
      <c r="Y126" s="1998"/>
      <c r="Z126" s="1998"/>
      <c r="AA126" s="1998"/>
      <c r="AB126" s="1998"/>
      <c r="AC126" s="1998"/>
      <c r="AD126" s="1998"/>
      <c r="AE126" s="1998"/>
      <c r="AF126" s="1998"/>
      <c r="AG126" s="1998"/>
      <c r="AH126" s="1998"/>
      <c r="AI126" s="1998"/>
      <c r="AJ126" s="1998"/>
      <c r="AK126" s="1998"/>
      <c r="AL126" s="1998"/>
      <c r="AM126" s="1998"/>
      <c r="AN126" s="1998"/>
      <c r="AO126" s="1998"/>
      <c r="AP126" s="1998"/>
      <c r="AQ126" s="1998"/>
      <c r="AR126" s="1998"/>
      <c r="AS126" s="1999"/>
    </row>
    <row r="127" spans="1:45" ht="27.75" customHeight="1" x14ac:dyDescent="0.25">
      <c r="A127" s="50"/>
      <c r="B127" s="1898"/>
      <c r="C127" s="36">
        <v>32</v>
      </c>
      <c r="D127" s="2681" t="s">
        <v>565</v>
      </c>
      <c r="E127" s="2211"/>
      <c r="F127" s="2682"/>
      <c r="G127" s="2682"/>
      <c r="H127" s="2682"/>
      <c r="I127" s="2682"/>
      <c r="J127" s="2000"/>
      <c r="K127" s="1721"/>
      <c r="L127" s="2000"/>
      <c r="M127" s="1721"/>
      <c r="N127" s="1721"/>
      <c r="O127" s="1721"/>
      <c r="P127" s="1721"/>
      <c r="Q127" s="2000"/>
      <c r="R127" s="2001"/>
      <c r="S127" s="2135"/>
      <c r="T127" s="2002"/>
      <c r="U127" s="2002"/>
      <c r="V127" s="2002"/>
      <c r="W127" s="2103"/>
      <c r="X127" s="2001"/>
      <c r="Y127" s="2001"/>
      <c r="Z127" s="2001"/>
      <c r="AA127" s="2001"/>
      <c r="AB127" s="2001"/>
      <c r="AC127" s="2001"/>
      <c r="AD127" s="2001"/>
      <c r="AE127" s="2001"/>
      <c r="AF127" s="2001"/>
      <c r="AG127" s="2001"/>
      <c r="AH127" s="2001"/>
      <c r="AI127" s="2001"/>
      <c r="AJ127" s="2001"/>
      <c r="AK127" s="2001"/>
      <c r="AL127" s="2001"/>
      <c r="AM127" s="2001"/>
      <c r="AN127" s="2001"/>
      <c r="AO127" s="2001"/>
      <c r="AP127" s="2001"/>
      <c r="AQ127" s="2001"/>
      <c r="AR127" s="2001"/>
      <c r="AS127" s="2003"/>
    </row>
    <row r="128" spans="1:45" ht="27" customHeight="1" x14ac:dyDescent="0.25">
      <c r="A128" s="1949"/>
      <c r="B128" s="1982"/>
      <c r="C128" s="1981"/>
      <c r="D128" s="1982"/>
      <c r="E128" s="1964">
        <v>3205</v>
      </c>
      <c r="F128" s="2750" t="s">
        <v>566</v>
      </c>
      <c r="G128" s="2672"/>
      <c r="H128" s="2672"/>
      <c r="I128" s="2672"/>
      <c r="J128" s="2672"/>
      <c r="K128" s="2672"/>
      <c r="L128" s="2672"/>
      <c r="M128" s="2672"/>
      <c r="N128" s="2672"/>
      <c r="O128" s="2672"/>
      <c r="P128" s="2672"/>
      <c r="Q128" s="2672"/>
      <c r="R128" s="1924"/>
      <c r="S128" s="2133"/>
      <c r="T128" s="1965"/>
      <c r="U128" s="1965"/>
      <c r="V128" s="1965"/>
      <c r="W128" s="2075"/>
      <c r="X128" s="1923"/>
      <c r="Y128" s="1923"/>
      <c r="Z128" s="1923"/>
      <c r="AA128" s="1924"/>
      <c r="AB128" s="1924"/>
      <c r="AC128" s="1924"/>
      <c r="AD128" s="1924"/>
      <c r="AE128" s="1924"/>
      <c r="AF128" s="1924"/>
      <c r="AG128" s="1924"/>
      <c r="AH128" s="1924"/>
      <c r="AI128" s="1924"/>
      <c r="AJ128" s="1924"/>
      <c r="AK128" s="1924"/>
      <c r="AL128" s="1924"/>
      <c r="AM128" s="1924"/>
      <c r="AN128" s="1924"/>
      <c r="AO128" s="1924"/>
      <c r="AP128" s="1924"/>
      <c r="AQ128" s="1924"/>
      <c r="AR128" s="1924"/>
      <c r="AS128" s="1967"/>
    </row>
    <row r="129" spans="1:45" ht="92.25" customHeight="1" x14ac:dyDescent="0.25">
      <c r="A129" s="1949"/>
      <c r="B129" s="1982"/>
      <c r="C129" s="1949"/>
      <c r="D129" s="1982"/>
      <c r="E129" s="2720"/>
      <c r="F129" s="2720"/>
      <c r="G129" s="2722">
        <v>3205002</v>
      </c>
      <c r="H129" s="2725" t="s">
        <v>3214</v>
      </c>
      <c r="I129" s="2722">
        <v>3205002</v>
      </c>
      <c r="J129" s="2725" t="s">
        <v>3214</v>
      </c>
      <c r="K129" s="2753">
        <v>320500200</v>
      </c>
      <c r="L129" s="2744" t="s">
        <v>3215</v>
      </c>
      <c r="M129" s="2753">
        <v>320500200</v>
      </c>
      <c r="N129" s="2738" t="s">
        <v>3215</v>
      </c>
      <c r="O129" s="2741">
        <v>3</v>
      </c>
      <c r="P129" s="2738" t="s">
        <v>3216</v>
      </c>
      <c r="Q129" s="2744" t="s">
        <v>3217</v>
      </c>
      <c r="R129" s="2746">
        <f>SUM(W129:W132)/S129</f>
        <v>1</v>
      </c>
      <c r="S129" s="2748">
        <f>SUM(W129:W132)</f>
        <v>243850000</v>
      </c>
      <c r="T129" s="2313" t="s">
        <v>3218</v>
      </c>
      <c r="U129" s="2733" t="s">
        <v>3219</v>
      </c>
      <c r="V129" s="2734" t="s">
        <v>3220</v>
      </c>
      <c r="W129" s="2104">
        <v>31000000</v>
      </c>
      <c r="X129" s="1805" t="s">
        <v>3221</v>
      </c>
      <c r="Y129" s="1925">
        <v>20</v>
      </c>
      <c r="Z129" s="2004" t="s">
        <v>2351</v>
      </c>
      <c r="AA129" s="2736">
        <v>181571</v>
      </c>
      <c r="AB129" s="2727">
        <v>173060</v>
      </c>
      <c r="AC129" s="2727">
        <v>98942</v>
      </c>
      <c r="AD129" s="2727">
        <v>114369</v>
      </c>
      <c r="AE129" s="2727">
        <v>114368</v>
      </c>
      <c r="AF129" s="2727">
        <v>26952</v>
      </c>
      <c r="AG129" s="2727"/>
      <c r="AH129" s="2727"/>
      <c r="AI129" s="2727"/>
      <c r="AJ129" s="2727"/>
      <c r="AK129" s="2727"/>
      <c r="AL129" s="2727"/>
      <c r="AM129" s="2727"/>
      <c r="AN129" s="2727"/>
      <c r="AO129" s="2727"/>
      <c r="AP129" s="2727">
        <f>AC129+AD129+AE129+AF129</f>
        <v>354631</v>
      </c>
      <c r="AQ129" s="2269">
        <v>44198</v>
      </c>
      <c r="AR129" s="2269">
        <v>44196</v>
      </c>
      <c r="AS129" s="2727" t="s">
        <v>3063</v>
      </c>
    </row>
    <row r="130" spans="1:45" ht="92.25" customHeight="1" x14ac:dyDescent="0.25">
      <c r="A130" s="1949"/>
      <c r="B130" s="1982"/>
      <c r="C130" s="1949"/>
      <c r="D130" s="1982"/>
      <c r="E130" s="2720"/>
      <c r="F130" s="2720"/>
      <c r="G130" s="2722"/>
      <c r="H130" s="2724"/>
      <c r="I130" s="2722"/>
      <c r="J130" s="2724"/>
      <c r="K130" s="2754"/>
      <c r="L130" s="2745"/>
      <c r="M130" s="2754"/>
      <c r="N130" s="2739"/>
      <c r="O130" s="2742"/>
      <c r="P130" s="2739"/>
      <c r="Q130" s="2745"/>
      <c r="R130" s="2747"/>
      <c r="S130" s="2749"/>
      <c r="T130" s="2732"/>
      <c r="U130" s="2550"/>
      <c r="V130" s="2735"/>
      <c r="W130" s="2105">
        <f>25000000+134220000</f>
        <v>159220000</v>
      </c>
      <c r="X130" s="1805" t="s">
        <v>3222</v>
      </c>
      <c r="Y130" s="2005">
        <v>88</v>
      </c>
      <c r="Z130" s="1809" t="s">
        <v>3046</v>
      </c>
      <c r="AA130" s="2737"/>
      <c r="AB130" s="2703"/>
      <c r="AC130" s="2703"/>
      <c r="AD130" s="2703"/>
      <c r="AE130" s="2703"/>
      <c r="AF130" s="2703"/>
      <c r="AG130" s="2703"/>
      <c r="AH130" s="2703"/>
      <c r="AI130" s="2703"/>
      <c r="AJ130" s="2703"/>
      <c r="AK130" s="2703"/>
      <c r="AL130" s="2703"/>
      <c r="AM130" s="2703"/>
      <c r="AN130" s="2703"/>
      <c r="AO130" s="2703"/>
      <c r="AP130" s="2703"/>
      <c r="AQ130" s="2265"/>
      <c r="AR130" s="2265"/>
      <c r="AS130" s="2703"/>
    </row>
    <row r="131" spans="1:45" ht="92.25" customHeight="1" x14ac:dyDescent="0.25">
      <c r="A131" s="1949"/>
      <c r="B131" s="1982"/>
      <c r="C131" s="1949"/>
      <c r="D131" s="1982"/>
      <c r="E131" s="2720"/>
      <c r="F131" s="2720"/>
      <c r="G131" s="2722"/>
      <c r="H131" s="2724"/>
      <c r="I131" s="2722"/>
      <c r="J131" s="2724"/>
      <c r="K131" s="2754"/>
      <c r="L131" s="2745"/>
      <c r="M131" s="2754"/>
      <c r="N131" s="2739"/>
      <c r="O131" s="2742"/>
      <c r="P131" s="2739"/>
      <c r="Q131" s="2745"/>
      <c r="R131" s="2747"/>
      <c r="S131" s="2749"/>
      <c r="T131" s="2732"/>
      <c r="U131" s="2550"/>
      <c r="V131" s="2728" t="s">
        <v>3223</v>
      </c>
      <c r="W131" s="2105">
        <v>14000000</v>
      </c>
      <c r="X131" s="1808" t="s">
        <v>3221</v>
      </c>
      <c r="Y131" s="2005">
        <v>20</v>
      </c>
      <c r="Z131" s="1809" t="s">
        <v>2351</v>
      </c>
      <c r="AA131" s="2737"/>
      <c r="AB131" s="2703"/>
      <c r="AC131" s="2703"/>
      <c r="AD131" s="2703"/>
      <c r="AE131" s="2703"/>
      <c r="AF131" s="2703"/>
      <c r="AG131" s="2703"/>
      <c r="AH131" s="2703"/>
      <c r="AI131" s="2703"/>
      <c r="AJ131" s="2703"/>
      <c r="AK131" s="2703"/>
      <c r="AL131" s="2703"/>
      <c r="AM131" s="2703"/>
      <c r="AN131" s="2703"/>
      <c r="AO131" s="2703"/>
      <c r="AP131" s="2703"/>
      <c r="AQ131" s="2265"/>
      <c r="AR131" s="2265"/>
      <c r="AS131" s="2703"/>
    </row>
    <row r="132" spans="1:45" ht="88.5" customHeight="1" x14ac:dyDescent="0.25">
      <c r="A132" s="1949"/>
      <c r="B132" s="1982"/>
      <c r="C132" s="2006"/>
      <c r="D132" s="1994"/>
      <c r="E132" s="2721"/>
      <c r="F132" s="2721"/>
      <c r="G132" s="2723"/>
      <c r="H132" s="2751"/>
      <c r="I132" s="2723"/>
      <c r="J132" s="2752"/>
      <c r="K132" s="2755"/>
      <c r="L132" s="2732"/>
      <c r="M132" s="2755"/>
      <c r="N132" s="2740"/>
      <c r="O132" s="2743"/>
      <c r="P132" s="2740"/>
      <c r="Q132" s="2732"/>
      <c r="R132" s="2747"/>
      <c r="S132" s="2749"/>
      <c r="T132" s="2732"/>
      <c r="U132" s="2550"/>
      <c r="V132" s="2729"/>
      <c r="W132" s="2096">
        <f>20000000+19630000</f>
        <v>39630000</v>
      </c>
      <c r="X132" s="1805" t="s">
        <v>3222</v>
      </c>
      <c r="Y132" s="2007">
        <v>88</v>
      </c>
      <c r="Z132" s="2004" t="s">
        <v>3046</v>
      </c>
      <c r="AA132" s="2737"/>
      <c r="AB132" s="2703"/>
      <c r="AC132" s="2703"/>
      <c r="AD132" s="2703"/>
      <c r="AE132" s="2703"/>
      <c r="AF132" s="2703"/>
      <c r="AG132" s="2703"/>
      <c r="AH132" s="2703"/>
      <c r="AI132" s="2703"/>
      <c r="AJ132" s="2703"/>
      <c r="AK132" s="2703"/>
      <c r="AL132" s="2703"/>
      <c r="AM132" s="2703"/>
      <c r="AN132" s="2703"/>
      <c r="AO132" s="2703"/>
      <c r="AP132" s="2703"/>
      <c r="AQ132" s="2265"/>
      <c r="AR132" s="2265"/>
      <c r="AS132" s="2703"/>
    </row>
    <row r="133" spans="1:45" ht="15.75" x14ac:dyDescent="0.25">
      <c r="A133" s="1949"/>
      <c r="B133" s="1982"/>
      <c r="C133" s="155">
        <v>45</v>
      </c>
      <c r="D133" s="2730" t="s">
        <v>60</v>
      </c>
      <c r="E133" s="2731"/>
      <c r="F133" s="2731"/>
      <c r="G133" s="2731"/>
      <c r="H133" s="2731"/>
      <c r="I133" s="2008"/>
      <c r="J133" s="2009"/>
      <c r="K133" s="2010"/>
      <c r="L133" s="2009"/>
      <c r="M133" s="2010"/>
      <c r="N133" s="2011"/>
      <c r="O133" s="2011"/>
      <c r="P133" s="2011"/>
      <c r="Q133" s="2009"/>
      <c r="R133" s="2012"/>
      <c r="S133" s="2136"/>
      <c r="T133" s="2009"/>
      <c r="U133" s="2013"/>
      <c r="V133" s="1955"/>
      <c r="W133" s="2106"/>
      <c r="X133" s="2014"/>
      <c r="Y133" s="2015"/>
      <c r="Z133" s="2016"/>
      <c r="AA133" s="1960"/>
      <c r="AB133" s="1960"/>
      <c r="AC133" s="1960"/>
      <c r="AD133" s="1960"/>
      <c r="AE133" s="1960"/>
      <c r="AF133" s="1960"/>
      <c r="AG133" s="1960"/>
      <c r="AH133" s="1960"/>
      <c r="AI133" s="1960"/>
      <c r="AJ133" s="1960"/>
      <c r="AK133" s="1960"/>
      <c r="AL133" s="1960"/>
      <c r="AM133" s="1960"/>
      <c r="AN133" s="1960"/>
      <c r="AO133" s="1960"/>
      <c r="AP133" s="1960"/>
      <c r="AQ133" s="2017"/>
      <c r="AR133" s="2017"/>
      <c r="AS133" s="2018"/>
    </row>
    <row r="134" spans="1:45" s="1869" customFormat="1" ht="38.1" customHeight="1" x14ac:dyDescent="0.25">
      <c r="A134" s="1949"/>
      <c r="B134" s="1916"/>
      <c r="C134" s="1907"/>
      <c r="D134" s="1916"/>
      <c r="E134" s="1005">
        <v>4503</v>
      </c>
      <c r="F134" s="2671" t="s">
        <v>3224</v>
      </c>
      <c r="G134" s="2672"/>
      <c r="H134" s="2672"/>
      <c r="I134" s="2672"/>
      <c r="J134" s="2672"/>
      <c r="K134" s="2672"/>
      <c r="L134" s="2672"/>
      <c r="M134" s="2672"/>
      <c r="N134" s="1923"/>
      <c r="O134" s="1923"/>
      <c r="P134" s="1923"/>
      <c r="Q134" s="1966"/>
      <c r="R134" s="1923"/>
      <c r="S134" s="2132"/>
      <c r="T134" s="1966"/>
      <c r="U134" s="1966"/>
      <c r="V134" s="1965"/>
      <c r="W134" s="2075"/>
      <c r="X134" s="1923"/>
      <c r="Y134" s="1924"/>
      <c r="Z134" s="1924"/>
      <c r="AA134" s="1924"/>
      <c r="AB134" s="1924"/>
      <c r="AC134" s="1924"/>
      <c r="AD134" s="1924"/>
      <c r="AE134" s="1924"/>
      <c r="AF134" s="1924"/>
      <c r="AG134" s="1924"/>
      <c r="AH134" s="1924"/>
      <c r="AI134" s="1924"/>
      <c r="AJ134" s="1924"/>
      <c r="AK134" s="1924"/>
      <c r="AL134" s="1924"/>
      <c r="AM134" s="1924"/>
      <c r="AN134" s="1924"/>
      <c r="AO134" s="1924"/>
      <c r="AP134" s="1924"/>
      <c r="AQ134" s="1924"/>
      <c r="AR134" s="1924"/>
      <c r="AS134" s="1967"/>
    </row>
    <row r="135" spans="1:45" ht="48" customHeight="1" x14ac:dyDescent="0.25">
      <c r="A135" s="1949"/>
      <c r="B135" s="2670"/>
      <c r="C135" s="1915"/>
      <c r="D135" s="1916"/>
      <c r="E135" s="2720"/>
      <c r="F135" s="2720"/>
      <c r="G135" s="2722">
        <v>4503002</v>
      </c>
      <c r="H135" s="2724" t="s">
        <v>3225</v>
      </c>
      <c r="I135" s="2722">
        <v>4503002</v>
      </c>
      <c r="J135" s="2724" t="s">
        <v>3225</v>
      </c>
      <c r="K135" s="2714">
        <v>450300200</v>
      </c>
      <c r="L135" s="2726" t="s">
        <v>1028</v>
      </c>
      <c r="M135" s="2714">
        <v>450300200</v>
      </c>
      <c r="N135" s="2716" t="s">
        <v>1028</v>
      </c>
      <c r="O135" s="2717">
        <v>4000</v>
      </c>
      <c r="P135" s="2716" t="s">
        <v>3226</v>
      </c>
      <c r="Q135" s="2718" t="s">
        <v>3227</v>
      </c>
      <c r="R135" s="2677">
        <f>SUM(W135:W141)/SUM(S135:S173)</f>
        <v>7.3076986232303104E-2</v>
      </c>
      <c r="S135" s="2705">
        <f>SUM(W135:W173)</f>
        <v>547367948</v>
      </c>
      <c r="T135" s="2706" t="s">
        <v>3228</v>
      </c>
      <c r="U135" s="2708" t="s">
        <v>3229</v>
      </c>
      <c r="V135" s="2696" t="s">
        <v>3230</v>
      </c>
      <c r="W135" s="2107">
        <v>14000000</v>
      </c>
      <c r="X135" s="1805" t="s">
        <v>3231</v>
      </c>
      <c r="Y135" s="1917">
        <v>20</v>
      </c>
      <c r="Z135" s="1800" t="s">
        <v>2351</v>
      </c>
      <c r="AA135" s="2703">
        <v>296582</v>
      </c>
      <c r="AB135" s="2703">
        <v>284952</v>
      </c>
      <c r="AC135" s="2703">
        <v>135545</v>
      </c>
      <c r="AD135" s="2703">
        <v>44254</v>
      </c>
      <c r="AE135" s="2703">
        <v>309146</v>
      </c>
      <c r="AF135" s="2703">
        <v>92589</v>
      </c>
      <c r="AG135" s="2703">
        <v>2145</v>
      </c>
      <c r="AH135" s="2703">
        <v>12718</v>
      </c>
      <c r="AI135" s="2692">
        <v>0</v>
      </c>
      <c r="AJ135" s="2692">
        <v>0</v>
      </c>
      <c r="AK135" s="2692">
        <v>0</v>
      </c>
      <c r="AL135" s="2692">
        <v>0</v>
      </c>
      <c r="AM135" s="2692">
        <v>0</v>
      </c>
      <c r="AN135" s="2692">
        <v>0</v>
      </c>
      <c r="AO135" s="2692">
        <v>0</v>
      </c>
      <c r="AP135" s="2692">
        <f>AC135+AD135+AE135+AF135</f>
        <v>581534</v>
      </c>
      <c r="AQ135" s="2694">
        <v>44198</v>
      </c>
      <c r="AR135" s="2694">
        <v>44195</v>
      </c>
      <c r="AS135" s="2202" t="s">
        <v>3063</v>
      </c>
    </row>
    <row r="136" spans="1:45" ht="36" customHeight="1" x14ac:dyDescent="0.25">
      <c r="A136" s="1949"/>
      <c r="B136" s="2670"/>
      <c r="C136" s="1915"/>
      <c r="D136" s="1916"/>
      <c r="E136" s="2720"/>
      <c r="F136" s="2720"/>
      <c r="G136" s="2722"/>
      <c r="H136" s="2724"/>
      <c r="I136" s="2722"/>
      <c r="J136" s="2724"/>
      <c r="K136" s="2714"/>
      <c r="L136" s="2726"/>
      <c r="M136" s="2714"/>
      <c r="N136" s="2716"/>
      <c r="O136" s="2717"/>
      <c r="P136" s="2716"/>
      <c r="Q136" s="2718"/>
      <c r="R136" s="2677"/>
      <c r="S136" s="2705"/>
      <c r="T136" s="2706"/>
      <c r="U136" s="2708"/>
      <c r="V136" s="2697"/>
      <c r="W136" s="2107">
        <v>12000000</v>
      </c>
      <c r="X136" s="1805" t="s">
        <v>3232</v>
      </c>
      <c r="Y136" s="1917">
        <v>88</v>
      </c>
      <c r="Z136" s="2004" t="s">
        <v>3046</v>
      </c>
      <c r="AA136" s="2704"/>
      <c r="AB136" s="2704"/>
      <c r="AC136" s="2704"/>
      <c r="AD136" s="2704"/>
      <c r="AE136" s="2704"/>
      <c r="AF136" s="2704"/>
      <c r="AG136" s="2704"/>
      <c r="AH136" s="2704"/>
      <c r="AI136" s="2693"/>
      <c r="AJ136" s="2693"/>
      <c r="AK136" s="2693"/>
      <c r="AL136" s="2693"/>
      <c r="AM136" s="2693"/>
      <c r="AN136" s="2693"/>
      <c r="AO136" s="2693"/>
      <c r="AP136" s="2693"/>
      <c r="AQ136" s="2695"/>
      <c r="AR136" s="2695"/>
      <c r="AS136" s="2514"/>
    </row>
    <row r="137" spans="1:45" ht="39.75" customHeight="1" x14ac:dyDescent="0.25">
      <c r="A137" s="1949"/>
      <c r="B137" s="2670"/>
      <c r="C137" s="1915"/>
      <c r="D137" s="1916"/>
      <c r="E137" s="2720"/>
      <c r="F137" s="2720"/>
      <c r="G137" s="2723"/>
      <c r="H137" s="2724"/>
      <c r="I137" s="2723"/>
      <c r="J137" s="2724"/>
      <c r="K137" s="2714"/>
      <c r="L137" s="2718"/>
      <c r="M137" s="2714"/>
      <c r="N137" s="2716"/>
      <c r="O137" s="2717"/>
      <c r="P137" s="2716"/>
      <c r="Q137" s="2718"/>
      <c r="R137" s="2677"/>
      <c r="S137" s="2705"/>
      <c r="T137" s="2706"/>
      <c r="U137" s="2708"/>
      <c r="V137" s="2696" t="s">
        <v>3233</v>
      </c>
      <c r="W137" s="2107">
        <v>2000000</v>
      </c>
      <c r="X137" s="1805" t="s">
        <v>3231</v>
      </c>
      <c r="Y137" s="1917">
        <v>20</v>
      </c>
      <c r="Z137" s="1800" t="s">
        <v>2351</v>
      </c>
      <c r="AA137" s="2704"/>
      <c r="AB137" s="2704"/>
      <c r="AC137" s="2704"/>
      <c r="AD137" s="2704"/>
      <c r="AE137" s="2704"/>
      <c r="AF137" s="2704"/>
      <c r="AG137" s="2704"/>
      <c r="AH137" s="2704"/>
      <c r="AI137" s="2693"/>
      <c r="AJ137" s="2693"/>
      <c r="AK137" s="2693"/>
      <c r="AL137" s="2693"/>
      <c r="AM137" s="2693"/>
      <c r="AN137" s="2693"/>
      <c r="AO137" s="2693"/>
      <c r="AP137" s="2693"/>
      <c r="AQ137" s="2695"/>
      <c r="AR137" s="2695"/>
      <c r="AS137" s="2514"/>
    </row>
    <row r="138" spans="1:45" ht="39.75" customHeight="1" x14ac:dyDescent="0.25">
      <c r="A138" s="1949"/>
      <c r="B138" s="2670"/>
      <c r="C138" s="1915"/>
      <c r="D138" s="1916"/>
      <c r="E138" s="2720"/>
      <c r="F138" s="2720"/>
      <c r="G138" s="2723"/>
      <c r="H138" s="2724"/>
      <c r="I138" s="2723"/>
      <c r="J138" s="2724"/>
      <c r="K138" s="2714"/>
      <c r="L138" s="2718"/>
      <c r="M138" s="2714"/>
      <c r="N138" s="2716"/>
      <c r="O138" s="2717"/>
      <c r="P138" s="2716"/>
      <c r="Q138" s="2718"/>
      <c r="R138" s="2677"/>
      <c r="S138" s="2705"/>
      <c r="T138" s="2706"/>
      <c r="U138" s="2632"/>
      <c r="V138" s="2697"/>
      <c r="W138" s="2107">
        <v>5000000</v>
      </c>
      <c r="X138" s="1805" t="s">
        <v>3234</v>
      </c>
      <c r="Y138" s="1917">
        <v>88</v>
      </c>
      <c r="Z138" s="2004" t="s">
        <v>3046</v>
      </c>
      <c r="AA138" s="2704"/>
      <c r="AB138" s="2704"/>
      <c r="AC138" s="2704"/>
      <c r="AD138" s="2704"/>
      <c r="AE138" s="2704"/>
      <c r="AF138" s="2704"/>
      <c r="AG138" s="2704"/>
      <c r="AH138" s="2704"/>
      <c r="AI138" s="2693"/>
      <c r="AJ138" s="2693"/>
      <c r="AK138" s="2693"/>
      <c r="AL138" s="2693"/>
      <c r="AM138" s="2693"/>
      <c r="AN138" s="2693"/>
      <c r="AO138" s="2693"/>
      <c r="AP138" s="2693"/>
      <c r="AQ138" s="2695"/>
      <c r="AR138" s="2695"/>
      <c r="AS138" s="2514"/>
    </row>
    <row r="139" spans="1:45" ht="39.75" customHeight="1" x14ac:dyDescent="0.25">
      <c r="A139" s="1949"/>
      <c r="B139" s="2670"/>
      <c r="C139" s="1915"/>
      <c r="D139" s="1916"/>
      <c r="E139" s="2720"/>
      <c r="F139" s="2720"/>
      <c r="G139" s="2723"/>
      <c r="H139" s="2724"/>
      <c r="I139" s="2723"/>
      <c r="J139" s="2724"/>
      <c r="K139" s="2714"/>
      <c r="L139" s="2718"/>
      <c r="M139" s="2714"/>
      <c r="N139" s="2716"/>
      <c r="O139" s="2717"/>
      <c r="P139" s="2716"/>
      <c r="Q139" s="2718"/>
      <c r="R139" s="2677"/>
      <c r="S139" s="2705"/>
      <c r="T139" s="2706"/>
      <c r="U139" s="2632"/>
      <c r="V139" s="2696" t="s">
        <v>3235</v>
      </c>
      <c r="W139" s="2107">
        <f>2000000-2000000</f>
        <v>0</v>
      </c>
      <c r="X139" s="1805" t="s">
        <v>3231</v>
      </c>
      <c r="Y139" s="1917"/>
      <c r="Z139" s="1800"/>
      <c r="AA139" s="2704"/>
      <c r="AB139" s="2704"/>
      <c r="AC139" s="2704"/>
      <c r="AD139" s="2704"/>
      <c r="AE139" s="2704"/>
      <c r="AF139" s="2704"/>
      <c r="AG139" s="2704"/>
      <c r="AH139" s="2704"/>
      <c r="AI139" s="2693"/>
      <c r="AJ139" s="2693"/>
      <c r="AK139" s="2693"/>
      <c r="AL139" s="2693"/>
      <c r="AM139" s="2693"/>
      <c r="AN139" s="2693"/>
      <c r="AO139" s="2693"/>
      <c r="AP139" s="2693"/>
      <c r="AQ139" s="2695"/>
      <c r="AR139" s="2695"/>
      <c r="AS139" s="2514"/>
    </row>
    <row r="140" spans="1:45" ht="39.75" customHeight="1" x14ac:dyDescent="0.25">
      <c r="A140" s="1949"/>
      <c r="B140" s="2670"/>
      <c r="C140" s="1915"/>
      <c r="D140" s="1916"/>
      <c r="E140" s="2720"/>
      <c r="F140" s="2720"/>
      <c r="G140" s="2723"/>
      <c r="H140" s="2724"/>
      <c r="I140" s="2723"/>
      <c r="J140" s="2724"/>
      <c r="K140" s="2714"/>
      <c r="L140" s="2718"/>
      <c r="M140" s="2714"/>
      <c r="N140" s="2716"/>
      <c r="O140" s="2717"/>
      <c r="P140" s="2716"/>
      <c r="Q140" s="2718"/>
      <c r="R140" s="2677"/>
      <c r="S140" s="2705"/>
      <c r="T140" s="2706"/>
      <c r="U140" s="2632"/>
      <c r="V140" s="2698"/>
      <c r="W140" s="2108">
        <v>2000000</v>
      </c>
      <c r="X140" s="1808" t="s">
        <v>3236</v>
      </c>
      <c r="Y140" s="1919">
        <v>20</v>
      </c>
      <c r="Z140" s="1801" t="s">
        <v>2351</v>
      </c>
      <c r="AA140" s="2704"/>
      <c r="AB140" s="2704"/>
      <c r="AC140" s="2704"/>
      <c r="AD140" s="2704"/>
      <c r="AE140" s="2704"/>
      <c r="AF140" s="2704"/>
      <c r="AG140" s="2704"/>
      <c r="AH140" s="2704"/>
      <c r="AI140" s="2693"/>
      <c r="AJ140" s="2693"/>
      <c r="AK140" s="2693"/>
      <c r="AL140" s="2693"/>
      <c r="AM140" s="2693"/>
      <c r="AN140" s="2693"/>
      <c r="AO140" s="2693"/>
      <c r="AP140" s="2693"/>
      <c r="AQ140" s="2695"/>
      <c r="AR140" s="2695"/>
      <c r="AS140" s="2514"/>
    </row>
    <row r="141" spans="1:45" ht="52.5" customHeight="1" x14ac:dyDescent="0.25">
      <c r="A141" s="1949"/>
      <c r="B141" s="2670"/>
      <c r="C141" s="1915"/>
      <c r="D141" s="1916"/>
      <c r="E141" s="2720"/>
      <c r="F141" s="2720"/>
      <c r="G141" s="2723"/>
      <c r="H141" s="2725"/>
      <c r="I141" s="2723"/>
      <c r="J141" s="2725"/>
      <c r="K141" s="2715"/>
      <c r="L141" s="2718"/>
      <c r="M141" s="2715"/>
      <c r="N141" s="2716"/>
      <c r="O141" s="2717"/>
      <c r="P141" s="2716"/>
      <c r="Q141" s="2718"/>
      <c r="R141" s="2677"/>
      <c r="S141" s="2705"/>
      <c r="T141" s="2706"/>
      <c r="U141" s="2632"/>
      <c r="V141" s="2699"/>
      <c r="W141" s="2096">
        <v>5000000</v>
      </c>
      <c r="X141" s="1808" t="s">
        <v>3237</v>
      </c>
      <c r="Y141" s="1917">
        <v>88</v>
      </c>
      <c r="Z141" s="2004" t="s">
        <v>3046</v>
      </c>
      <c r="AA141" s="2709"/>
      <c r="AB141" s="2704"/>
      <c r="AC141" s="2704"/>
      <c r="AD141" s="2704"/>
      <c r="AE141" s="2704"/>
      <c r="AF141" s="2704"/>
      <c r="AG141" s="2704"/>
      <c r="AH141" s="2704"/>
      <c r="AI141" s="2693"/>
      <c r="AJ141" s="2693"/>
      <c r="AK141" s="2693"/>
      <c r="AL141" s="2693"/>
      <c r="AM141" s="2693"/>
      <c r="AN141" s="2693"/>
      <c r="AO141" s="2693"/>
      <c r="AP141" s="2693"/>
      <c r="AQ141" s="2695"/>
      <c r="AR141" s="2695"/>
      <c r="AS141" s="2514"/>
    </row>
    <row r="142" spans="1:45" ht="49.5" customHeight="1" x14ac:dyDescent="0.25">
      <c r="A142" s="1949"/>
      <c r="B142" s="2670"/>
      <c r="C142" s="1915"/>
      <c r="D142" s="1916"/>
      <c r="E142" s="2720"/>
      <c r="F142" s="2720"/>
      <c r="G142" s="2647">
        <v>4503003</v>
      </c>
      <c r="H142" s="2597" t="s">
        <v>287</v>
      </c>
      <c r="I142" s="2647">
        <v>4503003</v>
      </c>
      <c r="J142" s="2597" t="s">
        <v>287</v>
      </c>
      <c r="K142" s="2690">
        <v>450300300</v>
      </c>
      <c r="L142" s="2689" t="s">
        <v>3238</v>
      </c>
      <c r="M142" s="2690">
        <v>450300300</v>
      </c>
      <c r="N142" s="2595" t="s">
        <v>3238</v>
      </c>
      <c r="O142" s="2647">
        <v>12</v>
      </c>
      <c r="P142" s="2716"/>
      <c r="Q142" s="2718"/>
      <c r="R142" s="2677">
        <f>SUM(W142:W166)/S135</f>
        <v>0.75792253001997112</v>
      </c>
      <c r="S142" s="2705"/>
      <c r="T142" s="2706"/>
      <c r="U142" s="2710" t="s">
        <v>3239</v>
      </c>
      <c r="V142" s="2386" t="s">
        <v>3240</v>
      </c>
      <c r="W142" s="2109">
        <v>10000000</v>
      </c>
      <c r="X142" s="1808" t="s">
        <v>3241</v>
      </c>
      <c r="Y142" s="2019">
        <v>20</v>
      </c>
      <c r="Z142" s="2020" t="s">
        <v>2351</v>
      </c>
      <c r="AA142" s="2704"/>
      <c r="AB142" s="2704"/>
      <c r="AC142" s="2704"/>
      <c r="AD142" s="2704"/>
      <c r="AE142" s="2704"/>
      <c r="AF142" s="2704"/>
      <c r="AG142" s="2704"/>
      <c r="AH142" s="2704"/>
      <c r="AI142" s="2693"/>
      <c r="AJ142" s="2693"/>
      <c r="AK142" s="2693"/>
      <c r="AL142" s="2693"/>
      <c r="AM142" s="2693"/>
      <c r="AN142" s="2693"/>
      <c r="AO142" s="2693"/>
      <c r="AP142" s="2693"/>
      <c r="AQ142" s="2695"/>
      <c r="AR142" s="2695"/>
      <c r="AS142" s="2514"/>
    </row>
    <row r="143" spans="1:45" ht="49.5" customHeight="1" x14ac:dyDescent="0.25">
      <c r="A143" s="1949"/>
      <c r="B143" s="2670"/>
      <c r="C143" s="1915"/>
      <c r="D143" s="1916"/>
      <c r="E143" s="2720"/>
      <c r="F143" s="2720"/>
      <c r="G143" s="2647"/>
      <c r="H143" s="2598"/>
      <c r="I143" s="2647"/>
      <c r="J143" s="2598"/>
      <c r="K143" s="2691"/>
      <c r="L143" s="2689"/>
      <c r="M143" s="2691"/>
      <c r="N143" s="2595"/>
      <c r="O143" s="2647"/>
      <c r="P143" s="2716"/>
      <c r="Q143" s="2718"/>
      <c r="R143" s="2677"/>
      <c r="S143" s="2705"/>
      <c r="T143" s="2706"/>
      <c r="U143" s="2710"/>
      <c r="V143" s="2386"/>
      <c r="W143" s="2109">
        <v>10000000</v>
      </c>
      <c r="X143" s="1805" t="s">
        <v>3242</v>
      </c>
      <c r="Y143" s="1917">
        <v>88</v>
      </c>
      <c r="Z143" s="2004" t="s">
        <v>3046</v>
      </c>
      <c r="AA143" s="2704"/>
      <c r="AB143" s="2704"/>
      <c r="AC143" s="2704"/>
      <c r="AD143" s="2704"/>
      <c r="AE143" s="2704"/>
      <c r="AF143" s="2704"/>
      <c r="AG143" s="2704"/>
      <c r="AH143" s="2704"/>
      <c r="AI143" s="2693"/>
      <c r="AJ143" s="2693"/>
      <c r="AK143" s="2693"/>
      <c r="AL143" s="2693"/>
      <c r="AM143" s="2693"/>
      <c r="AN143" s="2693"/>
      <c r="AO143" s="2693"/>
      <c r="AP143" s="2693"/>
      <c r="AQ143" s="2695"/>
      <c r="AR143" s="2695"/>
      <c r="AS143" s="2514"/>
    </row>
    <row r="144" spans="1:45" ht="49.5" customHeight="1" x14ac:dyDescent="0.25">
      <c r="A144" s="1949"/>
      <c r="B144" s="2670"/>
      <c r="C144" s="1915"/>
      <c r="D144" s="1916"/>
      <c r="E144" s="2720"/>
      <c r="F144" s="2720"/>
      <c r="G144" s="2647"/>
      <c r="H144" s="2598"/>
      <c r="I144" s="2647"/>
      <c r="J144" s="2598"/>
      <c r="K144" s="2691"/>
      <c r="L144" s="2689"/>
      <c r="M144" s="2691"/>
      <c r="N144" s="2595"/>
      <c r="O144" s="2647"/>
      <c r="P144" s="2716"/>
      <c r="Q144" s="2718"/>
      <c r="R144" s="2677"/>
      <c r="S144" s="2705"/>
      <c r="T144" s="2706"/>
      <c r="U144" s="2710"/>
      <c r="V144" s="1796" t="s">
        <v>3243</v>
      </c>
      <c r="W144" s="2110">
        <v>30512500</v>
      </c>
      <c r="X144" s="1805" t="s">
        <v>3244</v>
      </c>
      <c r="Y144" s="1917">
        <v>88</v>
      </c>
      <c r="Z144" s="2004" t="s">
        <v>3046</v>
      </c>
      <c r="AA144" s="2704"/>
      <c r="AB144" s="2704"/>
      <c r="AC144" s="2704"/>
      <c r="AD144" s="2704"/>
      <c r="AE144" s="2704"/>
      <c r="AF144" s="2704"/>
      <c r="AG144" s="2704"/>
      <c r="AH144" s="2704"/>
      <c r="AI144" s="2693"/>
      <c r="AJ144" s="2693"/>
      <c r="AK144" s="2693"/>
      <c r="AL144" s="2693"/>
      <c r="AM144" s="2693"/>
      <c r="AN144" s="2693"/>
      <c r="AO144" s="2693"/>
      <c r="AP144" s="2693"/>
      <c r="AQ144" s="2695"/>
      <c r="AR144" s="2695"/>
      <c r="AS144" s="2514"/>
    </row>
    <row r="145" spans="1:45" ht="25.5" customHeight="1" x14ac:dyDescent="0.25">
      <c r="A145" s="1949"/>
      <c r="B145" s="2670"/>
      <c r="C145" s="1915"/>
      <c r="D145" s="1916"/>
      <c r="E145" s="2720"/>
      <c r="F145" s="2720"/>
      <c r="G145" s="2647"/>
      <c r="H145" s="2598"/>
      <c r="I145" s="2647"/>
      <c r="J145" s="2598"/>
      <c r="K145" s="2691"/>
      <c r="L145" s="2689"/>
      <c r="M145" s="2691"/>
      <c r="N145" s="2595"/>
      <c r="O145" s="2647"/>
      <c r="P145" s="2716"/>
      <c r="Q145" s="2718"/>
      <c r="R145" s="2677"/>
      <c r="S145" s="2705"/>
      <c r="T145" s="2706"/>
      <c r="U145" s="2710"/>
      <c r="V145" s="2386" t="s">
        <v>3245</v>
      </c>
      <c r="W145" s="2110">
        <v>28400000</v>
      </c>
      <c r="X145" s="1805" t="s">
        <v>3246</v>
      </c>
      <c r="Y145" s="2021">
        <v>20</v>
      </c>
      <c r="Z145" s="2022" t="s">
        <v>2351</v>
      </c>
      <c r="AA145" s="2704"/>
      <c r="AB145" s="2704"/>
      <c r="AC145" s="2704"/>
      <c r="AD145" s="2704"/>
      <c r="AE145" s="2704"/>
      <c r="AF145" s="2704"/>
      <c r="AG145" s="2704"/>
      <c r="AH145" s="2704"/>
      <c r="AI145" s="2693"/>
      <c r="AJ145" s="2693"/>
      <c r="AK145" s="2693"/>
      <c r="AL145" s="2693"/>
      <c r="AM145" s="2693"/>
      <c r="AN145" s="2693"/>
      <c r="AO145" s="2693"/>
      <c r="AP145" s="2693"/>
      <c r="AQ145" s="2695"/>
      <c r="AR145" s="2695"/>
      <c r="AS145" s="2514"/>
    </row>
    <row r="146" spans="1:45" ht="25.5" customHeight="1" x14ac:dyDescent="0.25">
      <c r="A146" s="1949"/>
      <c r="B146" s="2670"/>
      <c r="C146" s="1915"/>
      <c r="D146" s="1916"/>
      <c r="E146" s="2720"/>
      <c r="F146" s="2720"/>
      <c r="G146" s="2647"/>
      <c r="H146" s="2598"/>
      <c r="I146" s="2647"/>
      <c r="J146" s="2598"/>
      <c r="K146" s="2691"/>
      <c r="L146" s="2689"/>
      <c r="M146" s="2691"/>
      <c r="N146" s="2595"/>
      <c r="O146" s="2647"/>
      <c r="P146" s="2716"/>
      <c r="Q146" s="2718"/>
      <c r="R146" s="2677"/>
      <c r="S146" s="2705"/>
      <c r="T146" s="2706"/>
      <c r="U146" s="2710"/>
      <c r="V146" s="2700"/>
      <c r="W146" s="2104">
        <f>6800000-6800000</f>
        <v>0</v>
      </c>
      <c r="X146" s="1805" t="s">
        <v>3247</v>
      </c>
      <c r="Y146" s="2023">
        <v>20</v>
      </c>
      <c r="Z146" s="2024" t="s">
        <v>2351</v>
      </c>
      <c r="AA146" s="2709"/>
      <c r="AB146" s="2704"/>
      <c r="AC146" s="2704"/>
      <c r="AD146" s="2704"/>
      <c r="AE146" s="2704"/>
      <c r="AF146" s="2704"/>
      <c r="AG146" s="2704"/>
      <c r="AH146" s="2704"/>
      <c r="AI146" s="2693"/>
      <c r="AJ146" s="2693"/>
      <c r="AK146" s="2693"/>
      <c r="AL146" s="2693"/>
      <c r="AM146" s="2693"/>
      <c r="AN146" s="2693"/>
      <c r="AO146" s="2693"/>
      <c r="AP146" s="2693"/>
      <c r="AQ146" s="2695"/>
      <c r="AR146" s="2695"/>
      <c r="AS146" s="2514"/>
    </row>
    <row r="147" spans="1:45" ht="25.5" customHeight="1" x14ac:dyDescent="0.25">
      <c r="A147" s="1949"/>
      <c r="B147" s="2670"/>
      <c r="C147" s="1915"/>
      <c r="D147" s="1916"/>
      <c r="E147" s="2720"/>
      <c r="F147" s="2720"/>
      <c r="G147" s="2647"/>
      <c r="H147" s="2598"/>
      <c r="I147" s="2647"/>
      <c r="J147" s="2598"/>
      <c r="K147" s="2691"/>
      <c r="L147" s="2689"/>
      <c r="M147" s="2691"/>
      <c r="N147" s="2595"/>
      <c r="O147" s="2647"/>
      <c r="P147" s="2716"/>
      <c r="Q147" s="2718"/>
      <c r="R147" s="2677"/>
      <c r="S147" s="2705"/>
      <c r="T147" s="2706"/>
      <c r="U147" s="2710"/>
      <c r="V147" s="2700"/>
      <c r="W147" s="2104">
        <v>6800000</v>
      </c>
      <c r="X147" s="1805" t="s">
        <v>3248</v>
      </c>
      <c r="Y147" s="2021">
        <v>20</v>
      </c>
      <c r="Z147" s="2022" t="s">
        <v>2351</v>
      </c>
      <c r="AA147" s="2709"/>
      <c r="AB147" s="2704"/>
      <c r="AC147" s="2704"/>
      <c r="AD147" s="2704"/>
      <c r="AE147" s="2704"/>
      <c r="AF147" s="2704"/>
      <c r="AG147" s="2704"/>
      <c r="AH147" s="2704"/>
      <c r="AI147" s="2693"/>
      <c r="AJ147" s="2693"/>
      <c r="AK147" s="2693"/>
      <c r="AL147" s="2693"/>
      <c r="AM147" s="2693"/>
      <c r="AN147" s="2693"/>
      <c r="AO147" s="2693"/>
      <c r="AP147" s="2693"/>
      <c r="AQ147" s="2695"/>
      <c r="AR147" s="2695"/>
      <c r="AS147" s="2514"/>
    </row>
    <row r="148" spans="1:45" ht="27.75" customHeight="1" x14ac:dyDescent="0.25">
      <c r="A148" s="1949"/>
      <c r="B148" s="2670"/>
      <c r="C148" s="1915"/>
      <c r="D148" s="1916"/>
      <c r="E148" s="2720"/>
      <c r="F148" s="2720"/>
      <c r="G148" s="2647"/>
      <c r="H148" s="2598"/>
      <c r="I148" s="2647"/>
      <c r="J148" s="2598"/>
      <c r="K148" s="2691"/>
      <c r="L148" s="2689"/>
      <c r="M148" s="2691"/>
      <c r="N148" s="2595"/>
      <c r="O148" s="2647"/>
      <c r="P148" s="2716"/>
      <c r="Q148" s="2718"/>
      <c r="R148" s="2677"/>
      <c r="S148" s="2705"/>
      <c r="T148" s="2706"/>
      <c r="U148" s="2710"/>
      <c r="V148" s="2700"/>
      <c r="W148" s="2111">
        <f>33000000+12415000</f>
        <v>45415000</v>
      </c>
      <c r="X148" s="1805" t="s">
        <v>3244</v>
      </c>
      <c r="Y148" s="1917">
        <v>88</v>
      </c>
      <c r="Z148" s="1651" t="s">
        <v>3046</v>
      </c>
      <c r="AA148" s="2709"/>
      <c r="AB148" s="2704"/>
      <c r="AC148" s="2704"/>
      <c r="AD148" s="2704"/>
      <c r="AE148" s="2704"/>
      <c r="AF148" s="2704"/>
      <c r="AG148" s="2704"/>
      <c r="AH148" s="2704"/>
      <c r="AI148" s="2693"/>
      <c r="AJ148" s="2693"/>
      <c r="AK148" s="2693"/>
      <c r="AL148" s="2693"/>
      <c r="AM148" s="2693"/>
      <c r="AN148" s="2693"/>
      <c r="AO148" s="2693"/>
      <c r="AP148" s="2693"/>
      <c r="AQ148" s="2695"/>
      <c r="AR148" s="2695"/>
      <c r="AS148" s="2514"/>
    </row>
    <row r="149" spans="1:45" s="2028" customFormat="1" ht="60" customHeight="1" x14ac:dyDescent="0.25">
      <c r="A149" s="176"/>
      <c r="B149" s="2670"/>
      <c r="C149" s="2025"/>
      <c r="D149" s="191"/>
      <c r="E149" s="2720"/>
      <c r="F149" s="2720"/>
      <c r="G149" s="2647"/>
      <c r="H149" s="2598"/>
      <c r="I149" s="2647"/>
      <c r="J149" s="2598"/>
      <c r="K149" s="2691"/>
      <c r="L149" s="2689"/>
      <c r="M149" s="2691"/>
      <c r="N149" s="2595"/>
      <c r="O149" s="2647"/>
      <c r="P149" s="2716"/>
      <c r="Q149" s="2718"/>
      <c r="R149" s="2677"/>
      <c r="S149" s="2705"/>
      <c r="T149" s="2706"/>
      <c r="U149" s="2711"/>
      <c r="V149" s="2701" t="s">
        <v>3249</v>
      </c>
      <c r="W149" s="2112">
        <v>14400000</v>
      </c>
      <c r="X149" s="1805" t="s">
        <v>3246</v>
      </c>
      <c r="Y149" s="2026">
        <v>20</v>
      </c>
      <c r="Z149" s="2027" t="s">
        <v>2351</v>
      </c>
      <c r="AA149" s="2704"/>
      <c r="AB149" s="2704"/>
      <c r="AC149" s="2704"/>
      <c r="AD149" s="2704"/>
      <c r="AE149" s="2704"/>
      <c r="AF149" s="2704"/>
      <c r="AG149" s="2704"/>
      <c r="AH149" s="2704"/>
      <c r="AI149" s="2693"/>
      <c r="AJ149" s="2693"/>
      <c r="AK149" s="2693"/>
      <c r="AL149" s="2693"/>
      <c r="AM149" s="2693"/>
      <c r="AN149" s="2693"/>
      <c r="AO149" s="2693"/>
      <c r="AP149" s="2693"/>
      <c r="AQ149" s="2695"/>
      <c r="AR149" s="2695"/>
      <c r="AS149" s="2514"/>
    </row>
    <row r="150" spans="1:45" s="2028" customFormat="1" ht="60" customHeight="1" x14ac:dyDescent="0.25">
      <c r="A150" s="176"/>
      <c r="B150" s="2670"/>
      <c r="C150" s="2025"/>
      <c r="D150" s="191"/>
      <c r="E150" s="2720"/>
      <c r="F150" s="2720"/>
      <c r="G150" s="2647"/>
      <c r="H150" s="2598"/>
      <c r="I150" s="2647"/>
      <c r="J150" s="2598"/>
      <c r="K150" s="2691"/>
      <c r="L150" s="2689"/>
      <c r="M150" s="2691"/>
      <c r="N150" s="2595"/>
      <c r="O150" s="2647"/>
      <c r="P150" s="2716"/>
      <c r="Q150" s="2718"/>
      <c r="R150" s="2677"/>
      <c r="S150" s="2705"/>
      <c r="T150" s="2706"/>
      <c r="U150" s="2711"/>
      <c r="V150" s="2702"/>
      <c r="W150" s="2112">
        <f>9000000+9845000</f>
        <v>18845000</v>
      </c>
      <c r="X150" s="1805" t="s">
        <v>3244</v>
      </c>
      <c r="Y150" s="1917">
        <v>88</v>
      </c>
      <c r="Z150" s="2004" t="s">
        <v>3046</v>
      </c>
      <c r="AA150" s="2709"/>
      <c r="AB150" s="2704"/>
      <c r="AC150" s="2704"/>
      <c r="AD150" s="2704"/>
      <c r="AE150" s="2704"/>
      <c r="AF150" s="2704"/>
      <c r="AG150" s="2704"/>
      <c r="AH150" s="2704"/>
      <c r="AI150" s="2693"/>
      <c r="AJ150" s="2693"/>
      <c r="AK150" s="2693"/>
      <c r="AL150" s="2693"/>
      <c r="AM150" s="2693"/>
      <c r="AN150" s="2693"/>
      <c r="AO150" s="2693"/>
      <c r="AP150" s="2693"/>
      <c r="AQ150" s="2695"/>
      <c r="AR150" s="2695"/>
      <c r="AS150" s="2514"/>
    </row>
    <row r="151" spans="1:45" ht="33.75" customHeight="1" x14ac:dyDescent="0.25">
      <c r="A151" s="1949"/>
      <c r="B151" s="2670"/>
      <c r="C151" s="1915"/>
      <c r="D151" s="1916"/>
      <c r="E151" s="2720"/>
      <c r="F151" s="2720"/>
      <c r="G151" s="2647"/>
      <c r="H151" s="2598"/>
      <c r="I151" s="2647"/>
      <c r="J151" s="2598"/>
      <c r="K151" s="2691"/>
      <c r="L151" s="2689"/>
      <c r="M151" s="2691"/>
      <c r="N151" s="2595"/>
      <c r="O151" s="2647"/>
      <c r="P151" s="2716"/>
      <c r="Q151" s="2718"/>
      <c r="R151" s="2677"/>
      <c r="S151" s="2705"/>
      <c r="T151" s="2706"/>
      <c r="U151" s="2710"/>
      <c r="V151" s="2386" t="s">
        <v>3250</v>
      </c>
      <c r="W151" s="2109">
        <v>10000000</v>
      </c>
      <c r="X151" s="1804" t="s">
        <v>3251</v>
      </c>
      <c r="Y151" s="2019">
        <v>20</v>
      </c>
      <c r="Z151" s="2020" t="s">
        <v>2351</v>
      </c>
      <c r="AA151" s="2704"/>
      <c r="AB151" s="2704"/>
      <c r="AC151" s="2704"/>
      <c r="AD151" s="2704"/>
      <c r="AE151" s="2704"/>
      <c r="AF151" s="2704"/>
      <c r="AG151" s="2704"/>
      <c r="AH151" s="2704"/>
      <c r="AI151" s="2693"/>
      <c r="AJ151" s="2693"/>
      <c r="AK151" s="2693"/>
      <c r="AL151" s="2693"/>
      <c r="AM151" s="2693"/>
      <c r="AN151" s="2693"/>
      <c r="AO151" s="2693"/>
      <c r="AP151" s="2693"/>
      <c r="AQ151" s="2695"/>
      <c r="AR151" s="2695"/>
      <c r="AS151" s="2514"/>
    </row>
    <row r="152" spans="1:45" ht="33.75" customHeight="1" x14ac:dyDescent="0.25">
      <c r="A152" s="1949"/>
      <c r="B152" s="2670"/>
      <c r="C152" s="1915"/>
      <c r="D152" s="1916"/>
      <c r="E152" s="2720"/>
      <c r="F152" s="2720"/>
      <c r="G152" s="2647"/>
      <c r="H152" s="2598"/>
      <c r="I152" s="2647"/>
      <c r="J152" s="2598"/>
      <c r="K152" s="2691"/>
      <c r="L152" s="2689"/>
      <c r="M152" s="2691"/>
      <c r="N152" s="2595"/>
      <c r="O152" s="2647"/>
      <c r="P152" s="2716"/>
      <c r="Q152" s="2718"/>
      <c r="R152" s="2677"/>
      <c r="S152" s="2705"/>
      <c r="T152" s="2706"/>
      <c r="U152" s="2710"/>
      <c r="V152" s="2386"/>
      <c r="W152" s="2110">
        <v>5200000</v>
      </c>
      <c r="X152" s="1808" t="s">
        <v>3247</v>
      </c>
      <c r="Y152" s="2026">
        <v>20</v>
      </c>
      <c r="Z152" s="2027" t="s">
        <v>2351</v>
      </c>
      <c r="AA152" s="2704"/>
      <c r="AB152" s="2704"/>
      <c r="AC152" s="2704"/>
      <c r="AD152" s="2704"/>
      <c r="AE152" s="2704"/>
      <c r="AF152" s="2704"/>
      <c r="AG152" s="2704"/>
      <c r="AH152" s="2704"/>
      <c r="AI152" s="2693"/>
      <c r="AJ152" s="2693"/>
      <c r="AK152" s="2693"/>
      <c r="AL152" s="2693"/>
      <c r="AM152" s="2693"/>
      <c r="AN152" s="2693"/>
      <c r="AO152" s="2693"/>
      <c r="AP152" s="2693"/>
      <c r="AQ152" s="2695"/>
      <c r="AR152" s="2695"/>
      <c r="AS152" s="2514"/>
    </row>
    <row r="153" spans="1:45" ht="33.75" customHeight="1" x14ac:dyDescent="0.25">
      <c r="A153" s="1949"/>
      <c r="B153" s="2670"/>
      <c r="C153" s="1915"/>
      <c r="D153" s="1916"/>
      <c r="E153" s="2720"/>
      <c r="F153" s="2720"/>
      <c r="G153" s="2647"/>
      <c r="H153" s="2598"/>
      <c r="I153" s="2647"/>
      <c r="J153" s="2598"/>
      <c r="K153" s="2691"/>
      <c r="L153" s="2689"/>
      <c r="M153" s="2691"/>
      <c r="N153" s="2595"/>
      <c r="O153" s="2647"/>
      <c r="P153" s="2716"/>
      <c r="Q153" s="2718"/>
      <c r="R153" s="2677"/>
      <c r="S153" s="2705"/>
      <c r="T153" s="2706"/>
      <c r="U153" s="2710"/>
      <c r="V153" s="2700"/>
      <c r="W153" s="2113">
        <v>36000000</v>
      </c>
      <c r="X153" s="1786" t="s">
        <v>3252</v>
      </c>
      <c r="Y153" s="1917">
        <v>88</v>
      </c>
      <c r="Z153" s="2004" t="s">
        <v>3046</v>
      </c>
      <c r="AA153" s="2709"/>
      <c r="AB153" s="2704"/>
      <c r="AC153" s="2704"/>
      <c r="AD153" s="2704"/>
      <c r="AE153" s="2704"/>
      <c r="AF153" s="2704"/>
      <c r="AG153" s="2704"/>
      <c r="AH153" s="2704"/>
      <c r="AI153" s="2693"/>
      <c r="AJ153" s="2693"/>
      <c r="AK153" s="2693"/>
      <c r="AL153" s="2693"/>
      <c r="AM153" s="2693"/>
      <c r="AN153" s="2693"/>
      <c r="AO153" s="2693"/>
      <c r="AP153" s="2693"/>
      <c r="AQ153" s="2695"/>
      <c r="AR153" s="2695"/>
      <c r="AS153" s="2514"/>
    </row>
    <row r="154" spans="1:45" ht="33.75" customHeight="1" x14ac:dyDescent="0.25">
      <c r="A154" s="1949"/>
      <c r="B154" s="2670"/>
      <c r="C154" s="1915"/>
      <c r="D154" s="1916"/>
      <c r="E154" s="2720"/>
      <c r="F154" s="2720"/>
      <c r="G154" s="2647"/>
      <c r="H154" s="2598"/>
      <c r="I154" s="2647"/>
      <c r="J154" s="2598"/>
      <c r="K154" s="2691"/>
      <c r="L154" s="2689"/>
      <c r="M154" s="2691"/>
      <c r="N154" s="2595"/>
      <c r="O154" s="2647"/>
      <c r="P154" s="2716"/>
      <c r="Q154" s="2718"/>
      <c r="R154" s="2677"/>
      <c r="S154" s="2705"/>
      <c r="T154" s="2706"/>
      <c r="U154" s="2710"/>
      <c r="V154" s="2700"/>
      <c r="W154" s="2097">
        <v>20000000</v>
      </c>
      <c r="X154" s="1786" t="s">
        <v>3253</v>
      </c>
      <c r="Y154" s="1917">
        <v>88</v>
      </c>
      <c r="Z154" s="2004" t="s">
        <v>3046</v>
      </c>
      <c r="AA154" s="2709"/>
      <c r="AB154" s="2704"/>
      <c r="AC154" s="2704"/>
      <c r="AD154" s="2704"/>
      <c r="AE154" s="2704"/>
      <c r="AF154" s="2704"/>
      <c r="AG154" s="2704"/>
      <c r="AH154" s="2704"/>
      <c r="AI154" s="2693"/>
      <c r="AJ154" s="2693"/>
      <c r="AK154" s="2693"/>
      <c r="AL154" s="2693"/>
      <c r="AM154" s="2693"/>
      <c r="AN154" s="2693"/>
      <c r="AO154" s="2693"/>
      <c r="AP154" s="2693"/>
      <c r="AQ154" s="2695"/>
      <c r="AR154" s="2695"/>
      <c r="AS154" s="2514"/>
    </row>
    <row r="155" spans="1:45" ht="26.25" customHeight="1" x14ac:dyDescent="0.25">
      <c r="A155" s="1949"/>
      <c r="B155" s="2670"/>
      <c r="C155" s="1915"/>
      <c r="D155" s="1916"/>
      <c r="E155" s="2720"/>
      <c r="F155" s="2720"/>
      <c r="G155" s="2647"/>
      <c r="H155" s="2598"/>
      <c r="I155" s="2647"/>
      <c r="J155" s="2598"/>
      <c r="K155" s="2691"/>
      <c r="L155" s="2689"/>
      <c r="M155" s="2691"/>
      <c r="N155" s="2595"/>
      <c r="O155" s="2647"/>
      <c r="P155" s="2716"/>
      <c r="Q155" s="2718"/>
      <c r="R155" s="2677"/>
      <c r="S155" s="2705"/>
      <c r="T155" s="2706"/>
      <c r="U155" s="2710"/>
      <c r="V155" s="2700"/>
      <c r="W155" s="2097">
        <v>20000000</v>
      </c>
      <c r="X155" s="1786" t="s">
        <v>3254</v>
      </c>
      <c r="Y155" s="1917">
        <v>88</v>
      </c>
      <c r="Z155" s="2004" t="s">
        <v>3046</v>
      </c>
      <c r="AA155" s="2709"/>
      <c r="AB155" s="2704"/>
      <c r="AC155" s="2704"/>
      <c r="AD155" s="2704"/>
      <c r="AE155" s="2704"/>
      <c r="AF155" s="2704"/>
      <c r="AG155" s="2704"/>
      <c r="AH155" s="2704"/>
      <c r="AI155" s="2693"/>
      <c r="AJ155" s="2693"/>
      <c r="AK155" s="2693"/>
      <c r="AL155" s="2693"/>
      <c r="AM155" s="2693"/>
      <c r="AN155" s="2693"/>
      <c r="AO155" s="2693"/>
      <c r="AP155" s="2693"/>
      <c r="AQ155" s="2695"/>
      <c r="AR155" s="2695"/>
      <c r="AS155" s="2514"/>
    </row>
    <row r="156" spans="1:45" ht="26.25" customHeight="1" x14ac:dyDescent="0.25">
      <c r="A156" s="1949"/>
      <c r="B156" s="2670"/>
      <c r="C156" s="1915"/>
      <c r="D156" s="1916"/>
      <c r="E156" s="2720"/>
      <c r="F156" s="2720"/>
      <c r="G156" s="2647"/>
      <c r="H156" s="2598"/>
      <c r="I156" s="2647"/>
      <c r="J156" s="2598"/>
      <c r="K156" s="2691"/>
      <c r="L156" s="2689"/>
      <c r="M156" s="2691"/>
      <c r="N156" s="2595"/>
      <c r="O156" s="2647"/>
      <c r="P156" s="2716"/>
      <c r="Q156" s="2718"/>
      <c r="R156" s="2677"/>
      <c r="S156" s="2705"/>
      <c r="T156" s="2706"/>
      <c r="U156" s="2710"/>
      <c r="V156" s="2029" t="s">
        <v>3255</v>
      </c>
      <c r="W156" s="2097">
        <v>50000000</v>
      </c>
      <c r="X156" s="1786" t="s">
        <v>3256</v>
      </c>
      <c r="Y156" s="1917">
        <v>88</v>
      </c>
      <c r="Z156" s="2004" t="s">
        <v>3046</v>
      </c>
      <c r="AA156" s="2709"/>
      <c r="AB156" s="2704"/>
      <c r="AC156" s="2704"/>
      <c r="AD156" s="2704"/>
      <c r="AE156" s="2704"/>
      <c r="AF156" s="2704"/>
      <c r="AG156" s="2704"/>
      <c r="AH156" s="2704"/>
      <c r="AI156" s="2693"/>
      <c r="AJ156" s="2693"/>
      <c r="AK156" s="2693"/>
      <c r="AL156" s="2693"/>
      <c r="AM156" s="2693"/>
      <c r="AN156" s="2693"/>
      <c r="AO156" s="2693"/>
      <c r="AP156" s="2693"/>
      <c r="AQ156" s="2695"/>
      <c r="AR156" s="2695"/>
      <c r="AS156" s="2514"/>
    </row>
    <row r="157" spans="1:45" ht="37.5" customHeight="1" x14ac:dyDescent="0.25">
      <c r="A157" s="1949"/>
      <c r="B157" s="2670"/>
      <c r="C157" s="1915"/>
      <c r="D157" s="1916"/>
      <c r="E157" s="2720"/>
      <c r="F157" s="2720"/>
      <c r="G157" s="2647"/>
      <c r="H157" s="2598"/>
      <c r="I157" s="2647"/>
      <c r="J157" s="2598"/>
      <c r="K157" s="2691"/>
      <c r="L157" s="2689"/>
      <c r="M157" s="2691"/>
      <c r="N157" s="2595"/>
      <c r="O157" s="2647"/>
      <c r="P157" s="2716"/>
      <c r="Q157" s="2718"/>
      <c r="R157" s="2677"/>
      <c r="S157" s="2705"/>
      <c r="T157" s="2706"/>
      <c r="U157" s="2710"/>
      <c r="V157" s="2684" t="s">
        <v>3257</v>
      </c>
      <c r="W157" s="2113">
        <v>2700000</v>
      </c>
      <c r="X157" s="1786" t="s">
        <v>3247</v>
      </c>
      <c r="Y157" s="2026">
        <v>20</v>
      </c>
      <c r="Z157" s="2027" t="s">
        <v>2351</v>
      </c>
      <c r="AA157" s="2704"/>
      <c r="AB157" s="2704"/>
      <c r="AC157" s="2704"/>
      <c r="AD157" s="2704"/>
      <c r="AE157" s="2704"/>
      <c r="AF157" s="2704"/>
      <c r="AG157" s="2704"/>
      <c r="AH157" s="2704"/>
      <c r="AI157" s="2693"/>
      <c r="AJ157" s="2693"/>
      <c r="AK157" s="2693"/>
      <c r="AL157" s="2693"/>
      <c r="AM157" s="2693"/>
      <c r="AN157" s="2693"/>
      <c r="AO157" s="2693"/>
      <c r="AP157" s="2693"/>
      <c r="AQ157" s="2695"/>
      <c r="AR157" s="2695"/>
      <c r="AS157" s="2514"/>
    </row>
    <row r="158" spans="1:45" ht="37.5" customHeight="1" x14ac:dyDescent="0.25">
      <c r="A158" s="1949"/>
      <c r="B158" s="2670"/>
      <c r="C158" s="1915"/>
      <c r="D158" s="1916"/>
      <c r="E158" s="2720"/>
      <c r="F158" s="2720"/>
      <c r="G158" s="2647"/>
      <c r="H158" s="2598"/>
      <c r="I158" s="2647"/>
      <c r="J158" s="2598"/>
      <c r="K158" s="2691"/>
      <c r="L158" s="2689"/>
      <c r="M158" s="2691"/>
      <c r="N158" s="2595"/>
      <c r="O158" s="2647"/>
      <c r="P158" s="2716"/>
      <c r="Q158" s="2718"/>
      <c r="R158" s="2677"/>
      <c r="S158" s="2705"/>
      <c r="T158" s="2706"/>
      <c r="U158" s="2710"/>
      <c r="V158" s="2685"/>
      <c r="W158" s="2113">
        <v>5000000</v>
      </c>
      <c r="X158" s="1786" t="s">
        <v>3258</v>
      </c>
      <c r="Y158" s="1917">
        <v>88</v>
      </c>
      <c r="Z158" s="2004" t="s">
        <v>3046</v>
      </c>
      <c r="AA158" s="2709"/>
      <c r="AB158" s="2704"/>
      <c r="AC158" s="2704"/>
      <c r="AD158" s="2704"/>
      <c r="AE158" s="2704"/>
      <c r="AF158" s="2704"/>
      <c r="AG158" s="2704"/>
      <c r="AH158" s="2704"/>
      <c r="AI158" s="2693"/>
      <c r="AJ158" s="2693"/>
      <c r="AK158" s="2693"/>
      <c r="AL158" s="2693"/>
      <c r="AM158" s="2693"/>
      <c r="AN158" s="2693"/>
      <c r="AO158" s="2693"/>
      <c r="AP158" s="2693"/>
      <c r="AQ158" s="2695"/>
      <c r="AR158" s="2695"/>
      <c r="AS158" s="2514"/>
    </row>
    <row r="159" spans="1:45" ht="37.5" customHeight="1" x14ac:dyDescent="0.25">
      <c r="A159" s="1949"/>
      <c r="B159" s="2670"/>
      <c r="C159" s="1915"/>
      <c r="D159" s="1916"/>
      <c r="E159" s="2720"/>
      <c r="F159" s="2720"/>
      <c r="G159" s="2647"/>
      <c r="H159" s="2598"/>
      <c r="I159" s="2647"/>
      <c r="J159" s="2598"/>
      <c r="K159" s="2691"/>
      <c r="L159" s="2689"/>
      <c r="M159" s="2691"/>
      <c r="N159" s="2595"/>
      <c r="O159" s="2647"/>
      <c r="P159" s="2716"/>
      <c r="Q159" s="2718"/>
      <c r="R159" s="2677"/>
      <c r="S159" s="2705"/>
      <c r="T159" s="2706"/>
      <c r="U159" s="2710"/>
      <c r="V159" s="2030" t="s">
        <v>3259</v>
      </c>
      <c r="W159" s="2113">
        <v>50980000</v>
      </c>
      <c r="X159" s="1786" t="s">
        <v>3260</v>
      </c>
      <c r="Y159" s="1917">
        <v>88</v>
      </c>
      <c r="Z159" s="2004" t="s">
        <v>3046</v>
      </c>
      <c r="AA159" s="2709"/>
      <c r="AB159" s="2704"/>
      <c r="AC159" s="2704"/>
      <c r="AD159" s="2704"/>
      <c r="AE159" s="2704"/>
      <c r="AF159" s="2704"/>
      <c r="AG159" s="2704"/>
      <c r="AH159" s="2704"/>
      <c r="AI159" s="2693"/>
      <c r="AJ159" s="2693"/>
      <c r="AK159" s="2693"/>
      <c r="AL159" s="2693"/>
      <c r="AM159" s="2693"/>
      <c r="AN159" s="2693"/>
      <c r="AO159" s="2693"/>
      <c r="AP159" s="2693"/>
      <c r="AQ159" s="2695"/>
      <c r="AR159" s="2695"/>
      <c r="AS159" s="2514"/>
    </row>
    <row r="160" spans="1:45" ht="57" customHeight="1" x14ac:dyDescent="0.25">
      <c r="A160" s="1949"/>
      <c r="B160" s="2670"/>
      <c r="C160" s="1915"/>
      <c r="D160" s="1916"/>
      <c r="E160" s="2720"/>
      <c r="F160" s="2720"/>
      <c r="G160" s="2647"/>
      <c r="H160" s="2598"/>
      <c r="I160" s="2647"/>
      <c r="J160" s="2598"/>
      <c r="K160" s="2691"/>
      <c r="L160" s="2689"/>
      <c r="M160" s="2691"/>
      <c r="N160" s="2595"/>
      <c r="O160" s="2647"/>
      <c r="P160" s="2716"/>
      <c r="Q160" s="2718"/>
      <c r="R160" s="2677"/>
      <c r="S160" s="2705"/>
      <c r="T160" s="2706"/>
      <c r="U160" s="2711"/>
      <c r="V160" s="2712" t="s">
        <v>3261</v>
      </c>
      <c r="W160" s="2113">
        <f>4200000-4200000</f>
        <v>0</v>
      </c>
      <c r="X160" s="1786" t="s">
        <v>3241</v>
      </c>
      <c r="Y160" s="2026">
        <v>20</v>
      </c>
      <c r="Z160" s="2027" t="s">
        <v>2351</v>
      </c>
      <c r="AA160" s="2704"/>
      <c r="AB160" s="2704"/>
      <c r="AC160" s="2704"/>
      <c r="AD160" s="2704"/>
      <c r="AE160" s="2704"/>
      <c r="AF160" s="2704"/>
      <c r="AG160" s="2704"/>
      <c r="AH160" s="2704"/>
      <c r="AI160" s="2693"/>
      <c r="AJ160" s="2693"/>
      <c r="AK160" s="2693"/>
      <c r="AL160" s="2693"/>
      <c r="AM160" s="2693"/>
      <c r="AN160" s="2693"/>
      <c r="AO160" s="2693"/>
      <c r="AP160" s="2693"/>
      <c r="AQ160" s="2695"/>
      <c r="AR160" s="2695"/>
      <c r="AS160" s="2514"/>
    </row>
    <row r="161" spans="1:45" ht="57" customHeight="1" x14ac:dyDescent="0.25">
      <c r="A161" s="1949"/>
      <c r="B161" s="2670"/>
      <c r="C161" s="1915"/>
      <c r="D161" s="1916"/>
      <c r="E161" s="2720"/>
      <c r="F161" s="2720"/>
      <c r="G161" s="2647"/>
      <c r="H161" s="2598"/>
      <c r="I161" s="2647"/>
      <c r="J161" s="2598"/>
      <c r="K161" s="2691"/>
      <c r="L161" s="2689"/>
      <c r="M161" s="2691"/>
      <c r="N161" s="2595"/>
      <c r="O161" s="2647"/>
      <c r="P161" s="2716"/>
      <c r="Q161" s="2718"/>
      <c r="R161" s="2677"/>
      <c r="S161" s="2705"/>
      <c r="T161" s="2706"/>
      <c r="U161" s="2711"/>
      <c r="V161" s="2684"/>
      <c r="W161" s="2113">
        <v>4200000</v>
      </c>
      <c r="X161" s="1786" t="s">
        <v>3246</v>
      </c>
      <c r="Y161" s="2021">
        <v>20</v>
      </c>
      <c r="Z161" s="2022" t="s">
        <v>2351</v>
      </c>
      <c r="AA161" s="2709"/>
      <c r="AB161" s="2704"/>
      <c r="AC161" s="2704"/>
      <c r="AD161" s="2704"/>
      <c r="AE161" s="2704"/>
      <c r="AF161" s="2704"/>
      <c r="AG161" s="2704"/>
      <c r="AH161" s="2704"/>
      <c r="AI161" s="2693"/>
      <c r="AJ161" s="2693"/>
      <c r="AK161" s="2693"/>
      <c r="AL161" s="2693"/>
      <c r="AM161" s="2693"/>
      <c r="AN161" s="2693"/>
      <c r="AO161" s="2693"/>
      <c r="AP161" s="2693"/>
      <c r="AQ161" s="2695"/>
      <c r="AR161" s="2695"/>
      <c r="AS161" s="2514"/>
    </row>
    <row r="162" spans="1:45" ht="57" customHeight="1" x14ac:dyDescent="0.25">
      <c r="A162" s="1949"/>
      <c r="B162" s="2670"/>
      <c r="C162" s="1915"/>
      <c r="D162" s="1916"/>
      <c r="E162" s="2720"/>
      <c r="F162" s="2720"/>
      <c r="G162" s="2647"/>
      <c r="H162" s="2598"/>
      <c r="I162" s="2647"/>
      <c r="J162" s="2598"/>
      <c r="K162" s="2691"/>
      <c r="L162" s="2689"/>
      <c r="M162" s="2691"/>
      <c r="N162" s="2595"/>
      <c r="O162" s="2647"/>
      <c r="P162" s="2716"/>
      <c r="Q162" s="2718"/>
      <c r="R162" s="2677"/>
      <c r="S162" s="2705"/>
      <c r="T162" s="2706"/>
      <c r="U162" s="2711"/>
      <c r="V162" s="2713"/>
      <c r="W162" s="2113">
        <f>6000000+7110000</f>
        <v>13110000</v>
      </c>
      <c r="X162" s="1786" t="s">
        <v>3244</v>
      </c>
      <c r="Y162" s="1917">
        <v>88</v>
      </c>
      <c r="Z162" s="2004" t="s">
        <v>3046</v>
      </c>
      <c r="AA162" s="2709"/>
      <c r="AB162" s="2704"/>
      <c r="AC162" s="2704"/>
      <c r="AD162" s="2704"/>
      <c r="AE162" s="2704"/>
      <c r="AF162" s="2704"/>
      <c r="AG162" s="2704"/>
      <c r="AH162" s="2704"/>
      <c r="AI162" s="2693"/>
      <c r="AJ162" s="2693"/>
      <c r="AK162" s="2693"/>
      <c r="AL162" s="2693"/>
      <c r="AM162" s="2693"/>
      <c r="AN162" s="2693"/>
      <c r="AO162" s="2693"/>
      <c r="AP162" s="2693"/>
      <c r="AQ162" s="2695"/>
      <c r="AR162" s="2695"/>
      <c r="AS162" s="2514"/>
    </row>
    <row r="163" spans="1:45" ht="43.5" customHeight="1" x14ac:dyDescent="0.25">
      <c r="A163" s="1949"/>
      <c r="B163" s="2670"/>
      <c r="C163" s="1915"/>
      <c r="D163" s="1916"/>
      <c r="E163" s="2720"/>
      <c r="F163" s="2720"/>
      <c r="G163" s="2647"/>
      <c r="H163" s="2598"/>
      <c r="I163" s="2647"/>
      <c r="J163" s="2598"/>
      <c r="K163" s="2691"/>
      <c r="L163" s="2689"/>
      <c r="M163" s="2691"/>
      <c r="N163" s="2595"/>
      <c r="O163" s="2647"/>
      <c r="P163" s="2716"/>
      <c r="Q163" s="2718"/>
      <c r="R163" s="2677"/>
      <c r="S163" s="2705"/>
      <c r="T163" s="2706"/>
      <c r="U163" s="2711"/>
      <c r="V163" s="2683" t="s">
        <v>3262</v>
      </c>
      <c r="W163" s="2113">
        <f>5800000-5800000</f>
        <v>0</v>
      </c>
      <c r="X163" s="1786" t="s">
        <v>3241</v>
      </c>
      <c r="Y163" s="2031">
        <v>20</v>
      </c>
      <c r="Z163" s="2022" t="s">
        <v>2351</v>
      </c>
      <c r="AA163" s="2704"/>
      <c r="AB163" s="2704"/>
      <c r="AC163" s="2704"/>
      <c r="AD163" s="2704"/>
      <c r="AE163" s="2704"/>
      <c r="AF163" s="2704"/>
      <c r="AG163" s="2704"/>
      <c r="AH163" s="2704"/>
      <c r="AI163" s="2693"/>
      <c r="AJ163" s="2693"/>
      <c r="AK163" s="2693"/>
      <c r="AL163" s="2693"/>
      <c r="AM163" s="2693"/>
      <c r="AN163" s="2693"/>
      <c r="AO163" s="2693"/>
      <c r="AP163" s="2693"/>
      <c r="AQ163" s="2695"/>
      <c r="AR163" s="2695"/>
      <c r="AS163" s="2514"/>
    </row>
    <row r="164" spans="1:45" ht="43.5" customHeight="1" x14ac:dyDescent="0.25">
      <c r="A164" s="1949"/>
      <c r="B164" s="2670"/>
      <c r="C164" s="1915"/>
      <c r="D164" s="1916"/>
      <c r="E164" s="2720"/>
      <c r="F164" s="2720"/>
      <c r="G164" s="2647"/>
      <c r="H164" s="2598"/>
      <c r="I164" s="2647"/>
      <c r="J164" s="2598"/>
      <c r="K164" s="2691"/>
      <c r="L164" s="2689"/>
      <c r="M164" s="2691"/>
      <c r="N164" s="2595"/>
      <c r="O164" s="2647"/>
      <c r="P164" s="2716"/>
      <c r="Q164" s="2718"/>
      <c r="R164" s="2677"/>
      <c r="S164" s="2705"/>
      <c r="T164" s="2706"/>
      <c r="U164" s="2711"/>
      <c r="V164" s="2684"/>
      <c r="W164" s="2113">
        <v>5800000</v>
      </c>
      <c r="X164" s="1786" t="s">
        <v>3263</v>
      </c>
      <c r="Y164" s="2031">
        <v>20</v>
      </c>
      <c r="Z164" s="2022" t="s">
        <v>2351</v>
      </c>
      <c r="AA164" s="2704"/>
      <c r="AB164" s="2704"/>
      <c r="AC164" s="2704"/>
      <c r="AD164" s="2704"/>
      <c r="AE164" s="2704"/>
      <c r="AF164" s="2704"/>
      <c r="AG164" s="2704"/>
      <c r="AH164" s="2704"/>
      <c r="AI164" s="2693"/>
      <c r="AJ164" s="2693"/>
      <c r="AK164" s="2693"/>
      <c r="AL164" s="2693"/>
      <c r="AM164" s="2693"/>
      <c r="AN164" s="2693"/>
      <c r="AO164" s="2693"/>
      <c r="AP164" s="2693"/>
      <c r="AQ164" s="2695"/>
      <c r="AR164" s="2695"/>
      <c r="AS164" s="2514"/>
    </row>
    <row r="165" spans="1:45" ht="43.5" customHeight="1" x14ac:dyDescent="0.25">
      <c r="A165" s="1949"/>
      <c r="B165" s="2670"/>
      <c r="C165" s="1915"/>
      <c r="D165" s="1916"/>
      <c r="E165" s="2720"/>
      <c r="F165" s="2720"/>
      <c r="G165" s="2647"/>
      <c r="H165" s="2598"/>
      <c r="I165" s="2647"/>
      <c r="J165" s="2598"/>
      <c r="K165" s="2691"/>
      <c r="L165" s="2689"/>
      <c r="M165" s="2691"/>
      <c r="N165" s="2595"/>
      <c r="O165" s="2647"/>
      <c r="P165" s="2716"/>
      <c r="Q165" s="2718"/>
      <c r="R165" s="2677"/>
      <c r="S165" s="2705"/>
      <c r="T165" s="2706"/>
      <c r="U165" s="2711"/>
      <c r="V165" s="2684"/>
      <c r="W165" s="2113">
        <v>12500000</v>
      </c>
      <c r="X165" s="1786" t="s">
        <v>3247</v>
      </c>
      <c r="Y165" s="2031">
        <v>20</v>
      </c>
      <c r="Z165" s="2022" t="s">
        <v>2351</v>
      </c>
      <c r="AA165" s="2704"/>
      <c r="AB165" s="2704"/>
      <c r="AC165" s="2704"/>
      <c r="AD165" s="2704"/>
      <c r="AE165" s="2704"/>
      <c r="AF165" s="2704"/>
      <c r="AG165" s="2704"/>
      <c r="AH165" s="2704"/>
      <c r="AI165" s="2693"/>
      <c r="AJ165" s="2693"/>
      <c r="AK165" s="2693"/>
      <c r="AL165" s="2693"/>
      <c r="AM165" s="2693"/>
      <c r="AN165" s="2693"/>
      <c r="AO165" s="2693"/>
      <c r="AP165" s="2693"/>
      <c r="AQ165" s="2695"/>
      <c r="AR165" s="2695"/>
      <c r="AS165" s="2514"/>
    </row>
    <row r="166" spans="1:45" ht="42" customHeight="1" x14ac:dyDescent="0.25">
      <c r="A166" s="1949"/>
      <c r="B166" s="2670"/>
      <c r="C166" s="1915"/>
      <c r="D166" s="1916"/>
      <c r="E166" s="2720"/>
      <c r="F166" s="2720"/>
      <c r="G166" s="2647"/>
      <c r="H166" s="2598"/>
      <c r="I166" s="2647"/>
      <c r="J166" s="2598"/>
      <c r="K166" s="2691"/>
      <c r="L166" s="2689"/>
      <c r="M166" s="2691"/>
      <c r="N166" s="2595"/>
      <c r="O166" s="2647"/>
      <c r="P166" s="2716"/>
      <c r="Q166" s="2718"/>
      <c r="R166" s="2677"/>
      <c r="S166" s="2705"/>
      <c r="T166" s="2706"/>
      <c r="U166" s="2711"/>
      <c r="V166" s="2685"/>
      <c r="W166" s="2097">
        <v>15000000</v>
      </c>
      <c r="X166" s="1786" t="s">
        <v>3264</v>
      </c>
      <c r="Y166" s="1917">
        <v>88</v>
      </c>
      <c r="Z166" s="2004" t="s">
        <v>3046</v>
      </c>
      <c r="AA166" s="2709"/>
      <c r="AB166" s="2704"/>
      <c r="AC166" s="2704"/>
      <c r="AD166" s="2704"/>
      <c r="AE166" s="2704"/>
      <c r="AF166" s="2704"/>
      <c r="AG166" s="2704"/>
      <c r="AH166" s="2704"/>
      <c r="AI166" s="2693"/>
      <c r="AJ166" s="2693"/>
      <c r="AK166" s="2693"/>
      <c r="AL166" s="2693"/>
      <c r="AM166" s="2693"/>
      <c r="AN166" s="2693"/>
      <c r="AO166" s="2693"/>
      <c r="AP166" s="2693"/>
      <c r="AQ166" s="2695"/>
      <c r="AR166" s="2695"/>
      <c r="AS166" s="2514"/>
    </row>
    <row r="167" spans="1:45" ht="71.25" customHeight="1" x14ac:dyDescent="0.25">
      <c r="A167" s="1949"/>
      <c r="B167" s="2670"/>
      <c r="C167" s="1915"/>
      <c r="D167" s="1916"/>
      <c r="E167" s="2720"/>
      <c r="F167" s="2720"/>
      <c r="G167" s="2595" t="s">
        <v>62</v>
      </c>
      <c r="H167" s="2597" t="s">
        <v>3265</v>
      </c>
      <c r="I167" s="2595">
        <v>4503016</v>
      </c>
      <c r="J167" s="2597" t="s">
        <v>3266</v>
      </c>
      <c r="K167" s="2687" t="s">
        <v>62</v>
      </c>
      <c r="L167" s="2689" t="s">
        <v>3267</v>
      </c>
      <c r="M167" s="2687">
        <v>450301600</v>
      </c>
      <c r="N167" s="2595" t="s">
        <v>3268</v>
      </c>
      <c r="O167" s="2647">
        <v>1</v>
      </c>
      <c r="P167" s="2716"/>
      <c r="Q167" s="2718"/>
      <c r="R167" s="2677">
        <f>SUM(W167:W173)/SUM(S135:S173)</f>
        <v>0.16900048374772575</v>
      </c>
      <c r="S167" s="2705"/>
      <c r="T167" s="2706"/>
      <c r="U167" s="2678" t="s">
        <v>3269</v>
      </c>
      <c r="V167" s="2172" t="s">
        <v>3270</v>
      </c>
      <c r="W167" s="2114">
        <v>9600000</v>
      </c>
      <c r="X167" s="1804" t="s">
        <v>3271</v>
      </c>
      <c r="Y167" s="2032">
        <v>20</v>
      </c>
      <c r="Z167" s="2033" t="s">
        <v>2351</v>
      </c>
      <c r="AA167" s="2709"/>
      <c r="AB167" s="2704"/>
      <c r="AC167" s="2704"/>
      <c r="AD167" s="2704"/>
      <c r="AE167" s="2704"/>
      <c r="AF167" s="2704"/>
      <c r="AG167" s="2704"/>
      <c r="AH167" s="2704"/>
      <c r="AI167" s="2693"/>
      <c r="AJ167" s="2693"/>
      <c r="AK167" s="2693"/>
      <c r="AL167" s="2693"/>
      <c r="AM167" s="2693"/>
      <c r="AN167" s="2693"/>
      <c r="AO167" s="2693"/>
      <c r="AP167" s="2693"/>
      <c r="AQ167" s="2695"/>
      <c r="AR167" s="2695"/>
      <c r="AS167" s="2514"/>
    </row>
    <row r="168" spans="1:45" ht="48" customHeight="1" x14ac:dyDescent="0.25">
      <c r="A168" s="1949"/>
      <c r="B168" s="2670"/>
      <c r="C168" s="1915"/>
      <c r="D168" s="1916"/>
      <c r="E168" s="2720"/>
      <c r="F168" s="2720"/>
      <c r="G168" s="2595"/>
      <c r="H168" s="2598"/>
      <c r="I168" s="2595"/>
      <c r="J168" s="2598"/>
      <c r="K168" s="2688"/>
      <c r="L168" s="2689"/>
      <c r="M168" s="2688"/>
      <c r="N168" s="2595"/>
      <c r="O168" s="2647"/>
      <c r="P168" s="2716"/>
      <c r="Q168" s="2718"/>
      <c r="R168" s="2677"/>
      <c r="S168" s="2705"/>
      <c r="T168" s="2706"/>
      <c r="U168" s="2678"/>
      <c r="V168" s="2173"/>
      <c r="W168" s="2084">
        <f>6600000-6600000</f>
        <v>0</v>
      </c>
      <c r="X168" s="1804" t="s">
        <v>3272</v>
      </c>
      <c r="Y168" s="2034">
        <v>20</v>
      </c>
      <c r="Z168" s="2024" t="s">
        <v>2351</v>
      </c>
      <c r="AA168" s="2709"/>
      <c r="AB168" s="2704"/>
      <c r="AC168" s="2704"/>
      <c r="AD168" s="2704"/>
      <c r="AE168" s="2704"/>
      <c r="AF168" s="2704"/>
      <c r="AG168" s="2704"/>
      <c r="AH168" s="2704"/>
      <c r="AI168" s="2693"/>
      <c r="AJ168" s="2693"/>
      <c r="AK168" s="2693"/>
      <c r="AL168" s="2693"/>
      <c r="AM168" s="2693"/>
      <c r="AN168" s="2693"/>
      <c r="AO168" s="2693"/>
      <c r="AP168" s="2693"/>
      <c r="AQ168" s="2695"/>
      <c r="AR168" s="2695"/>
      <c r="AS168" s="2514"/>
    </row>
    <row r="169" spans="1:45" ht="48" customHeight="1" x14ac:dyDescent="0.25">
      <c r="A169" s="1949"/>
      <c r="B169" s="2670"/>
      <c r="C169" s="1915"/>
      <c r="D169" s="1916"/>
      <c r="E169" s="2720"/>
      <c r="F169" s="2720"/>
      <c r="G169" s="2595"/>
      <c r="H169" s="2598"/>
      <c r="I169" s="2595"/>
      <c r="J169" s="2598"/>
      <c r="K169" s="2688"/>
      <c r="L169" s="2689"/>
      <c r="M169" s="2688"/>
      <c r="N169" s="2595"/>
      <c r="O169" s="2647"/>
      <c r="P169" s="2716"/>
      <c r="Q169" s="2718"/>
      <c r="R169" s="2677"/>
      <c r="S169" s="2705"/>
      <c r="T169" s="2707"/>
      <c r="U169" s="2678"/>
      <c r="V169" s="2173"/>
      <c r="W169" s="2084">
        <v>6600000</v>
      </c>
      <c r="X169" s="1805" t="s">
        <v>3273</v>
      </c>
      <c r="Y169" s="2035">
        <v>20</v>
      </c>
      <c r="Z169" s="2024" t="s">
        <v>2351</v>
      </c>
      <c r="AA169" s="2709"/>
      <c r="AB169" s="2704"/>
      <c r="AC169" s="2704"/>
      <c r="AD169" s="2704"/>
      <c r="AE169" s="2704"/>
      <c r="AF169" s="2704"/>
      <c r="AG169" s="2704"/>
      <c r="AH169" s="2704"/>
      <c r="AI169" s="2693"/>
      <c r="AJ169" s="2693"/>
      <c r="AK169" s="2693"/>
      <c r="AL169" s="2693"/>
      <c r="AM169" s="2693"/>
      <c r="AN169" s="2693"/>
      <c r="AO169" s="2693"/>
      <c r="AP169" s="2693"/>
      <c r="AQ169" s="2695"/>
      <c r="AR169" s="2695"/>
      <c r="AS169" s="2514"/>
    </row>
    <row r="170" spans="1:45" ht="48" customHeight="1" x14ac:dyDescent="0.25">
      <c r="A170" s="1949"/>
      <c r="B170" s="2670"/>
      <c r="C170" s="1915"/>
      <c r="D170" s="1916"/>
      <c r="E170" s="2720"/>
      <c r="F170" s="2720"/>
      <c r="G170" s="2595"/>
      <c r="H170" s="2598"/>
      <c r="I170" s="2595"/>
      <c r="J170" s="2598"/>
      <c r="K170" s="2688"/>
      <c r="L170" s="2689"/>
      <c r="M170" s="2688"/>
      <c r="N170" s="2595"/>
      <c r="O170" s="2647"/>
      <c r="P170" s="2716"/>
      <c r="Q170" s="2718"/>
      <c r="R170" s="2677"/>
      <c r="S170" s="2705"/>
      <c r="T170" s="2707"/>
      <c r="U170" s="2678"/>
      <c r="V170" s="2297"/>
      <c r="W170" s="2084">
        <v>27000000</v>
      </c>
      <c r="X170" s="1805" t="s">
        <v>3274</v>
      </c>
      <c r="Y170" s="1917">
        <v>88</v>
      </c>
      <c r="Z170" s="2004" t="s">
        <v>3046</v>
      </c>
      <c r="AA170" s="2709"/>
      <c r="AB170" s="2704"/>
      <c r="AC170" s="2704"/>
      <c r="AD170" s="2704"/>
      <c r="AE170" s="2704"/>
      <c r="AF170" s="2704"/>
      <c r="AG170" s="2704"/>
      <c r="AH170" s="2704"/>
      <c r="AI170" s="2693"/>
      <c r="AJ170" s="2693"/>
      <c r="AK170" s="2693"/>
      <c r="AL170" s="2693"/>
      <c r="AM170" s="2693"/>
      <c r="AN170" s="2693"/>
      <c r="AO170" s="2693"/>
      <c r="AP170" s="2693"/>
      <c r="AQ170" s="2695"/>
      <c r="AR170" s="2695"/>
      <c r="AS170" s="2514"/>
    </row>
    <row r="171" spans="1:45" ht="48" customHeight="1" x14ac:dyDescent="0.25">
      <c r="A171" s="1949"/>
      <c r="B171" s="2670"/>
      <c r="C171" s="1915"/>
      <c r="D171" s="1916"/>
      <c r="E171" s="2720"/>
      <c r="F171" s="2720"/>
      <c r="G171" s="2595"/>
      <c r="H171" s="2598"/>
      <c r="I171" s="2595"/>
      <c r="J171" s="2598"/>
      <c r="K171" s="2688"/>
      <c r="L171" s="2689"/>
      <c r="M171" s="2688"/>
      <c r="N171" s="2595"/>
      <c r="O171" s="2647"/>
      <c r="P171" s="2716"/>
      <c r="Q171" s="2718"/>
      <c r="R171" s="2677"/>
      <c r="S171" s="2705"/>
      <c r="T171" s="2707"/>
      <c r="U171" s="2678"/>
      <c r="V171" s="2172" t="s">
        <v>3275</v>
      </c>
      <c r="W171" s="2084">
        <f>21000000-7200000-13800000</f>
        <v>0</v>
      </c>
      <c r="X171" s="1805" t="s">
        <v>3272</v>
      </c>
      <c r="Y171" s="2034">
        <v>20</v>
      </c>
      <c r="Z171" s="2024" t="s">
        <v>2351</v>
      </c>
      <c r="AA171" s="2709"/>
      <c r="AB171" s="2704"/>
      <c r="AC171" s="2704"/>
      <c r="AD171" s="2704"/>
      <c r="AE171" s="2704"/>
      <c r="AF171" s="2704"/>
      <c r="AG171" s="2704"/>
      <c r="AH171" s="2704"/>
      <c r="AI171" s="2693"/>
      <c r="AJ171" s="2693"/>
      <c r="AK171" s="2693"/>
      <c r="AL171" s="2693"/>
      <c r="AM171" s="2693"/>
      <c r="AN171" s="2693"/>
      <c r="AO171" s="2693"/>
      <c r="AP171" s="2693"/>
      <c r="AQ171" s="2695"/>
      <c r="AR171" s="2695"/>
      <c r="AS171" s="2514"/>
    </row>
    <row r="172" spans="1:45" ht="48" customHeight="1" x14ac:dyDescent="0.25">
      <c r="A172" s="1949"/>
      <c r="B172" s="2670"/>
      <c r="C172" s="1915"/>
      <c r="D172" s="1916"/>
      <c r="E172" s="2720"/>
      <c r="F172" s="2720"/>
      <c r="G172" s="2595"/>
      <c r="H172" s="2598"/>
      <c r="I172" s="2595"/>
      <c r="J172" s="2598"/>
      <c r="K172" s="2688"/>
      <c r="L172" s="2689"/>
      <c r="M172" s="2688"/>
      <c r="N172" s="2595"/>
      <c r="O172" s="2647"/>
      <c r="P172" s="2716"/>
      <c r="Q172" s="2718"/>
      <c r="R172" s="2677"/>
      <c r="S172" s="2705"/>
      <c r="T172" s="2707"/>
      <c r="U172" s="2678"/>
      <c r="V172" s="2173"/>
      <c r="W172" s="2084">
        <v>13800000</v>
      </c>
      <c r="X172" s="1805" t="s">
        <v>3273</v>
      </c>
      <c r="Y172" s="2034">
        <v>20</v>
      </c>
      <c r="Z172" s="2024" t="s">
        <v>2351</v>
      </c>
      <c r="AA172" s="2709"/>
      <c r="AB172" s="2704"/>
      <c r="AC172" s="2704"/>
      <c r="AD172" s="2704"/>
      <c r="AE172" s="2704"/>
      <c r="AF172" s="2704"/>
      <c r="AG172" s="2704"/>
      <c r="AH172" s="2704"/>
      <c r="AI172" s="2693"/>
      <c r="AJ172" s="2693"/>
      <c r="AK172" s="2693"/>
      <c r="AL172" s="2693"/>
      <c r="AM172" s="2693"/>
      <c r="AN172" s="2693"/>
      <c r="AO172" s="2693"/>
      <c r="AP172" s="2693"/>
      <c r="AQ172" s="2695"/>
      <c r="AR172" s="2695"/>
      <c r="AS172" s="2514"/>
    </row>
    <row r="173" spans="1:45" ht="50.1" customHeight="1" x14ac:dyDescent="0.25">
      <c r="A173" s="2006"/>
      <c r="B173" s="2719"/>
      <c r="C173" s="1952"/>
      <c r="D173" s="1932"/>
      <c r="E173" s="2721"/>
      <c r="F173" s="2721"/>
      <c r="G173" s="2595"/>
      <c r="H173" s="2686"/>
      <c r="I173" s="2595"/>
      <c r="J173" s="2598"/>
      <c r="K173" s="2688"/>
      <c r="L173" s="2689"/>
      <c r="M173" s="2688"/>
      <c r="N173" s="2595"/>
      <c r="O173" s="2647"/>
      <c r="P173" s="2716"/>
      <c r="Q173" s="2718"/>
      <c r="R173" s="2677"/>
      <c r="S173" s="2705"/>
      <c r="T173" s="2707"/>
      <c r="U173" s="2678"/>
      <c r="V173" s="2297"/>
      <c r="W173" s="2084">
        <f>20505448+15000000</f>
        <v>35505448</v>
      </c>
      <c r="X173" s="1805" t="s">
        <v>3276</v>
      </c>
      <c r="Y173" s="1917">
        <v>88</v>
      </c>
      <c r="Z173" s="2004" t="s">
        <v>3046</v>
      </c>
      <c r="AA173" s="2709"/>
      <c r="AB173" s="2704"/>
      <c r="AC173" s="2704"/>
      <c r="AD173" s="2704"/>
      <c r="AE173" s="2704"/>
      <c r="AF173" s="2704"/>
      <c r="AG173" s="2704"/>
      <c r="AH173" s="2704"/>
      <c r="AI173" s="2693"/>
      <c r="AJ173" s="2693"/>
      <c r="AK173" s="2693"/>
      <c r="AL173" s="2693"/>
      <c r="AM173" s="2693"/>
      <c r="AN173" s="2693"/>
      <c r="AO173" s="2693"/>
      <c r="AP173" s="2693"/>
      <c r="AQ173" s="2695"/>
      <c r="AR173" s="2695"/>
      <c r="AS173" s="2514"/>
    </row>
    <row r="174" spans="1:45" ht="27" customHeight="1" x14ac:dyDescent="0.25">
      <c r="A174" s="991">
        <v>4</v>
      </c>
      <c r="B174" s="2679" t="s">
        <v>1244</v>
      </c>
      <c r="C174" s="2680"/>
      <c r="D174" s="2680"/>
      <c r="E174" s="2680"/>
      <c r="F174" s="2680"/>
      <c r="G174" s="2680"/>
      <c r="H174" s="2680"/>
      <c r="I174" s="1996"/>
      <c r="J174" s="1997"/>
      <c r="K174" s="1998"/>
      <c r="L174" s="2036"/>
      <c r="M174" s="1998"/>
      <c r="N174" s="1996"/>
      <c r="O174" s="1996"/>
      <c r="P174" s="1996"/>
      <c r="Q174" s="2036"/>
      <c r="R174" s="1996"/>
      <c r="S174" s="2137"/>
      <c r="T174" s="1997"/>
      <c r="U174" s="1997"/>
      <c r="V174" s="1997"/>
      <c r="W174" s="2102"/>
      <c r="X174" s="1996"/>
      <c r="Y174" s="1998"/>
      <c r="Z174" s="1998"/>
      <c r="AA174" s="1998"/>
      <c r="AB174" s="1998"/>
      <c r="AC174" s="1998"/>
      <c r="AD174" s="1998"/>
      <c r="AE174" s="1998"/>
      <c r="AF174" s="1998"/>
      <c r="AG174" s="1998"/>
      <c r="AH174" s="1998"/>
      <c r="AI174" s="1998"/>
      <c r="AJ174" s="1998"/>
      <c r="AK174" s="1998"/>
      <c r="AL174" s="1998"/>
      <c r="AM174" s="1998"/>
      <c r="AN174" s="1998"/>
      <c r="AO174" s="1998"/>
      <c r="AP174" s="1998"/>
      <c r="AQ174" s="1998"/>
      <c r="AR174" s="1998"/>
      <c r="AS174" s="1999"/>
    </row>
    <row r="175" spans="1:45" ht="27" customHeight="1" x14ac:dyDescent="0.25">
      <c r="A175" s="50"/>
      <c r="B175" s="68"/>
      <c r="C175" s="36">
        <v>45</v>
      </c>
      <c r="D175" s="2681" t="s">
        <v>60</v>
      </c>
      <c r="E175" s="2211"/>
      <c r="F175" s="2682"/>
      <c r="G175" s="2682"/>
      <c r="H175" s="2682"/>
      <c r="I175" s="1721"/>
      <c r="J175" s="2000"/>
      <c r="K175" s="1721"/>
      <c r="L175" s="2000"/>
      <c r="M175" s="1721"/>
      <c r="N175" s="1721"/>
      <c r="O175" s="1721"/>
      <c r="P175" s="1721"/>
      <c r="Q175" s="2002"/>
      <c r="R175" s="2001"/>
      <c r="S175" s="2135"/>
      <c r="T175" s="2002"/>
      <c r="U175" s="2002"/>
      <c r="V175" s="2002"/>
      <c r="W175" s="2103"/>
      <c r="X175" s="2001"/>
      <c r="Y175" s="2001"/>
      <c r="Z175" s="2001"/>
      <c r="AA175" s="2001"/>
      <c r="AB175" s="2001"/>
      <c r="AC175" s="2001"/>
      <c r="AD175" s="2001"/>
      <c r="AE175" s="2001"/>
      <c r="AF175" s="2001"/>
      <c r="AG175" s="2001"/>
      <c r="AH175" s="2001"/>
      <c r="AI175" s="2001"/>
      <c r="AJ175" s="2001"/>
      <c r="AK175" s="2001"/>
      <c r="AL175" s="2001"/>
      <c r="AM175" s="2001"/>
      <c r="AN175" s="2001"/>
      <c r="AO175" s="2001"/>
      <c r="AP175" s="2001"/>
      <c r="AQ175" s="2001"/>
      <c r="AR175" s="2001"/>
      <c r="AS175" s="2003"/>
    </row>
    <row r="176" spans="1:45" ht="27" customHeight="1" x14ac:dyDescent="0.25">
      <c r="A176" s="1949"/>
      <c r="B176" s="2670"/>
      <c r="C176" s="1907"/>
      <c r="D176" s="1916"/>
      <c r="E176" s="1005">
        <v>4502</v>
      </c>
      <c r="F176" s="2671" t="s">
        <v>378</v>
      </c>
      <c r="G176" s="2672"/>
      <c r="H176" s="2672"/>
      <c r="I176" s="2672"/>
      <c r="J176" s="2672"/>
      <c r="K176" s="2672"/>
      <c r="L176" s="2672"/>
      <c r="M176" s="2672"/>
      <c r="N176" s="2672"/>
      <c r="O176" s="2672"/>
      <c r="P176" s="2672"/>
      <c r="Q176" s="1965"/>
      <c r="R176" s="1924"/>
      <c r="S176" s="2132"/>
      <c r="T176" s="1965"/>
      <c r="U176" s="1965"/>
      <c r="V176" s="1965"/>
      <c r="W176" s="2075"/>
      <c r="X176" s="1923"/>
      <c r="Y176" s="1924"/>
      <c r="Z176" s="1923"/>
      <c r="AA176" s="1924"/>
      <c r="AB176" s="1924"/>
      <c r="AC176" s="1924"/>
      <c r="AD176" s="1924"/>
      <c r="AE176" s="1924"/>
      <c r="AF176" s="1924"/>
      <c r="AG176" s="1924"/>
      <c r="AH176" s="1924"/>
      <c r="AI176" s="1924"/>
      <c r="AJ176" s="1924"/>
      <c r="AK176" s="1924"/>
      <c r="AL176" s="1924"/>
      <c r="AM176" s="1924"/>
      <c r="AN176" s="1924"/>
      <c r="AO176" s="1924"/>
      <c r="AP176" s="1924"/>
      <c r="AQ176" s="1924"/>
      <c r="AR176" s="1924"/>
      <c r="AS176" s="1967"/>
    </row>
    <row r="177" spans="1:45" ht="32.1" customHeight="1" x14ac:dyDescent="0.25">
      <c r="A177" s="48"/>
      <c r="B177" s="2670"/>
      <c r="C177" s="1915"/>
      <c r="D177" s="1916"/>
      <c r="E177" s="2673"/>
      <c r="F177" s="2673"/>
      <c r="G177" s="2674">
        <v>4502024</v>
      </c>
      <c r="H177" s="2661" t="s">
        <v>1086</v>
      </c>
      <c r="I177" s="2674">
        <v>4502024</v>
      </c>
      <c r="J177" s="2661" t="s">
        <v>1086</v>
      </c>
      <c r="K177" s="2666">
        <v>450202400</v>
      </c>
      <c r="L177" s="2281" t="s">
        <v>3277</v>
      </c>
      <c r="M177" s="2666">
        <v>450202400</v>
      </c>
      <c r="N177" s="2157" t="s">
        <v>3277</v>
      </c>
      <c r="O177" s="2666">
        <v>10</v>
      </c>
      <c r="P177" s="2666" t="s">
        <v>3278</v>
      </c>
      <c r="Q177" s="2280" t="s">
        <v>1086</v>
      </c>
      <c r="R177" s="2668">
        <f>SUM(W177:W191)/S177</f>
        <v>1</v>
      </c>
      <c r="S177" s="2658">
        <f>SUM(W177:W191)</f>
        <v>89000000</v>
      </c>
      <c r="T177" s="2660" t="s">
        <v>3279</v>
      </c>
      <c r="U177" s="2280" t="s">
        <v>3280</v>
      </c>
      <c r="V177" s="1788" t="s">
        <v>3281</v>
      </c>
      <c r="W177" s="2115">
        <v>2000000</v>
      </c>
      <c r="X177" s="1813" t="s">
        <v>3282</v>
      </c>
      <c r="Y177" s="2037">
        <v>20</v>
      </c>
      <c r="Z177" s="1787" t="s">
        <v>2351</v>
      </c>
      <c r="AA177" s="2662">
        <v>245646</v>
      </c>
      <c r="AB177" s="2648">
        <v>263994</v>
      </c>
      <c r="AC177" s="2648">
        <v>135592</v>
      </c>
      <c r="AD177" s="2648">
        <v>44252</v>
      </c>
      <c r="AE177" s="2648">
        <v>237257</v>
      </c>
      <c r="AF177" s="2648">
        <v>92539</v>
      </c>
      <c r="AG177" s="2648">
        <v>2883</v>
      </c>
      <c r="AH177" s="2648">
        <v>6058</v>
      </c>
      <c r="AI177" s="2648">
        <v>0</v>
      </c>
      <c r="AJ177" s="2648">
        <v>0</v>
      </c>
      <c r="AK177" s="2648">
        <v>0</v>
      </c>
      <c r="AL177" s="2648">
        <v>0</v>
      </c>
      <c r="AM177" s="2648">
        <v>0</v>
      </c>
      <c r="AN177" s="2648">
        <v>42555</v>
      </c>
      <c r="AO177" s="2648">
        <v>43342</v>
      </c>
      <c r="AP177" s="2648">
        <f>AA177+AB177</f>
        <v>509640</v>
      </c>
      <c r="AQ177" s="2270">
        <v>44198</v>
      </c>
      <c r="AR177" s="2270">
        <v>44196</v>
      </c>
      <c r="AS177" s="2648" t="s">
        <v>3283</v>
      </c>
    </row>
    <row r="178" spans="1:45" ht="30" customHeight="1" x14ac:dyDescent="0.25">
      <c r="A178" s="48"/>
      <c r="B178" s="2670"/>
      <c r="C178" s="1915"/>
      <c r="D178" s="1916"/>
      <c r="E178" s="2673"/>
      <c r="F178" s="2673"/>
      <c r="G178" s="2675"/>
      <c r="H178" s="2661"/>
      <c r="I178" s="2675"/>
      <c r="J178" s="2661"/>
      <c r="K178" s="2666"/>
      <c r="L178" s="2281"/>
      <c r="M178" s="2666"/>
      <c r="N178" s="2157"/>
      <c r="O178" s="2666"/>
      <c r="P178" s="2666"/>
      <c r="Q178" s="2281"/>
      <c r="R178" s="2669"/>
      <c r="S178" s="2658"/>
      <c r="T178" s="2661"/>
      <c r="U178" s="2281"/>
      <c r="V178" s="1788" t="s">
        <v>3284</v>
      </c>
      <c r="W178" s="2116">
        <v>1000000</v>
      </c>
      <c r="X178" s="1813" t="s">
        <v>3285</v>
      </c>
      <c r="Y178" s="2038">
        <v>20</v>
      </c>
      <c r="Z178" s="1795" t="s">
        <v>2351</v>
      </c>
      <c r="AA178" s="2649"/>
      <c r="AB178" s="2649"/>
      <c r="AC178" s="2649"/>
      <c r="AD178" s="2649"/>
      <c r="AE178" s="2649"/>
      <c r="AF178" s="2649"/>
      <c r="AG178" s="2649"/>
      <c r="AH178" s="2649"/>
      <c r="AI178" s="2649"/>
      <c r="AJ178" s="2649"/>
      <c r="AK178" s="2649"/>
      <c r="AL178" s="2649"/>
      <c r="AM178" s="2649"/>
      <c r="AN178" s="2649"/>
      <c r="AO178" s="2649"/>
      <c r="AP178" s="2649"/>
      <c r="AQ178" s="2651"/>
      <c r="AR178" s="2651"/>
      <c r="AS178" s="2649"/>
    </row>
    <row r="179" spans="1:45" ht="53.1" customHeight="1" x14ac:dyDescent="0.25">
      <c r="A179" s="48"/>
      <c r="B179" s="2670"/>
      <c r="C179" s="1915"/>
      <c r="D179" s="1916"/>
      <c r="E179" s="2673"/>
      <c r="F179" s="2673"/>
      <c r="G179" s="2675"/>
      <c r="H179" s="2661"/>
      <c r="I179" s="2675"/>
      <c r="J179" s="2661"/>
      <c r="K179" s="2666"/>
      <c r="L179" s="2281"/>
      <c r="M179" s="2666"/>
      <c r="N179" s="2157"/>
      <c r="O179" s="2666"/>
      <c r="P179" s="2666"/>
      <c r="Q179" s="2281"/>
      <c r="R179" s="2669"/>
      <c r="S179" s="2658"/>
      <c r="T179" s="2661"/>
      <c r="U179" s="2281"/>
      <c r="V179" s="2653" t="s">
        <v>3286</v>
      </c>
      <c r="W179" s="2117">
        <v>13000000</v>
      </c>
      <c r="X179" s="1813" t="s">
        <v>3287</v>
      </c>
      <c r="Y179" s="2038">
        <v>20</v>
      </c>
      <c r="Z179" s="1795" t="s">
        <v>2351</v>
      </c>
      <c r="AA179" s="2649"/>
      <c r="AB179" s="2649"/>
      <c r="AC179" s="2649"/>
      <c r="AD179" s="2649"/>
      <c r="AE179" s="2649"/>
      <c r="AF179" s="2649"/>
      <c r="AG179" s="2649"/>
      <c r="AH179" s="2649"/>
      <c r="AI179" s="2649"/>
      <c r="AJ179" s="2649"/>
      <c r="AK179" s="2649"/>
      <c r="AL179" s="2649"/>
      <c r="AM179" s="2649"/>
      <c r="AN179" s="2649"/>
      <c r="AO179" s="2649"/>
      <c r="AP179" s="2649"/>
      <c r="AQ179" s="2651"/>
      <c r="AR179" s="2651"/>
      <c r="AS179" s="2649"/>
    </row>
    <row r="180" spans="1:45" ht="53.1" customHeight="1" x14ac:dyDescent="0.25">
      <c r="A180" s="48"/>
      <c r="B180" s="2670"/>
      <c r="C180" s="1915"/>
      <c r="D180" s="1916"/>
      <c r="E180" s="2673"/>
      <c r="F180" s="2673"/>
      <c r="G180" s="2675"/>
      <c r="H180" s="2661"/>
      <c r="I180" s="2675"/>
      <c r="J180" s="2661"/>
      <c r="K180" s="2666"/>
      <c r="L180" s="2281"/>
      <c r="M180" s="2666"/>
      <c r="N180" s="2157"/>
      <c r="O180" s="2666"/>
      <c r="P180" s="2666"/>
      <c r="Q180" s="2281"/>
      <c r="R180" s="2669"/>
      <c r="S180" s="2658"/>
      <c r="T180" s="2661"/>
      <c r="U180" s="2281"/>
      <c r="V180" s="2654"/>
      <c r="W180" s="2117">
        <v>14000000</v>
      </c>
      <c r="X180" s="1805" t="s">
        <v>3288</v>
      </c>
      <c r="Y180" s="1973">
        <v>88</v>
      </c>
      <c r="Z180" s="1803" t="s">
        <v>3046</v>
      </c>
      <c r="AA180" s="2649"/>
      <c r="AB180" s="2649"/>
      <c r="AC180" s="2649"/>
      <c r="AD180" s="2649"/>
      <c r="AE180" s="2649"/>
      <c r="AF180" s="2649"/>
      <c r="AG180" s="2649"/>
      <c r="AH180" s="2649"/>
      <c r="AI180" s="2649"/>
      <c r="AJ180" s="2649"/>
      <c r="AK180" s="2649"/>
      <c r="AL180" s="2649"/>
      <c r="AM180" s="2649"/>
      <c r="AN180" s="2649"/>
      <c r="AO180" s="2649"/>
      <c r="AP180" s="2649"/>
      <c r="AQ180" s="2651"/>
      <c r="AR180" s="2651"/>
      <c r="AS180" s="2649"/>
    </row>
    <row r="181" spans="1:45" ht="45" customHeight="1" x14ac:dyDescent="0.25">
      <c r="A181" s="48"/>
      <c r="B181" s="2670"/>
      <c r="C181" s="1915"/>
      <c r="D181" s="1916"/>
      <c r="E181" s="2673"/>
      <c r="F181" s="2673"/>
      <c r="G181" s="2675"/>
      <c r="H181" s="2661"/>
      <c r="I181" s="2675"/>
      <c r="J181" s="2661"/>
      <c r="K181" s="2666"/>
      <c r="L181" s="2281"/>
      <c r="M181" s="2666"/>
      <c r="N181" s="2157"/>
      <c r="O181" s="2666"/>
      <c r="P181" s="2666"/>
      <c r="Q181" s="2281"/>
      <c r="R181" s="2669"/>
      <c r="S181" s="2658"/>
      <c r="T181" s="2661"/>
      <c r="U181" s="2281"/>
      <c r="V181" s="2653" t="s">
        <v>3289</v>
      </c>
      <c r="W181" s="2118">
        <v>5000000</v>
      </c>
      <c r="X181" s="1805" t="s">
        <v>3287</v>
      </c>
      <c r="Y181" s="336">
        <v>20</v>
      </c>
      <c r="Z181" s="1792" t="s">
        <v>2351</v>
      </c>
      <c r="AA181" s="2649"/>
      <c r="AB181" s="2649"/>
      <c r="AC181" s="2649"/>
      <c r="AD181" s="2649"/>
      <c r="AE181" s="2649"/>
      <c r="AF181" s="2649"/>
      <c r="AG181" s="2649"/>
      <c r="AH181" s="2649"/>
      <c r="AI181" s="2649"/>
      <c r="AJ181" s="2649"/>
      <c r="AK181" s="2649"/>
      <c r="AL181" s="2649"/>
      <c r="AM181" s="2649"/>
      <c r="AN181" s="2649"/>
      <c r="AO181" s="2649"/>
      <c r="AP181" s="2649"/>
      <c r="AQ181" s="2651"/>
      <c r="AR181" s="2651"/>
      <c r="AS181" s="2649"/>
    </row>
    <row r="182" spans="1:45" ht="45" customHeight="1" x14ac:dyDescent="0.25">
      <c r="A182" s="48"/>
      <c r="B182" s="2670"/>
      <c r="C182" s="1915"/>
      <c r="D182" s="1916"/>
      <c r="E182" s="2673"/>
      <c r="F182" s="2673"/>
      <c r="G182" s="2675"/>
      <c r="H182" s="2661"/>
      <c r="I182" s="2675"/>
      <c r="J182" s="2661"/>
      <c r="K182" s="2666"/>
      <c r="L182" s="2281"/>
      <c r="M182" s="2666"/>
      <c r="N182" s="2157"/>
      <c r="O182" s="2666"/>
      <c r="P182" s="2666"/>
      <c r="Q182" s="2281"/>
      <c r="R182" s="2669"/>
      <c r="S182" s="2658"/>
      <c r="T182" s="2661"/>
      <c r="U182" s="2281"/>
      <c r="V182" s="2654"/>
      <c r="W182" s="2118">
        <v>5000000</v>
      </c>
      <c r="X182" s="1805" t="s">
        <v>3288</v>
      </c>
      <c r="Y182" s="1973">
        <v>88</v>
      </c>
      <c r="Z182" s="1803" t="s">
        <v>3046</v>
      </c>
      <c r="AA182" s="2649"/>
      <c r="AB182" s="2649"/>
      <c r="AC182" s="2649"/>
      <c r="AD182" s="2649"/>
      <c r="AE182" s="2649"/>
      <c r="AF182" s="2649"/>
      <c r="AG182" s="2649"/>
      <c r="AH182" s="2649"/>
      <c r="AI182" s="2649"/>
      <c r="AJ182" s="2649"/>
      <c r="AK182" s="2649"/>
      <c r="AL182" s="2649"/>
      <c r="AM182" s="2649"/>
      <c r="AN182" s="2649"/>
      <c r="AO182" s="2649"/>
      <c r="AP182" s="2649"/>
      <c r="AQ182" s="2651"/>
      <c r="AR182" s="2651"/>
      <c r="AS182" s="2649"/>
    </row>
    <row r="183" spans="1:45" ht="53.1" customHeight="1" x14ac:dyDescent="0.25">
      <c r="A183" s="48"/>
      <c r="B183" s="2670"/>
      <c r="C183" s="1915"/>
      <c r="D183" s="1916"/>
      <c r="E183" s="2673"/>
      <c r="F183" s="2673"/>
      <c r="G183" s="2675"/>
      <c r="H183" s="2661"/>
      <c r="I183" s="2675"/>
      <c r="J183" s="2661"/>
      <c r="K183" s="2666"/>
      <c r="L183" s="2281"/>
      <c r="M183" s="2666"/>
      <c r="N183" s="2157"/>
      <c r="O183" s="2666"/>
      <c r="P183" s="2666"/>
      <c r="Q183" s="2281"/>
      <c r="R183" s="2669"/>
      <c r="S183" s="2658"/>
      <c r="T183" s="2661"/>
      <c r="U183" s="2281"/>
      <c r="V183" s="2655" t="s">
        <v>3290</v>
      </c>
      <c r="W183" s="2119">
        <v>9000000</v>
      </c>
      <c r="X183" s="1805" t="s">
        <v>3287</v>
      </c>
      <c r="Y183" s="336">
        <v>20</v>
      </c>
      <c r="Z183" s="1792" t="s">
        <v>2351</v>
      </c>
      <c r="AA183" s="2649"/>
      <c r="AB183" s="2649"/>
      <c r="AC183" s="2649"/>
      <c r="AD183" s="2649"/>
      <c r="AE183" s="2649"/>
      <c r="AF183" s="2649"/>
      <c r="AG183" s="2649"/>
      <c r="AH183" s="2649"/>
      <c r="AI183" s="2649"/>
      <c r="AJ183" s="2649"/>
      <c r="AK183" s="2649"/>
      <c r="AL183" s="2649"/>
      <c r="AM183" s="2649"/>
      <c r="AN183" s="2649"/>
      <c r="AO183" s="2649"/>
      <c r="AP183" s="2649"/>
      <c r="AQ183" s="2651"/>
      <c r="AR183" s="2651"/>
      <c r="AS183" s="2649"/>
    </row>
    <row r="184" spans="1:45" ht="53.1" customHeight="1" x14ac:dyDescent="0.25">
      <c r="A184" s="48"/>
      <c r="B184" s="2670"/>
      <c r="C184" s="1915"/>
      <c r="D184" s="1916"/>
      <c r="E184" s="2673"/>
      <c r="F184" s="2673"/>
      <c r="G184" s="2675"/>
      <c r="H184" s="2661"/>
      <c r="I184" s="2675"/>
      <c r="J184" s="2661"/>
      <c r="K184" s="2666"/>
      <c r="L184" s="2281"/>
      <c r="M184" s="2666"/>
      <c r="N184" s="2157"/>
      <c r="O184" s="2666"/>
      <c r="P184" s="2666"/>
      <c r="Q184" s="2281"/>
      <c r="R184" s="2669"/>
      <c r="S184" s="2658"/>
      <c r="T184" s="2661"/>
      <c r="U184" s="2281"/>
      <c r="V184" s="2656"/>
      <c r="W184" s="2118">
        <v>5000000</v>
      </c>
      <c r="X184" s="1805" t="s">
        <v>3288</v>
      </c>
      <c r="Y184" s="1973">
        <v>88</v>
      </c>
      <c r="Z184" s="1803" t="s">
        <v>3046</v>
      </c>
      <c r="AA184" s="2649"/>
      <c r="AB184" s="2649"/>
      <c r="AC184" s="2649"/>
      <c r="AD184" s="2649"/>
      <c r="AE184" s="2649"/>
      <c r="AF184" s="2649"/>
      <c r="AG184" s="2649"/>
      <c r="AH184" s="2649"/>
      <c r="AI184" s="2649"/>
      <c r="AJ184" s="2649"/>
      <c r="AK184" s="2649"/>
      <c r="AL184" s="2649"/>
      <c r="AM184" s="2649"/>
      <c r="AN184" s="2649"/>
      <c r="AO184" s="2649"/>
      <c r="AP184" s="2649"/>
      <c r="AQ184" s="2651"/>
      <c r="AR184" s="2651"/>
      <c r="AS184" s="2649"/>
    </row>
    <row r="185" spans="1:45" ht="58.5" customHeight="1" x14ac:dyDescent="0.25">
      <c r="A185" s="48"/>
      <c r="B185" s="2670"/>
      <c r="C185" s="1915"/>
      <c r="D185" s="1916"/>
      <c r="E185" s="2673"/>
      <c r="F185" s="2673"/>
      <c r="G185" s="2675"/>
      <c r="H185" s="2661"/>
      <c r="I185" s="2675"/>
      <c r="J185" s="2661"/>
      <c r="K185" s="2666"/>
      <c r="L185" s="2281"/>
      <c r="M185" s="2666"/>
      <c r="N185" s="2157"/>
      <c r="O185" s="2666"/>
      <c r="P185" s="2666"/>
      <c r="Q185" s="2281"/>
      <c r="R185" s="2669"/>
      <c r="S185" s="2658"/>
      <c r="T185" s="2661"/>
      <c r="U185" s="2281"/>
      <c r="V185" s="2655" t="s">
        <v>3291</v>
      </c>
      <c r="W185" s="2119">
        <v>8000000</v>
      </c>
      <c r="X185" s="1805" t="s">
        <v>3287</v>
      </c>
      <c r="Y185" s="2039">
        <v>20</v>
      </c>
      <c r="Z185" s="1791" t="s">
        <v>2351</v>
      </c>
      <c r="AA185" s="2649"/>
      <c r="AB185" s="2649"/>
      <c r="AC185" s="2649"/>
      <c r="AD185" s="2649"/>
      <c r="AE185" s="2649"/>
      <c r="AF185" s="2649"/>
      <c r="AG185" s="2649"/>
      <c r="AH185" s="2649"/>
      <c r="AI185" s="2649"/>
      <c r="AJ185" s="2649"/>
      <c r="AK185" s="2649"/>
      <c r="AL185" s="2649"/>
      <c r="AM185" s="2649"/>
      <c r="AN185" s="2649"/>
      <c r="AO185" s="2649"/>
      <c r="AP185" s="2649"/>
      <c r="AQ185" s="2651"/>
      <c r="AR185" s="2651"/>
      <c r="AS185" s="2649"/>
    </row>
    <row r="186" spans="1:45" ht="58.5" customHeight="1" x14ac:dyDescent="0.25">
      <c r="A186" s="48"/>
      <c r="B186" s="2670"/>
      <c r="C186" s="1915"/>
      <c r="D186" s="1916"/>
      <c r="E186" s="2673"/>
      <c r="F186" s="2673"/>
      <c r="G186" s="2675"/>
      <c r="H186" s="2661"/>
      <c r="I186" s="2675"/>
      <c r="J186" s="2661"/>
      <c r="K186" s="2666"/>
      <c r="L186" s="2281"/>
      <c r="M186" s="2666"/>
      <c r="N186" s="2157"/>
      <c r="O186" s="2666"/>
      <c r="P186" s="2666"/>
      <c r="Q186" s="2281"/>
      <c r="R186" s="2669"/>
      <c r="S186" s="2658"/>
      <c r="T186" s="2661"/>
      <c r="U186" s="2281"/>
      <c r="V186" s="2656"/>
      <c r="W186" s="2119">
        <v>5000000</v>
      </c>
      <c r="X186" s="1805" t="s">
        <v>3288</v>
      </c>
      <c r="Y186" s="1973">
        <v>88</v>
      </c>
      <c r="Z186" s="1803" t="s">
        <v>3046</v>
      </c>
      <c r="AA186" s="2663"/>
      <c r="AB186" s="2649"/>
      <c r="AC186" s="2649"/>
      <c r="AD186" s="2649"/>
      <c r="AE186" s="2649"/>
      <c r="AF186" s="2649"/>
      <c r="AG186" s="2649"/>
      <c r="AH186" s="2649"/>
      <c r="AI186" s="2649"/>
      <c r="AJ186" s="2649"/>
      <c r="AK186" s="2649"/>
      <c r="AL186" s="2649"/>
      <c r="AM186" s="2649"/>
      <c r="AN186" s="2649"/>
      <c r="AO186" s="2649"/>
      <c r="AP186" s="2649"/>
      <c r="AQ186" s="2651"/>
      <c r="AR186" s="2651"/>
      <c r="AS186" s="2649"/>
    </row>
    <row r="187" spans="1:45" ht="61.5" customHeight="1" x14ac:dyDescent="0.25">
      <c r="A187" s="48"/>
      <c r="B187" s="2670"/>
      <c r="C187" s="1915"/>
      <c r="D187" s="1916"/>
      <c r="E187" s="2673"/>
      <c r="F187" s="2673"/>
      <c r="G187" s="2675"/>
      <c r="H187" s="2661"/>
      <c r="I187" s="2675"/>
      <c r="J187" s="2661"/>
      <c r="K187" s="2666"/>
      <c r="L187" s="2281"/>
      <c r="M187" s="2666"/>
      <c r="N187" s="2157"/>
      <c r="O187" s="2666"/>
      <c r="P187" s="2666"/>
      <c r="Q187" s="2281"/>
      <c r="R187" s="2669"/>
      <c r="S187" s="2658"/>
      <c r="T187" s="2661"/>
      <c r="U187" s="2281"/>
      <c r="V187" s="2653" t="s">
        <v>3292</v>
      </c>
      <c r="W187" s="2119">
        <v>9000000</v>
      </c>
      <c r="X187" s="1805" t="s">
        <v>3287</v>
      </c>
      <c r="Y187" s="1950">
        <v>20</v>
      </c>
      <c r="Z187" s="1802" t="s">
        <v>2351</v>
      </c>
      <c r="AA187" s="2663"/>
      <c r="AB187" s="2649"/>
      <c r="AC187" s="2649"/>
      <c r="AD187" s="2649"/>
      <c r="AE187" s="2649"/>
      <c r="AF187" s="2649"/>
      <c r="AG187" s="2649"/>
      <c r="AH187" s="2649"/>
      <c r="AI187" s="2649"/>
      <c r="AJ187" s="2649"/>
      <c r="AK187" s="2649"/>
      <c r="AL187" s="2649"/>
      <c r="AM187" s="2649"/>
      <c r="AN187" s="2649"/>
      <c r="AO187" s="2649"/>
      <c r="AP187" s="2649"/>
      <c r="AQ187" s="2651"/>
      <c r="AR187" s="2651"/>
      <c r="AS187" s="2649"/>
    </row>
    <row r="188" spans="1:45" ht="61.5" customHeight="1" x14ac:dyDescent="0.25">
      <c r="A188" s="48"/>
      <c r="B188" s="2670"/>
      <c r="C188" s="1915"/>
      <c r="D188" s="1916"/>
      <c r="E188" s="2673"/>
      <c r="F188" s="2673"/>
      <c r="G188" s="2675"/>
      <c r="H188" s="2661"/>
      <c r="I188" s="2675"/>
      <c r="J188" s="2661"/>
      <c r="K188" s="2666"/>
      <c r="L188" s="2281"/>
      <c r="M188" s="2666"/>
      <c r="N188" s="2157"/>
      <c r="O188" s="2666"/>
      <c r="P188" s="2666"/>
      <c r="Q188" s="2281"/>
      <c r="R188" s="2669"/>
      <c r="S188" s="2658"/>
      <c r="T188" s="2661"/>
      <c r="U188" s="2281"/>
      <c r="V188" s="2654"/>
      <c r="W188" s="2120">
        <v>10000000</v>
      </c>
      <c r="X188" s="1805" t="s">
        <v>3288</v>
      </c>
      <c r="Y188" s="1973">
        <v>88</v>
      </c>
      <c r="Z188" s="1803" t="s">
        <v>3046</v>
      </c>
      <c r="AA188" s="2663"/>
      <c r="AB188" s="2649"/>
      <c r="AC188" s="2649"/>
      <c r="AD188" s="2649"/>
      <c r="AE188" s="2649"/>
      <c r="AF188" s="2649"/>
      <c r="AG188" s="2649"/>
      <c r="AH188" s="2649"/>
      <c r="AI188" s="2649"/>
      <c r="AJ188" s="2649"/>
      <c r="AK188" s="2649"/>
      <c r="AL188" s="2649"/>
      <c r="AM188" s="2649"/>
      <c r="AN188" s="2649"/>
      <c r="AO188" s="2649"/>
      <c r="AP188" s="2649"/>
      <c r="AQ188" s="2651"/>
      <c r="AR188" s="2651"/>
      <c r="AS188" s="2649"/>
    </row>
    <row r="189" spans="1:45" ht="35.25" customHeight="1" x14ac:dyDescent="0.25">
      <c r="A189" s="48"/>
      <c r="B189" s="2670"/>
      <c r="C189" s="1915"/>
      <c r="D189" s="1916"/>
      <c r="E189" s="2673"/>
      <c r="F189" s="2673"/>
      <c r="G189" s="2675"/>
      <c r="H189" s="2661"/>
      <c r="I189" s="2675"/>
      <c r="J189" s="2661"/>
      <c r="K189" s="2666"/>
      <c r="L189" s="2281"/>
      <c r="M189" s="2666"/>
      <c r="N189" s="2157"/>
      <c r="O189" s="2666"/>
      <c r="P189" s="2666"/>
      <c r="Q189" s="2281"/>
      <c r="R189" s="2669"/>
      <c r="S189" s="2658"/>
      <c r="T189" s="2661"/>
      <c r="U189" s="2281"/>
      <c r="V189" s="2655" t="s">
        <v>3293</v>
      </c>
      <c r="W189" s="2120">
        <v>1000000</v>
      </c>
      <c r="X189" s="1813" t="s">
        <v>3285</v>
      </c>
      <c r="Y189" s="2665">
        <v>20</v>
      </c>
      <c r="Z189" s="2165" t="s">
        <v>2351</v>
      </c>
      <c r="AA189" s="2663"/>
      <c r="AB189" s="2649"/>
      <c r="AC189" s="2649"/>
      <c r="AD189" s="2649"/>
      <c r="AE189" s="2649"/>
      <c r="AF189" s="2649"/>
      <c r="AG189" s="2649"/>
      <c r="AH189" s="2649"/>
      <c r="AI189" s="2649"/>
      <c r="AJ189" s="2649"/>
      <c r="AK189" s="2649"/>
      <c r="AL189" s="2649"/>
      <c r="AM189" s="2649"/>
      <c r="AN189" s="2649"/>
      <c r="AO189" s="2649"/>
      <c r="AP189" s="2649"/>
      <c r="AQ189" s="2651"/>
      <c r="AR189" s="2651"/>
      <c r="AS189" s="2649"/>
    </row>
    <row r="190" spans="1:45" ht="35.25" customHeight="1" x14ac:dyDescent="0.25">
      <c r="A190" s="48"/>
      <c r="B190" s="2670"/>
      <c r="C190" s="1915"/>
      <c r="D190" s="1916"/>
      <c r="E190" s="2673"/>
      <c r="F190" s="2673"/>
      <c r="G190" s="2675"/>
      <c r="H190" s="2661"/>
      <c r="I190" s="2675"/>
      <c r="J190" s="2661"/>
      <c r="K190" s="2666"/>
      <c r="L190" s="2281"/>
      <c r="M190" s="2666"/>
      <c r="N190" s="2157"/>
      <c r="O190" s="2666"/>
      <c r="P190" s="2666"/>
      <c r="Q190" s="2281"/>
      <c r="R190" s="2669"/>
      <c r="S190" s="2659"/>
      <c r="T190" s="2661"/>
      <c r="U190" s="2281"/>
      <c r="V190" s="2657"/>
      <c r="W190" s="2119">
        <v>1000000</v>
      </c>
      <c r="X190" s="1813" t="s">
        <v>3282</v>
      </c>
      <c r="Y190" s="2665"/>
      <c r="Z190" s="2165"/>
      <c r="AA190" s="2663"/>
      <c r="AB190" s="2649"/>
      <c r="AC190" s="2649"/>
      <c r="AD190" s="2649"/>
      <c r="AE190" s="2649"/>
      <c r="AF190" s="2649"/>
      <c r="AG190" s="2649"/>
      <c r="AH190" s="2649"/>
      <c r="AI190" s="2649"/>
      <c r="AJ190" s="2649"/>
      <c r="AK190" s="2649"/>
      <c r="AL190" s="2649"/>
      <c r="AM190" s="2649"/>
      <c r="AN190" s="2649"/>
      <c r="AO190" s="2649"/>
      <c r="AP190" s="2649"/>
      <c r="AQ190" s="2651"/>
      <c r="AR190" s="2651"/>
      <c r="AS190" s="2649"/>
    </row>
    <row r="191" spans="1:45" ht="48.95" customHeight="1" x14ac:dyDescent="0.25">
      <c r="A191" s="48"/>
      <c r="B191" s="2670"/>
      <c r="C191" s="1915"/>
      <c r="D191" s="1916"/>
      <c r="E191" s="2673"/>
      <c r="F191" s="2673"/>
      <c r="G191" s="2675"/>
      <c r="H191" s="2676"/>
      <c r="I191" s="2675"/>
      <c r="J191" s="2676"/>
      <c r="K191" s="2667"/>
      <c r="L191" s="2282"/>
      <c r="M191" s="2667"/>
      <c r="N191" s="2304"/>
      <c r="O191" s="2667"/>
      <c r="P191" s="2667"/>
      <c r="Q191" s="2282"/>
      <c r="R191" s="2669"/>
      <c r="S191" s="2659"/>
      <c r="T191" s="2661"/>
      <c r="U191" s="2281"/>
      <c r="V191" s="2656"/>
      <c r="W191" s="2119">
        <v>1000000</v>
      </c>
      <c r="X191" s="1810" t="s">
        <v>3287</v>
      </c>
      <c r="Y191" s="2665"/>
      <c r="Z191" s="2166"/>
      <c r="AA191" s="2664"/>
      <c r="AB191" s="2650"/>
      <c r="AC191" s="2650"/>
      <c r="AD191" s="2650"/>
      <c r="AE191" s="2650"/>
      <c r="AF191" s="2650"/>
      <c r="AG191" s="2650"/>
      <c r="AH191" s="2650"/>
      <c r="AI191" s="2650"/>
      <c r="AJ191" s="2650"/>
      <c r="AK191" s="2650"/>
      <c r="AL191" s="2650"/>
      <c r="AM191" s="2650"/>
      <c r="AN191" s="2650"/>
      <c r="AO191" s="2650"/>
      <c r="AP191" s="2650"/>
      <c r="AQ191" s="2652"/>
      <c r="AR191" s="2652"/>
      <c r="AS191" s="2650"/>
    </row>
    <row r="192" spans="1:45" ht="75" customHeight="1" x14ac:dyDescent="0.25">
      <c r="A192" s="1949"/>
      <c r="B192" s="2670"/>
      <c r="C192" s="1915"/>
      <c r="D192" s="1916"/>
      <c r="E192" s="2673"/>
      <c r="F192" s="2673"/>
      <c r="G192" s="2647">
        <v>4502001</v>
      </c>
      <c r="H192" s="2597" t="s">
        <v>193</v>
      </c>
      <c r="I192" s="2647">
        <v>4502001</v>
      </c>
      <c r="J192" s="2597" t="s">
        <v>193</v>
      </c>
      <c r="K192" s="2640">
        <v>450200100</v>
      </c>
      <c r="L192" s="2550" t="s">
        <v>3294</v>
      </c>
      <c r="M192" s="2640">
        <v>450200100</v>
      </c>
      <c r="N192" s="2582" t="s">
        <v>195</v>
      </c>
      <c r="O192" s="2582">
        <v>3</v>
      </c>
      <c r="P192" s="2582" t="s">
        <v>3295</v>
      </c>
      <c r="Q192" s="2643" t="s">
        <v>3296</v>
      </c>
      <c r="R192" s="2645">
        <f>SUM(W192:W207)/S192</f>
        <v>0.45124593237818855</v>
      </c>
      <c r="S192" s="2629">
        <f>SUM(W192:W225)</f>
        <v>343493401</v>
      </c>
      <c r="T192" s="2632" t="s">
        <v>3297</v>
      </c>
      <c r="U192" s="2586" t="s">
        <v>3298</v>
      </c>
      <c r="V192" s="2635" t="s">
        <v>3299</v>
      </c>
      <c r="W192" s="2121">
        <v>38000000</v>
      </c>
      <c r="X192" s="1810" t="s">
        <v>3300</v>
      </c>
      <c r="Y192" s="2040">
        <v>20</v>
      </c>
      <c r="Z192" s="2041" t="s">
        <v>2351</v>
      </c>
      <c r="AA192" s="2637">
        <v>291786</v>
      </c>
      <c r="AB192" s="2616">
        <v>270331</v>
      </c>
      <c r="AC192" s="2616">
        <v>102045</v>
      </c>
      <c r="AD192" s="2616">
        <v>39183</v>
      </c>
      <c r="AE192" s="2616">
        <v>310195</v>
      </c>
      <c r="AF192" s="2616">
        <v>110694</v>
      </c>
      <c r="AG192" s="2616">
        <v>2145</v>
      </c>
      <c r="AH192" s="2616">
        <v>12718</v>
      </c>
      <c r="AI192" s="2616">
        <v>26</v>
      </c>
      <c r="AJ192" s="2616">
        <v>37</v>
      </c>
      <c r="AK192" s="2616">
        <v>0</v>
      </c>
      <c r="AL192" s="2616">
        <v>0</v>
      </c>
      <c r="AM192" s="2616">
        <v>44350</v>
      </c>
      <c r="AN192" s="2616">
        <v>21944</v>
      </c>
      <c r="AO192" s="2616">
        <v>75687</v>
      </c>
      <c r="AP192" s="2616">
        <f>+AA192+AB192</f>
        <v>562117</v>
      </c>
      <c r="AQ192" s="2618">
        <v>44198</v>
      </c>
      <c r="AR192" s="2620">
        <v>44196</v>
      </c>
      <c r="AS192" s="2622" t="s">
        <v>3063</v>
      </c>
    </row>
    <row r="193" spans="1:45" ht="75" customHeight="1" x14ac:dyDescent="0.25">
      <c r="A193" s="1949"/>
      <c r="B193" s="2670"/>
      <c r="C193" s="1915"/>
      <c r="D193" s="1916"/>
      <c r="E193" s="2673"/>
      <c r="F193" s="2673"/>
      <c r="G193" s="2647"/>
      <c r="H193" s="2598"/>
      <c r="I193" s="2647"/>
      <c r="J193" s="2598"/>
      <c r="K193" s="2641"/>
      <c r="L193" s="2599"/>
      <c r="M193" s="2641"/>
      <c r="N193" s="2583"/>
      <c r="O193" s="2583"/>
      <c r="P193" s="2583"/>
      <c r="Q193" s="2644"/>
      <c r="R193" s="2645"/>
      <c r="S193" s="2629"/>
      <c r="T193" s="2633"/>
      <c r="U193" s="2587"/>
      <c r="V193" s="2636"/>
      <c r="W193" s="2096">
        <v>15000000</v>
      </c>
      <c r="X193" s="1805" t="s">
        <v>3301</v>
      </c>
      <c r="Y193" s="2042">
        <v>88</v>
      </c>
      <c r="Z193" s="1803" t="s">
        <v>3046</v>
      </c>
      <c r="AA193" s="2638"/>
      <c r="AB193" s="2617"/>
      <c r="AC193" s="2617"/>
      <c r="AD193" s="2617"/>
      <c r="AE193" s="2617"/>
      <c r="AF193" s="2617"/>
      <c r="AG193" s="2617"/>
      <c r="AH193" s="2617"/>
      <c r="AI193" s="2617"/>
      <c r="AJ193" s="2617"/>
      <c r="AK193" s="2617"/>
      <c r="AL193" s="2617"/>
      <c r="AM193" s="2617"/>
      <c r="AN193" s="2617"/>
      <c r="AO193" s="2617"/>
      <c r="AP193" s="2617"/>
      <c r="AQ193" s="2619"/>
      <c r="AR193" s="2621"/>
      <c r="AS193" s="2623"/>
    </row>
    <row r="194" spans="1:45" ht="62.25" customHeight="1" x14ac:dyDescent="0.25">
      <c r="A194" s="1949"/>
      <c r="B194" s="2670"/>
      <c r="C194" s="1915"/>
      <c r="D194" s="1916"/>
      <c r="E194" s="2673"/>
      <c r="F194" s="2673"/>
      <c r="G194" s="2647"/>
      <c r="H194" s="2598"/>
      <c r="I194" s="2647"/>
      <c r="J194" s="2598"/>
      <c r="K194" s="2641"/>
      <c r="L194" s="2599"/>
      <c r="M194" s="2641"/>
      <c r="N194" s="2583"/>
      <c r="O194" s="2583"/>
      <c r="P194" s="2583"/>
      <c r="Q194" s="2644"/>
      <c r="R194" s="2645"/>
      <c r="S194" s="2629"/>
      <c r="T194" s="2633"/>
      <c r="U194" s="2587"/>
      <c r="V194" s="2624" t="s">
        <v>3302</v>
      </c>
      <c r="W194" s="2101">
        <v>2000000</v>
      </c>
      <c r="X194" s="1804" t="s">
        <v>3303</v>
      </c>
      <c r="Y194" s="2626">
        <v>20</v>
      </c>
      <c r="Z194" s="2591" t="s">
        <v>2351</v>
      </c>
      <c r="AA194" s="2638"/>
      <c r="AB194" s="2617"/>
      <c r="AC194" s="2617"/>
      <c r="AD194" s="2617"/>
      <c r="AE194" s="2617"/>
      <c r="AF194" s="2617"/>
      <c r="AG194" s="2617"/>
      <c r="AH194" s="2617"/>
      <c r="AI194" s="2617"/>
      <c r="AJ194" s="2617"/>
      <c r="AK194" s="2617"/>
      <c r="AL194" s="2617"/>
      <c r="AM194" s="2617"/>
      <c r="AN194" s="2617"/>
      <c r="AO194" s="2617"/>
      <c r="AP194" s="2617"/>
      <c r="AQ194" s="2619"/>
      <c r="AR194" s="2621"/>
      <c r="AS194" s="2623"/>
    </row>
    <row r="195" spans="1:45" ht="62.25" customHeight="1" x14ac:dyDescent="0.25">
      <c r="A195" s="1949"/>
      <c r="B195" s="2670"/>
      <c r="C195" s="1915"/>
      <c r="D195" s="1916"/>
      <c r="E195" s="2673"/>
      <c r="F195" s="2673"/>
      <c r="G195" s="2647"/>
      <c r="H195" s="2598"/>
      <c r="I195" s="2647"/>
      <c r="J195" s="2598"/>
      <c r="K195" s="2641"/>
      <c r="L195" s="2599"/>
      <c r="M195" s="2641"/>
      <c r="N195" s="2583"/>
      <c r="O195" s="2583"/>
      <c r="P195" s="2583"/>
      <c r="Q195" s="2644"/>
      <c r="R195" s="2645"/>
      <c r="S195" s="2629"/>
      <c r="T195" s="2633"/>
      <c r="U195" s="2587"/>
      <c r="V195" s="2625"/>
      <c r="W195" s="2122">
        <v>18000000</v>
      </c>
      <c r="X195" s="1805" t="s">
        <v>3300</v>
      </c>
      <c r="Y195" s="2626"/>
      <c r="Z195" s="2591"/>
      <c r="AA195" s="2638"/>
      <c r="AB195" s="2617"/>
      <c r="AC195" s="2617"/>
      <c r="AD195" s="2617"/>
      <c r="AE195" s="2617"/>
      <c r="AF195" s="2617"/>
      <c r="AG195" s="2617"/>
      <c r="AH195" s="2617"/>
      <c r="AI195" s="2617"/>
      <c r="AJ195" s="2617"/>
      <c r="AK195" s="2617"/>
      <c r="AL195" s="2617"/>
      <c r="AM195" s="2617"/>
      <c r="AN195" s="2617"/>
      <c r="AO195" s="2617"/>
      <c r="AP195" s="2617"/>
      <c r="AQ195" s="2619"/>
      <c r="AR195" s="2621"/>
      <c r="AS195" s="2623"/>
    </row>
    <row r="196" spans="1:45" ht="45.75" customHeight="1" x14ac:dyDescent="0.25">
      <c r="A196" s="1949"/>
      <c r="B196" s="2670"/>
      <c r="C196" s="1915"/>
      <c r="D196" s="1916"/>
      <c r="E196" s="2673"/>
      <c r="F196" s="2673"/>
      <c r="G196" s="2647"/>
      <c r="H196" s="2598"/>
      <c r="I196" s="2647"/>
      <c r="J196" s="2598"/>
      <c r="K196" s="2641"/>
      <c r="L196" s="2599"/>
      <c r="M196" s="2641"/>
      <c r="N196" s="2583"/>
      <c r="O196" s="2583"/>
      <c r="P196" s="2583"/>
      <c r="Q196" s="2644"/>
      <c r="R196" s="2645"/>
      <c r="S196" s="2629"/>
      <c r="T196" s="2633"/>
      <c r="U196" s="2587"/>
      <c r="V196" s="2043" t="s">
        <v>3304</v>
      </c>
      <c r="W196" s="2123">
        <v>8000000</v>
      </c>
      <c r="X196" s="1805" t="s">
        <v>3305</v>
      </c>
      <c r="Y196" s="2034">
        <v>20</v>
      </c>
      <c r="Z196" s="2033" t="s">
        <v>2351</v>
      </c>
      <c r="AA196" s="2638"/>
      <c r="AB196" s="2617"/>
      <c r="AC196" s="2617"/>
      <c r="AD196" s="2617"/>
      <c r="AE196" s="2617"/>
      <c r="AF196" s="2617"/>
      <c r="AG196" s="2617"/>
      <c r="AH196" s="2617"/>
      <c r="AI196" s="2617"/>
      <c r="AJ196" s="2617"/>
      <c r="AK196" s="2617"/>
      <c r="AL196" s="2617"/>
      <c r="AM196" s="2617"/>
      <c r="AN196" s="2617"/>
      <c r="AO196" s="2617"/>
      <c r="AP196" s="2617"/>
      <c r="AQ196" s="2619"/>
      <c r="AR196" s="2621"/>
      <c r="AS196" s="2623"/>
    </row>
    <row r="197" spans="1:45" ht="66.75" customHeight="1" x14ac:dyDescent="0.25">
      <c r="A197" s="1949"/>
      <c r="B197" s="2670"/>
      <c r="C197" s="1915"/>
      <c r="D197" s="1916"/>
      <c r="E197" s="2673"/>
      <c r="F197" s="2673"/>
      <c r="G197" s="2647"/>
      <c r="H197" s="2598"/>
      <c r="I197" s="2647"/>
      <c r="J197" s="2598"/>
      <c r="K197" s="2641"/>
      <c r="L197" s="2599"/>
      <c r="M197" s="2641"/>
      <c r="N197" s="2583"/>
      <c r="O197" s="2583"/>
      <c r="P197" s="2583"/>
      <c r="Q197" s="2644"/>
      <c r="R197" s="2645"/>
      <c r="S197" s="2629"/>
      <c r="T197" s="2633"/>
      <c r="U197" s="2587"/>
      <c r="V197" s="2043" t="s">
        <v>3306</v>
      </c>
      <c r="W197" s="2070">
        <v>10000000</v>
      </c>
      <c r="X197" s="1805" t="s">
        <v>3300</v>
      </c>
      <c r="Y197" s="2034">
        <v>20</v>
      </c>
      <c r="Z197" s="2024" t="s">
        <v>2351</v>
      </c>
      <c r="AA197" s="2638"/>
      <c r="AB197" s="2617"/>
      <c r="AC197" s="2617"/>
      <c r="AD197" s="2617"/>
      <c r="AE197" s="2617"/>
      <c r="AF197" s="2617"/>
      <c r="AG197" s="2617"/>
      <c r="AH197" s="2617"/>
      <c r="AI197" s="2617"/>
      <c r="AJ197" s="2617"/>
      <c r="AK197" s="2617"/>
      <c r="AL197" s="2617"/>
      <c r="AM197" s="2617"/>
      <c r="AN197" s="2617"/>
      <c r="AO197" s="2617"/>
      <c r="AP197" s="2617"/>
      <c r="AQ197" s="2619"/>
      <c r="AR197" s="2621"/>
      <c r="AS197" s="2623"/>
    </row>
    <row r="198" spans="1:45" ht="71.25" customHeight="1" x14ac:dyDescent="0.25">
      <c r="A198" s="1949"/>
      <c r="B198" s="2670"/>
      <c r="C198" s="1915"/>
      <c r="D198" s="1916"/>
      <c r="E198" s="2673"/>
      <c r="F198" s="2673"/>
      <c r="G198" s="2647"/>
      <c r="H198" s="2598"/>
      <c r="I198" s="2647"/>
      <c r="J198" s="2598"/>
      <c r="K198" s="2641"/>
      <c r="L198" s="2599"/>
      <c r="M198" s="2641"/>
      <c r="N198" s="2583"/>
      <c r="O198" s="2583"/>
      <c r="P198" s="2583"/>
      <c r="Q198" s="2644"/>
      <c r="R198" s="2645"/>
      <c r="S198" s="2629"/>
      <c r="T198" s="2633"/>
      <c r="U198" s="2587"/>
      <c r="V198" s="2044" t="s">
        <v>3307</v>
      </c>
      <c r="W198" s="2070">
        <v>5000000</v>
      </c>
      <c r="X198" s="1805" t="s">
        <v>3300</v>
      </c>
      <c r="Y198" s="2034">
        <v>20</v>
      </c>
      <c r="Z198" s="2024" t="s">
        <v>2351</v>
      </c>
      <c r="AA198" s="2638"/>
      <c r="AB198" s="2617"/>
      <c r="AC198" s="2617"/>
      <c r="AD198" s="2617"/>
      <c r="AE198" s="2617"/>
      <c r="AF198" s="2617"/>
      <c r="AG198" s="2617"/>
      <c r="AH198" s="2617"/>
      <c r="AI198" s="2617"/>
      <c r="AJ198" s="2617"/>
      <c r="AK198" s="2617"/>
      <c r="AL198" s="2617"/>
      <c r="AM198" s="2617"/>
      <c r="AN198" s="2617"/>
      <c r="AO198" s="2617"/>
      <c r="AP198" s="2617"/>
      <c r="AQ198" s="2619"/>
      <c r="AR198" s="2621"/>
      <c r="AS198" s="2623"/>
    </row>
    <row r="199" spans="1:45" ht="57" customHeight="1" x14ac:dyDescent="0.25">
      <c r="A199" s="1949"/>
      <c r="B199" s="2670"/>
      <c r="C199" s="1915"/>
      <c r="D199" s="1916"/>
      <c r="E199" s="2673"/>
      <c r="F199" s="2673"/>
      <c r="G199" s="2647"/>
      <c r="H199" s="2598"/>
      <c r="I199" s="2647"/>
      <c r="J199" s="2598"/>
      <c r="K199" s="2641"/>
      <c r="L199" s="2599"/>
      <c r="M199" s="2641"/>
      <c r="N199" s="2583"/>
      <c r="O199" s="2583"/>
      <c r="P199" s="2583"/>
      <c r="Q199" s="2644"/>
      <c r="R199" s="2645"/>
      <c r="S199" s="2629"/>
      <c r="T199" s="2633"/>
      <c r="U199" s="2587"/>
      <c r="V199" s="2627" t="s">
        <v>3308</v>
      </c>
      <c r="W199" s="2070">
        <f>5000000-3000000</f>
        <v>2000000</v>
      </c>
      <c r="X199" s="1805" t="s">
        <v>3309</v>
      </c>
      <c r="Y199" s="2034">
        <v>20</v>
      </c>
      <c r="Z199" s="2024" t="s">
        <v>2351</v>
      </c>
      <c r="AA199" s="2638"/>
      <c r="AB199" s="2617"/>
      <c r="AC199" s="2617"/>
      <c r="AD199" s="2617"/>
      <c r="AE199" s="2617"/>
      <c r="AF199" s="2617"/>
      <c r="AG199" s="2617"/>
      <c r="AH199" s="2617"/>
      <c r="AI199" s="2617"/>
      <c r="AJ199" s="2617"/>
      <c r="AK199" s="2617"/>
      <c r="AL199" s="2617"/>
      <c r="AM199" s="2617"/>
      <c r="AN199" s="2617"/>
      <c r="AO199" s="2617"/>
      <c r="AP199" s="2617"/>
      <c r="AQ199" s="2619"/>
      <c r="AR199" s="2621"/>
      <c r="AS199" s="2623"/>
    </row>
    <row r="200" spans="1:45" ht="57" customHeight="1" x14ac:dyDescent="0.25">
      <c r="A200" s="1949"/>
      <c r="B200" s="2670"/>
      <c r="C200" s="1915"/>
      <c r="D200" s="1916"/>
      <c r="E200" s="2673"/>
      <c r="F200" s="2673"/>
      <c r="G200" s="2647"/>
      <c r="H200" s="2598"/>
      <c r="I200" s="2647"/>
      <c r="J200" s="2598"/>
      <c r="K200" s="2641"/>
      <c r="L200" s="2599"/>
      <c r="M200" s="2641"/>
      <c r="N200" s="2583"/>
      <c r="O200" s="2583"/>
      <c r="P200" s="2583"/>
      <c r="Q200" s="2644"/>
      <c r="R200" s="2645"/>
      <c r="S200" s="2629"/>
      <c r="T200" s="2633"/>
      <c r="U200" s="2587"/>
      <c r="V200" s="2628"/>
      <c r="W200" s="2070">
        <v>3000000</v>
      </c>
      <c r="X200" s="1805" t="s">
        <v>3310</v>
      </c>
      <c r="Y200" s="2034">
        <v>20</v>
      </c>
      <c r="Z200" s="2024" t="s">
        <v>2351</v>
      </c>
      <c r="AA200" s="2638"/>
      <c r="AB200" s="2617"/>
      <c r="AC200" s="2617"/>
      <c r="AD200" s="2617"/>
      <c r="AE200" s="2617"/>
      <c r="AF200" s="2617"/>
      <c r="AG200" s="2617"/>
      <c r="AH200" s="2617"/>
      <c r="AI200" s="2617"/>
      <c r="AJ200" s="2617"/>
      <c r="AK200" s="2617"/>
      <c r="AL200" s="2617"/>
      <c r="AM200" s="2617"/>
      <c r="AN200" s="2617"/>
      <c r="AO200" s="2617"/>
      <c r="AP200" s="2617"/>
      <c r="AQ200" s="2619"/>
      <c r="AR200" s="2621"/>
      <c r="AS200" s="2623"/>
    </row>
    <row r="201" spans="1:45" ht="39" customHeight="1" x14ac:dyDescent="0.25">
      <c r="A201" s="1949"/>
      <c r="B201" s="2670"/>
      <c r="C201" s="1915"/>
      <c r="D201" s="1916"/>
      <c r="E201" s="2673"/>
      <c r="F201" s="2673"/>
      <c r="G201" s="2647"/>
      <c r="H201" s="2598"/>
      <c r="I201" s="2647"/>
      <c r="J201" s="2598"/>
      <c r="K201" s="2641"/>
      <c r="L201" s="2599"/>
      <c r="M201" s="2641"/>
      <c r="N201" s="2583"/>
      <c r="O201" s="2583"/>
      <c r="P201" s="2583"/>
      <c r="Q201" s="2644"/>
      <c r="R201" s="2645"/>
      <c r="S201" s="2629"/>
      <c r="T201" s="2633"/>
      <c r="U201" s="2587"/>
      <c r="V201" s="2592" t="s">
        <v>3311</v>
      </c>
      <c r="W201" s="2070">
        <v>5000000</v>
      </c>
      <c r="X201" s="1805" t="s">
        <v>3300</v>
      </c>
      <c r="Y201" s="2034">
        <v>20</v>
      </c>
      <c r="Z201" s="2024" t="s">
        <v>2351</v>
      </c>
      <c r="AA201" s="2638"/>
      <c r="AB201" s="2617"/>
      <c r="AC201" s="2617"/>
      <c r="AD201" s="2617"/>
      <c r="AE201" s="2617"/>
      <c r="AF201" s="2617"/>
      <c r="AG201" s="2617"/>
      <c r="AH201" s="2617"/>
      <c r="AI201" s="2617"/>
      <c r="AJ201" s="2617"/>
      <c r="AK201" s="2617"/>
      <c r="AL201" s="2617"/>
      <c r="AM201" s="2617"/>
      <c r="AN201" s="2617"/>
      <c r="AO201" s="2617"/>
      <c r="AP201" s="2617"/>
      <c r="AQ201" s="2619"/>
      <c r="AR201" s="2621"/>
      <c r="AS201" s="2623"/>
    </row>
    <row r="202" spans="1:45" ht="34.5" customHeight="1" x14ac:dyDescent="0.25">
      <c r="A202" s="1949"/>
      <c r="B202" s="2670"/>
      <c r="C202" s="1915"/>
      <c r="D202" s="1916"/>
      <c r="E202" s="2673"/>
      <c r="F202" s="2673"/>
      <c r="G202" s="2647"/>
      <c r="H202" s="2598"/>
      <c r="I202" s="2647"/>
      <c r="J202" s="2598"/>
      <c r="K202" s="2641"/>
      <c r="L202" s="2599"/>
      <c r="M202" s="2641"/>
      <c r="N202" s="2583"/>
      <c r="O202" s="2583"/>
      <c r="P202" s="2583"/>
      <c r="Q202" s="2644"/>
      <c r="R202" s="2645"/>
      <c r="S202" s="2629"/>
      <c r="T202" s="2633"/>
      <c r="U202" s="2587"/>
      <c r="V202" s="2594"/>
      <c r="W202" s="2070">
        <v>5000000</v>
      </c>
      <c r="X202" s="1805" t="s">
        <v>3310</v>
      </c>
      <c r="Y202" s="2034"/>
      <c r="Z202" s="2024"/>
      <c r="AA202" s="2638"/>
      <c r="AB202" s="2617"/>
      <c r="AC202" s="2617"/>
      <c r="AD202" s="2617"/>
      <c r="AE202" s="2617"/>
      <c r="AF202" s="2617"/>
      <c r="AG202" s="2617"/>
      <c r="AH202" s="2617"/>
      <c r="AI202" s="2617"/>
      <c r="AJ202" s="2617"/>
      <c r="AK202" s="2617"/>
      <c r="AL202" s="2617"/>
      <c r="AM202" s="2617"/>
      <c r="AN202" s="2617"/>
      <c r="AO202" s="2617"/>
      <c r="AP202" s="2617"/>
      <c r="AQ202" s="2619"/>
      <c r="AR202" s="2621"/>
      <c r="AS202" s="2623"/>
    </row>
    <row r="203" spans="1:45" ht="57" customHeight="1" x14ac:dyDescent="0.25">
      <c r="A203" s="1949"/>
      <c r="B203" s="2670"/>
      <c r="C203" s="1915"/>
      <c r="D203" s="1916"/>
      <c r="E203" s="2673"/>
      <c r="F203" s="2673"/>
      <c r="G203" s="2647"/>
      <c r="H203" s="2598"/>
      <c r="I203" s="2647"/>
      <c r="J203" s="2598"/>
      <c r="K203" s="2641"/>
      <c r="L203" s="2599"/>
      <c r="M203" s="2641"/>
      <c r="N203" s="2583"/>
      <c r="O203" s="2583"/>
      <c r="P203" s="2583"/>
      <c r="Q203" s="2644"/>
      <c r="R203" s="2645"/>
      <c r="S203" s="2629"/>
      <c r="T203" s="2633"/>
      <c r="U203" s="2587"/>
      <c r="V203" s="2592" t="s">
        <v>3312</v>
      </c>
      <c r="W203" s="2070">
        <v>4000000</v>
      </c>
      <c r="X203" s="1805" t="s">
        <v>3300</v>
      </c>
      <c r="Y203" s="2034">
        <v>20</v>
      </c>
      <c r="Z203" s="2024" t="s">
        <v>2351</v>
      </c>
      <c r="AA203" s="2638"/>
      <c r="AB203" s="2617"/>
      <c r="AC203" s="2617"/>
      <c r="AD203" s="2617"/>
      <c r="AE203" s="2617"/>
      <c r="AF203" s="2617"/>
      <c r="AG203" s="2617"/>
      <c r="AH203" s="2617"/>
      <c r="AI203" s="2617"/>
      <c r="AJ203" s="2617"/>
      <c r="AK203" s="2617"/>
      <c r="AL203" s="2617"/>
      <c r="AM203" s="2617"/>
      <c r="AN203" s="2617"/>
      <c r="AO203" s="2617"/>
      <c r="AP203" s="2617"/>
      <c r="AQ203" s="2619"/>
      <c r="AR203" s="2621"/>
      <c r="AS203" s="2623"/>
    </row>
    <row r="204" spans="1:45" ht="57" customHeight="1" x14ac:dyDescent="0.25">
      <c r="A204" s="1949"/>
      <c r="B204" s="2670"/>
      <c r="C204" s="1915"/>
      <c r="D204" s="1916"/>
      <c r="E204" s="2673"/>
      <c r="F204" s="2673"/>
      <c r="G204" s="2647"/>
      <c r="H204" s="2598"/>
      <c r="I204" s="2647"/>
      <c r="J204" s="2598"/>
      <c r="K204" s="2641"/>
      <c r="L204" s="2599"/>
      <c r="M204" s="2641"/>
      <c r="N204" s="2583"/>
      <c r="O204" s="2583"/>
      <c r="P204" s="2583"/>
      <c r="Q204" s="2644"/>
      <c r="R204" s="2645"/>
      <c r="S204" s="2629"/>
      <c r="T204" s="2633"/>
      <c r="U204" s="2587"/>
      <c r="V204" s="2594"/>
      <c r="W204" s="2070">
        <v>10000000</v>
      </c>
      <c r="X204" s="1805" t="s">
        <v>3313</v>
      </c>
      <c r="Y204" s="2034">
        <v>88</v>
      </c>
      <c r="Z204" s="2024" t="s">
        <v>3046</v>
      </c>
      <c r="AA204" s="2638"/>
      <c r="AB204" s="2617"/>
      <c r="AC204" s="2617"/>
      <c r="AD204" s="2617"/>
      <c r="AE204" s="2617"/>
      <c r="AF204" s="2617"/>
      <c r="AG204" s="2617"/>
      <c r="AH204" s="2617"/>
      <c r="AI204" s="2617"/>
      <c r="AJ204" s="2617"/>
      <c r="AK204" s="2617"/>
      <c r="AL204" s="2617"/>
      <c r="AM204" s="2617"/>
      <c r="AN204" s="2617"/>
      <c r="AO204" s="2617"/>
      <c r="AP204" s="2617"/>
      <c r="AQ204" s="2619"/>
      <c r="AR204" s="2621"/>
      <c r="AS204" s="2623"/>
    </row>
    <row r="205" spans="1:45" ht="30" x14ac:dyDescent="0.25">
      <c r="A205" s="1949"/>
      <c r="B205" s="2670"/>
      <c r="C205" s="1915"/>
      <c r="D205" s="1916"/>
      <c r="E205" s="2673"/>
      <c r="F205" s="2673"/>
      <c r="G205" s="2647"/>
      <c r="H205" s="2598"/>
      <c r="I205" s="2647"/>
      <c r="J205" s="2598"/>
      <c r="K205" s="2641"/>
      <c r="L205" s="2599"/>
      <c r="M205" s="2641"/>
      <c r="N205" s="2583"/>
      <c r="O205" s="2583"/>
      <c r="P205" s="2583"/>
      <c r="Q205" s="2644"/>
      <c r="R205" s="2645"/>
      <c r="S205" s="2629"/>
      <c r="T205" s="2633"/>
      <c r="U205" s="2587"/>
      <c r="V205" s="2043" t="s">
        <v>3314</v>
      </c>
      <c r="W205" s="2070">
        <v>10000000</v>
      </c>
      <c r="X205" s="1813" t="s">
        <v>3300</v>
      </c>
      <c r="Y205" s="2045">
        <v>20</v>
      </c>
      <c r="Z205" s="2041" t="s">
        <v>2351</v>
      </c>
      <c r="AA205" s="2638"/>
      <c r="AB205" s="2617"/>
      <c r="AC205" s="2617"/>
      <c r="AD205" s="2617"/>
      <c r="AE205" s="2617"/>
      <c r="AF205" s="2617"/>
      <c r="AG205" s="2617"/>
      <c r="AH205" s="2617"/>
      <c r="AI205" s="2617"/>
      <c r="AJ205" s="2617"/>
      <c r="AK205" s="2617"/>
      <c r="AL205" s="2617"/>
      <c r="AM205" s="2617"/>
      <c r="AN205" s="2617"/>
      <c r="AO205" s="2617"/>
      <c r="AP205" s="2617"/>
      <c r="AQ205" s="2619"/>
      <c r="AR205" s="2621"/>
      <c r="AS205" s="2623"/>
    </row>
    <row r="206" spans="1:45" ht="92.25" customHeight="1" x14ac:dyDescent="0.25">
      <c r="A206" s="1949"/>
      <c r="B206" s="2670"/>
      <c r="C206" s="1915"/>
      <c r="D206" s="1916"/>
      <c r="E206" s="2673"/>
      <c r="F206" s="2673"/>
      <c r="G206" s="2647"/>
      <c r="H206" s="2598"/>
      <c r="I206" s="2647"/>
      <c r="J206" s="2598"/>
      <c r="K206" s="2641"/>
      <c r="L206" s="2599"/>
      <c r="M206" s="2641"/>
      <c r="N206" s="2583"/>
      <c r="O206" s="2583"/>
      <c r="P206" s="2583"/>
      <c r="Q206" s="2644"/>
      <c r="R206" s="2645"/>
      <c r="S206" s="2629"/>
      <c r="T206" s="2633"/>
      <c r="U206" s="2587"/>
      <c r="V206" s="2043" t="s">
        <v>3315</v>
      </c>
      <c r="W206" s="2071">
        <v>10000000</v>
      </c>
      <c r="X206" s="1813" t="s">
        <v>3303</v>
      </c>
      <c r="Y206" s="2046">
        <v>20</v>
      </c>
      <c r="Z206" s="2047" t="s">
        <v>2351</v>
      </c>
      <c r="AA206" s="2638"/>
      <c r="AB206" s="2617"/>
      <c r="AC206" s="2617"/>
      <c r="AD206" s="2617"/>
      <c r="AE206" s="2617"/>
      <c r="AF206" s="2617"/>
      <c r="AG206" s="2617"/>
      <c r="AH206" s="2617"/>
      <c r="AI206" s="2617"/>
      <c r="AJ206" s="2617"/>
      <c r="AK206" s="2617"/>
      <c r="AL206" s="2617"/>
      <c r="AM206" s="2617"/>
      <c r="AN206" s="2617"/>
      <c r="AO206" s="2617"/>
      <c r="AP206" s="2617"/>
      <c r="AQ206" s="2619"/>
      <c r="AR206" s="2621"/>
      <c r="AS206" s="2623"/>
    </row>
    <row r="207" spans="1:45" ht="65.25" customHeight="1" x14ac:dyDescent="0.25">
      <c r="A207" s="1949"/>
      <c r="B207" s="2670"/>
      <c r="C207" s="1915"/>
      <c r="D207" s="1916"/>
      <c r="E207" s="2673"/>
      <c r="F207" s="2673"/>
      <c r="G207" s="2647"/>
      <c r="H207" s="2615"/>
      <c r="I207" s="2647"/>
      <c r="J207" s="2615"/>
      <c r="K207" s="2642"/>
      <c r="L207" s="2551"/>
      <c r="M207" s="2642"/>
      <c r="N207" s="2600"/>
      <c r="O207" s="2600"/>
      <c r="P207" s="2583"/>
      <c r="Q207" s="2644"/>
      <c r="R207" s="2645"/>
      <c r="S207" s="2629"/>
      <c r="T207" s="2633"/>
      <c r="U207" s="2587"/>
      <c r="V207" s="2048" t="s">
        <v>3316</v>
      </c>
      <c r="W207" s="2092">
        <v>10000000</v>
      </c>
      <c r="X207" s="1813" t="s">
        <v>3300</v>
      </c>
      <c r="Y207" s="2045">
        <v>20</v>
      </c>
      <c r="Z207" s="2041" t="s">
        <v>2351</v>
      </c>
      <c r="AA207" s="2638"/>
      <c r="AB207" s="2617"/>
      <c r="AC207" s="2617"/>
      <c r="AD207" s="2617"/>
      <c r="AE207" s="2617"/>
      <c r="AF207" s="2617"/>
      <c r="AG207" s="2617"/>
      <c r="AH207" s="2617"/>
      <c r="AI207" s="2617"/>
      <c r="AJ207" s="2617"/>
      <c r="AK207" s="2617"/>
      <c r="AL207" s="2617"/>
      <c r="AM207" s="2617"/>
      <c r="AN207" s="2617"/>
      <c r="AO207" s="2617"/>
      <c r="AP207" s="2617"/>
      <c r="AQ207" s="2619"/>
      <c r="AR207" s="2621"/>
      <c r="AS207" s="2623"/>
    </row>
    <row r="208" spans="1:45" ht="42.75" customHeight="1" x14ac:dyDescent="0.25">
      <c r="A208" s="1949"/>
      <c r="B208" s="2670"/>
      <c r="C208" s="1915"/>
      <c r="D208" s="1916"/>
      <c r="E208" s="2673"/>
      <c r="F208" s="2673"/>
      <c r="G208" s="2595" t="s">
        <v>62</v>
      </c>
      <c r="H208" s="2597" t="s">
        <v>3317</v>
      </c>
      <c r="I208" s="2595">
        <v>4502001</v>
      </c>
      <c r="J208" s="2597" t="s">
        <v>193</v>
      </c>
      <c r="K208" s="2595" t="s">
        <v>62</v>
      </c>
      <c r="L208" s="2550" t="s">
        <v>3318</v>
      </c>
      <c r="M208" s="2582">
        <v>450200111</v>
      </c>
      <c r="N208" s="2582" t="s">
        <v>3319</v>
      </c>
      <c r="O208" s="2582">
        <v>1</v>
      </c>
      <c r="P208" s="2583"/>
      <c r="Q208" s="2644"/>
      <c r="R208" s="2646">
        <f>SUM(W208:W212)/S192</f>
        <v>0.21252227782972752</v>
      </c>
      <c r="S208" s="2630"/>
      <c r="T208" s="2633"/>
      <c r="U208" s="2587"/>
      <c r="V208" s="2043" t="s">
        <v>3320</v>
      </c>
      <c r="W208" s="2123">
        <v>30000000</v>
      </c>
      <c r="X208" s="1805" t="s">
        <v>3321</v>
      </c>
      <c r="Y208" s="2034">
        <v>20</v>
      </c>
      <c r="Z208" s="2024" t="s">
        <v>2351</v>
      </c>
      <c r="AA208" s="2638"/>
      <c r="AB208" s="2617"/>
      <c r="AC208" s="2617"/>
      <c r="AD208" s="2617"/>
      <c r="AE208" s="2617"/>
      <c r="AF208" s="2617"/>
      <c r="AG208" s="2617"/>
      <c r="AH208" s="2617"/>
      <c r="AI208" s="2617"/>
      <c r="AJ208" s="2617"/>
      <c r="AK208" s="2617"/>
      <c r="AL208" s="2617"/>
      <c r="AM208" s="2617"/>
      <c r="AN208" s="2617"/>
      <c r="AO208" s="2617"/>
      <c r="AP208" s="2617"/>
      <c r="AQ208" s="2619"/>
      <c r="AR208" s="2621"/>
      <c r="AS208" s="2623"/>
    </row>
    <row r="209" spans="1:45" ht="45" x14ac:dyDescent="0.25">
      <c r="A209" s="1949"/>
      <c r="B209" s="2670"/>
      <c r="C209" s="1915"/>
      <c r="D209" s="1916"/>
      <c r="E209" s="2673"/>
      <c r="F209" s="2673"/>
      <c r="G209" s="2595"/>
      <c r="H209" s="2598"/>
      <c r="I209" s="2595"/>
      <c r="J209" s="2598"/>
      <c r="K209" s="2595"/>
      <c r="L209" s="2599"/>
      <c r="M209" s="2583"/>
      <c r="N209" s="2583"/>
      <c r="O209" s="2583"/>
      <c r="P209" s="2583"/>
      <c r="Q209" s="2644"/>
      <c r="R209" s="2584"/>
      <c r="S209" s="2630"/>
      <c r="T209" s="2633"/>
      <c r="U209" s="2587"/>
      <c r="V209" s="2043" t="s">
        <v>3322</v>
      </c>
      <c r="W209" s="2071">
        <v>30000000</v>
      </c>
      <c r="X209" s="1805" t="s">
        <v>3321</v>
      </c>
      <c r="Y209" s="2034">
        <v>20</v>
      </c>
      <c r="Z209" s="2024" t="s">
        <v>2351</v>
      </c>
      <c r="AA209" s="2638"/>
      <c r="AB209" s="2617"/>
      <c r="AC209" s="2617"/>
      <c r="AD209" s="2617"/>
      <c r="AE209" s="2617"/>
      <c r="AF209" s="2617"/>
      <c r="AG209" s="2617"/>
      <c r="AH209" s="2617"/>
      <c r="AI209" s="2617"/>
      <c r="AJ209" s="2617"/>
      <c r="AK209" s="2617"/>
      <c r="AL209" s="2617"/>
      <c r="AM209" s="2617"/>
      <c r="AN209" s="2617"/>
      <c r="AO209" s="2617"/>
      <c r="AP209" s="2617"/>
      <c r="AQ209" s="2619"/>
      <c r="AR209" s="2621"/>
      <c r="AS209" s="2623"/>
    </row>
    <row r="210" spans="1:45" ht="15.75" x14ac:dyDescent="0.25">
      <c r="A210" s="1949"/>
      <c r="B210" s="2670"/>
      <c r="C210" s="1915"/>
      <c r="D210" s="1916"/>
      <c r="E210" s="2673"/>
      <c r="F210" s="2673"/>
      <c r="G210" s="2595"/>
      <c r="H210" s="2598"/>
      <c r="I210" s="2595"/>
      <c r="J210" s="2598"/>
      <c r="K210" s="2595"/>
      <c r="L210" s="2599"/>
      <c r="M210" s="2583"/>
      <c r="N210" s="2583"/>
      <c r="O210" s="2583"/>
      <c r="P210" s="2583"/>
      <c r="Q210" s="2644"/>
      <c r="R210" s="2584"/>
      <c r="S210" s="2630"/>
      <c r="T210" s="2633"/>
      <c r="U210" s="2587"/>
      <c r="V210" s="2624" t="s">
        <v>3323</v>
      </c>
      <c r="W210" s="2096">
        <f>5000000-3000000</f>
        <v>2000000</v>
      </c>
      <c r="X210" s="1805" t="s">
        <v>3321</v>
      </c>
      <c r="Y210" s="2590">
        <v>20</v>
      </c>
      <c r="Z210" s="2591" t="s">
        <v>2351</v>
      </c>
      <c r="AA210" s="2638"/>
      <c r="AB210" s="2617"/>
      <c r="AC210" s="2617"/>
      <c r="AD210" s="2617"/>
      <c r="AE210" s="2617"/>
      <c r="AF210" s="2617"/>
      <c r="AG210" s="2617"/>
      <c r="AH210" s="2617"/>
      <c r="AI210" s="2617"/>
      <c r="AJ210" s="2617"/>
      <c r="AK210" s="2617"/>
      <c r="AL210" s="2617"/>
      <c r="AM210" s="2617"/>
      <c r="AN210" s="2617"/>
      <c r="AO210" s="2617"/>
      <c r="AP210" s="2617"/>
      <c r="AQ210" s="2619"/>
      <c r="AR210" s="2621"/>
      <c r="AS210" s="2623"/>
    </row>
    <row r="211" spans="1:45" ht="50.25" customHeight="1" x14ac:dyDescent="0.25">
      <c r="A211" s="1949"/>
      <c r="B211" s="2670"/>
      <c r="C211" s="1915"/>
      <c r="D211" s="1916"/>
      <c r="E211" s="2673"/>
      <c r="F211" s="2673"/>
      <c r="G211" s="2595"/>
      <c r="H211" s="2598"/>
      <c r="I211" s="2595"/>
      <c r="J211" s="2598"/>
      <c r="K211" s="2595"/>
      <c r="L211" s="2599"/>
      <c r="M211" s="2583"/>
      <c r="N211" s="2583"/>
      <c r="O211" s="2583"/>
      <c r="P211" s="2583"/>
      <c r="Q211" s="2644"/>
      <c r="R211" s="2585"/>
      <c r="S211" s="2630"/>
      <c r="T211" s="2633"/>
      <c r="U211" s="2587"/>
      <c r="V211" s="2639"/>
      <c r="W211" s="2096">
        <v>5000000</v>
      </c>
      <c r="X211" s="1805" t="s">
        <v>3324</v>
      </c>
      <c r="Y211" s="2590"/>
      <c r="Z211" s="2591"/>
      <c r="AA211" s="2638"/>
      <c r="AB211" s="2617"/>
      <c r="AC211" s="2617"/>
      <c r="AD211" s="2617"/>
      <c r="AE211" s="2617"/>
      <c r="AF211" s="2617"/>
      <c r="AG211" s="2617"/>
      <c r="AH211" s="2617"/>
      <c r="AI211" s="2617"/>
      <c r="AJ211" s="2617"/>
      <c r="AK211" s="2617"/>
      <c r="AL211" s="2617"/>
      <c r="AM211" s="2617"/>
      <c r="AN211" s="2617"/>
      <c r="AO211" s="2617"/>
      <c r="AP211" s="2617"/>
      <c r="AQ211" s="2619"/>
      <c r="AR211" s="2621"/>
      <c r="AS211" s="2623"/>
    </row>
    <row r="212" spans="1:45" ht="45" customHeight="1" x14ac:dyDescent="0.25">
      <c r="A212" s="1949"/>
      <c r="B212" s="2670"/>
      <c r="C212" s="1915"/>
      <c r="D212" s="1916"/>
      <c r="E212" s="2673"/>
      <c r="F212" s="2673"/>
      <c r="G212" s="2595"/>
      <c r="H212" s="2615"/>
      <c r="I212" s="2595"/>
      <c r="J212" s="2615"/>
      <c r="K212" s="2595"/>
      <c r="L212" s="2551"/>
      <c r="M212" s="2600"/>
      <c r="N212" s="2600"/>
      <c r="O212" s="2600"/>
      <c r="P212" s="2583"/>
      <c r="Q212" s="2644"/>
      <c r="R212" s="2585"/>
      <c r="S212" s="2630"/>
      <c r="T212" s="2633"/>
      <c r="U212" s="2587"/>
      <c r="V212" s="2639"/>
      <c r="W212" s="2095">
        <f>3000000+3000000</f>
        <v>6000000</v>
      </c>
      <c r="X212" s="1805" t="s">
        <v>3325</v>
      </c>
      <c r="Y212" s="2590"/>
      <c r="Z212" s="2591"/>
      <c r="AA212" s="2638"/>
      <c r="AB212" s="2617"/>
      <c r="AC212" s="2617"/>
      <c r="AD212" s="2617"/>
      <c r="AE212" s="2617"/>
      <c r="AF212" s="2617"/>
      <c r="AG212" s="2617"/>
      <c r="AH212" s="2617"/>
      <c r="AI212" s="2617"/>
      <c r="AJ212" s="2617"/>
      <c r="AK212" s="2617"/>
      <c r="AL212" s="2617"/>
      <c r="AM212" s="2617"/>
      <c r="AN212" s="2617"/>
      <c r="AO212" s="2617"/>
      <c r="AP212" s="2617"/>
      <c r="AQ212" s="2619"/>
      <c r="AR212" s="2621"/>
      <c r="AS212" s="2623"/>
    </row>
    <row r="213" spans="1:45" ht="42.75" customHeight="1" x14ac:dyDescent="0.25">
      <c r="A213" s="1949"/>
      <c r="B213" s="2670"/>
      <c r="C213" s="1915"/>
      <c r="D213" s="1916"/>
      <c r="E213" s="2673"/>
      <c r="F213" s="2673"/>
      <c r="G213" s="2596" t="s">
        <v>62</v>
      </c>
      <c r="H213" s="2609" t="s">
        <v>3326</v>
      </c>
      <c r="I213" s="2596">
        <v>452001</v>
      </c>
      <c r="J213" s="2611" t="s">
        <v>3327</v>
      </c>
      <c r="K213" s="2614" t="s">
        <v>62</v>
      </c>
      <c r="L213" s="2550" t="s">
        <v>3328</v>
      </c>
      <c r="M213" s="2582">
        <v>45200109</v>
      </c>
      <c r="N213" s="2582" t="s">
        <v>3329</v>
      </c>
      <c r="O213" s="2582">
        <v>12</v>
      </c>
      <c r="P213" s="2583"/>
      <c r="Q213" s="2644"/>
      <c r="R213" s="2601">
        <f>SUM(W213:W221)/SUM(S192:S225)</f>
        <v>0.20638941183036003</v>
      </c>
      <c r="S213" s="2630"/>
      <c r="T213" s="2633"/>
      <c r="U213" s="2634"/>
      <c r="V213" s="2604" t="s">
        <v>3330</v>
      </c>
      <c r="W213" s="2124">
        <v>15000000</v>
      </c>
      <c r="X213" s="1805" t="s">
        <v>3331</v>
      </c>
      <c r="Y213" s="2034">
        <v>20</v>
      </c>
      <c r="Z213" s="2024" t="s">
        <v>2351</v>
      </c>
      <c r="AA213" s="2638"/>
      <c r="AB213" s="2617"/>
      <c r="AC213" s="2617"/>
      <c r="AD213" s="2617"/>
      <c r="AE213" s="2617"/>
      <c r="AF213" s="2617"/>
      <c r="AG213" s="2617"/>
      <c r="AH213" s="2617"/>
      <c r="AI213" s="2617"/>
      <c r="AJ213" s="2617"/>
      <c r="AK213" s="2617"/>
      <c r="AL213" s="2617"/>
      <c r="AM213" s="2617"/>
      <c r="AN213" s="2617"/>
      <c r="AO213" s="2617"/>
      <c r="AP213" s="2617"/>
      <c r="AQ213" s="2619"/>
      <c r="AR213" s="2621"/>
      <c r="AS213" s="2623"/>
    </row>
    <row r="214" spans="1:45" ht="42.75" customHeight="1" x14ac:dyDescent="0.25">
      <c r="A214" s="1949"/>
      <c r="B214" s="2670"/>
      <c r="C214" s="1915"/>
      <c r="D214" s="1916"/>
      <c r="E214" s="2673"/>
      <c r="F214" s="2673"/>
      <c r="G214" s="2607"/>
      <c r="H214" s="2587"/>
      <c r="I214" s="2607"/>
      <c r="J214" s="2612"/>
      <c r="K214" s="2583"/>
      <c r="L214" s="2599"/>
      <c r="M214" s="2583"/>
      <c r="N214" s="2583"/>
      <c r="O214" s="2583"/>
      <c r="P214" s="2583"/>
      <c r="Q214" s="2644"/>
      <c r="R214" s="2602"/>
      <c r="S214" s="2630"/>
      <c r="T214" s="2633"/>
      <c r="U214" s="2634"/>
      <c r="V214" s="2604"/>
      <c r="W214" s="2124">
        <v>16000000</v>
      </c>
      <c r="X214" s="1805" t="s">
        <v>3332</v>
      </c>
      <c r="Y214" s="2034">
        <v>88</v>
      </c>
      <c r="Z214" s="2024" t="s">
        <v>3046</v>
      </c>
      <c r="AA214" s="2638"/>
      <c r="AB214" s="2617"/>
      <c r="AC214" s="2617"/>
      <c r="AD214" s="2617"/>
      <c r="AE214" s="2617"/>
      <c r="AF214" s="2617"/>
      <c r="AG214" s="2617"/>
      <c r="AH214" s="2617"/>
      <c r="AI214" s="2617"/>
      <c r="AJ214" s="2617"/>
      <c r="AK214" s="2617"/>
      <c r="AL214" s="2617"/>
      <c r="AM214" s="2617"/>
      <c r="AN214" s="2617"/>
      <c r="AO214" s="2617"/>
      <c r="AP214" s="2617"/>
      <c r="AQ214" s="2619"/>
      <c r="AR214" s="2621"/>
      <c r="AS214" s="2623"/>
    </row>
    <row r="215" spans="1:45" ht="30.75" customHeight="1" x14ac:dyDescent="0.25">
      <c r="A215" s="1949"/>
      <c r="B215" s="2670"/>
      <c r="C215" s="1915"/>
      <c r="D215" s="1916"/>
      <c r="E215" s="2673"/>
      <c r="F215" s="2673"/>
      <c r="G215" s="2607"/>
      <c r="H215" s="2587"/>
      <c r="I215" s="2607"/>
      <c r="J215" s="2612"/>
      <c r="K215" s="2583"/>
      <c r="L215" s="2599"/>
      <c r="M215" s="2583"/>
      <c r="N215" s="2583"/>
      <c r="O215" s="2583"/>
      <c r="P215" s="2583"/>
      <c r="Q215" s="2644"/>
      <c r="R215" s="2602"/>
      <c r="S215" s="2630"/>
      <c r="T215" s="2633"/>
      <c r="U215" s="2587"/>
      <c r="V215" s="2605" t="s">
        <v>3333</v>
      </c>
      <c r="W215" s="2125">
        <v>1000000</v>
      </c>
      <c r="X215" s="1805" t="s">
        <v>3334</v>
      </c>
      <c r="Y215" s="2590">
        <v>20</v>
      </c>
      <c r="Z215" s="2591" t="s">
        <v>2351</v>
      </c>
      <c r="AA215" s="2638"/>
      <c r="AB215" s="2617"/>
      <c r="AC215" s="2617"/>
      <c r="AD215" s="2617"/>
      <c r="AE215" s="2617"/>
      <c r="AF215" s="2617"/>
      <c r="AG215" s="2617"/>
      <c r="AH215" s="2617"/>
      <c r="AI215" s="2617"/>
      <c r="AJ215" s="2617"/>
      <c r="AK215" s="2617"/>
      <c r="AL215" s="2617"/>
      <c r="AM215" s="2617"/>
      <c r="AN215" s="2617"/>
      <c r="AO215" s="2617"/>
      <c r="AP215" s="2617"/>
      <c r="AQ215" s="2619"/>
      <c r="AR215" s="2621"/>
      <c r="AS215" s="2623"/>
    </row>
    <row r="216" spans="1:45" ht="43.5" customHeight="1" x14ac:dyDescent="0.25">
      <c r="A216" s="1949"/>
      <c r="B216" s="2670"/>
      <c r="C216" s="1915"/>
      <c r="D216" s="1916"/>
      <c r="E216" s="2673"/>
      <c r="F216" s="2673"/>
      <c r="G216" s="2607"/>
      <c r="H216" s="2587"/>
      <c r="I216" s="2607"/>
      <c r="J216" s="2612"/>
      <c r="K216" s="2583"/>
      <c r="L216" s="2599"/>
      <c r="M216" s="2583"/>
      <c r="N216" s="2583"/>
      <c r="O216" s="2583"/>
      <c r="P216" s="2583"/>
      <c r="Q216" s="2644"/>
      <c r="R216" s="2602"/>
      <c r="S216" s="2630"/>
      <c r="T216" s="2633"/>
      <c r="U216" s="2587"/>
      <c r="V216" s="2606"/>
      <c r="W216" s="2077">
        <v>1000000</v>
      </c>
      <c r="X216" s="1805" t="s">
        <v>3331</v>
      </c>
      <c r="Y216" s="2590"/>
      <c r="Z216" s="2591"/>
      <c r="AA216" s="2638"/>
      <c r="AB216" s="2617"/>
      <c r="AC216" s="2617"/>
      <c r="AD216" s="2617"/>
      <c r="AE216" s="2617"/>
      <c r="AF216" s="2617"/>
      <c r="AG216" s="2617"/>
      <c r="AH216" s="2617"/>
      <c r="AI216" s="2617"/>
      <c r="AJ216" s="2617"/>
      <c r="AK216" s="2617"/>
      <c r="AL216" s="2617"/>
      <c r="AM216" s="2617"/>
      <c r="AN216" s="2617"/>
      <c r="AO216" s="2617"/>
      <c r="AP216" s="2617"/>
      <c r="AQ216" s="2619"/>
      <c r="AR216" s="2621"/>
      <c r="AS216" s="2623"/>
    </row>
    <row r="217" spans="1:45" ht="30" x14ac:dyDescent="0.25">
      <c r="A217" s="1949"/>
      <c r="B217" s="2670"/>
      <c r="C217" s="1915"/>
      <c r="D217" s="1916"/>
      <c r="E217" s="2673"/>
      <c r="F217" s="2673"/>
      <c r="G217" s="2607"/>
      <c r="H217" s="2587"/>
      <c r="I217" s="2607"/>
      <c r="J217" s="2612"/>
      <c r="K217" s="2583"/>
      <c r="L217" s="2599"/>
      <c r="M217" s="2583"/>
      <c r="N217" s="2583"/>
      <c r="O217" s="2583"/>
      <c r="P217" s="2583"/>
      <c r="Q217" s="2644"/>
      <c r="R217" s="2602"/>
      <c r="S217" s="2630"/>
      <c r="T217" s="2633"/>
      <c r="U217" s="2587"/>
      <c r="V217" s="2049" t="s">
        <v>3335</v>
      </c>
      <c r="W217" s="2126">
        <v>7500000</v>
      </c>
      <c r="X217" s="1805" t="s">
        <v>3331</v>
      </c>
      <c r="Y217" s="2019">
        <v>20</v>
      </c>
      <c r="Z217" s="2020" t="s">
        <v>2351</v>
      </c>
      <c r="AA217" s="2617"/>
      <c r="AB217" s="2617"/>
      <c r="AC217" s="2617"/>
      <c r="AD217" s="2617"/>
      <c r="AE217" s="2617"/>
      <c r="AF217" s="2617"/>
      <c r="AG217" s="2617"/>
      <c r="AH217" s="2617"/>
      <c r="AI217" s="2617"/>
      <c r="AJ217" s="2617"/>
      <c r="AK217" s="2617"/>
      <c r="AL217" s="2617"/>
      <c r="AM217" s="2617"/>
      <c r="AN217" s="2617"/>
      <c r="AO217" s="2617"/>
      <c r="AP217" s="2617"/>
      <c r="AQ217" s="2619"/>
      <c r="AR217" s="2621"/>
      <c r="AS217" s="2623"/>
    </row>
    <row r="218" spans="1:45" ht="53.25" customHeight="1" x14ac:dyDescent="0.25">
      <c r="A218" s="1949"/>
      <c r="B218" s="2670"/>
      <c r="C218" s="1915"/>
      <c r="D218" s="1916"/>
      <c r="E218" s="2673"/>
      <c r="F218" s="2673"/>
      <c r="G218" s="2607"/>
      <c r="H218" s="2587"/>
      <c r="I218" s="2607"/>
      <c r="J218" s="2612"/>
      <c r="K218" s="2583"/>
      <c r="L218" s="2599"/>
      <c r="M218" s="2583"/>
      <c r="N218" s="2583"/>
      <c r="O218" s="2583"/>
      <c r="P218" s="2583"/>
      <c r="Q218" s="2644"/>
      <c r="R218" s="2602"/>
      <c r="S218" s="2630"/>
      <c r="T218" s="2633"/>
      <c r="U218" s="2587"/>
      <c r="V218" s="2049" t="s">
        <v>3336</v>
      </c>
      <c r="W218" s="2127">
        <v>500000</v>
      </c>
      <c r="X218" s="1805" t="s">
        <v>3331</v>
      </c>
      <c r="Y218" s="2021">
        <v>20</v>
      </c>
      <c r="Z218" s="2050" t="s">
        <v>2351</v>
      </c>
      <c r="AA218" s="2617"/>
      <c r="AB218" s="2617"/>
      <c r="AC218" s="2617"/>
      <c r="AD218" s="2617"/>
      <c r="AE218" s="2617"/>
      <c r="AF218" s="2617"/>
      <c r="AG218" s="2617"/>
      <c r="AH218" s="2617"/>
      <c r="AI218" s="2617"/>
      <c r="AJ218" s="2617"/>
      <c r="AK218" s="2617"/>
      <c r="AL218" s="2617"/>
      <c r="AM218" s="2617"/>
      <c r="AN218" s="2617"/>
      <c r="AO218" s="2617"/>
      <c r="AP218" s="2617"/>
      <c r="AQ218" s="2619"/>
      <c r="AR218" s="2621"/>
      <c r="AS218" s="2623"/>
    </row>
    <row r="219" spans="1:45" ht="57" customHeight="1" x14ac:dyDescent="0.25">
      <c r="A219" s="1949"/>
      <c r="B219" s="2670"/>
      <c r="C219" s="1915"/>
      <c r="D219" s="1916"/>
      <c r="E219" s="2673"/>
      <c r="F219" s="2673"/>
      <c r="G219" s="2607"/>
      <c r="H219" s="2587"/>
      <c r="I219" s="2607"/>
      <c r="J219" s="2612"/>
      <c r="K219" s="2583"/>
      <c r="L219" s="2599"/>
      <c r="M219" s="2583"/>
      <c r="N219" s="2583"/>
      <c r="O219" s="2583"/>
      <c r="P219" s="2583"/>
      <c r="Q219" s="2644"/>
      <c r="R219" s="2602"/>
      <c r="S219" s="2630"/>
      <c r="T219" s="2633"/>
      <c r="U219" s="2587"/>
      <c r="V219" s="2592" t="s">
        <v>3337</v>
      </c>
      <c r="W219" s="2127">
        <f>10000000-2000000</f>
        <v>8000000</v>
      </c>
      <c r="X219" s="1805" t="s">
        <v>3331</v>
      </c>
      <c r="Y219" s="2021">
        <v>20</v>
      </c>
      <c r="Z219" s="2050" t="s">
        <v>2351</v>
      </c>
      <c r="AA219" s="2617"/>
      <c r="AB219" s="2617"/>
      <c r="AC219" s="2617"/>
      <c r="AD219" s="2617"/>
      <c r="AE219" s="2617"/>
      <c r="AF219" s="2617"/>
      <c r="AG219" s="2617"/>
      <c r="AH219" s="2617"/>
      <c r="AI219" s="2617"/>
      <c r="AJ219" s="2617"/>
      <c r="AK219" s="2617"/>
      <c r="AL219" s="2617"/>
      <c r="AM219" s="2617"/>
      <c r="AN219" s="2617"/>
      <c r="AO219" s="2617"/>
      <c r="AP219" s="2617"/>
      <c r="AQ219" s="2619"/>
      <c r="AR219" s="2621"/>
      <c r="AS219" s="2623"/>
    </row>
    <row r="220" spans="1:45" ht="57" customHeight="1" x14ac:dyDescent="0.25">
      <c r="A220" s="1949"/>
      <c r="B220" s="2670"/>
      <c r="C220" s="1915"/>
      <c r="D220" s="1916"/>
      <c r="E220" s="2673"/>
      <c r="F220" s="2673"/>
      <c r="G220" s="2607"/>
      <c r="H220" s="2587"/>
      <c r="I220" s="2607"/>
      <c r="J220" s="2612"/>
      <c r="K220" s="2583"/>
      <c r="L220" s="2599"/>
      <c r="M220" s="2583"/>
      <c r="N220" s="2583"/>
      <c r="O220" s="2583"/>
      <c r="P220" s="2583"/>
      <c r="Q220" s="2644"/>
      <c r="R220" s="2602"/>
      <c r="S220" s="2630"/>
      <c r="T220" s="2633"/>
      <c r="U220" s="2051"/>
      <c r="V220" s="2593"/>
      <c r="W220" s="2127">
        <v>2000000</v>
      </c>
      <c r="X220" s="1805" t="s">
        <v>3334</v>
      </c>
      <c r="Y220" s="2021">
        <v>20</v>
      </c>
      <c r="Z220" s="2050" t="s">
        <v>2351</v>
      </c>
      <c r="AA220" s="2617"/>
      <c r="AB220" s="2617"/>
      <c r="AC220" s="2617"/>
      <c r="AD220" s="2617"/>
      <c r="AE220" s="2617"/>
      <c r="AF220" s="2617"/>
      <c r="AG220" s="2617"/>
      <c r="AH220" s="2617"/>
      <c r="AI220" s="2617"/>
      <c r="AJ220" s="2617"/>
      <c r="AK220" s="2617"/>
      <c r="AL220" s="2617"/>
      <c r="AM220" s="2617"/>
      <c r="AN220" s="2617"/>
      <c r="AO220" s="2617"/>
      <c r="AP220" s="2617"/>
      <c r="AQ220" s="2619"/>
      <c r="AR220" s="2621"/>
      <c r="AS220" s="2623"/>
    </row>
    <row r="221" spans="1:45" ht="45" customHeight="1" x14ac:dyDescent="0.25">
      <c r="A221" s="1949"/>
      <c r="B221" s="2670"/>
      <c r="C221" s="1915"/>
      <c r="D221" s="1916"/>
      <c r="E221" s="2673"/>
      <c r="F221" s="2673"/>
      <c r="G221" s="2608"/>
      <c r="H221" s="2610"/>
      <c r="I221" s="2608"/>
      <c r="J221" s="2613"/>
      <c r="K221" s="2600"/>
      <c r="L221" s="2551"/>
      <c r="M221" s="2600"/>
      <c r="N221" s="2600"/>
      <c r="O221" s="2600"/>
      <c r="P221" s="2583"/>
      <c r="Q221" s="2644"/>
      <c r="R221" s="2603"/>
      <c r="S221" s="2630"/>
      <c r="T221" s="2633"/>
      <c r="U221" s="2051"/>
      <c r="V221" s="2594"/>
      <c r="W221" s="2127">
        <v>19893401</v>
      </c>
      <c r="X221" s="1805" t="s">
        <v>3338</v>
      </c>
      <c r="Y221" s="2034">
        <v>88</v>
      </c>
      <c r="Z221" s="2024" t="s">
        <v>3046</v>
      </c>
      <c r="AA221" s="2617"/>
      <c r="AB221" s="2617"/>
      <c r="AC221" s="2617"/>
      <c r="AD221" s="2617"/>
      <c r="AE221" s="2617"/>
      <c r="AF221" s="2617"/>
      <c r="AG221" s="2617"/>
      <c r="AH221" s="2617"/>
      <c r="AI221" s="2617"/>
      <c r="AJ221" s="2617"/>
      <c r="AK221" s="2617"/>
      <c r="AL221" s="2617"/>
      <c r="AM221" s="2617"/>
      <c r="AN221" s="2617"/>
      <c r="AO221" s="2617"/>
      <c r="AP221" s="2617"/>
      <c r="AQ221" s="2619"/>
      <c r="AR221" s="2621"/>
      <c r="AS221" s="2623"/>
    </row>
    <row r="222" spans="1:45" ht="42.75" customHeight="1" x14ac:dyDescent="0.25">
      <c r="A222" s="1949"/>
      <c r="B222" s="2670"/>
      <c r="C222" s="1915"/>
      <c r="D222" s="1916"/>
      <c r="E222" s="2673"/>
      <c r="F222" s="2673"/>
      <c r="G222" s="2595" t="s">
        <v>62</v>
      </c>
      <c r="H222" s="2597" t="s">
        <v>3339</v>
      </c>
      <c r="I222" s="2595">
        <v>4502035</v>
      </c>
      <c r="J222" s="2597" t="s">
        <v>1107</v>
      </c>
      <c r="K222" s="2595" t="s">
        <v>62</v>
      </c>
      <c r="L222" s="2550" t="s">
        <v>3340</v>
      </c>
      <c r="M222" s="2582">
        <v>450203501</v>
      </c>
      <c r="N222" s="2582" t="s">
        <v>3341</v>
      </c>
      <c r="O222" s="2582">
        <v>1</v>
      </c>
      <c r="P222" s="2583"/>
      <c r="Q222" s="2644"/>
      <c r="R222" s="2584">
        <f>SUM(W222:W225)/SUM(S192:S225)</f>
        <v>0.12984237796172393</v>
      </c>
      <c r="S222" s="2630"/>
      <c r="T222" s="2633"/>
      <c r="U222" s="2586" t="s">
        <v>3342</v>
      </c>
      <c r="V222" s="2588" t="s">
        <v>3343</v>
      </c>
      <c r="W222" s="2070">
        <v>13000000</v>
      </c>
      <c r="X222" s="1805" t="s">
        <v>3344</v>
      </c>
      <c r="Y222" s="2021">
        <v>20</v>
      </c>
      <c r="Z222" s="2050" t="s">
        <v>2351</v>
      </c>
      <c r="AA222" s="2617"/>
      <c r="AB222" s="2617"/>
      <c r="AC222" s="2617"/>
      <c r="AD222" s="2617"/>
      <c r="AE222" s="2617"/>
      <c r="AF222" s="2617"/>
      <c r="AG222" s="2617"/>
      <c r="AH222" s="2617"/>
      <c r="AI222" s="2617"/>
      <c r="AJ222" s="2617"/>
      <c r="AK222" s="2617"/>
      <c r="AL222" s="2617"/>
      <c r="AM222" s="2617"/>
      <c r="AN222" s="2617"/>
      <c r="AO222" s="2617"/>
      <c r="AP222" s="2617"/>
      <c r="AQ222" s="2619"/>
      <c r="AR222" s="2621"/>
      <c r="AS222" s="2623"/>
    </row>
    <row r="223" spans="1:45" ht="42.75" customHeight="1" x14ac:dyDescent="0.25">
      <c r="A223" s="1949"/>
      <c r="B223" s="2670"/>
      <c r="C223" s="1915"/>
      <c r="D223" s="1916"/>
      <c r="E223" s="2673"/>
      <c r="F223" s="2673"/>
      <c r="G223" s="2595"/>
      <c r="H223" s="2598"/>
      <c r="I223" s="2595"/>
      <c r="J223" s="2598"/>
      <c r="K223" s="2595"/>
      <c r="L223" s="2599"/>
      <c r="M223" s="2583"/>
      <c r="N223" s="2583"/>
      <c r="O223" s="2583"/>
      <c r="P223" s="2583"/>
      <c r="Q223" s="2644"/>
      <c r="R223" s="2584"/>
      <c r="S223" s="2630"/>
      <c r="T223" s="2633"/>
      <c r="U223" s="2587"/>
      <c r="V223" s="2589"/>
      <c r="W223" s="2070">
        <v>19600000</v>
      </c>
      <c r="X223" s="1805" t="s">
        <v>3345</v>
      </c>
      <c r="Y223" s="2034">
        <v>88</v>
      </c>
      <c r="Z223" s="2024" t="s">
        <v>3046</v>
      </c>
      <c r="AA223" s="2617"/>
      <c r="AB223" s="2617"/>
      <c r="AC223" s="2617"/>
      <c r="AD223" s="2617"/>
      <c r="AE223" s="2617"/>
      <c r="AF223" s="2617"/>
      <c r="AG223" s="2617"/>
      <c r="AH223" s="2617"/>
      <c r="AI223" s="2617"/>
      <c r="AJ223" s="2617"/>
      <c r="AK223" s="2617"/>
      <c r="AL223" s="2617"/>
      <c r="AM223" s="2617"/>
      <c r="AN223" s="2617"/>
      <c r="AO223" s="2617"/>
      <c r="AP223" s="2617"/>
      <c r="AQ223" s="2619"/>
      <c r="AR223" s="2621"/>
      <c r="AS223" s="2623"/>
    </row>
    <row r="224" spans="1:45" ht="51" customHeight="1" x14ac:dyDescent="0.25">
      <c r="A224" s="1949"/>
      <c r="B224" s="2670"/>
      <c r="C224" s="1915"/>
      <c r="D224" s="1916"/>
      <c r="E224" s="2673"/>
      <c r="F224" s="2673"/>
      <c r="G224" s="2595"/>
      <c r="H224" s="2598"/>
      <c r="I224" s="2595"/>
      <c r="J224" s="2598"/>
      <c r="K224" s="2595"/>
      <c r="L224" s="2599"/>
      <c r="M224" s="2583"/>
      <c r="N224" s="2583"/>
      <c r="O224" s="2583"/>
      <c r="P224" s="2583"/>
      <c r="Q224" s="2644"/>
      <c r="R224" s="2584"/>
      <c r="S224" s="2630"/>
      <c r="T224" s="2633"/>
      <c r="U224" s="2587"/>
      <c r="V224" s="1918" t="s">
        <v>3346</v>
      </c>
      <c r="W224" s="2070">
        <v>2000000</v>
      </c>
      <c r="X224" s="1805" t="s">
        <v>3347</v>
      </c>
      <c r="Y224" s="2021">
        <v>20</v>
      </c>
      <c r="Z224" s="2050" t="s">
        <v>2351</v>
      </c>
      <c r="AA224" s="2617"/>
      <c r="AB224" s="2617"/>
      <c r="AC224" s="2617"/>
      <c r="AD224" s="2617"/>
      <c r="AE224" s="2617"/>
      <c r="AF224" s="2617"/>
      <c r="AG224" s="2617"/>
      <c r="AH224" s="2617"/>
      <c r="AI224" s="2617"/>
      <c r="AJ224" s="2617"/>
      <c r="AK224" s="2617"/>
      <c r="AL224" s="2617"/>
      <c r="AM224" s="2617"/>
      <c r="AN224" s="2617"/>
      <c r="AO224" s="2617"/>
      <c r="AP224" s="2617"/>
      <c r="AQ224" s="2619"/>
      <c r="AR224" s="2621"/>
      <c r="AS224" s="2623"/>
    </row>
    <row r="225" spans="1:45" ht="51.75" customHeight="1" x14ac:dyDescent="0.25">
      <c r="A225" s="1949"/>
      <c r="B225" s="2670"/>
      <c r="C225" s="1915"/>
      <c r="D225" s="1916"/>
      <c r="E225" s="2673"/>
      <c r="F225" s="2673"/>
      <c r="G225" s="2596"/>
      <c r="H225" s="2598"/>
      <c r="I225" s="2596"/>
      <c r="J225" s="2598"/>
      <c r="K225" s="2596"/>
      <c r="L225" s="2599"/>
      <c r="M225" s="2583"/>
      <c r="N225" s="2583"/>
      <c r="O225" s="2583"/>
      <c r="P225" s="2583"/>
      <c r="Q225" s="2644"/>
      <c r="R225" s="2585"/>
      <c r="S225" s="2631"/>
      <c r="T225" s="2633"/>
      <c r="U225" s="2587"/>
      <c r="V225" s="2052" t="s">
        <v>3348</v>
      </c>
      <c r="W225" s="2071">
        <v>10000000</v>
      </c>
      <c r="X225" s="1808" t="s">
        <v>3344</v>
      </c>
      <c r="Y225" s="2031">
        <v>20</v>
      </c>
      <c r="Z225" s="2022" t="s">
        <v>2351</v>
      </c>
      <c r="AA225" s="2617"/>
      <c r="AB225" s="2617"/>
      <c r="AC225" s="2617"/>
      <c r="AD225" s="2617"/>
      <c r="AE225" s="2617"/>
      <c r="AF225" s="2617"/>
      <c r="AG225" s="2617"/>
      <c r="AH225" s="2617"/>
      <c r="AI225" s="2617"/>
      <c r="AJ225" s="2617"/>
      <c r="AK225" s="2617"/>
      <c r="AL225" s="2617"/>
      <c r="AM225" s="2617"/>
      <c r="AN225" s="2617"/>
      <c r="AO225" s="2617"/>
      <c r="AP225" s="2617"/>
      <c r="AQ225" s="2619"/>
      <c r="AR225" s="2621"/>
      <c r="AS225" s="2623"/>
    </row>
    <row r="226" spans="1:45" ht="27" customHeight="1" x14ac:dyDescent="0.25">
      <c r="A226" s="2053"/>
      <c r="B226" s="2054"/>
      <c r="C226" s="2054"/>
      <c r="D226" s="2054"/>
      <c r="E226" s="2054"/>
      <c r="F226" s="2054"/>
      <c r="G226" s="2054"/>
      <c r="H226" s="2055"/>
      <c r="I226" s="2054"/>
      <c r="J226" s="2055"/>
      <c r="K226" s="2054"/>
      <c r="L226" s="2055"/>
      <c r="M226" s="2054"/>
      <c r="N226" s="2054"/>
      <c r="O226" s="2054"/>
      <c r="P226" s="2054"/>
      <c r="Q226" s="2055"/>
      <c r="R226" s="2056"/>
      <c r="S226" s="2138">
        <f>SUM(S9:S225)</f>
        <v>6632641520.3299999</v>
      </c>
      <c r="T226" s="2057"/>
      <c r="U226" s="2058"/>
      <c r="V226" s="1182" t="s">
        <v>118</v>
      </c>
      <c r="W226" s="2128">
        <f>SUM(W9:W225)</f>
        <v>6632641520.3299999</v>
      </c>
      <c r="X226" s="2059"/>
      <c r="Y226" s="2060"/>
      <c r="Z226" s="2054"/>
      <c r="AA226" s="2054"/>
      <c r="AB226" s="2054"/>
      <c r="AC226" s="2054"/>
      <c r="AD226" s="2054"/>
      <c r="AE226" s="2054"/>
      <c r="AF226" s="2054"/>
      <c r="AG226" s="2054"/>
      <c r="AH226" s="2054"/>
      <c r="AI226" s="2054"/>
      <c r="AJ226" s="2054"/>
      <c r="AK226" s="2054"/>
      <c r="AL226" s="2054"/>
      <c r="AM226" s="2054"/>
      <c r="AN226" s="2054"/>
      <c r="AO226" s="2054"/>
      <c r="AP226" s="2054"/>
      <c r="AQ226" s="2061"/>
      <c r="AR226" s="2061"/>
      <c r="AS226" s="2062"/>
    </row>
  </sheetData>
  <sheetProtection algorithmName="SHA-512" hashValue="3eW+vCI3ZEvNxnUj3UX3KaFXyJ1gHjERm+31lH3fQb86Nf1crb1VJmqV11E6fEaRBoFM4vZWz8sLjRRv6smhmA==" saltValue="rRdcHz7OvYpFPj+PXdTr9g==" spinCount="100000" sheet="1" objects="1" scenarios="1"/>
  <mergeCells count="652">
    <mergeCell ref="A1:AQ4"/>
    <mergeCell ref="A5:O6"/>
    <mergeCell ref="P5:AS5"/>
    <mergeCell ref="AA6:AO6"/>
    <mergeCell ref="A7:B7"/>
    <mergeCell ref="C7:D7"/>
    <mergeCell ref="E7:F7"/>
    <mergeCell ref="G7:J7"/>
    <mergeCell ref="K7:N7"/>
    <mergeCell ref="O7:W7"/>
    <mergeCell ref="B9:F9"/>
    <mergeCell ref="D10:I10"/>
    <mergeCell ref="A11:A30"/>
    <mergeCell ref="B11:B30"/>
    <mergeCell ref="F11:P11"/>
    <mergeCell ref="E12:E20"/>
    <mergeCell ref="F12:F20"/>
    <mergeCell ref="X7:Z7"/>
    <mergeCell ref="AA7:AB7"/>
    <mergeCell ref="G12:G20"/>
    <mergeCell ref="H12:H20"/>
    <mergeCell ref="I12:I20"/>
    <mergeCell ref="J12:J20"/>
    <mergeCell ref="K12:K20"/>
    <mergeCell ref="L12:L20"/>
    <mergeCell ref="AQ7:AQ8"/>
    <mergeCell ref="AR7:AR8"/>
    <mergeCell ref="AS7:AS8"/>
    <mergeCell ref="AC7:AF7"/>
    <mergeCell ref="AG7:AL7"/>
    <mergeCell ref="AM7:AO7"/>
    <mergeCell ref="AP7:AP8"/>
    <mergeCell ref="S12:S20"/>
    <mergeCell ref="T12:T20"/>
    <mergeCell ref="U12:U20"/>
    <mergeCell ref="V12:V13"/>
    <mergeCell ref="AA12:AA20"/>
    <mergeCell ref="AB12:AB20"/>
    <mergeCell ref="M12:M20"/>
    <mergeCell ref="N12:N20"/>
    <mergeCell ref="O12:O20"/>
    <mergeCell ref="P12:P20"/>
    <mergeCell ref="Q12:Q20"/>
    <mergeCell ref="R12:R20"/>
    <mergeCell ref="AO12:AO20"/>
    <mergeCell ref="AP12:AP20"/>
    <mergeCell ref="AQ12:AQ20"/>
    <mergeCell ref="AR12:AR20"/>
    <mergeCell ref="AS12:AS20"/>
    <mergeCell ref="V15:V16"/>
    <mergeCell ref="AI12:AI20"/>
    <mergeCell ref="AJ12:AJ20"/>
    <mergeCell ref="AK12:AK20"/>
    <mergeCell ref="AL12:AL20"/>
    <mergeCell ref="AM12:AM20"/>
    <mergeCell ref="AN12:AN20"/>
    <mergeCell ref="AC12:AC20"/>
    <mergeCell ref="AD12:AD20"/>
    <mergeCell ref="AE12:AE20"/>
    <mergeCell ref="AF12:AF20"/>
    <mergeCell ref="AG12:AG20"/>
    <mergeCell ref="AH12:AH20"/>
    <mergeCell ref="F21:N21"/>
    <mergeCell ref="E22:E24"/>
    <mergeCell ref="F22:F24"/>
    <mergeCell ref="G22:G24"/>
    <mergeCell ref="H22:H24"/>
    <mergeCell ref="I22:I24"/>
    <mergeCell ref="J22:J24"/>
    <mergeCell ref="K22:K24"/>
    <mergeCell ref="L22:L24"/>
    <mergeCell ref="M22:M24"/>
    <mergeCell ref="AS22:AS24"/>
    <mergeCell ref="F25:N25"/>
    <mergeCell ref="E26:E30"/>
    <mergeCell ref="F26:F30"/>
    <mergeCell ref="G26:G30"/>
    <mergeCell ref="H26:H30"/>
    <mergeCell ref="I26:I30"/>
    <mergeCell ref="AJ22:AJ24"/>
    <mergeCell ref="AK22:AK24"/>
    <mergeCell ref="AL22:AL24"/>
    <mergeCell ref="AM22:AM24"/>
    <mergeCell ref="AN22:AN24"/>
    <mergeCell ref="AO22:AO24"/>
    <mergeCell ref="AD22:AD24"/>
    <mergeCell ref="AE22:AE24"/>
    <mergeCell ref="AF22:AF24"/>
    <mergeCell ref="AG22:AG24"/>
    <mergeCell ref="AH22:AH24"/>
    <mergeCell ref="AI22:AI24"/>
    <mergeCell ref="T22:T24"/>
    <mergeCell ref="U22:U24"/>
    <mergeCell ref="V22:V23"/>
    <mergeCell ref="AA22:AA24"/>
    <mergeCell ref="AB22:AB24"/>
    <mergeCell ref="J26:J30"/>
    <mergeCell ref="K26:K30"/>
    <mergeCell ref="L26:L30"/>
    <mergeCell ref="M26:M30"/>
    <mergeCell ref="N26:N30"/>
    <mergeCell ref="O26:O30"/>
    <mergeCell ref="AP22:AP24"/>
    <mergeCell ref="AQ22:AQ24"/>
    <mergeCell ref="AR22:AR24"/>
    <mergeCell ref="AC22:AC24"/>
    <mergeCell ref="N22:N24"/>
    <mergeCell ref="O22:O24"/>
    <mergeCell ref="P22:P24"/>
    <mergeCell ref="Q22:Q24"/>
    <mergeCell ref="R22:R24"/>
    <mergeCell ref="S22:S24"/>
    <mergeCell ref="AC26:AC30"/>
    <mergeCell ref="AD26:AD30"/>
    <mergeCell ref="AE26:AE30"/>
    <mergeCell ref="AF26:AF30"/>
    <mergeCell ref="P26:P30"/>
    <mergeCell ref="Q26:Q30"/>
    <mergeCell ref="R26:R30"/>
    <mergeCell ref="S26:S30"/>
    <mergeCell ref="T26:T30"/>
    <mergeCell ref="U26:U30"/>
    <mergeCell ref="G33:G38"/>
    <mergeCell ref="H33:H38"/>
    <mergeCell ref="I33:I38"/>
    <mergeCell ref="J33:J38"/>
    <mergeCell ref="AS26:AS30"/>
    <mergeCell ref="V27:V29"/>
    <mergeCell ref="Y27:Y29"/>
    <mergeCell ref="Z27:Z29"/>
    <mergeCell ref="D31:G31"/>
    <mergeCell ref="F32:N32"/>
    <mergeCell ref="AM26:AM30"/>
    <mergeCell ref="AN26:AN30"/>
    <mergeCell ref="AO26:AO30"/>
    <mergeCell ref="AP26:AP30"/>
    <mergeCell ref="AQ26:AQ30"/>
    <mergeCell ref="AR26:AR30"/>
    <mergeCell ref="AG26:AG30"/>
    <mergeCell ref="AH26:AH30"/>
    <mergeCell ref="AI26:AI30"/>
    <mergeCell ref="AJ26:AJ30"/>
    <mergeCell ref="AK26:AK30"/>
    <mergeCell ref="AL26:AL30"/>
    <mergeCell ref="AA26:AA30"/>
    <mergeCell ref="AB26:AB30"/>
    <mergeCell ref="A40:A100"/>
    <mergeCell ref="F40:M40"/>
    <mergeCell ref="E41:E89"/>
    <mergeCell ref="F41:F89"/>
    <mergeCell ref="G41:G60"/>
    <mergeCell ref="H41:H60"/>
    <mergeCell ref="AM33:AM38"/>
    <mergeCell ref="AN33:AN38"/>
    <mergeCell ref="AO33:AO38"/>
    <mergeCell ref="AG33:AG38"/>
    <mergeCell ref="AH33:AH38"/>
    <mergeCell ref="AI33:AI38"/>
    <mergeCell ref="AJ33:AJ38"/>
    <mergeCell ref="AK33:AK38"/>
    <mergeCell ref="AL33:AL38"/>
    <mergeCell ref="AA33:AA38"/>
    <mergeCell ref="AB33:AB38"/>
    <mergeCell ref="AC33:AC38"/>
    <mergeCell ref="AD33:AD38"/>
    <mergeCell ref="AE33:AE38"/>
    <mergeCell ref="AF33:AF38"/>
    <mergeCell ref="Q33:Q38"/>
    <mergeCell ref="R33:R38"/>
    <mergeCell ref="S33:S38"/>
    <mergeCell ref="I41:I60"/>
    <mergeCell ref="J41:J60"/>
    <mergeCell ref="K41:K60"/>
    <mergeCell ref="L41:L60"/>
    <mergeCell ref="M41:M60"/>
    <mergeCell ref="N41:N60"/>
    <mergeCell ref="AS33:AS38"/>
    <mergeCell ref="V35:V36"/>
    <mergeCell ref="V37:V38"/>
    <mergeCell ref="D39:I39"/>
    <mergeCell ref="AP33:AP38"/>
    <mergeCell ref="AQ33:AQ38"/>
    <mergeCell ref="AR33:AR38"/>
    <mergeCell ref="T33:T38"/>
    <mergeCell ref="U33:U38"/>
    <mergeCell ref="V33:V34"/>
    <mergeCell ref="K33:K38"/>
    <mergeCell ref="L33:L38"/>
    <mergeCell ref="M33:M38"/>
    <mergeCell ref="N33:N38"/>
    <mergeCell ref="O33:O38"/>
    <mergeCell ref="P33:P38"/>
    <mergeCell ref="E33:E38"/>
    <mergeCell ref="F33:F38"/>
    <mergeCell ref="U41:U60"/>
    <mergeCell ref="V41:V42"/>
    <mergeCell ref="AA41:AA89"/>
    <mergeCell ref="AB41:AB89"/>
    <mergeCell ref="AC41:AC89"/>
    <mergeCell ref="AD41:AD89"/>
    <mergeCell ref="V59:V60"/>
    <mergeCell ref="O41:O60"/>
    <mergeCell ref="P41:P89"/>
    <mergeCell ref="Q41:Q89"/>
    <mergeCell ref="R41:R60"/>
    <mergeCell ref="S41:S89"/>
    <mergeCell ref="T41:T89"/>
    <mergeCell ref="AQ41:AQ89"/>
    <mergeCell ref="AR41:AR89"/>
    <mergeCell ref="AS41:AS89"/>
    <mergeCell ref="V43:V44"/>
    <mergeCell ref="V45:V46"/>
    <mergeCell ref="V47:V50"/>
    <mergeCell ref="V51:V52"/>
    <mergeCell ref="V53:V54"/>
    <mergeCell ref="V55:V56"/>
    <mergeCell ref="V57:V58"/>
    <mergeCell ref="AK41:AK89"/>
    <mergeCell ref="AL41:AL89"/>
    <mergeCell ref="AM41:AM89"/>
    <mergeCell ref="AN41:AN89"/>
    <mergeCell ref="AO41:AO89"/>
    <mergeCell ref="AP41:AP89"/>
    <mergeCell ref="AE41:AE89"/>
    <mergeCell ref="AF41:AF89"/>
    <mergeCell ref="AG41:AG89"/>
    <mergeCell ref="AH41:AH89"/>
    <mergeCell ref="AI41:AI89"/>
    <mergeCell ref="AJ41:AJ89"/>
    <mergeCell ref="M61:M66"/>
    <mergeCell ref="N61:N66"/>
    <mergeCell ref="O61:O66"/>
    <mergeCell ref="R61:R66"/>
    <mergeCell ref="U61:U66"/>
    <mergeCell ref="V61:V62"/>
    <mergeCell ref="V63:V64"/>
    <mergeCell ref="G61:G66"/>
    <mergeCell ref="H61:H66"/>
    <mergeCell ref="I61:I66"/>
    <mergeCell ref="J61:J66"/>
    <mergeCell ref="K61:K66"/>
    <mergeCell ref="L61:L66"/>
    <mergeCell ref="M67:M75"/>
    <mergeCell ref="N67:N75"/>
    <mergeCell ref="O67:O75"/>
    <mergeCell ref="R67:R75"/>
    <mergeCell ref="U67:U75"/>
    <mergeCell ref="V69:V71"/>
    <mergeCell ref="V73:V74"/>
    <mergeCell ref="G67:G75"/>
    <mergeCell ref="H67:H75"/>
    <mergeCell ref="I67:I75"/>
    <mergeCell ref="J67:J75"/>
    <mergeCell ref="K67:K75"/>
    <mergeCell ref="L67:L75"/>
    <mergeCell ref="M76:M81"/>
    <mergeCell ref="N76:N81"/>
    <mergeCell ref="O76:O81"/>
    <mergeCell ref="R76:R81"/>
    <mergeCell ref="U76:U81"/>
    <mergeCell ref="V76:V81"/>
    <mergeCell ref="G76:G81"/>
    <mergeCell ref="H76:H81"/>
    <mergeCell ref="I76:I81"/>
    <mergeCell ref="J76:J81"/>
    <mergeCell ref="K76:K81"/>
    <mergeCell ref="L76:L81"/>
    <mergeCell ref="M82:M89"/>
    <mergeCell ref="N82:N89"/>
    <mergeCell ref="O82:O89"/>
    <mergeCell ref="R82:R89"/>
    <mergeCell ref="U82:U89"/>
    <mergeCell ref="V82:V83"/>
    <mergeCell ref="V84:V85"/>
    <mergeCell ref="V87:V89"/>
    <mergeCell ref="G82:G89"/>
    <mergeCell ref="H82:H89"/>
    <mergeCell ref="I82:I89"/>
    <mergeCell ref="J82:J89"/>
    <mergeCell ref="K82:K89"/>
    <mergeCell ref="L82:L89"/>
    <mergeCell ref="F90:P90"/>
    <mergeCell ref="E91:E100"/>
    <mergeCell ref="F91:F100"/>
    <mergeCell ref="G91:G100"/>
    <mergeCell ref="H91:H100"/>
    <mergeCell ref="I91:I100"/>
    <mergeCell ref="J91:J100"/>
    <mergeCell ref="K91:K100"/>
    <mergeCell ref="L91:L100"/>
    <mergeCell ref="M91:M100"/>
    <mergeCell ref="T91:T100"/>
    <mergeCell ref="U91:U100"/>
    <mergeCell ref="V91:V93"/>
    <mergeCell ref="AA91:AA100"/>
    <mergeCell ref="AB91:AB100"/>
    <mergeCell ref="AC91:AC100"/>
    <mergeCell ref="N91:N100"/>
    <mergeCell ref="O91:O100"/>
    <mergeCell ref="P91:P100"/>
    <mergeCell ref="Q91:Q100"/>
    <mergeCell ref="R91:R100"/>
    <mergeCell ref="S91:S100"/>
    <mergeCell ref="AP91:AP100"/>
    <mergeCell ref="AQ91:AQ100"/>
    <mergeCell ref="AR91:AR100"/>
    <mergeCell ref="AS91:AS100"/>
    <mergeCell ref="V94:V98"/>
    <mergeCell ref="V99:V100"/>
    <mergeCell ref="AJ91:AJ100"/>
    <mergeCell ref="AK91:AK100"/>
    <mergeCell ref="AL91:AL100"/>
    <mergeCell ref="AM91:AM100"/>
    <mergeCell ref="AN91:AN100"/>
    <mergeCell ref="AO91:AO100"/>
    <mergeCell ref="AD91:AD100"/>
    <mergeCell ref="AE91:AE100"/>
    <mergeCell ref="AF91:AF100"/>
    <mergeCell ref="AG91:AG100"/>
    <mergeCell ref="AH91:AH100"/>
    <mergeCell ref="AI91:AI100"/>
    <mergeCell ref="K103:K121"/>
    <mergeCell ref="L103:L121"/>
    <mergeCell ref="M103:M121"/>
    <mergeCell ref="N103:N121"/>
    <mergeCell ref="O103:O121"/>
    <mergeCell ref="P103:P121"/>
    <mergeCell ref="D101:H101"/>
    <mergeCell ref="A102:A125"/>
    <mergeCell ref="B102:B125"/>
    <mergeCell ref="F102:N102"/>
    <mergeCell ref="E103:E121"/>
    <mergeCell ref="F103:F121"/>
    <mergeCell ref="G103:G121"/>
    <mergeCell ref="H103:H121"/>
    <mergeCell ref="I103:I121"/>
    <mergeCell ref="J103:J121"/>
    <mergeCell ref="AK103:AK121"/>
    <mergeCell ref="AL103:AL121"/>
    <mergeCell ref="AA103:AA121"/>
    <mergeCell ref="AB103:AB121"/>
    <mergeCell ref="AC103:AC121"/>
    <mergeCell ref="AD103:AD121"/>
    <mergeCell ref="AE103:AE121"/>
    <mergeCell ref="AF103:AF121"/>
    <mergeCell ref="Q103:Q121"/>
    <mergeCell ref="R103:R121"/>
    <mergeCell ref="S103:S121"/>
    <mergeCell ref="T103:T121"/>
    <mergeCell ref="U103:U121"/>
    <mergeCell ref="V103:V104"/>
    <mergeCell ref="E122:E125"/>
    <mergeCell ref="F122:F125"/>
    <mergeCell ref="G122:G125"/>
    <mergeCell ref="H122:H125"/>
    <mergeCell ref="I122:I125"/>
    <mergeCell ref="J122:J125"/>
    <mergeCell ref="AS103:AS121"/>
    <mergeCell ref="V106:V107"/>
    <mergeCell ref="V108:V109"/>
    <mergeCell ref="V112:V113"/>
    <mergeCell ref="Y112:Y113"/>
    <mergeCell ref="Z112:Z113"/>
    <mergeCell ref="V116:V118"/>
    <mergeCell ref="V120:V121"/>
    <mergeCell ref="AM103:AM121"/>
    <mergeCell ref="AN103:AN121"/>
    <mergeCell ref="AO103:AO121"/>
    <mergeCell ref="AP103:AP121"/>
    <mergeCell ref="AQ103:AQ121"/>
    <mergeCell ref="AR103:AR121"/>
    <mergeCell ref="AG103:AG121"/>
    <mergeCell ref="AH103:AH121"/>
    <mergeCell ref="AI103:AI121"/>
    <mergeCell ref="AJ103:AJ121"/>
    <mergeCell ref="Q122:Q125"/>
    <mergeCell ref="R122:R125"/>
    <mergeCell ref="S122:S125"/>
    <mergeCell ref="T122:T125"/>
    <mergeCell ref="U122:U125"/>
    <mergeCell ref="V122:V123"/>
    <mergeCell ref="K122:K125"/>
    <mergeCell ref="L122:L125"/>
    <mergeCell ref="M122:M125"/>
    <mergeCell ref="N122:N125"/>
    <mergeCell ref="O122:O125"/>
    <mergeCell ref="P122:P125"/>
    <mergeCell ref="AS122:AS125"/>
    <mergeCell ref="V124:V125"/>
    <mergeCell ref="Y124:Y125"/>
    <mergeCell ref="Z124:Z125"/>
    <mergeCell ref="B126:H126"/>
    <mergeCell ref="D127:I127"/>
    <mergeCell ref="AM122:AM125"/>
    <mergeCell ref="AN122:AN125"/>
    <mergeCell ref="AO122:AO125"/>
    <mergeCell ref="AP122:AP125"/>
    <mergeCell ref="AQ122:AQ125"/>
    <mergeCell ref="AR122:AR125"/>
    <mergeCell ref="AG122:AG125"/>
    <mergeCell ref="AH122:AH125"/>
    <mergeCell ref="AI122:AI125"/>
    <mergeCell ref="AJ122:AJ125"/>
    <mergeCell ref="AK122:AK125"/>
    <mergeCell ref="AL122:AL125"/>
    <mergeCell ref="AA122:AA125"/>
    <mergeCell ref="AB122:AB125"/>
    <mergeCell ref="AC122:AC125"/>
    <mergeCell ref="AD122:AD125"/>
    <mergeCell ref="AE122:AE125"/>
    <mergeCell ref="AF122:AF125"/>
    <mergeCell ref="N129:N132"/>
    <mergeCell ref="O129:O132"/>
    <mergeCell ref="P129:P132"/>
    <mergeCell ref="Q129:Q132"/>
    <mergeCell ref="R129:R132"/>
    <mergeCell ref="S129:S132"/>
    <mergeCell ref="F128:Q128"/>
    <mergeCell ref="E129:E132"/>
    <mergeCell ref="F129:F132"/>
    <mergeCell ref="G129:G132"/>
    <mergeCell ref="H129:H132"/>
    <mergeCell ref="I129:I132"/>
    <mergeCell ref="J129:J132"/>
    <mergeCell ref="K129:K132"/>
    <mergeCell ref="L129:L132"/>
    <mergeCell ref="M129:M132"/>
    <mergeCell ref="AP129:AP132"/>
    <mergeCell ref="AQ129:AQ132"/>
    <mergeCell ref="AR129:AR132"/>
    <mergeCell ref="AS129:AS132"/>
    <mergeCell ref="V131:V132"/>
    <mergeCell ref="D133:H133"/>
    <mergeCell ref="AJ129:AJ132"/>
    <mergeCell ref="AK129:AK132"/>
    <mergeCell ref="AL129:AL132"/>
    <mergeCell ref="AM129:AM132"/>
    <mergeCell ref="AN129:AN132"/>
    <mergeCell ref="AO129:AO132"/>
    <mergeCell ref="AD129:AD132"/>
    <mergeCell ref="AE129:AE132"/>
    <mergeCell ref="AF129:AF132"/>
    <mergeCell ref="AG129:AG132"/>
    <mergeCell ref="AH129:AH132"/>
    <mergeCell ref="AI129:AI132"/>
    <mergeCell ref="T129:T132"/>
    <mergeCell ref="U129:U132"/>
    <mergeCell ref="V129:V130"/>
    <mergeCell ref="AA129:AA132"/>
    <mergeCell ref="AB129:AB132"/>
    <mergeCell ref="AC129:AC132"/>
    <mergeCell ref="F134:M134"/>
    <mergeCell ref="B135:B173"/>
    <mergeCell ref="E135:E173"/>
    <mergeCell ref="F135:F173"/>
    <mergeCell ref="G135:G141"/>
    <mergeCell ref="H135:H141"/>
    <mergeCell ref="I135:I141"/>
    <mergeCell ref="J135:J141"/>
    <mergeCell ref="K135:K141"/>
    <mergeCell ref="L135:L141"/>
    <mergeCell ref="U135:U141"/>
    <mergeCell ref="V135:V136"/>
    <mergeCell ref="AA135:AA173"/>
    <mergeCell ref="AB135:AB173"/>
    <mergeCell ref="U142:U166"/>
    <mergeCell ref="V151:V155"/>
    <mergeCell ref="V157:V158"/>
    <mergeCell ref="V160:V162"/>
    <mergeCell ref="M135:M141"/>
    <mergeCell ref="N135:N141"/>
    <mergeCell ref="O135:O141"/>
    <mergeCell ref="P135:P173"/>
    <mergeCell ref="Q135:Q173"/>
    <mergeCell ref="R135:R141"/>
    <mergeCell ref="M142:M166"/>
    <mergeCell ref="N142:N166"/>
    <mergeCell ref="O142:O166"/>
    <mergeCell ref="R142:R166"/>
    <mergeCell ref="AO135:AO173"/>
    <mergeCell ref="AP135:AP173"/>
    <mergeCell ref="AQ135:AQ173"/>
    <mergeCell ref="AR135:AR173"/>
    <mergeCell ref="AS135:AS173"/>
    <mergeCell ref="V137:V138"/>
    <mergeCell ref="V139:V141"/>
    <mergeCell ref="V142:V143"/>
    <mergeCell ref="V145:V148"/>
    <mergeCell ref="V149:V150"/>
    <mergeCell ref="AI135:AI173"/>
    <mergeCell ref="AJ135:AJ173"/>
    <mergeCell ref="AK135:AK173"/>
    <mergeCell ref="AL135:AL173"/>
    <mergeCell ref="AM135:AM173"/>
    <mergeCell ref="AN135:AN173"/>
    <mergeCell ref="AC135:AC173"/>
    <mergeCell ref="AD135:AD173"/>
    <mergeCell ref="AE135:AE173"/>
    <mergeCell ref="AF135:AF173"/>
    <mergeCell ref="AG135:AG173"/>
    <mergeCell ref="AH135:AH173"/>
    <mergeCell ref="R167:R173"/>
    <mergeCell ref="U167:U173"/>
    <mergeCell ref="V167:V170"/>
    <mergeCell ref="V171:V173"/>
    <mergeCell ref="B174:H174"/>
    <mergeCell ref="D175:H175"/>
    <mergeCell ref="V163:V166"/>
    <mergeCell ref="G167:G173"/>
    <mergeCell ref="H167:H173"/>
    <mergeCell ref="I167:I173"/>
    <mergeCell ref="J167:J173"/>
    <mergeCell ref="K167:K173"/>
    <mergeCell ref="L167:L173"/>
    <mergeCell ref="M167:M173"/>
    <mergeCell ref="N167:N173"/>
    <mergeCell ref="O167:O173"/>
    <mergeCell ref="G142:G166"/>
    <mergeCell ref="H142:H166"/>
    <mergeCell ref="I142:I166"/>
    <mergeCell ref="J142:J166"/>
    <mergeCell ref="K142:K166"/>
    <mergeCell ref="L142:L166"/>
    <mergeCell ref="S135:S173"/>
    <mergeCell ref="T135:T173"/>
    <mergeCell ref="B176:B225"/>
    <mergeCell ref="F176:P176"/>
    <mergeCell ref="E177:E225"/>
    <mergeCell ref="F177:F225"/>
    <mergeCell ref="G177:G191"/>
    <mergeCell ref="H177:H191"/>
    <mergeCell ref="I177:I191"/>
    <mergeCell ref="J177:J191"/>
    <mergeCell ref="K177:K191"/>
    <mergeCell ref="L177:L191"/>
    <mergeCell ref="AS177:AS191"/>
    <mergeCell ref="V179:V180"/>
    <mergeCell ref="V181:V182"/>
    <mergeCell ref="V183:V184"/>
    <mergeCell ref="V185:V186"/>
    <mergeCell ref="V187:V188"/>
    <mergeCell ref="V189:V191"/>
    <mergeCell ref="AJ177:AJ191"/>
    <mergeCell ref="AK177:AK191"/>
    <mergeCell ref="AL177:AL191"/>
    <mergeCell ref="AM177:AM191"/>
    <mergeCell ref="AN177:AN191"/>
    <mergeCell ref="AO177:AO191"/>
    <mergeCell ref="AD177:AD191"/>
    <mergeCell ref="AE177:AE191"/>
    <mergeCell ref="AF177:AF191"/>
    <mergeCell ref="AG177:AG191"/>
    <mergeCell ref="AH177:AH191"/>
    <mergeCell ref="AI177:AI191"/>
    <mergeCell ref="AA177:AA191"/>
    <mergeCell ref="AB177:AB191"/>
    <mergeCell ref="AC177:AC191"/>
    <mergeCell ref="Y189:Y191"/>
    <mergeCell ref="Z189:Z191"/>
    <mergeCell ref="G192:G207"/>
    <mergeCell ref="H192:H207"/>
    <mergeCell ref="I192:I207"/>
    <mergeCell ref="J192:J207"/>
    <mergeCell ref="K192:K207"/>
    <mergeCell ref="L192:L207"/>
    <mergeCell ref="AP177:AP191"/>
    <mergeCell ref="AQ177:AQ191"/>
    <mergeCell ref="AR177:AR191"/>
    <mergeCell ref="S177:S191"/>
    <mergeCell ref="T177:T191"/>
    <mergeCell ref="U177:U191"/>
    <mergeCell ref="M177:M191"/>
    <mergeCell ref="N177:N191"/>
    <mergeCell ref="O177:O191"/>
    <mergeCell ref="P177:P191"/>
    <mergeCell ref="Q177:Q191"/>
    <mergeCell ref="R177:R191"/>
    <mergeCell ref="M192:M207"/>
    <mergeCell ref="N192:N207"/>
    <mergeCell ref="O192:O207"/>
    <mergeCell ref="P192:P225"/>
    <mergeCell ref="Q192:Q225"/>
    <mergeCell ref="R192:R207"/>
    <mergeCell ref="M208:M212"/>
    <mergeCell ref="N208:N212"/>
    <mergeCell ref="O208:O212"/>
    <mergeCell ref="R208:R212"/>
    <mergeCell ref="S192:S225"/>
    <mergeCell ref="T192:T225"/>
    <mergeCell ref="U192:U219"/>
    <mergeCell ref="V192:V193"/>
    <mergeCell ref="AA192:AA225"/>
    <mergeCell ref="AB192:AB225"/>
    <mergeCell ref="V203:V204"/>
    <mergeCell ref="V210:V212"/>
    <mergeCell ref="Y210:Y212"/>
    <mergeCell ref="Z210:Z212"/>
    <mergeCell ref="AO192:AO225"/>
    <mergeCell ref="AP192:AP225"/>
    <mergeCell ref="AQ192:AQ225"/>
    <mergeCell ref="AR192:AR225"/>
    <mergeCell ref="AS192:AS225"/>
    <mergeCell ref="V194:V195"/>
    <mergeCell ref="Y194:Y195"/>
    <mergeCell ref="Z194:Z195"/>
    <mergeCell ref="V199:V200"/>
    <mergeCell ref="V201:V202"/>
    <mergeCell ref="AI192:AI225"/>
    <mergeCell ref="AJ192:AJ225"/>
    <mergeCell ref="AK192:AK225"/>
    <mergeCell ref="AL192:AL225"/>
    <mergeCell ref="AM192:AM225"/>
    <mergeCell ref="AN192:AN225"/>
    <mergeCell ref="AC192:AC225"/>
    <mergeCell ref="AD192:AD225"/>
    <mergeCell ref="AE192:AE225"/>
    <mergeCell ref="AF192:AF225"/>
    <mergeCell ref="AG192:AG225"/>
    <mergeCell ref="AH192:AH225"/>
    <mergeCell ref="J213:J221"/>
    <mergeCell ref="K213:K221"/>
    <mergeCell ref="L213:L221"/>
    <mergeCell ref="G208:G212"/>
    <mergeCell ref="H208:H212"/>
    <mergeCell ref="I208:I212"/>
    <mergeCell ref="J208:J212"/>
    <mergeCell ref="K208:K212"/>
    <mergeCell ref="L208:L212"/>
    <mergeCell ref="N222:N225"/>
    <mergeCell ref="O222:O225"/>
    <mergeCell ref="R222:R225"/>
    <mergeCell ref="U222:U225"/>
    <mergeCell ref="V222:V223"/>
    <mergeCell ref="Y215:Y216"/>
    <mergeCell ref="Z215:Z216"/>
    <mergeCell ref="V219:V221"/>
    <mergeCell ref="G222:G225"/>
    <mergeCell ref="H222:H225"/>
    <mergeCell ref="I222:I225"/>
    <mergeCell ref="J222:J225"/>
    <mergeCell ref="K222:K225"/>
    <mergeCell ref="L222:L225"/>
    <mergeCell ref="M222:M225"/>
    <mergeCell ref="M213:M221"/>
    <mergeCell ref="N213:N221"/>
    <mergeCell ref="O213:O221"/>
    <mergeCell ref="R213:R221"/>
    <mergeCell ref="V213:V214"/>
    <mergeCell ref="V215:V216"/>
    <mergeCell ref="G213:G221"/>
    <mergeCell ref="H213:H221"/>
    <mergeCell ref="I213:I2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M72"/>
  <sheetViews>
    <sheetView showGridLines="0" topLeftCell="R1" zoomScale="60" zoomScaleNormal="60" workbookViewId="0">
      <selection activeCell="X61" sqref="X61"/>
    </sheetView>
  </sheetViews>
  <sheetFormatPr baseColWidth="10" defaultColWidth="11.42578125" defaultRowHeight="27" customHeight="1" x14ac:dyDescent="0.25"/>
  <cols>
    <col min="1" max="1" width="14.140625" style="132" customWidth="1"/>
    <col min="2" max="2" width="14.28515625" style="1119" customWidth="1"/>
    <col min="3" max="3" width="13.42578125" style="1119" customWidth="1"/>
    <col min="4" max="4" width="16.28515625" style="1119" customWidth="1"/>
    <col min="5" max="5" width="15.42578125" style="1119" customWidth="1"/>
    <col min="6" max="6" width="14.5703125" style="1119" customWidth="1"/>
    <col min="7" max="7" width="14.140625" style="1119" customWidth="1"/>
    <col min="8" max="8" width="26" style="3" customWidth="1"/>
    <col min="9" max="9" width="25.5703125" style="3" customWidth="1"/>
    <col min="10" max="10" width="24.5703125" style="3" customWidth="1"/>
    <col min="11" max="11" width="15.85546875" style="3" customWidth="1"/>
    <col min="12" max="14" width="25" style="3" customWidth="1"/>
    <col min="15" max="15" width="23.85546875" style="3" customWidth="1"/>
    <col min="16" max="16" width="25.42578125" style="3" customWidth="1"/>
    <col min="17" max="17" width="32.7109375" style="3" customWidth="1"/>
    <col min="18" max="18" width="15.140625" style="121" customWidth="1"/>
    <col min="19" max="19" width="28.85546875" style="128" customWidth="1"/>
    <col min="20" max="20" width="32.28515625" style="3" customWidth="1"/>
    <col min="21" max="21" width="34.140625" style="3" customWidth="1"/>
    <col min="22" max="22" width="50.85546875" style="3" customWidth="1"/>
    <col min="23" max="23" width="39.28515625" style="350" customWidth="1"/>
    <col min="24" max="24" width="52.85546875" style="1119" customWidth="1"/>
    <col min="25" max="25" width="30.85546875" style="1119" customWidth="1"/>
    <col min="26" max="26" width="51.85546875" style="1119" customWidth="1"/>
    <col min="27" max="38" width="10.42578125" style="1119" customWidth="1"/>
    <col min="39" max="39" width="20.5703125" style="134" customWidth="1"/>
    <col min="40" max="40" width="22.85546875" style="134" customWidth="1"/>
    <col min="41" max="41" width="26" style="1119" customWidth="1"/>
    <col min="42" max="42" width="25.7109375" style="1119" customWidth="1"/>
    <col min="43" max="43" width="21" style="1119" customWidth="1"/>
    <col min="44" max="44" width="25.28515625" style="1119" customWidth="1"/>
    <col min="45" max="45" width="35" style="1119" customWidth="1"/>
    <col min="46" max="16384" width="11.42578125" style="1119"/>
  </cols>
  <sheetData>
    <row r="1" spans="1:65" ht="28.5" customHeight="1" x14ac:dyDescent="0.25">
      <c r="A1" s="2954" t="s">
        <v>1411</v>
      </c>
      <c r="B1" s="2241"/>
      <c r="C1" s="2241"/>
      <c r="D1" s="2241"/>
      <c r="E1" s="2241"/>
      <c r="F1" s="2241"/>
      <c r="G1" s="2241"/>
      <c r="H1" s="2241"/>
      <c r="I1" s="2241"/>
      <c r="J1" s="2241"/>
      <c r="K1" s="2241"/>
      <c r="L1" s="2241"/>
      <c r="M1" s="2241"/>
      <c r="N1" s="2241"/>
      <c r="O1" s="2241"/>
      <c r="P1" s="2241"/>
      <c r="Q1" s="2241"/>
      <c r="R1" s="2241"/>
      <c r="S1" s="2241"/>
      <c r="T1" s="2241"/>
      <c r="U1" s="2241"/>
      <c r="V1" s="2241"/>
      <c r="W1" s="2241"/>
      <c r="X1" s="2241"/>
      <c r="Y1" s="2241"/>
      <c r="Z1" s="2241"/>
      <c r="AA1" s="2241"/>
      <c r="AB1" s="2241"/>
      <c r="AC1" s="2241"/>
      <c r="AD1" s="2241"/>
      <c r="AE1" s="2241"/>
      <c r="AF1" s="2241"/>
      <c r="AG1" s="2241"/>
      <c r="AH1" s="2241"/>
      <c r="AI1" s="2241"/>
      <c r="AJ1" s="2241"/>
      <c r="AK1" s="2241"/>
      <c r="AL1" s="2241"/>
      <c r="AM1" s="2241"/>
      <c r="AN1" s="2241"/>
      <c r="AO1" s="2241"/>
      <c r="AP1" s="2241"/>
      <c r="AQ1" s="2242"/>
      <c r="AR1" s="1183" t="s">
        <v>1</v>
      </c>
      <c r="AS1" s="1183" t="s">
        <v>1141</v>
      </c>
      <c r="AT1" s="3"/>
      <c r="AU1" s="3"/>
      <c r="AV1" s="3"/>
      <c r="AW1" s="3"/>
      <c r="AX1" s="3"/>
      <c r="AY1" s="3"/>
      <c r="AZ1" s="3"/>
      <c r="BA1" s="3"/>
      <c r="BB1" s="3"/>
      <c r="BC1" s="3"/>
      <c r="BD1" s="3"/>
      <c r="BE1" s="3"/>
      <c r="BF1" s="3"/>
      <c r="BG1" s="3"/>
      <c r="BH1" s="3"/>
      <c r="BI1" s="3"/>
      <c r="BJ1" s="3"/>
      <c r="BK1" s="3"/>
      <c r="BL1" s="3"/>
      <c r="BM1" s="3"/>
    </row>
    <row r="2" spans="1:65" ht="27.75" customHeight="1" x14ac:dyDescent="0.25">
      <c r="A2" s="2246"/>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1183" t="s">
        <v>3</v>
      </c>
      <c r="AS2" s="1184" t="s">
        <v>693</v>
      </c>
      <c r="AT2" s="3"/>
      <c r="AU2" s="3"/>
      <c r="AV2" s="3"/>
      <c r="AW2" s="3"/>
      <c r="AX2" s="3"/>
      <c r="AY2" s="3"/>
      <c r="AZ2" s="3"/>
      <c r="BA2" s="3"/>
      <c r="BB2" s="3"/>
      <c r="BC2" s="3"/>
      <c r="BD2" s="3"/>
      <c r="BE2" s="3"/>
      <c r="BF2" s="3"/>
      <c r="BG2" s="3"/>
      <c r="BH2" s="3"/>
      <c r="BI2" s="3"/>
      <c r="BJ2" s="3"/>
      <c r="BK2" s="3"/>
      <c r="BL2" s="3"/>
      <c r="BM2" s="3"/>
    </row>
    <row r="3" spans="1:65" ht="24" customHeight="1" x14ac:dyDescent="0.25">
      <c r="A3" s="2246"/>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1183" t="s">
        <v>4</v>
      </c>
      <c r="AS3" s="1185">
        <v>44266</v>
      </c>
      <c r="AT3" s="3"/>
      <c r="AU3" s="3"/>
      <c r="AV3" s="3"/>
      <c r="AW3" s="3"/>
      <c r="AX3" s="3"/>
      <c r="AY3" s="3"/>
      <c r="AZ3" s="3"/>
      <c r="BA3" s="3"/>
      <c r="BB3" s="3"/>
      <c r="BC3" s="3"/>
      <c r="BD3" s="3"/>
      <c r="BE3" s="3"/>
      <c r="BF3" s="3"/>
      <c r="BG3" s="3"/>
      <c r="BH3" s="3"/>
      <c r="BI3" s="3"/>
      <c r="BJ3" s="3"/>
      <c r="BK3" s="3"/>
      <c r="BL3" s="3"/>
      <c r="BM3" s="3"/>
    </row>
    <row r="4" spans="1:65" ht="24" customHeight="1" x14ac:dyDescent="0.25">
      <c r="A4" s="2246"/>
      <c r="B4" s="2955"/>
      <c r="C4" s="2955"/>
      <c r="D4" s="2955"/>
      <c r="E4" s="2955"/>
      <c r="F4" s="2955"/>
      <c r="G4" s="2955"/>
      <c r="H4" s="2955"/>
      <c r="I4" s="2955"/>
      <c r="J4" s="2955"/>
      <c r="K4" s="2955"/>
      <c r="L4" s="2955"/>
      <c r="M4" s="2955"/>
      <c r="N4" s="2955"/>
      <c r="O4" s="2955"/>
      <c r="P4" s="2955"/>
      <c r="Q4" s="2955"/>
      <c r="R4" s="2955"/>
      <c r="S4" s="2955"/>
      <c r="T4" s="2955"/>
      <c r="U4" s="2955"/>
      <c r="V4" s="2955"/>
      <c r="W4" s="2955"/>
      <c r="X4" s="2955"/>
      <c r="Y4" s="2955"/>
      <c r="Z4" s="2955"/>
      <c r="AA4" s="2238"/>
      <c r="AB4" s="2238"/>
      <c r="AC4" s="2238"/>
      <c r="AD4" s="2238"/>
      <c r="AE4" s="2238"/>
      <c r="AF4" s="2238"/>
      <c r="AG4" s="2238"/>
      <c r="AH4" s="2238"/>
      <c r="AI4" s="2238"/>
      <c r="AJ4" s="2238"/>
      <c r="AK4" s="2238"/>
      <c r="AL4" s="2238"/>
      <c r="AM4" s="2238"/>
      <c r="AN4" s="2238"/>
      <c r="AO4" s="2238"/>
      <c r="AP4" s="2238"/>
      <c r="AQ4" s="2239"/>
      <c r="AR4" s="1183" t="s">
        <v>5</v>
      </c>
      <c r="AS4" s="1186" t="s">
        <v>120</v>
      </c>
      <c r="AT4" s="3"/>
      <c r="AU4" s="3"/>
      <c r="AV4" s="3"/>
      <c r="AW4" s="3"/>
      <c r="AX4" s="3"/>
      <c r="AY4" s="3"/>
      <c r="AZ4" s="3"/>
      <c r="BA4" s="3"/>
      <c r="BB4" s="3"/>
      <c r="BC4" s="3"/>
      <c r="BD4" s="3"/>
      <c r="BE4" s="3"/>
      <c r="BF4" s="3"/>
      <c r="BG4" s="3"/>
      <c r="BH4" s="3"/>
      <c r="BI4" s="3"/>
      <c r="BJ4" s="3"/>
      <c r="BK4" s="3"/>
      <c r="BL4" s="3"/>
      <c r="BM4" s="3"/>
    </row>
    <row r="5" spans="1:65" ht="21" customHeight="1" x14ac:dyDescent="0.25">
      <c r="A5" s="2956" t="s">
        <v>1412</v>
      </c>
      <c r="B5" s="2956"/>
      <c r="C5" s="2956"/>
      <c r="D5" s="2956"/>
      <c r="E5" s="2956"/>
      <c r="F5" s="2956"/>
      <c r="G5" s="2956"/>
      <c r="H5" s="2956"/>
      <c r="I5" s="2956"/>
      <c r="J5" s="2956"/>
      <c r="K5" s="2956"/>
      <c r="L5" s="2956"/>
      <c r="M5" s="2956"/>
      <c r="N5" s="2956"/>
      <c r="O5" s="2956"/>
      <c r="P5" s="2956"/>
      <c r="Q5" s="2956"/>
      <c r="R5" s="2956"/>
      <c r="S5" s="2956"/>
      <c r="T5" s="2956"/>
      <c r="U5" s="2956"/>
      <c r="V5" s="2956"/>
      <c r="W5" s="2956"/>
      <c r="X5" s="2956"/>
      <c r="Y5" s="2956"/>
      <c r="Z5" s="2956"/>
      <c r="AA5" s="1129"/>
      <c r="AB5" s="1129"/>
      <c r="AC5" s="1129"/>
      <c r="AD5" s="1129"/>
      <c r="AE5" s="1129"/>
      <c r="AF5" s="1129"/>
      <c r="AG5" s="1129"/>
      <c r="AH5" s="1129"/>
      <c r="AI5" s="1129"/>
      <c r="AJ5" s="1129"/>
      <c r="AK5" s="1129"/>
      <c r="AL5" s="1129"/>
      <c r="AM5" s="1129"/>
      <c r="AN5" s="1129"/>
      <c r="AO5" s="1129"/>
      <c r="AP5" s="1129"/>
      <c r="AQ5" s="1129"/>
      <c r="AR5" s="1129"/>
      <c r="AS5" s="1129"/>
      <c r="AT5" s="3"/>
      <c r="AU5" s="3"/>
      <c r="AV5" s="3"/>
      <c r="AW5" s="3"/>
      <c r="AX5" s="3"/>
      <c r="AY5" s="3"/>
      <c r="AZ5" s="3"/>
      <c r="BA5" s="3"/>
      <c r="BB5" s="3"/>
      <c r="BC5" s="3"/>
      <c r="BD5" s="3"/>
      <c r="BE5" s="3"/>
      <c r="BF5" s="3"/>
      <c r="BG5" s="3"/>
      <c r="BH5" s="3"/>
      <c r="BI5" s="3"/>
      <c r="BJ5" s="3"/>
      <c r="BK5" s="3"/>
      <c r="BL5" s="3"/>
      <c r="BM5" s="3"/>
    </row>
    <row r="6" spans="1:65" ht="21" customHeight="1" x14ac:dyDescent="0.25">
      <c r="A6" s="2956"/>
      <c r="B6" s="2956"/>
      <c r="C6" s="2956"/>
      <c r="D6" s="2956"/>
      <c r="E6" s="2956"/>
      <c r="F6" s="2956"/>
      <c r="G6" s="2956"/>
      <c r="H6" s="2956"/>
      <c r="I6" s="2956"/>
      <c r="J6" s="2956"/>
      <c r="K6" s="2956"/>
      <c r="L6" s="2956"/>
      <c r="M6" s="2956"/>
      <c r="N6" s="2956"/>
      <c r="O6" s="2956"/>
      <c r="P6" s="2956"/>
      <c r="Q6" s="2956"/>
      <c r="R6" s="2956"/>
      <c r="S6" s="2956"/>
      <c r="T6" s="2956"/>
      <c r="U6" s="2956"/>
      <c r="V6" s="2956"/>
      <c r="W6" s="2956"/>
      <c r="X6" s="2956"/>
      <c r="Y6" s="2956"/>
      <c r="Z6" s="2956"/>
      <c r="AA6" s="2957" t="s">
        <v>8</v>
      </c>
      <c r="AB6" s="2956"/>
      <c r="AC6" s="2956"/>
      <c r="AD6" s="2956"/>
      <c r="AE6" s="2956"/>
      <c r="AF6" s="2956"/>
      <c r="AG6" s="2956"/>
      <c r="AH6" s="2956"/>
      <c r="AI6" s="2956"/>
      <c r="AJ6" s="2956"/>
      <c r="AK6" s="2956"/>
      <c r="AL6" s="2956"/>
      <c r="AM6" s="2956"/>
      <c r="AN6" s="2956"/>
      <c r="AO6" s="2956"/>
      <c r="AP6" s="1033"/>
      <c r="AQ6" s="1033"/>
      <c r="AR6" s="1033"/>
      <c r="AS6" s="1034"/>
      <c r="AT6" s="3"/>
      <c r="AU6" s="3"/>
      <c r="AV6" s="3"/>
      <c r="AW6" s="3"/>
      <c r="AX6" s="3"/>
      <c r="AY6" s="3"/>
      <c r="AZ6" s="3"/>
      <c r="BA6" s="3"/>
      <c r="BB6" s="3"/>
      <c r="BC6" s="3"/>
      <c r="BD6" s="3"/>
      <c r="BE6" s="3"/>
      <c r="BF6" s="3"/>
      <c r="BG6" s="3"/>
      <c r="BH6" s="3"/>
      <c r="BI6" s="3"/>
      <c r="BJ6" s="3"/>
      <c r="BK6" s="3"/>
      <c r="BL6" s="3"/>
      <c r="BM6" s="3"/>
    </row>
    <row r="7" spans="1:65" ht="28.5" customHeight="1" x14ac:dyDescent="0.25">
      <c r="A7" s="2958" t="s">
        <v>9</v>
      </c>
      <c r="B7" s="2959"/>
      <c r="C7" s="2353" t="s">
        <v>10</v>
      </c>
      <c r="D7" s="2959"/>
      <c r="E7" s="2353" t="s">
        <v>11</v>
      </c>
      <c r="F7" s="2959"/>
      <c r="G7" s="2353" t="s">
        <v>12</v>
      </c>
      <c r="H7" s="2958"/>
      <c r="I7" s="2958"/>
      <c r="J7" s="2958"/>
      <c r="K7" s="2353" t="s">
        <v>13</v>
      </c>
      <c r="L7" s="2958"/>
      <c r="M7" s="2958"/>
      <c r="N7" s="2959"/>
      <c r="O7" s="2960" t="s">
        <v>14</v>
      </c>
      <c r="P7" s="2961"/>
      <c r="Q7" s="2961"/>
      <c r="R7" s="2961"/>
      <c r="S7" s="2961"/>
      <c r="T7" s="2961"/>
      <c r="U7" s="2961"/>
      <c r="V7" s="2961"/>
      <c r="W7" s="2961"/>
      <c r="X7" s="2962" t="s">
        <v>15</v>
      </c>
      <c r="Y7" s="2963"/>
      <c r="Z7" s="2964"/>
      <c r="AA7" s="2978" t="s">
        <v>16</v>
      </c>
      <c r="AB7" s="2979"/>
      <c r="AC7" s="2980" t="s">
        <v>17</v>
      </c>
      <c r="AD7" s="2981"/>
      <c r="AE7" s="2981"/>
      <c r="AF7" s="2982"/>
      <c r="AG7" s="2983" t="s">
        <v>18</v>
      </c>
      <c r="AH7" s="2984"/>
      <c r="AI7" s="2984"/>
      <c r="AJ7" s="2984"/>
      <c r="AK7" s="2984"/>
      <c r="AL7" s="2985"/>
      <c r="AM7" s="2980" t="s">
        <v>19</v>
      </c>
      <c r="AN7" s="2981"/>
      <c r="AO7" s="2982"/>
      <c r="AP7" s="2986" t="s">
        <v>20</v>
      </c>
      <c r="AQ7" s="2965" t="s">
        <v>21</v>
      </c>
      <c r="AR7" s="2965" t="s">
        <v>22</v>
      </c>
      <c r="AS7" s="2357" t="s">
        <v>23</v>
      </c>
      <c r="AT7" s="3"/>
      <c r="AU7" s="3"/>
      <c r="AV7" s="3"/>
      <c r="AW7" s="3"/>
      <c r="AX7" s="3"/>
      <c r="AY7" s="3"/>
      <c r="AZ7" s="3"/>
      <c r="BA7" s="3"/>
      <c r="BB7" s="3"/>
      <c r="BC7" s="3"/>
      <c r="BD7" s="3"/>
      <c r="BE7" s="3"/>
      <c r="BF7" s="3"/>
      <c r="BG7" s="3"/>
      <c r="BH7" s="3"/>
      <c r="BI7" s="3"/>
      <c r="BJ7" s="3"/>
      <c r="BK7" s="3"/>
      <c r="BL7" s="3"/>
      <c r="BM7" s="3"/>
    </row>
    <row r="8" spans="1:65" ht="127.5" customHeight="1" x14ac:dyDescent="0.25">
      <c r="A8" s="239" t="s">
        <v>24</v>
      </c>
      <c r="B8" s="18" t="s">
        <v>25</v>
      </c>
      <c r="C8" s="239" t="s">
        <v>24</v>
      </c>
      <c r="D8" s="18" t="s">
        <v>25</v>
      </c>
      <c r="E8" s="922" t="s">
        <v>24</v>
      </c>
      <c r="F8" s="18" t="s">
        <v>25</v>
      </c>
      <c r="G8" s="240" t="s">
        <v>26</v>
      </c>
      <c r="H8" s="240" t="s">
        <v>27</v>
      </c>
      <c r="I8" s="240" t="s">
        <v>28</v>
      </c>
      <c r="J8" s="240" t="s">
        <v>122</v>
      </c>
      <c r="K8" s="240" t="s">
        <v>26</v>
      </c>
      <c r="L8" s="240" t="s">
        <v>30</v>
      </c>
      <c r="M8" s="18" t="s">
        <v>31</v>
      </c>
      <c r="N8" s="923" t="s">
        <v>32</v>
      </c>
      <c r="O8" s="924" t="s">
        <v>185</v>
      </c>
      <c r="P8" s="924" t="s">
        <v>34</v>
      </c>
      <c r="Q8" s="924" t="s">
        <v>35</v>
      </c>
      <c r="R8" s="1131" t="s">
        <v>36</v>
      </c>
      <c r="S8" s="926" t="s">
        <v>37</v>
      </c>
      <c r="T8" s="924" t="s">
        <v>38</v>
      </c>
      <c r="U8" s="924" t="s">
        <v>39</v>
      </c>
      <c r="V8" s="924" t="s">
        <v>40</v>
      </c>
      <c r="W8" s="1187" t="s">
        <v>37</v>
      </c>
      <c r="X8" s="1132" t="s">
        <v>42</v>
      </c>
      <c r="Y8" s="1070" t="s">
        <v>43</v>
      </c>
      <c r="Z8" s="18" t="s">
        <v>25</v>
      </c>
      <c r="AA8" s="927" t="s">
        <v>44</v>
      </c>
      <c r="AB8" s="928" t="s">
        <v>45</v>
      </c>
      <c r="AC8" s="929" t="s">
        <v>46</v>
      </c>
      <c r="AD8" s="929" t="s">
        <v>47</v>
      </c>
      <c r="AE8" s="929" t="s">
        <v>188</v>
      </c>
      <c r="AF8" s="929" t="s">
        <v>49</v>
      </c>
      <c r="AG8" s="929" t="s">
        <v>50</v>
      </c>
      <c r="AH8" s="929" t="s">
        <v>51</v>
      </c>
      <c r="AI8" s="929" t="s">
        <v>52</v>
      </c>
      <c r="AJ8" s="929" t="s">
        <v>189</v>
      </c>
      <c r="AK8" s="929" t="s">
        <v>54</v>
      </c>
      <c r="AL8" s="929" t="s">
        <v>55</v>
      </c>
      <c r="AM8" s="929" t="s">
        <v>56</v>
      </c>
      <c r="AN8" s="929" t="s">
        <v>57</v>
      </c>
      <c r="AO8" s="929" t="s">
        <v>58</v>
      </c>
      <c r="AP8" s="2987"/>
      <c r="AQ8" s="2966"/>
      <c r="AR8" s="2966"/>
      <c r="AS8" s="2358"/>
      <c r="AT8" s="3"/>
      <c r="AU8" s="3"/>
      <c r="AV8" s="3"/>
      <c r="AW8" s="3"/>
      <c r="AX8" s="3"/>
      <c r="AY8" s="3"/>
      <c r="AZ8" s="3"/>
      <c r="BA8" s="3"/>
      <c r="BB8" s="3"/>
      <c r="BC8" s="3"/>
      <c r="BD8" s="3"/>
      <c r="BE8" s="3"/>
      <c r="BF8" s="3"/>
      <c r="BG8" s="3"/>
      <c r="BH8" s="3"/>
      <c r="BI8" s="3"/>
      <c r="BJ8" s="3"/>
      <c r="BK8" s="3"/>
      <c r="BL8" s="3"/>
      <c r="BM8" s="3"/>
    </row>
    <row r="9" spans="1:65" ht="20.25" customHeight="1" x14ac:dyDescent="0.25">
      <c r="A9" s="388">
        <v>1</v>
      </c>
      <c r="B9" s="2967" t="s">
        <v>1145</v>
      </c>
      <c r="C9" s="2968"/>
      <c r="D9" s="2968"/>
      <c r="E9" s="2968"/>
      <c r="F9" s="392"/>
      <c r="G9" s="392"/>
      <c r="H9" s="392"/>
      <c r="I9" s="392"/>
      <c r="J9" s="392"/>
      <c r="K9" s="392"/>
      <c r="L9" s="392"/>
      <c r="M9" s="392"/>
      <c r="N9" s="392"/>
      <c r="O9" s="392"/>
      <c r="P9" s="392"/>
      <c r="Q9" s="392"/>
      <c r="R9" s="393"/>
      <c r="S9" s="394"/>
      <c r="T9" s="392"/>
      <c r="U9" s="392"/>
      <c r="V9" s="392"/>
      <c r="W9" s="1188"/>
      <c r="X9" s="392"/>
      <c r="Y9" s="396"/>
      <c r="Z9" s="392"/>
      <c r="AA9" s="392"/>
      <c r="AB9" s="392"/>
      <c r="AC9" s="392"/>
      <c r="AD9" s="392"/>
      <c r="AE9" s="392"/>
      <c r="AF9" s="392"/>
      <c r="AG9" s="392"/>
      <c r="AH9" s="392"/>
      <c r="AI9" s="392"/>
      <c r="AJ9" s="392"/>
      <c r="AK9" s="392"/>
      <c r="AL9" s="392"/>
      <c r="AM9" s="392"/>
      <c r="AN9" s="392"/>
      <c r="AO9" s="392"/>
      <c r="AP9" s="392"/>
      <c r="AQ9" s="934"/>
      <c r="AR9" s="934"/>
      <c r="AS9" s="935"/>
      <c r="AT9" s="3"/>
      <c r="AU9" s="3"/>
      <c r="AV9" s="3"/>
      <c r="AW9" s="3"/>
      <c r="AX9" s="3"/>
      <c r="AY9" s="3"/>
      <c r="AZ9" s="3"/>
      <c r="BA9" s="3"/>
      <c r="BB9" s="3"/>
      <c r="BC9" s="3"/>
      <c r="BD9" s="3"/>
      <c r="BE9" s="3"/>
      <c r="BF9" s="3"/>
      <c r="BG9" s="3"/>
      <c r="BH9" s="3"/>
      <c r="BI9" s="3"/>
      <c r="BJ9" s="3"/>
      <c r="BK9" s="3"/>
      <c r="BL9" s="3"/>
      <c r="BM9" s="3"/>
    </row>
    <row r="10" spans="1:65" s="74" customFormat="1" ht="18.75" customHeight="1" x14ac:dyDescent="0.25">
      <c r="A10" s="823"/>
      <c r="B10" s="1035"/>
      <c r="C10" s="36">
        <v>33</v>
      </c>
      <c r="D10" s="1189" t="s">
        <v>453</v>
      </c>
      <c r="E10" s="38"/>
      <c r="F10" s="671"/>
      <c r="G10" s="671"/>
      <c r="H10" s="671"/>
      <c r="I10" s="671"/>
      <c r="J10" s="671"/>
      <c r="K10" s="671"/>
      <c r="L10" s="671"/>
      <c r="M10" s="671"/>
      <c r="N10" s="671"/>
      <c r="O10" s="671"/>
      <c r="P10" s="671"/>
      <c r="Q10" s="671"/>
      <c r="R10" s="672"/>
      <c r="S10" s="673"/>
      <c r="T10" s="671"/>
      <c r="U10" s="671"/>
      <c r="V10" s="671"/>
      <c r="W10" s="1190"/>
      <c r="X10" s="671"/>
      <c r="Y10" s="674"/>
      <c r="Z10" s="671"/>
      <c r="AA10" s="671"/>
      <c r="AB10" s="671"/>
      <c r="AC10" s="671"/>
      <c r="AD10" s="671"/>
      <c r="AE10" s="671"/>
      <c r="AF10" s="671"/>
      <c r="AG10" s="671"/>
      <c r="AH10" s="671"/>
      <c r="AI10" s="671"/>
      <c r="AJ10" s="671"/>
      <c r="AK10" s="671"/>
      <c r="AL10" s="671"/>
      <c r="AM10" s="671"/>
      <c r="AN10" s="671"/>
      <c r="AO10" s="671"/>
      <c r="AP10" s="671"/>
      <c r="AQ10" s="675"/>
      <c r="AR10" s="675"/>
      <c r="AS10" s="676"/>
      <c r="AT10"/>
      <c r="AU10"/>
      <c r="AV10"/>
      <c r="AW10"/>
      <c r="AX10"/>
      <c r="AY10"/>
      <c r="AZ10"/>
      <c r="BA10"/>
      <c r="BB10"/>
      <c r="BC10"/>
      <c r="BD10"/>
      <c r="BE10"/>
      <c r="BF10"/>
      <c r="BG10"/>
      <c r="BH10"/>
      <c r="BI10"/>
      <c r="BJ10"/>
      <c r="BK10"/>
      <c r="BL10"/>
      <c r="BM10"/>
    </row>
    <row r="11" spans="1:65" s="3" customFormat="1" ht="16.5" customHeight="1" x14ac:dyDescent="0.25">
      <c r="A11" s="1077"/>
      <c r="B11" s="1078"/>
      <c r="C11" s="1075"/>
      <c r="D11" s="1076"/>
      <c r="E11" s="1191">
        <v>3301</v>
      </c>
      <c r="F11" s="2969" t="s">
        <v>454</v>
      </c>
      <c r="G11" s="2970"/>
      <c r="H11" s="2970"/>
      <c r="I11" s="2970"/>
      <c r="J11" s="2970"/>
      <c r="K11" s="2970"/>
      <c r="L11" s="2970"/>
      <c r="M11" s="2970"/>
      <c r="N11" s="2970"/>
      <c r="O11" s="942"/>
      <c r="P11" s="942"/>
      <c r="Q11" s="1192"/>
      <c r="R11" s="1193"/>
      <c r="S11" s="1194"/>
      <c r="T11" s="680"/>
      <c r="U11" s="942"/>
      <c r="V11" s="680"/>
      <c r="W11" s="1195"/>
      <c r="X11" s="942"/>
      <c r="Y11" s="943"/>
      <c r="Z11" s="680"/>
      <c r="AA11" s="680"/>
      <c r="AB11" s="680"/>
      <c r="AC11" s="680"/>
      <c r="AD11" s="680"/>
      <c r="AE11" s="680"/>
      <c r="AF11" s="680"/>
      <c r="AG11" s="680"/>
      <c r="AH11" s="680"/>
      <c r="AI11" s="680"/>
      <c r="AJ11" s="680"/>
      <c r="AK11" s="680"/>
      <c r="AL11" s="680"/>
      <c r="AM11" s="680"/>
      <c r="AN11" s="680"/>
      <c r="AO11" s="680"/>
      <c r="AP11" s="680"/>
      <c r="AQ11" s="944"/>
      <c r="AR11" s="944"/>
      <c r="AS11" s="945"/>
    </row>
    <row r="12" spans="1:65" s="74" customFormat="1" ht="30.75" customHeight="1" x14ac:dyDescent="0.25">
      <c r="A12" s="1077"/>
      <c r="B12" s="1078"/>
      <c r="C12" s="1077"/>
      <c r="D12" s="1078"/>
      <c r="E12" s="1128"/>
      <c r="F12" s="2971"/>
      <c r="G12" s="2973">
        <v>3301087</v>
      </c>
      <c r="H12" s="2975" t="s">
        <v>1413</v>
      </c>
      <c r="I12" s="2973">
        <v>3301087</v>
      </c>
      <c r="J12" s="2975" t="s">
        <v>1413</v>
      </c>
      <c r="K12" s="2974">
        <v>330108701</v>
      </c>
      <c r="L12" s="2988" t="s">
        <v>1028</v>
      </c>
      <c r="M12" s="2974">
        <v>330108701</v>
      </c>
      <c r="N12" s="2988" t="s">
        <v>1028</v>
      </c>
      <c r="O12" s="2990">
        <v>5700</v>
      </c>
      <c r="P12" s="2992" t="s">
        <v>1414</v>
      </c>
      <c r="Q12" s="2993" t="s">
        <v>1415</v>
      </c>
      <c r="R12" s="2999">
        <v>0.16307432596694776</v>
      </c>
      <c r="S12" s="3001">
        <v>1980078703.8999999</v>
      </c>
      <c r="T12" s="3002" t="s">
        <v>1416</v>
      </c>
      <c r="U12" s="3005" t="s">
        <v>1417</v>
      </c>
      <c r="V12" s="3008" t="s">
        <v>1418</v>
      </c>
      <c r="W12" s="1107">
        <v>231300000</v>
      </c>
      <c r="X12" s="182" t="s">
        <v>1419</v>
      </c>
      <c r="Y12" s="1101">
        <v>20</v>
      </c>
      <c r="Z12" s="1064" t="s">
        <v>1420</v>
      </c>
      <c r="AA12" s="2995">
        <v>763.40206894654307</v>
      </c>
      <c r="AB12" s="2995">
        <v>736.59793105345693</v>
      </c>
      <c r="AC12" s="2995">
        <v>349.61190056951057</v>
      </c>
      <c r="AD12" s="2995">
        <v>114.14456488843646</v>
      </c>
      <c r="AE12" s="2995">
        <v>797.38183343879825</v>
      </c>
      <c r="AF12" s="2995">
        <v>238.86170110325475</v>
      </c>
      <c r="AG12" s="2997">
        <v>5.5326092937518911</v>
      </c>
      <c r="AH12" s="2997">
        <v>32.803601397639419</v>
      </c>
      <c r="AI12" s="2997">
        <v>6.7061930833356265E-2</v>
      </c>
      <c r="AJ12" s="2997">
        <v>9.543428618593007E-2</v>
      </c>
      <c r="AK12" s="2997">
        <v>0</v>
      </c>
      <c r="AL12" s="2997">
        <v>0</v>
      </c>
      <c r="AM12" s="2997">
        <v>114.39217817151346</v>
      </c>
      <c r="AN12" s="2997">
        <v>56.600269623352688</v>
      </c>
      <c r="AO12" s="2995">
        <v>195.2198599609321</v>
      </c>
      <c r="AP12" s="2995">
        <v>5700</v>
      </c>
      <c r="AQ12" s="3017">
        <v>44200</v>
      </c>
      <c r="AR12" s="3017">
        <v>44560</v>
      </c>
      <c r="AS12" s="3019" t="s">
        <v>1421</v>
      </c>
      <c r="AT12" s="3"/>
      <c r="AU12" s="3"/>
      <c r="AV12" s="3"/>
      <c r="AW12" s="3"/>
      <c r="AX12" s="3"/>
      <c r="AY12" s="3"/>
      <c r="AZ12" s="3"/>
      <c r="BA12" s="3"/>
      <c r="BB12" s="3"/>
      <c r="BC12" s="3"/>
      <c r="BD12" s="3"/>
      <c r="BE12" s="3"/>
      <c r="BF12" s="3"/>
      <c r="BG12" s="3"/>
      <c r="BH12" s="3"/>
      <c r="BI12" s="3"/>
      <c r="BJ12" s="3"/>
      <c r="BK12" s="3"/>
      <c r="BL12" s="3"/>
      <c r="BM12" s="3"/>
    </row>
    <row r="13" spans="1:65" s="74" customFormat="1" ht="24.75" customHeight="1" x14ac:dyDescent="0.25">
      <c r="A13" s="1077"/>
      <c r="B13" s="1078"/>
      <c r="C13" s="1077"/>
      <c r="D13" s="1078"/>
      <c r="E13" s="1128"/>
      <c r="F13" s="2971"/>
      <c r="G13" s="2974"/>
      <c r="H13" s="2976"/>
      <c r="I13" s="2974"/>
      <c r="J13" s="2976"/>
      <c r="K13" s="2977"/>
      <c r="L13" s="2989"/>
      <c r="M13" s="2977"/>
      <c r="N13" s="2989"/>
      <c r="O13" s="2991"/>
      <c r="P13" s="2992"/>
      <c r="Q13" s="2993"/>
      <c r="R13" s="3000"/>
      <c r="S13" s="3001"/>
      <c r="T13" s="3003"/>
      <c r="U13" s="3006"/>
      <c r="V13" s="3009"/>
      <c r="W13" s="1196">
        <v>80000000</v>
      </c>
      <c r="X13" s="1109" t="s">
        <v>1422</v>
      </c>
      <c r="Y13" s="1096">
        <v>88</v>
      </c>
      <c r="Z13" s="1098" t="s">
        <v>374</v>
      </c>
      <c r="AA13" s="3010"/>
      <c r="AB13" s="2996"/>
      <c r="AC13" s="2996"/>
      <c r="AD13" s="2996"/>
      <c r="AE13" s="2996"/>
      <c r="AF13" s="2996"/>
      <c r="AG13" s="2998"/>
      <c r="AH13" s="2998"/>
      <c r="AI13" s="2998"/>
      <c r="AJ13" s="2998"/>
      <c r="AK13" s="2998"/>
      <c r="AL13" s="2998"/>
      <c r="AM13" s="2998"/>
      <c r="AN13" s="2998"/>
      <c r="AO13" s="2996"/>
      <c r="AP13" s="2996"/>
      <c r="AQ13" s="3018"/>
      <c r="AR13" s="3018"/>
      <c r="AS13" s="3020"/>
      <c r="AT13" s="3"/>
      <c r="AU13" s="3"/>
      <c r="AV13" s="3"/>
      <c r="AW13" s="3"/>
      <c r="AX13" s="3"/>
      <c r="AY13" s="3"/>
      <c r="AZ13" s="3"/>
      <c r="BA13" s="3"/>
      <c r="BB13" s="3"/>
      <c r="BC13" s="3"/>
      <c r="BD13" s="3"/>
      <c r="BE13" s="3"/>
      <c r="BF13" s="3"/>
      <c r="BG13" s="3"/>
      <c r="BH13" s="3"/>
      <c r="BI13" s="3"/>
      <c r="BJ13" s="3"/>
      <c r="BK13" s="3"/>
      <c r="BL13" s="3"/>
      <c r="BM13" s="3"/>
    </row>
    <row r="14" spans="1:65" s="74" customFormat="1" ht="42" customHeight="1" x14ac:dyDescent="0.25">
      <c r="A14" s="1077"/>
      <c r="B14" s="1197"/>
      <c r="C14" s="1077"/>
      <c r="D14" s="1078"/>
      <c r="E14" s="1128"/>
      <c r="F14" s="2971"/>
      <c r="G14" s="2974"/>
      <c r="H14" s="2976"/>
      <c r="I14" s="2974"/>
      <c r="J14" s="2976"/>
      <c r="K14" s="2977"/>
      <c r="L14" s="2989"/>
      <c r="M14" s="2977"/>
      <c r="N14" s="2989"/>
      <c r="O14" s="2991"/>
      <c r="P14" s="2992"/>
      <c r="Q14" s="2993"/>
      <c r="R14" s="3000"/>
      <c r="S14" s="3001"/>
      <c r="T14" s="3003"/>
      <c r="U14" s="3007"/>
      <c r="V14" s="1241" t="s">
        <v>1423</v>
      </c>
      <c r="W14" s="1117">
        <v>11600000</v>
      </c>
      <c r="X14" s="1199" t="s">
        <v>1419</v>
      </c>
      <c r="Y14" s="1113">
        <v>20</v>
      </c>
      <c r="Z14" s="1063" t="s">
        <v>1424</v>
      </c>
      <c r="AA14" s="2996"/>
      <c r="AB14" s="2996"/>
      <c r="AC14" s="2996"/>
      <c r="AD14" s="2996"/>
      <c r="AE14" s="2996"/>
      <c r="AF14" s="2996"/>
      <c r="AG14" s="2998"/>
      <c r="AH14" s="2998"/>
      <c r="AI14" s="2998"/>
      <c r="AJ14" s="2998"/>
      <c r="AK14" s="2998"/>
      <c r="AL14" s="2998"/>
      <c r="AM14" s="2998"/>
      <c r="AN14" s="2998"/>
      <c r="AO14" s="2996"/>
      <c r="AP14" s="2996"/>
      <c r="AQ14" s="3018"/>
      <c r="AR14" s="3018"/>
      <c r="AS14" s="3020"/>
      <c r="AT14" s="3"/>
      <c r="AU14" s="3"/>
      <c r="AV14" s="3"/>
      <c r="AW14" s="3"/>
      <c r="AX14" s="3"/>
      <c r="AY14" s="3"/>
      <c r="AZ14" s="3"/>
      <c r="BA14" s="3"/>
      <c r="BB14" s="3"/>
      <c r="BC14" s="3"/>
      <c r="BD14" s="3"/>
      <c r="BE14" s="3"/>
      <c r="BF14" s="3"/>
      <c r="BG14" s="3"/>
      <c r="BH14" s="3"/>
      <c r="BI14" s="3"/>
      <c r="BJ14" s="3"/>
      <c r="BK14" s="3"/>
      <c r="BL14" s="3"/>
      <c r="BM14" s="3"/>
    </row>
    <row r="15" spans="1:65" s="73" customFormat="1" ht="39.75" customHeight="1" x14ac:dyDescent="0.25">
      <c r="A15" s="1197"/>
      <c r="B15" s="1197"/>
      <c r="C15" s="1077"/>
      <c r="D15" s="1078"/>
      <c r="E15" s="1108"/>
      <c r="F15" s="2971"/>
      <c r="G15" s="3021">
        <v>3301073</v>
      </c>
      <c r="H15" s="2168" t="s">
        <v>1425</v>
      </c>
      <c r="I15" s="3022">
        <v>3301073</v>
      </c>
      <c r="J15" s="2168" t="s">
        <v>1425</v>
      </c>
      <c r="K15" s="3022">
        <v>330107301</v>
      </c>
      <c r="L15" s="3023" t="s">
        <v>1426</v>
      </c>
      <c r="M15" s="2165">
        <v>330107301</v>
      </c>
      <c r="N15" s="2793" t="s">
        <v>1426</v>
      </c>
      <c r="O15" s="2994">
        <v>500</v>
      </c>
      <c r="P15" s="2992"/>
      <c r="Q15" s="2993"/>
      <c r="R15" s="3011">
        <v>0.81500735335493046</v>
      </c>
      <c r="S15" s="3001"/>
      <c r="T15" s="3003"/>
      <c r="U15" s="3012" t="s">
        <v>1427</v>
      </c>
      <c r="V15" s="1059" t="s">
        <v>1428</v>
      </c>
      <c r="W15" s="1117">
        <v>121000000</v>
      </c>
      <c r="X15" s="1200" t="s">
        <v>1429</v>
      </c>
      <c r="Y15" s="1113">
        <v>20</v>
      </c>
      <c r="Z15" s="1064" t="s">
        <v>1424</v>
      </c>
      <c r="AA15" s="2996"/>
      <c r="AB15" s="2996"/>
      <c r="AC15" s="2996"/>
      <c r="AD15" s="2996"/>
      <c r="AE15" s="2996"/>
      <c r="AF15" s="2996"/>
      <c r="AG15" s="2998"/>
      <c r="AH15" s="2998"/>
      <c r="AI15" s="2998"/>
      <c r="AJ15" s="2998"/>
      <c r="AK15" s="2998"/>
      <c r="AL15" s="2998"/>
      <c r="AM15" s="2998"/>
      <c r="AN15" s="2998"/>
      <c r="AO15" s="2996"/>
      <c r="AP15" s="2996"/>
      <c r="AQ15" s="3018"/>
      <c r="AR15" s="3018"/>
      <c r="AS15" s="3020"/>
      <c r="AT15" s="1055"/>
      <c r="AU15" s="1055"/>
      <c r="AV15" s="1055"/>
      <c r="AW15" s="1055"/>
      <c r="AX15" s="1055"/>
      <c r="AY15" s="1055"/>
      <c r="AZ15" s="1055"/>
      <c r="BA15" s="1055"/>
      <c r="BB15" s="1055"/>
      <c r="BC15" s="1055"/>
      <c r="BD15" s="1055"/>
      <c r="BE15" s="1055"/>
      <c r="BF15" s="1055"/>
      <c r="BG15" s="1055"/>
      <c r="BH15" s="1055"/>
      <c r="BI15" s="1055"/>
      <c r="BJ15" s="1055"/>
      <c r="BK15" s="1055"/>
      <c r="BL15" s="1055"/>
      <c r="BM15" s="1055"/>
    </row>
    <row r="16" spans="1:65" s="73" customFormat="1" ht="45" customHeight="1" x14ac:dyDescent="0.25">
      <c r="A16" s="1077"/>
      <c r="B16" s="1197"/>
      <c r="C16" s="1077"/>
      <c r="D16" s="1078"/>
      <c r="E16" s="1128"/>
      <c r="F16" s="2971"/>
      <c r="G16" s="3021"/>
      <c r="H16" s="2168"/>
      <c r="I16" s="3022"/>
      <c r="J16" s="2168"/>
      <c r="K16" s="3022"/>
      <c r="L16" s="3023"/>
      <c r="M16" s="2165"/>
      <c r="N16" s="2793"/>
      <c r="O16" s="2994"/>
      <c r="P16" s="2992"/>
      <c r="Q16" s="2993"/>
      <c r="R16" s="3011"/>
      <c r="S16" s="3001"/>
      <c r="T16" s="3003"/>
      <c r="U16" s="3013"/>
      <c r="V16" s="1059" t="s">
        <v>1430</v>
      </c>
      <c r="W16" s="1117">
        <v>15000000</v>
      </c>
      <c r="X16" s="1201" t="s">
        <v>1429</v>
      </c>
      <c r="Y16" s="863">
        <v>20</v>
      </c>
      <c r="Z16" s="1065" t="s">
        <v>1424</v>
      </c>
      <c r="AA16" s="2996"/>
      <c r="AB16" s="2996"/>
      <c r="AC16" s="2996"/>
      <c r="AD16" s="2996"/>
      <c r="AE16" s="2996"/>
      <c r="AF16" s="2996"/>
      <c r="AG16" s="2998"/>
      <c r="AH16" s="2998"/>
      <c r="AI16" s="2998"/>
      <c r="AJ16" s="2998"/>
      <c r="AK16" s="2998"/>
      <c r="AL16" s="2998"/>
      <c r="AM16" s="2998"/>
      <c r="AN16" s="2998"/>
      <c r="AO16" s="2996"/>
      <c r="AP16" s="2996"/>
      <c r="AQ16" s="3018"/>
      <c r="AR16" s="3018"/>
      <c r="AS16" s="3020"/>
    </row>
    <row r="17" spans="1:45" s="74" customFormat="1" ht="42" customHeight="1" x14ac:dyDescent="0.25">
      <c r="A17" s="1077"/>
      <c r="B17" s="1078"/>
      <c r="C17" s="1077"/>
      <c r="D17" s="1078"/>
      <c r="E17" s="1128"/>
      <c r="F17" s="2971"/>
      <c r="G17" s="3021"/>
      <c r="H17" s="2168"/>
      <c r="I17" s="3022"/>
      <c r="J17" s="2168"/>
      <c r="K17" s="3022"/>
      <c r="L17" s="3023"/>
      <c r="M17" s="2165"/>
      <c r="N17" s="2793"/>
      <c r="O17" s="2994"/>
      <c r="P17" s="2992"/>
      <c r="Q17" s="2993"/>
      <c r="R17" s="3011"/>
      <c r="S17" s="3001"/>
      <c r="T17" s="3003"/>
      <c r="U17" s="3006"/>
      <c r="V17" s="2192" t="s">
        <v>1431</v>
      </c>
      <c r="W17" s="1106">
        <v>45000000</v>
      </c>
      <c r="X17" s="196" t="s">
        <v>1429</v>
      </c>
      <c r="Y17" s="1102">
        <v>20</v>
      </c>
      <c r="Z17" s="1063" t="s">
        <v>1424</v>
      </c>
      <c r="AA17" s="2996"/>
      <c r="AB17" s="2996"/>
      <c r="AC17" s="2996"/>
      <c r="AD17" s="2996"/>
      <c r="AE17" s="2996"/>
      <c r="AF17" s="2996"/>
      <c r="AG17" s="2998"/>
      <c r="AH17" s="2998"/>
      <c r="AI17" s="2998"/>
      <c r="AJ17" s="2998"/>
      <c r="AK17" s="2998"/>
      <c r="AL17" s="2998"/>
      <c r="AM17" s="2998"/>
      <c r="AN17" s="2998"/>
      <c r="AO17" s="2996"/>
      <c r="AP17" s="2996"/>
      <c r="AQ17" s="3018"/>
      <c r="AR17" s="3018"/>
      <c r="AS17" s="3020"/>
    </row>
    <row r="18" spans="1:45" s="74" customFormat="1" ht="35.25" customHeight="1" x14ac:dyDescent="0.25">
      <c r="A18" s="1077"/>
      <c r="B18" s="1078"/>
      <c r="C18" s="1077"/>
      <c r="D18" s="1078"/>
      <c r="E18" s="1128"/>
      <c r="F18" s="2971"/>
      <c r="G18" s="3021"/>
      <c r="H18" s="2168"/>
      <c r="I18" s="3022"/>
      <c r="J18" s="2168"/>
      <c r="K18" s="3022"/>
      <c r="L18" s="3023"/>
      <c r="M18" s="2165"/>
      <c r="N18" s="2793"/>
      <c r="O18" s="2994"/>
      <c r="P18" s="2992"/>
      <c r="Q18" s="2993"/>
      <c r="R18" s="3011"/>
      <c r="S18" s="3001"/>
      <c r="T18" s="3003"/>
      <c r="U18" s="3006"/>
      <c r="V18" s="3015"/>
      <c r="W18" s="1202">
        <v>3000000</v>
      </c>
      <c r="X18" s="182" t="s">
        <v>1432</v>
      </c>
      <c r="Y18" s="1102">
        <v>20</v>
      </c>
      <c r="Z18" s="1063" t="s">
        <v>1424</v>
      </c>
      <c r="AA18" s="2996"/>
      <c r="AB18" s="2996"/>
      <c r="AC18" s="2996"/>
      <c r="AD18" s="2996"/>
      <c r="AE18" s="2996"/>
      <c r="AF18" s="2996"/>
      <c r="AG18" s="2998"/>
      <c r="AH18" s="2998"/>
      <c r="AI18" s="2998"/>
      <c r="AJ18" s="2998"/>
      <c r="AK18" s="2998"/>
      <c r="AL18" s="2998"/>
      <c r="AM18" s="2998"/>
      <c r="AN18" s="2998"/>
      <c r="AO18" s="2996"/>
      <c r="AP18" s="2996"/>
      <c r="AQ18" s="3018"/>
      <c r="AR18" s="3018"/>
      <c r="AS18" s="3020"/>
    </row>
    <row r="19" spans="1:45" s="74" customFormat="1" ht="45.75" customHeight="1" x14ac:dyDescent="0.25">
      <c r="A19" s="1077"/>
      <c r="B19" s="1078"/>
      <c r="C19" s="1077"/>
      <c r="D19" s="1078"/>
      <c r="E19" s="1128"/>
      <c r="F19" s="2971"/>
      <c r="G19" s="3021"/>
      <c r="H19" s="2168"/>
      <c r="I19" s="3022"/>
      <c r="J19" s="2168"/>
      <c r="K19" s="3022"/>
      <c r="L19" s="3023"/>
      <c r="M19" s="2165"/>
      <c r="N19" s="2793"/>
      <c r="O19" s="2994"/>
      <c r="P19" s="2992"/>
      <c r="Q19" s="2993"/>
      <c r="R19" s="3011"/>
      <c r="S19" s="3001"/>
      <c r="T19" s="3003"/>
      <c r="U19" s="3006"/>
      <c r="V19" s="3008" t="s">
        <v>1433</v>
      </c>
      <c r="W19" s="1106">
        <v>9100000</v>
      </c>
      <c r="X19" s="182" t="s">
        <v>1434</v>
      </c>
      <c r="Y19" s="1102">
        <v>20</v>
      </c>
      <c r="Z19" s="1063" t="s">
        <v>1424</v>
      </c>
      <c r="AA19" s="2996"/>
      <c r="AB19" s="2996"/>
      <c r="AC19" s="2996"/>
      <c r="AD19" s="2996"/>
      <c r="AE19" s="2996"/>
      <c r="AF19" s="2996"/>
      <c r="AG19" s="2998"/>
      <c r="AH19" s="2998"/>
      <c r="AI19" s="2998"/>
      <c r="AJ19" s="2998"/>
      <c r="AK19" s="2998"/>
      <c r="AL19" s="2998"/>
      <c r="AM19" s="2998"/>
      <c r="AN19" s="2998"/>
      <c r="AO19" s="2996"/>
      <c r="AP19" s="2996"/>
      <c r="AQ19" s="3018"/>
      <c r="AR19" s="3018"/>
      <c r="AS19" s="3020"/>
    </row>
    <row r="20" spans="1:45" s="74" customFormat="1" ht="60.75" customHeight="1" x14ac:dyDescent="0.25">
      <c r="A20" s="1077"/>
      <c r="B20" s="1078"/>
      <c r="C20" s="1077"/>
      <c r="D20" s="1078"/>
      <c r="E20" s="1128"/>
      <c r="F20" s="2971"/>
      <c r="G20" s="3021"/>
      <c r="H20" s="2168"/>
      <c r="I20" s="3022"/>
      <c r="J20" s="2168"/>
      <c r="K20" s="3022"/>
      <c r="L20" s="3023"/>
      <c r="M20" s="2165"/>
      <c r="N20" s="2793"/>
      <c r="O20" s="2994"/>
      <c r="P20" s="2992"/>
      <c r="Q20" s="2993"/>
      <c r="R20" s="3011"/>
      <c r="S20" s="3001"/>
      <c r="T20" s="3003"/>
      <c r="U20" s="3006"/>
      <c r="V20" s="3016"/>
      <c r="W20" s="1106">
        <v>16000000</v>
      </c>
      <c r="X20" s="182" t="s">
        <v>1435</v>
      </c>
      <c r="Y20" s="1102">
        <v>21</v>
      </c>
      <c r="Z20" s="1063" t="s">
        <v>1424</v>
      </c>
      <c r="AA20" s="2996"/>
      <c r="AB20" s="2996"/>
      <c r="AC20" s="2996"/>
      <c r="AD20" s="2996"/>
      <c r="AE20" s="2996"/>
      <c r="AF20" s="2996"/>
      <c r="AG20" s="2998"/>
      <c r="AH20" s="2998"/>
      <c r="AI20" s="2998"/>
      <c r="AJ20" s="2998"/>
      <c r="AK20" s="2998"/>
      <c r="AL20" s="2998"/>
      <c r="AM20" s="2998"/>
      <c r="AN20" s="2998"/>
      <c r="AO20" s="2996"/>
      <c r="AP20" s="2996"/>
      <c r="AQ20" s="3018"/>
      <c r="AR20" s="3018"/>
      <c r="AS20" s="3020"/>
    </row>
    <row r="21" spans="1:45" s="74" customFormat="1" ht="60.75" customHeight="1" x14ac:dyDescent="0.25">
      <c r="A21" s="1077"/>
      <c r="B21" s="1078"/>
      <c r="C21" s="1077"/>
      <c r="D21" s="1078"/>
      <c r="E21" s="1128"/>
      <c r="F21" s="2971"/>
      <c r="G21" s="3021"/>
      <c r="H21" s="2168"/>
      <c r="I21" s="3022"/>
      <c r="J21" s="2168"/>
      <c r="K21" s="3022"/>
      <c r="L21" s="3023"/>
      <c r="M21" s="2165"/>
      <c r="N21" s="2793"/>
      <c r="O21" s="2994"/>
      <c r="P21" s="2992"/>
      <c r="Q21" s="2993"/>
      <c r="R21" s="3011"/>
      <c r="S21" s="3001"/>
      <c r="T21" s="3003"/>
      <c r="U21" s="3006"/>
      <c r="V21" s="3016"/>
      <c r="W21" s="1106">
        <v>4000000</v>
      </c>
      <c r="X21" s="182" t="s">
        <v>1436</v>
      </c>
      <c r="Y21" s="1102">
        <v>22</v>
      </c>
      <c r="Z21" s="1063" t="s">
        <v>1424</v>
      </c>
      <c r="AA21" s="2996"/>
      <c r="AB21" s="2996"/>
      <c r="AC21" s="2996"/>
      <c r="AD21" s="2996"/>
      <c r="AE21" s="2996"/>
      <c r="AF21" s="2996"/>
      <c r="AG21" s="2998"/>
      <c r="AH21" s="2998"/>
      <c r="AI21" s="2998"/>
      <c r="AJ21" s="2998"/>
      <c r="AK21" s="2998"/>
      <c r="AL21" s="2998"/>
      <c r="AM21" s="2998"/>
      <c r="AN21" s="2998"/>
      <c r="AO21" s="2996"/>
      <c r="AP21" s="2996"/>
      <c r="AQ21" s="3018"/>
      <c r="AR21" s="3018"/>
      <c r="AS21" s="3020"/>
    </row>
    <row r="22" spans="1:45" s="74" customFormat="1" ht="60.75" customHeight="1" x14ac:dyDescent="0.25">
      <c r="A22" s="1077"/>
      <c r="B22" s="1078"/>
      <c r="C22" s="1077"/>
      <c r="D22" s="1078"/>
      <c r="E22" s="1128"/>
      <c r="F22" s="2971"/>
      <c r="G22" s="3021"/>
      <c r="H22" s="2168"/>
      <c r="I22" s="3022"/>
      <c r="J22" s="2168"/>
      <c r="K22" s="3022"/>
      <c r="L22" s="3023"/>
      <c r="M22" s="2165"/>
      <c r="N22" s="2793"/>
      <c r="O22" s="2994"/>
      <c r="P22" s="2992"/>
      <c r="Q22" s="2993"/>
      <c r="R22" s="3011"/>
      <c r="S22" s="3001"/>
      <c r="T22" s="3003"/>
      <c r="U22" s="3006"/>
      <c r="V22" s="3009"/>
      <c r="W22" s="1106">
        <v>16000000</v>
      </c>
      <c r="X22" s="182" t="s">
        <v>1437</v>
      </c>
      <c r="Y22" s="1102">
        <v>20</v>
      </c>
      <c r="Z22" s="1063" t="s">
        <v>1424</v>
      </c>
      <c r="AA22" s="2996"/>
      <c r="AB22" s="2996"/>
      <c r="AC22" s="2996"/>
      <c r="AD22" s="2996"/>
      <c r="AE22" s="2996"/>
      <c r="AF22" s="2996"/>
      <c r="AG22" s="2998"/>
      <c r="AH22" s="2998"/>
      <c r="AI22" s="2998"/>
      <c r="AJ22" s="2998"/>
      <c r="AK22" s="2998"/>
      <c r="AL22" s="2998"/>
      <c r="AM22" s="2998"/>
      <c r="AN22" s="2998"/>
      <c r="AO22" s="2996"/>
      <c r="AP22" s="2996"/>
      <c r="AQ22" s="3018"/>
      <c r="AR22" s="3018"/>
      <c r="AS22" s="3020"/>
    </row>
    <row r="23" spans="1:45" s="74" customFormat="1" ht="60.75" customHeight="1" x14ac:dyDescent="0.25">
      <c r="A23" s="1077"/>
      <c r="B23" s="1078"/>
      <c r="C23" s="1077"/>
      <c r="D23" s="1078"/>
      <c r="E23" s="1128"/>
      <c r="F23" s="2971"/>
      <c r="G23" s="3021"/>
      <c r="H23" s="2168"/>
      <c r="I23" s="3022"/>
      <c r="J23" s="2168"/>
      <c r="K23" s="3022"/>
      <c r="L23" s="3023"/>
      <c r="M23" s="2165"/>
      <c r="N23" s="2793"/>
      <c r="O23" s="2994"/>
      <c r="P23" s="2992"/>
      <c r="Q23" s="2993"/>
      <c r="R23" s="3011"/>
      <c r="S23" s="3001"/>
      <c r="T23" s="3003"/>
      <c r="U23" s="3006"/>
      <c r="V23" s="1126" t="s">
        <v>1438</v>
      </c>
      <c r="W23" s="1203">
        <v>50000000</v>
      </c>
      <c r="X23" s="182" t="s">
        <v>1439</v>
      </c>
      <c r="Y23" s="948">
        <v>39</v>
      </c>
      <c r="Z23" s="1068" t="s">
        <v>1440</v>
      </c>
      <c r="AA23" s="2996"/>
      <c r="AB23" s="2996"/>
      <c r="AC23" s="2996"/>
      <c r="AD23" s="2996"/>
      <c r="AE23" s="2996"/>
      <c r="AF23" s="2996"/>
      <c r="AG23" s="2998"/>
      <c r="AH23" s="2998"/>
      <c r="AI23" s="2998"/>
      <c r="AJ23" s="2998"/>
      <c r="AK23" s="2998"/>
      <c r="AL23" s="2998"/>
      <c r="AM23" s="2998"/>
      <c r="AN23" s="2998"/>
      <c r="AO23" s="2996"/>
      <c r="AP23" s="2996"/>
      <c r="AQ23" s="3018"/>
      <c r="AR23" s="3018"/>
      <c r="AS23" s="3020"/>
    </row>
    <row r="24" spans="1:45" s="74" customFormat="1" ht="60.75" customHeight="1" x14ac:dyDescent="0.25">
      <c r="A24" s="1077"/>
      <c r="B24" s="1078"/>
      <c r="C24" s="1077"/>
      <c r="D24" s="1078"/>
      <c r="E24" s="1128"/>
      <c r="F24" s="2971"/>
      <c r="G24" s="3021"/>
      <c r="H24" s="2168"/>
      <c r="I24" s="3022"/>
      <c r="J24" s="2168"/>
      <c r="K24" s="3022"/>
      <c r="L24" s="3023"/>
      <c r="M24" s="2165"/>
      <c r="N24" s="2793"/>
      <c r="O24" s="2994"/>
      <c r="P24" s="2992"/>
      <c r="Q24" s="2993"/>
      <c r="R24" s="3011"/>
      <c r="S24" s="3001"/>
      <c r="T24" s="3003"/>
      <c r="U24" s="3006"/>
      <c r="V24" s="1126" t="s">
        <v>1441</v>
      </c>
      <c r="W24" s="1203">
        <v>28000000</v>
      </c>
      <c r="X24" s="182" t="s">
        <v>1439</v>
      </c>
      <c r="Y24" s="948">
        <v>39</v>
      </c>
      <c r="Z24" s="1068" t="s">
        <v>1440</v>
      </c>
      <c r="AA24" s="2996"/>
      <c r="AB24" s="2996"/>
      <c r="AC24" s="2996"/>
      <c r="AD24" s="2996"/>
      <c r="AE24" s="2996"/>
      <c r="AF24" s="2996"/>
      <c r="AG24" s="2998"/>
      <c r="AH24" s="2998"/>
      <c r="AI24" s="2998"/>
      <c r="AJ24" s="2998"/>
      <c r="AK24" s="2998"/>
      <c r="AL24" s="2998"/>
      <c r="AM24" s="2998"/>
      <c r="AN24" s="2998"/>
      <c r="AO24" s="2996"/>
      <c r="AP24" s="2996"/>
      <c r="AQ24" s="3018"/>
      <c r="AR24" s="3018"/>
      <c r="AS24" s="3020"/>
    </row>
    <row r="25" spans="1:45" s="74" customFormat="1" ht="60.75" customHeight="1" x14ac:dyDescent="0.25">
      <c r="A25" s="1077"/>
      <c r="B25" s="1078"/>
      <c r="C25" s="1077"/>
      <c r="D25" s="1078"/>
      <c r="E25" s="1128"/>
      <c r="F25" s="2971"/>
      <c r="G25" s="3021"/>
      <c r="H25" s="2168"/>
      <c r="I25" s="3022"/>
      <c r="J25" s="2168"/>
      <c r="K25" s="3022"/>
      <c r="L25" s="3023"/>
      <c r="M25" s="2165"/>
      <c r="N25" s="2793"/>
      <c r="O25" s="2994"/>
      <c r="P25" s="2992"/>
      <c r="Q25" s="2993"/>
      <c r="R25" s="3011"/>
      <c r="S25" s="3001"/>
      <c r="T25" s="3003"/>
      <c r="U25" s="3006"/>
      <c r="V25" s="1126" t="s">
        <v>1442</v>
      </c>
      <c r="W25" s="1203">
        <v>36000000</v>
      </c>
      <c r="X25" s="182" t="s">
        <v>1439</v>
      </c>
      <c r="Y25" s="948">
        <v>39</v>
      </c>
      <c r="Z25" s="1068" t="s">
        <v>1440</v>
      </c>
      <c r="AA25" s="2996"/>
      <c r="AB25" s="2996"/>
      <c r="AC25" s="2996"/>
      <c r="AD25" s="2996"/>
      <c r="AE25" s="2996"/>
      <c r="AF25" s="2996"/>
      <c r="AG25" s="2998"/>
      <c r="AH25" s="2998"/>
      <c r="AI25" s="2998"/>
      <c r="AJ25" s="2998"/>
      <c r="AK25" s="2998"/>
      <c r="AL25" s="2998"/>
      <c r="AM25" s="2998"/>
      <c r="AN25" s="2998"/>
      <c r="AO25" s="2996"/>
      <c r="AP25" s="2996"/>
      <c r="AQ25" s="3018"/>
      <c r="AR25" s="3018"/>
      <c r="AS25" s="3020"/>
    </row>
    <row r="26" spans="1:45" s="74" customFormat="1" ht="60.75" customHeight="1" x14ac:dyDescent="0.25">
      <c r="A26" s="1077"/>
      <c r="B26" s="1078"/>
      <c r="C26" s="1077"/>
      <c r="D26" s="1078"/>
      <c r="E26" s="1128"/>
      <c r="F26" s="2971"/>
      <c r="G26" s="3021"/>
      <c r="H26" s="2168"/>
      <c r="I26" s="3022"/>
      <c r="J26" s="2168"/>
      <c r="K26" s="3022"/>
      <c r="L26" s="3023"/>
      <c r="M26" s="2165"/>
      <c r="N26" s="2793"/>
      <c r="O26" s="2994"/>
      <c r="P26" s="2992"/>
      <c r="Q26" s="2993"/>
      <c r="R26" s="3011"/>
      <c r="S26" s="3001"/>
      <c r="T26" s="3003"/>
      <c r="U26" s="3006"/>
      <c r="V26" s="2192" t="s">
        <v>1443</v>
      </c>
      <c r="W26" s="1203">
        <v>805912475</v>
      </c>
      <c r="X26" s="182" t="s">
        <v>1439</v>
      </c>
      <c r="Y26" s="948">
        <v>39</v>
      </c>
      <c r="Z26" s="1068" t="s">
        <v>1440</v>
      </c>
      <c r="AA26" s="2996"/>
      <c r="AB26" s="2996"/>
      <c r="AC26" s="2996"/>
      <c r="AD26" s="2996"/>
      <c r="AE26" s="2996"/>
      <c r="AF26" s="2996"/>
      <c r="AG26" s="2998"/>
      <c r="AH26" s="2998"/>
      <c r="AI26" s="2998"/>
      <c r="AJ26" s="2998"/>
      <c r="AK26" s="2998"/>
      <c r="AL26" s="2998"/>
      <c r="AM26" s="2998"/>
      <c r="AN26" s="2998"/>
      <c r="AO26" s="2996"/>
      <c r="AP26" s="2996"/>
      <c r="AQ26" s="3018"/>
      <c r="AR26" s="3018"/>
      <c r="AS26" s="3020"/>
    </row>
    <row r="27" spans="1:45" s="74" customFormat="1" ht="60.75" customHeight="1" x14ac:dyDescent="0.25">
      <c r="A27" s="1077"/>
      <c r="B27" s="1078"/>
      <c r="C27" s="1077"/>
      <c r="D27" s="1078"/>
      <c r="E27" s="1128"/>
      <c r="F27" s="2971"/>
      <c r="G27" s="3021"/>
      <c r="H27" s="2168"/>
      <c r="I27" s="3022"/>
      <c r="J27" s="2168"/>
      <c r="K27" s="3022"/>
      <c r="L27" s="3023"/>
      <c r="M27" s="2165"/>
      <c r="N27" s="2793"/>
      <c r="O27" s="2994"/>
      <c r="P27" s="2992"/>
      <c r="Q27" s="2993"/>
      <c r="R27" s="3011"/>
      <c r="S27" s="3001"/>
      <c r="T27" s="3003"/>
      <c r="U27" s="3006"/>
      <c r="V27" s="2193"/>
      <c r="W27" s="1117">
        <v>176183734.30000001</v>
      </c>
      <c r="X27" s="511" t="s">
        <v>1444</v>
      </c>
      <c r="Y27" s="948">
        <v>83</v>
      </c>
      <c r="Z27" s="1068" t="s">
        <v>1445</v>
      </c>
      <c r="AA27" s="2996"/>
      <c r="AB27" s="2996"/>
      <c r="AC27" s="2996"/>
      <c r="AD27" s="2996"/>
      <c r="AE27" s="2996"/>
      <c r="AF27" s="2996"/>
      <c r="AG27" s="2998"/>
      <c r="AH27" s="2998"/>
      <c r="AI27" s="2998"/>
      <c r="AJ27" s="2998"/>
      <c r="AK27" s="2998"/>
      <c r="AL27" s="2998"/>
      <c r="AM27" s="2998"/>
      <c r="AN27" s="2998"/>
      <c r="AO27" s="2996"/>
      <c r="AP27" s="2996"/>
      <c r="AQ27" s="3018"/>
      <c r="AR27" s="3018"/>
      <c r="AS27" s="3020"/>
    </row>
    <row r="28" spans="1:45" s="74" customFormat="1" ht="60.75" customHeight="1" x14ac:dyDescent="0.25">
      <c r="A28" s="1077"/>
      <c r="B28" s="1078"/>
      <c r="C28" s="1077"/>
      <c r="D28" s="1078"/>
      <c r="E28" s="1128"/>
      <c r="F28" s="2971"/>
      <c r="G28" s="3021"/>
      <c r="H28" s="2168"/>
      <c r="I28" s="3022"/>
      <c r="J28" s="2168"/>
      <c r="K28" s="3022"/>
      <c r="L28" s="3023"/>
      <c r="M28" s="2165"/>
      <c r="N28" s="2793"/>
      <c r="O28" s="2994"/>
      <c r="P28" s="2992"/>
      <c r="Q28" s="2993"/>
      <c r="R28" s="3011"/>
      <c r="S28" s="3001"/>
      <c r="T28" s="3003"/>
      <c r="U28" s="3006"/>
      <c r="V28" s="3015"/>
      <c r="W28" s="1117">
        <v>30000000</v>
      </c>
      <c r="X28" s="511" t="s">
        <v>1429</v>
      </c>
      <c r="Y28" s="948">
        <v>20</v>
      </c>
      <c r="Z28" s="1068" t="s">
        <v>1420</v>
      </c>
      <c r="AA28" s="2996"/>
      <c r="AB28" s="2996"/>
      <c r="AC28" s="2996"/>
      <c r="AD28" s="2996"/>
      <c r="AE28" s="2996"/>
      <c r="AF28" s="2996"/>
      <c r="AG28" s="2998"/>
      <c r="AH28" s="2998"/>
      <c r="AI28" s="2998"/>
      <c r="AJ28" s="2998"/>
      <c r="AK28" s="2998"/>
      <c r="AL28" s="2998"/>
      <c r="AM28" s="2998"/>
      <c r="AN28" s="2998"/>
      <c r="AO28" s="2996"/>
      <c r="AP28" s="2996"/>
      <c r="AQ28" s="3018"/>
      <c r="AR28" s="3018"/>
      <c r="AS28" s="3020"/>
    </row>
    <row r="29" spans="1:45" s="74" customFormat="1" ht="60.75" customHeight="1" x14ac:dyDescent="0.25">
      <c r="A29" s="1077"/>
      <c r="B29" s="1078"/>
      <c r="C29" s="1077"/>
      <c r="D29" s="1078"/>
      <c r="E29" s="1128"/>
      <c r="F29" s="2971"/>
      <c r="G29" s="3021"/>
      <c r="H29" s="2168"/>
      <c r="I29" s="3022"/>
      <c r="J29" s="2168"/>
      <c r="K29" s="3022"/>
      <c r="L29" s="3023"/>
      <c r="M29" s="2165"/>
      <c r="N29" s="2793"/>
      <c r="O29" s="2994"/>
      <c r="P29" s="2992"/>
      <c r="Q29" s="2993"/>
      <c r="R29" s="3011"/>
      <c r="S29" s="3001"/>
      <c r="T29" s="3003"/>
      <c r="U29" s="3006"/>
      <c r="V29" s="1126" t="s">
        <v>1446</v>
      </c>
      <c r="W29" s="1117">
        <v>0</v>
      </c>
      <c r="X29" s="182" t="s">
        <v>1447</v>
      </c>
      <c r="Y29" s="948">
        <v>41</v>
      </c>
      <c r="Z29" s="1068" t="s">
        <v>1448</v>
      </c>
      <c r="AA29" s="2996"/>
      <c r="AB29" s="2996"/>
      <c r="AC29" s="2996"/>
      <c r="AD29" s="2996"/>
      <c r="AE29" s="2996"/>
      <c r="AF29" s="2996"/>
      <c r="AG29" s="2998"/>
      <c r="AH29" s="2998"/>
      <c r="AI29" s="2998"/>
      <c r="AJ29" s="2998"/>
      <c r="AK29" s="2998"/>
      <c r="AL29" s="2998"/>
      <c r="AM29" s="2998"/>
      <c r="AN29" s="2998"/>
      <c r="AO29" s="2996"/>
      <c r="AP29" s="2996"/>
      <c r="AQ29" s="3018"/>
      <c r="AR29" s="3018"/>
      <c r="AS29" s="3020"/>
    </row>
    <row r="30" spans="1:45" s="74" customFormat="1" ht="60.75" customHeight="1" x14ac:dyDescent="0.25">
      <c r="A30" s="1077"/>
      <c r="B30" s="1078"/>
      <c r="C30" s="1077"/>
      <c r="D30" s="1078"/>
      <c r="E30" s="1128"/>
      <c r="F30" s="2971"/>
      <c r="G30" s="3021"/>
      <c r="H30" s="2168"/>
      <c r="I30" s="3022"/>
      <c r="J30" s="2168"/>
      <c r="K30" s="3022"/>
      <c r="L30" s="3023"/>
      <c r="M30" s="2165"/>
      <c r="N30" s="2793"/>
      <c r="O30" s="2994"/>
      <c r="P30" s="2992"/>
      <c r="Q30" s="2993"/>
      <c r="R30" s="3011"/>
      <c r="S30" s="3001"/>
      <c r="T30" s="3003"/>
      <c r="U30" s="3006"/>
      <c r="V30" s="1126" t="s">
        <v>1449</v>
      </c>
      <c r="W30" s="1117">
        <v>13500000</v>
      </c>
      <c r="X30" s="182" t="s">
        <v>1447</v>
      </c>
      <c r="Y30" s="948">
        <v>41</v>
      </c>
      <c r="Z30" s="1068" t="s">
        <v>1448</v>
      </c>
      <c r="AA30" s="2996"/>
      <c r="AB30" s="2996"/>
      <c r="AC30" s="2996"/>
      <c r="AD30" s="2996"/>
      <c r="AE30" s="2996"/>
      <c r="AF30" s="2996"/>
      <c r="AG30" s="2998"/>
      <c r="AH30" s="2998"/>
      <c r="AI30" s="2998"/>
      <c r="AJ30" s="2998"/>
      <c r="AK30" s="2998"/>
      <c r="AL30" s="2998"/>
      <c r="AM30" s="2998"/>
      <c r="AN30" s="2998"/>
      <c r="AO30" s="2996"/>
      <c r="AP30" s="2996"/>
      <c r="AQ30" s="3018"/>
      <c r="AR30" s="3018"/>
      <c r="AS30" s="3020"/>
    </row>
    <row r="31" spans="1:45" s="74" customFormat="1" ht="57" customHeight="1" x14ac:dyDescent="0.25">
      <c r="A31" s="1077"/>
      <c r="B31" s="1078"/>
      <c r="C31" s="1077"/>
      <c r="D31" s="1078"/>
      <c r="E31" s="1128"/>
      <c r="F31" s="2971"/>
      <c r="G31" s="3021"/>
      <c r="H31" s="2168"/>
      <c r="I31" s="3022"/>
      <c r="J31" s="2168"/>
      <c r="K31" s="3022"/>
      <c r="L31" s="3023"/>
      <c r="M31" s="2165"/>
      <c r="N31" s="2793"/>
      <c r="O31" s="2994"/>
      <c r="P31" s="2992"/>
      <c r="Q31" s="2993"/>
      <c r="R31" s="3011"/>
      <c r="S31" s="3001"/>
      <c r="T31" s="3003"/>
      <c r="U31" s="3006"/>
      <c r="V31" s="1126" t="s">
        <v>1450</v>
      </c>
      <c r="W31" s="1117">
        <v>35212900</v>
      </c>
      <c r="X31" s="182" t="s">
        <v>1447</v>
      </c>
      <c r="Y31" s="948">
        <v>41</v>
      </c>
      <c r="Z31" s="1068" t="s">
        <v>1448</v>
      </c>
      <c r="AA31" s="2996"/>
      <c r="AB31" s="2996"/>
      <c r="AC31" s="2996"/>
      <c r="AD31" s="2996"/>
      <c r="AE31" s="2996"/>
      <c r="AF31" s="2996"/>
      <c r="AG31" s="2998"/>
      <c r="AH31" s="2998"/>
      <c r="AI31" s="2998"/>
      <c r="AJ31" s="2998"/>
      <c r="AK31" s="2998"/>
      <c r="AL31" s="2998"/>
      <c r="AM31" s="2998"/>
      <c r="AN31" s="2998"/>
      <c r="AO31" s="2996"/>
      <c r="AP31" s="2996"/>
      <c r="AQ31" s="3018"/>
      <c r="AR31" s="3018"/>
      <c r="AS31" s="3020"/>
    </row>
    <row r="32" spans="1:45" s="74" customFormat="1" ht="47.25" customHeight="1" x14ac:dyDescent="0.25">
      <c r="A32" s="1077"/>
      <c r="B32" s="1078"/>
      <c r="C32" s="1077"/>
      <c r="D32" s="1078"/>
      <c r="E32" s="1128"/>
      <c r="F32" s="2971"/>
      <c r="G32" s="3021"/>
      <c r="H32" s="2168"/>
      <c r="I32" s="3022"/>
      <c r="J32" s="2168"/>
      <c r="K32" s="3022"/>
      <c r="L32" s="3023"/>
      <c r="M32" s="2165"/>
      <c r="N32" s="2793"/>
      <c r="O32" s="2994"/>
      <c r="P32" s="2992"/>
      <c r="Q32" s="2993"/>
      <c r="R32" s="3011"/>
      <c r="S32" s="3001"/>
      <c r="T32" s="3003"/>
      <c r="U32" s="3006"/>
      <c r="V32" s="2192" t="s">
        <v>1451</v>
      </c>
      <c r="W32" s="1117">
        <v>135269594.59999999</v>
      </c>
      <c r="X32" s="182" t="s">
        <v>1447</v>
      </c>
      <c r="Y32" s="948">
        <v>41</v>
      </c>
      <c r="Z32" s="1068" t="s">
        <v>1448</v>
      </c>
      <c r="AA32" s="2996"/>
      <c r="AB32" s="2996"/>
      <c r="AC32" s="2996"/>
      <c r="AD32" s="2996"/>
      <c r="AE32" s="2996"/>
      <c r="AF32" s="2996"/>
      <c r="AG32" s="2998"/>
      <c r="AH32" s="2998"/>
      <c r="AI32" s="2998"/>
      <c r="AJ32" s="2998"/>
      <c r="AK32" s="2998"/>
      <c r="AL32" s="2998"/>
      <c r="AM32" s="2998"/>
      <c r="AN32" s="2998"/>
      <c r="AO32" s="2996"/>
      <c r="AP32" s="2996"/>
      <c r="AQ32" s="3018"/>
      <c r="AR32" s="3018"/>
      <c r="AS32" s="3020"/>
    </row>
    <row r="33" spans="1:45" s="74" customFormat="1" ht="47.25" customHeight="1" x14ac:dyDescent="0.25">
      <c r="A33" s="1077"/>
      <c r="B33" s="1078"/>
      <c r="C33" s="1077"/>
      <c r="D33" s="1078"/>
      <c r="E33" s="1128"/>
      <c r="F33" s="2971"/>
      <c r="G33" s="3021"/>
      <c r="H33" s="2168"/>
      <c r="I33" s="3022"/>
      <c r="J33" s="2168"/>
      <c r="K33" s="3022"/>
      <c r="L33" s="3023"/>
      <c r="M33" s="2165"/>
      <c r="N33" s="2793"/>
      <c r="O33" s="2994"/>
      <c r="P33" s="2992"/>
      <c r="Q33" s="2993"/>
      <c r="R33" s="3011"/>
      <c r="S33" s="3001"/>
      <c r="T33" s="3003"/>
      <c r="U33" s="3014"/>
      <c r="V33" s="3015"/>
      <c r="W33" s="1117">
        <v>74600000</v>
      </c>
      <c r="X33" s="511" t="s">
        <v>1429</v>
      </c>
      <c r="Y33" s="948">
        <v>20</v>
      </c>
      <c r="Z33" s="1068" t="s">
        <v>73</v>
      </c>
      <c r="AA33" s="2996"/>
      <c r="AB33" s="2996"/>
      <c r="AC33" s="2996"/>
      <c r="AD33" s="2996"/>
      <c r="AE33" s="2996"/>
      <c r="AF33" s="2996"/>
      <c r="AG33" s="2998"/>
      <c r="AH33" s="2998"/>
      <c r="AI33" s="2998"/>
      <c r="AJ33" s="2998"/>
      <c r="AK33" s="2998"/>
      <c r="AL33" s="2998"/>
      <c r="AM33" s="2998"/>
      <c r="AN33" s="2998"/>
      <c r="AO33" s="2996"/>
      <c r="AP33" s="2996"/>
      <c r="AQ33" s="3018"/>
      <c r="AR33" s="3018"/>
      <c r="AS33" s="3020"/>
    </row>
    <row r="34" spans="1:45" s="74" customFormat="1" ht="55.5" customHeight="1" x14ac:dyDescent="0.25">
      <c r="A34" s="1077"/>
      <c r="B34" s="1078"/>
      <c r="C34" s="1077"/>
      <c r="D34" s="1078"/>
      <c r="E34" s="1128"/>
      <c r="F34" s="2971"/>
      <c r="G34" s="1052" t="s">
        <v>62</v>
      </c>
      <c r="H34" s="1240" t="s">
        <v>1452</v>
      </c>
      <c r="I34" s="1052">
        <v>3301070</v>
      </c>
      <c r="J34" s="1066" t="s">
        <v>1453</v>
      </c>
      <c r="K34" s="1067" t="s">
        <v>62</v>
      </c>
      <c r="L34" s="1142" t="s">
        <v>1454</v>
      </c>
      <c r="M34" s="1067">
        <v>330107000</v>
      </c>
      <c r="N34" s="1121" t="s">
        <v>244</v>
      </c>
      <c r="O34" s="1204">
        <v>0.3</v>
      </c>
      <c r="P34" s="2992"/>
      <c r="Q34" s="2993"/>
      <c r="R34" s="1205">
        <v>1.0100608607429406E-2</v>
      </c>
      <c r="S34" s="3001"/>
      <c r="T34" s="3003"/>
      <c r="U34" s="1105" t="s">
        <v>1455</v>
      </c>
      <c r="V34" s="1126" t="s">
        <v>1456</v>
      </c>
      <c r="W34" s="1117">
        <v>20000000</v>
      </c>
      <c r="X34" s="182" t="s">
        <v>1457</v>
      </c>
      <c r="Y34" s="948">
        <v>20</v>
      </c>
      <c r="Z34" s="1068" t="s">
        <v>73</v>
      </c>
      <c r="AA34" s="2996"/>
      <c r="AB34" s="2996"/>
      <c r="AC34" s="2996"/>
      <c r="AD34" s="2996"/>
      <c r="AE34" s="2996"/>
      <c r="AF34" s="2996"/>
      <c r="AG34" s="2998"/>
      <c r="AH34" s="2998"/>
      <c r="AI34" s="2998"/>
      <c r="AJ34" s="2998"/>
      <c r="AK34" s="2998"/>
      <c r="AL34" s="2998"/>
      <c r="AM34" s="2998"/>
      <c r="AN34" s="2998"/>
      <c r="AO34" s="2996"/>
      <c r="AP34" s="2996"/>
      <c r="AQ34" s="3018"/>
      <c r="AR34" s="3018"/>
      <c r="AS34" s="3020"/>
    </row>
    <row r="35" spans="1:45" s="74" customFormat="1" ht="63.75" customHeight="1" x14ac:dyDescent="0.25">
      <c r="A35" s="1077"/>
      <c r="B35" s="1078"/>
      <c r="C35" s="1077"/>
      <c r="D35" s="1078"/>
      <c r="E35" s="1128"/>
      <c r="F35" s="2971"/>
      <c r="G35" s="1206">
        <v>3301099</v>
      </c>
      <c r="H35" s="1125" t="s">
        <v>1458</v>
      </c>
      <c r="I35" s="1206">
        <v>3301099</v>
      </c>
      <c r="J35" s="1125" t="s">
        <v>1458</v>
      </c>
      <c r="K35" s="1206">
        <v>330109900</v>
      </c>
      <c r="L35" s="1123" t="s">
        <v>1459</v>
      </c>
      <c r="M35" s="1206">
        <v>330109900</v>
      </c>
      <c r="N35" s="1123" t="s">
        <v>1459</v>
      </c>
      <c r="O35" s="1198">
        <v>1</v>
      </c>
      <c r="P35" s="2992"/>
      <c r="Q35" s="2993"/>
      <c r="R35" s="1207">
        <v>2.7271643240059395E-3</v>
      </c>
      <c r="S35" s="3001"/>
      <c r="T35" s="3003"/>
      <c r="U35" s="1095" t="s">
        <v>1460</v>
      </c>
      <c r="V35" s="1126" t="s">
        <v>1461</v>
      </c>
      <c r="W35" s="1117">
        <v>5400000</v>
      </c>
      <c r="X35" s="182" t="s">
        <v>1462</v>
      </c>
      <c r="Y35" s="948">
        <v>20</v>
      </c>
      <c r="Z35" s="1068" t="s">
        <v>1420</v>
      </c>
      <c r="AA35" s="2996"/>
      <c r="AB35" s="2996"/>
      <c r="AC35" s="2996"/>
      <c r="AD35" s="2996"/>
      <c r="AE35" s="2996"/>
      <c r="AF35" s="2996"/>
      <c r="AG35" s="2998"/>
      <c r="AH35" s="2998"/>
      <c r="AI35" s="2998"/>
      <c r="AJ35" s="2998"/>
      <c r="AK35" s="2998"/>
      <c r="AL35" s="2998"/>
      <c r="AM35" s="2998"/>
      <c r="AN35" s="2998"/>
      <c r="AO35" s="2996"/>
      <c r="AP35" s="2996"/>
      <c r="AQ35" s="3018"/>
      <c r="AR35" s="3018"/>
      <c r="AS35" s="3020"/>
    </row>
    <row r="36" spans="1:45" s="74" customFormat="1" ht="85.5" customHeight="1" x14ac:dyDescent="0.25">
      <c r="A36" s="1077"/>
      <c r="B36" s="1078"/>
      <c r="C36" s="1077"/>
      <c r="D36" s="1078"/>
      <c r="E36" s="1128"/>
      <c r="F36" s="2971"/>
      <c r="G36" s="1208">
        <v>3301052</v>
      </c>
      <c r="H36" s="1127" t="s">
        <v>1463</v>
      </c>
      <c r="I36" s="1208">
        <v>3301052</v>
      </c>
      <c r="J36" s="1127" t="s">
        <v>1463</v>
      </c>
      <c r="K36" s="1208">
        <v>330105203</v>
      </c>
      <c r="L36" s="1150" t="s">
        <v>1464</v>
      </c>
      <c r="M36" s="1208">
        <v>330105203</v>
      </c>
      <c r="N36" s="1150" t="s">
        <v>1464</v>
      </c>
      <c r="O36" s="1209">
        <v>135</v>
      </c>
      <c r="P36" s="2992"/>
      <c r="Q36" s="2993"/>
      <c r="R36" s="1210">
        <v>9.0905477466864653E-3</v>
      </c>
      <c r="S36" s="3001"/>
      <c r="T36" s="3004"/>
      <c r="U36" s="1095" t="s">
        <v>1465</v>
      </c>
      <c r="V36" s="1242" t="s">
        <v>1466</v>
      </c>
      <c r="W36" s="1117">
        <v>18000000</v>
      </c>
      <c r="X36" s="182" t="s">
        <v>1467</v>
      </c>
      <c r="Y36" s="948">
        <v>20</v>
      </c>
      <c r="Z36" s="1068" t="s">
        <v>1420</v>
      </c>
      <c r="AA36" s="2996"/>
      <c r="AB36" s="2996"/>
      <c r="AC36" s="2996"/>
      <c r="AD36" s="2996"/>
      <c r="AE36" s="2996"/>
      <c r="AF36" s="2996"/>
      <c r="AG36" s="2998"/>
      <c r="AH36" s="2998"/>
      <c r="AI36" s="2998"/>
      <c r="AJ36" s="2998"/>
      <c r="AK36" s="2998"/>
      <c r="AL36" s="2998"/>
      <c r="AM36" s="2998"/>
      <c r="AN36" s="2998"/>
      <c r="AO36" s="2996"/>
      <c r="AP36" s="2996"/>
      <c r="AQ36" s="3018"/>
      <c r="AR36" s="3018"/>
      <c r="AS36" s="3020"/>
    </row>
    <row r="37" spans="1:45" s="74" customFormat="1" ht="62.25" customHeight="1" x14ac:dyDescent="0.25">
      <c r="A37" s="1077"/>
      <c r="B37" s="1078"/>
      <c r="C37" s="1077"/>
      <c r="D37" s="1078"/>
      <c r="E37" s="1128"/>
      <c r="F37" s="2971"/>
      <c r="G37" s="2165">
        <v>3301085</v>
      </c>
      <c r="H37" s="2793" t="s">
        <v>1468</v>
      </c>
      <c r="I37" s="2165">
        <v>3301085</v>
      </c>
      <c r="J37" s="2793" t="s">
        <v>1468</v>
      </c>
      <c r="K37" s="2165">
        <v>330108500</v>
      </c>
      <c r="L37" s="2793" t="s">
        <v>1469</v>
      </c>
      <c r="M37" s="2165">
        <v>330108500</v>
      </c>
      <c r="N37" s="2793" t="s">
        <v>1469</v>
      </c>
      <c r="O37" s="2260">
        <v>40000</v>
      </c>
      <c r="P37" s="2343" t="s">
        <v>1470</v>
      </c>
      <c r="Q37" s="2167" t="s">
        <v>1471</v>
      </c>
      <c r="R37" s="3032">
        <v>0.78381091355488275</v>
      </c>
      <c r="S37" s="3040">
        <v>333103297.60000002</v>
      </c>
      <c r="T37" s="3042" t="s">
        <v>1472</v>
      </c>
      <c r="U37" s="3026" t="s">
        <v>1473</v>
      </c>
      <c r="V37" s="3029" t="s">
        <v>1474</v>
      </c>
      <c r="W37" s="1211">
        <v>73200000</v>
      </c>
      <c r="X37" s="182" t="s">
        <v>1475</v>
      </c>
      <c r="Y37" s="948">
        <v>34</v>
      </c>
      <c r="Z37" s="1198" t="s">
        <v>1476</v>
      </c>
      <c r="AA37" s="3025">
        <v>2035.7388505241149</v>
      </c>
      <c r="AB37" s="3025">
        <v>1964.2611494758853</v>
      </c>
      <c r="AC37" s="3025">
        <v>932.29840151869485</v>
      </c>
      <c r="AD37" s="3025">
        <v>304.38550636916392</v>
      </c>
      <c r="AE37" s="3025">
        <v>2126.3515558367953</v>
      </c>
      <c r="AF37" s="3025">
        <v>636.96453627534595</v>
      </c>
      <c r="AG37" s="3025">
        <v>14.753624783338378</v>
      </c>
      <c r="AH37" s="3025">
        <v>87.476270393705121</v>
      </c>
      <c r="AI37" s="3025">
        <v>0.1788318155556167</v>
      </c>
      <c r="AJ37" s="3025">
        <v>0.25449142982914685</v>
      </c>
      <c r="AK37" s="3025">
        <v>0</v>
      </c>
      <c r="AL37" s="3025">
        <v>0</v>
      </c>
      <c r="AM37" s="3025">
        <v>305.04580845736922</v>
      </c>
      <c r="AN37" s="3025">
        <v>150.93405232894051</v>
      </c>
      <c r="AO37" s="3025">
        <v>520.58629322915226</v>
      </c>
      <c r="AP37" s="3025">
        <v>4000</v>
      </c>
      <c r="AQ37" s="3038">
        <v>44200</v>
      </c>
      <c r="AR37" s="3038">
        <v>44560</v>
      </c>
      <c r="AS37" s="3039" t="s">
        <v>1421</v>
      </c>
    </row>
    <row r="38" spans="1:45" s="74" customFormat="1" ht="62.25" customHeight="1" x14ac:dyDescent="0.25">
      <c r="A38" s="1077"/>
      <c r="B38" s="1078"/>
      <c r="C38" s="1077"/>
      <c r="D38" s="1078"/>
      <c r="E38" s="1128"/>
      <c r="F38" s="2971"/>
      <c r="G38" s="2165"/>
      <c r="H38" s="2793"/>
      <c r="I38" s="2165"/>
      <c r="J38" s="2793"/>
      <c r="K38" s="2165"/>
      <c r="L38" s="2793"/>
      <c r="M38" s="2165"/>
      <c r="N38" s="2793"/>
      <c r="O38" s="2260"/>
      <c r="P38" s="2343"/>
      <c r="Q38" s="2167"/>
      <c r="R38" s="3032"/>
      <c r="S38" s="3040"/>
      <c r="T38" s="3043"/>
      <c r="U38" s="3027"/>
      <c r="V38" s="2193"/>
      <c r="W38" s="1211">
        <v>18000000</v>
      </c>
      <c r="X38" s="182" t="s">
        <v>1477</v>
      </c>
      <c r="Y38" s="948">
        <v>34</v>
      </c>
      <c r="Z38" s="1198" t="s">
        <v>1476</v>
      </c>
      <c r="AA38" s="3025"/>
      <c r="AB38" s="3025"/>
      <c r="AC38" s="3025"/>
      <c r="AD38" s="3025"/>
      <c r="AE38" s="3025"/>
      <c r="AF38" s="3025"/>
      <c r="AG38" s="3025"/>
      <c r="AH38" s="3025"/>
      <c r="AI38" s="3025"/>
      <c r="AJ38" s="3025"/>
      <c r="AK38" s="3025"/>
      <c r="AL38" s="3025"/>
      <c r="AM38" s="3025"/>
      <c r="AN38" s="3025"/>
      <c r="AO38" s="3025"/>
      <c r="AP38" s="3025"/>
      <c r="AQ38" s="3038"/>
      <c r="AR38" s="3038"/>
      <c r="AS38" s="3039"/>
    </row>
    <row r="39" spans="1:45" s="74" customFormat="1" ht="62.25" customHeight="1" x14ac:dyDescent="0.25">
      <c r="A39" s="1077"/>
      <c r="B39" s="1078"/>
      <c r="C39" s="1077"/>
      <c r="D39" s="1078"/>
      <c r="E39" s="1128"/>
      <c r="F39" s="2971"/>
      <c r="G39" s="2165"/>
      <c r="H39" s="2793"/>
      <c r="I39" s="2165"/>
      <c r="J39" s="2793"/>
      <c r="K39" s="2165"/>
      <c r="L39" s="2793"/>
      <c r="M39" s="2165"/>
      <c r="N39" s="2793"/>
      <c r="O39" s="2260"/>
      <c r="P39" s="2260"/>
      <c r="Q39" s="2168"/>
      <c r="R39" s="3032"/>
      <c r="S39" s="3041"/>
      <c r="T39" s="3043"/>
      <c r="U39" s="3027"/>
      <c r="V39" s="2193"/>
      <c r="W39" s="1211">
        <v>45000000</v>
      </c>
      <c r="X39" s="511" t="s">
        <v>1478</v>
      </c>
      <c r="Y39" s="948">
        <v>83</v>
      </c>
      <c r="Z39" s="1198" t="s">
        <v>1479</v>
      </c>
      <c r="AA39" s="3025"/>
      <c r="AB39" s="3025"/>
      <c r="AC39" s="3025"/>
      <c r="AD39" s="3025"/>
      <c r="AE39" s="3025"/>
      <c r="AF39" s="3025"/>
      <c r="AG39" s="3025"/>
      <c r="AH39" s="3025"/>
      <c r="AI39" s="3025"/>
      <c r="AJ39" s="3025"/>
      <c r="AK39" s="3025"/>
      <c r="AL39" s="3025"/>
      <c r="AM39" s="3025"/>
      <c r="AN39" s="3025"/>
      <c r="AO39" s="3025"/>
      <c r="AP39" s="3025"/>
      <c r="AQ39" s="3038"/>
      <c r="AR39" s="3038"/>
      <c r="AS39" s="3039"/>
    </row>
    <row r="40" spans="1:45" s="74" customFormat="1" ht="62.25" customHeight="1" x14ac:dyDescent="0.25">
      <c r="A40" s="1077"/>
      <c r="B40" s="1078"/>
      <c r="C40" s="1077"/>
      <c r="D40" s="1078"/>
      <c r="E40" s="1128"/>
      <c r="F40" s="2971"/>
      <c r="G40" s="2165"/>
      <c r="H40" s="2793"/>
      <c r="I40" s="2165"/>
      <c r="J40" s="2793"/>
      <c r="K40" s="2165"/>
      <c r="L40" s="2793"/>
      <c r="M40" s="2165"/>
      <c r="N40" s="2793"/>
      <c r="O40" s="2260"/>
      <c r="P40" s="2260"/>
      <c r="Q40" s="2168"/>
      <c r="R40" s="3032"/>
      <c r="S40" s="3041"/>
      <c r="T40" s="3043"/>
      <c r="U40" s="3027"/>
      <c r="V40" s="2193"/>
      <c r="W40" s="1211">
        <v>0</v>
      </c>
      <c r="X40" s="182" t="s">
        <v>1480</v>
      </c>
      <c r="Y40" s="948">
        <v>20</v>
      </c>
      <c r="Z40" s="1198" t="s">
        <v>1481</v>
      </c>
      <c r="AA40" s="3025"/>
      <c r="AB40" s="3025"/>
      <c r="AC40" s="3025"/>
      <c r="AD40" s="3025"/>
      <c r="AE40" s="3025"/>
      <c r="AF40" s="3025"/>
      <c r="AG40" s="3025"/>
      <c r="AH40" s="3025"/>
      <c r="AI40" s="3025"/>
      <c r="AJ40" s="3025"/>
      <c r="AK40" s="3025"/>
      <c r="AL40" s="3025"/>
      <c r="AM40" s="3025"/>
      <c r="AN40" s="3025"/>
      <c r="AO40" s="3025"/>
      <c r="AP40" s="3025"/>
      <c r="AQ40" s="3038"/>
      <c r="AR40" s="3038"/>
      <c r="AS40" s="3039"/>
    </row>
    <row r="41" spans="1:45" s="74" customFormat="1" ht="47.25" customHeight="1" x14ac:dyDescent="0.25">
      <c r="A41" s="1077"/>
      <c r="B41" s="1078"/>
      <c r="C41" s="1077"/>
      <c r="D41" s="1078"/>
      <c r="E41" s="1128"/>
      <c r="F41" s="2971"/>
      <c r="G41" s="2165"/>
      <c r="H41" s="2793"/>
      <c r="I41" s="2165"/>
      <c r="J41" s="2793"/>
      <c r="K41" s="2165"/>
      <c r="L41" s="2793"/>
      <c r="M41" s="2165"/>
      <c r="N41" s="2793"/>
      <c r="O41" s="2260"/>
      <c r="P41" s="2260"/>
      <c r="Q41" s="2168"/>
      <c r="R41" s="3032"/>
      <c r="S41" s="3041"/>
      <c r="T41" s="3043"/>
      <c r="U41" s="3027"/>
      <c r="V41" s="2193"/>
      <c r="W41" s="1211">
        <v>4000000</v>
      </c>
      <c r="X41" s="182" t="s">
        <v>1482</v>
      </c>
      <c r="Y41" s="948">
        <v>20</v>
      </c>
      <c r="Z41" s="1198" t="s">
        <v>1483</v>
      </c>
      <c r="AA41" s="3025"/>
      <c r="AB41" s="3025"/>
      <c r="AC41" s="3025"/>
      <c r="AD41" s="3025"/>
      <c r="AE41" s="3025"/>
      <c r="AF41" s="3025"/>
      <c r="AG41" s="3025"/>
      <c r="AH41" s="3025"/>
      <c r="AI41" s="3025"/>
      <c r="AJ41" s="3025"/>
      <c r="AK41" s="3025"/>
      <c r="AL41" s="3025"/>
      <c r="AM41" s="3025"/>
      <c r="AN41" s="3025"/>
      <c r="AO41" s="3025"/>
      <c r="AP41" s="3025"/>
      <c r="AQ41" s="3038"/>
      <c r="AR41" s="3038"/>
      <c r="AS41" s="3039"/>
    </row>
    <row r="42" spans="1:45" s="74" customFormat="1" ht="67.5" customHeight="1" x14ac:dyDescent="0.25">
      <c r="A42" s="1077"/>
      <c r="B42" s="1078"/>
      <c r="C42" s="1077"/>
      <c r="D42" s="1078"/>
      <c r="E42" s="1128"/>
      <c r="F42" s="2971"/>
      <c r="G42" s="2165"/>
      <c r="H42" s="2793"/>
      <c r="I42" s="2165"/>
      <c r="J42" s="2793"/>
      <c r="K42" s="2165"/>
      <c r="L42" s="2793"/>
      <c r="M42" s="2165"/>
      <c r="N42" s="2793"/>
      <c r="O42" s="2260"/>
      <c r="P42" s="2260"/>
      <c r="Q42" s="2168"/>
      <c r="R42" s="3032"/>
      <c r="S42" s="3041"/>
      <c r="T42" s="3043"/>
      <c r="U42" s="3027"/>
      <c r="V42" s="3030"/>
      <c r="W42" s="1211">
        <v>12090000</v>
      </c>
      <c r="X42" s="511" t="s">
        <v>1484</v>
      </c>
      <c r="Y42" s="948">
        <v>196</v>
      </c>
      <c r="Z42" s="1198" t="s">
        <v>1485</v>
      </c>
      <c r="AA42" s="3025"/>
      <c r="AB42" s="3025"/>
      <c r="AC42" s="3025"/>
      <c r="AD42" s="3025"/>
      <c r="AE42" s="3025"/>
      <c r="AF42" s="3025"/>
      <c r="AG42" s="3025"/>
      <c r="AH42" s="3025"/>
      <c r="AI42" s="3025"/>
      <c r="AJ42" s="3025"/>
      <c r="AK42" s="3025"/>
      <c r="AL42" s="3025"/>
      <c r="AM42" s="3025"/>
      <c r="AN42" s="3025"/>
      <c r="AO42" s="3025"/>
      <c r="AP42" s="3025"/>
      <c r="AQ42" s="3038"/>
      <c r="AR42" s="3038"/>
      <c r="AS42" s="3039"/>
    </row>
    <row r="43" spans="1:45" s="74" customFormat="1" ht="67.5" customHeight="1" x14ac:dyDescent="0.25">
      <c r="A43" s="1077"/>
      <c r="B43" s="1078"/>
      <c r="C43" s="1077"/>
      <c r="D43" s="1078"/>
      <c r="E43" s="1128"/>
      <c r="F43" s="2971"/>
      <c r="G43" s="2165"/>
      <c r="H43" s="2793"/>
      <c r="I43" s="2165"/>
      <c r="J43" s="2793"/>
      <c r="K43" s="2165"/>
      <c r="L43" s="2793"/>
      <c r="M43" s="2165"/>
      <c r="N43" s="2793"/>
      <c r="O43" s="2260"/>
      <c r="P43" s="2260"/>
      <c r="Q43" s="2168"/>
      <c r="R43" s="3032"/>
      <c r="S43" s="3041"/>
      <c r="T43" s="3043"/>
      <c r="U43" s="3027"/>
      <c r="V43" s="2324" t="s">
        <v>1486</v>
      </c>
      <c r="W43" s="1211">
        <v>0</v>
      </c>
      <c r="X43" s="511" t="s">
        <v>1478</v>
      </c>
      <c r="Y43" s="948">
        <v>83</v>
      </c>
      <c r="Z43" s="1198" t="s">
        <v>1479</v>
      </c>
      <c r="AA43" s="3025"/>
      <c r="AB43" s="3025"/>
      <c r="AC43" s="3025"/>
      <c r="AD43" s="3025"/>
      <c r="AE43" s="3025"/>
      <c r="AF43" s="3025"/>
      <c r="AG43" s="3025"/>
      <c r="AH43" s="3025"/>
      <c r="AI43" s="3025"/>
      <c r="AJ43" s="3025"/>
      <c r="AK43" s="3025"/>
      <c r="AL43" s="3025"/>
      <c r="AM43" s="3025"/>
      <c r="AN43" s="3025"/>
      <c r="AO43" s="3025"/>
      <c r="AP43" s="3025"/>
      <c r="AQ43" s="3038"/>
      <c r="AR43" s="3038"/>
      <c r="AS43" s="3039"/>
    </row>
    <row r="44" spans="1:45" s="74" customFormat="1" ht="67.5" customHeight="1" x14ac:dyDescent="0.25">
      <c r="A44" s="1077"/>
      <c r="B44" s="1078"/>
      <c r="C44" s="1077"/>
      <c r="D44" s="1078"/>
      <c r="E44" s="1128"/>
      <c r="F44" s="2971"/>
      <c r="G44" s="2165"/>
      <c r="H44" s="2793"/>
      <c r="I44" s="2165"/>
      <c r="J44" s="2793"/>
      <c r="K44" s="2165"/>
      <c r="L44" s="2793"/>
      <c r="M44" s="2165"/>
      <c r="N44" s="2793"/>
      <c r="O44" s="2260"/>
      <c r="P44" s="2260"/>
      <c r="Q44" s="2168"/>
      <c r="R44" s="3032"/>
      <c r="S44" s="3041"/>
      <c r="T44" s="3043"/>
      <c r="U44" s="3027"/>
      <c r="V44" s="2324"/>
      <c r="W44" s="1211">
        <v>70000000</v>
      </c>
      <c r="X44" s="1212" t="s">
        <v>1487</v>
      </c>
      <c r="Y44" s="948">
        <v>83</v>
      </c>
      <c r="Z44" s="1198" t="s">
        <v>1479</v>
      </c>
      <c r="AA44" s="3025"/>
      <c r="AB44" s="3025"/>
      <c r="AC44" s="3025"/>
      <c r="AD44" s="3025"/>
      <c r="AE44" s="3025"/>
      <c r="AF44" s="3025"/>
      <c r="AG44" s="3025"/>
      <c r="AH44" s="3025"/>
      <c r="AI44" s="3025"/>
      <c r="AJ44" s="3025"/>
      <c r="AK44" s="3025"/>
      <c r="AL44" s="3025"/>
      <c r="AM44" s="3025"/>
      <c r="AN44" s="3025"/>
      <c r="AO44" s="3025"/>
      <c r="AP44" s="3025"/>
      <c r="AQ44" s="3038"/>
      <c r="AR44" s="3038"/>
      <c r="AS44" s="3039"/>
    </row>
    <row r="45" spans="1:45" s="74" customFormat="1" ht="67.5" customHeight="1" x14ac:dyDescent="0.25">
      <c r="A45" s="1077"/>
      <c r="B45" s="1078"/>
      <c r="C45" s="1077"/>
      <c r="D45" s="1078"/>
      <c r="E45" s="1128"/>
      <c r="F45" s="2971"/>
      <c r="G45" s="2165"/>
      <c r="H45" s="2793"/>
      <c r="I45" s="2165"/>
      <c r="J45" s="2793"/>
      <c r="K45" s="2165"/>
      <c r="L45" s="2793"/>
      <c r="M45" s="2165"/>
      <c r="N45" s="2793"/>
      <c r="O45" s="2260"/>
      <c r="P45" s="2260"/>
      <c r="Q45" s="2168"/>
      <c r="R45" s="3032"/>
      <c r="S45" s="3041"/>
      <c r="T45" s="3043"/>
      <c r="U45" s="3027"/>
      <c r="V45" s="2324"/>
      <c r="W45" s="1211">
        <v>0</v>
      </c>
      <c r="X45" s="182" t="s">
        <v>1480</v>
      </c>
      <c r="Y45" s="948">
        <v>20</v>
      </c>
      <c r="Z45" s="1198" t="s">
        <v>1481</v>
      </c>
      <c r="AA45" s="3025"/>
      <c r="AB45" s="3025"/>
      <c r="AC45" s="3025"/>
      <c r="AD45" s="3025"/>
      <c r="AE45" s="3025"/>
      <c r="AF45" s="3025"/>
      <c r="AG45" s="3025"/>
      <c r="AH45" s="3025"/>
      <c r="AI45" s="3025"/>
      <c r="AJ45" s="3025"/>
      <c r="AK45" s="3025"/>
      <c r="AL45" s="3025"/>
      <c r="AM45" s="3025"/>
      <c r="AN45" s="3025"/>
      <c r="AO45" s="3025"/>
      <c r="AP45" s="3025"/>
      <c r="AQ45" s="3038"/>
      <c r="AR45" s="3038"/>
      <c r="AS45" s="3039"/>
    </row>
    <row r="46" spans="1:45" s="74" customFormat="1" ht="67.5" customHeight="1" x14ac:dyDescent="0.25">
      <c r="A46" s="1077"/>
      <c r="B46" s="1078"/>
      <c r="C46" s="1077"/>
      <c r="D46" s="1078"/>
      <c r="E46" s="1128"/>
      <c r="F46" s="2971"/>
      <c r="G46" s="2165"/>
      <c r="H46" s="2793"/>
      <c r="I46" s="2165"/>
      <c r="J46" s="2793"/>
      <c r="K46" s="2165"/>
      <c r="L46" s="2793"/>
      <c r="M46" s="2165"/>
      <c r="N46" s="2793"/>
      <c r="O46" s="2260"/>
      <c r="P46" s="2260"/>
      <c r="Q46" s="2168"/>
      <c r="R46" s="3032"/>
      <c r="S46" s="3041"/>
      <c r="T46" s="3043"/>
      <c r="U46" s="3027"/>
      <c r="V46" s="2324"/>
      <c r="W46" s="1211">
        <v>0</v>
      </c>
      <c r="X46" s="182" t="s">
        <v>1488</v>
      </c>
      <c r="Y46" s="948">
        <v>20</v>
      </c>
      <c r="Z46" s="1198" t="s">
        <v>1481</v>
      </c>
      <c r="AA46" s="3025"/>
      <c r="AB46" s="3025"/>
      <c r="AC46" s="3025"/>
      <c r="AD46" s="3025"/>
      <c r="AE46" s="3025"/>
      <c r="AF46" s="3025"/>
      <c r="AG46" s="3025"/>
      <c r="AH46" s="3025"/>
      <c r="AI46" s="3025"/>
      <c r="AJ46" s="3025"/>
      <c r="AK46" s="3025"/>
      <c r="AL46" s="3025"/>
      <c r="AM46" s="3025"/>
      <c r="AN46" s="3025"/>
      <c r="AO46" s="3025"/>
      <c r="AP46" s="3025"/>
      <c r="AQ46" s="3038"/>
      <c r="AR46" s="3038"/>
      <c r="AS46" s="3039"/>
    </row>
    <row r="47" spans="1:45" s="74" customFormat="1" ht="67.5" customHeight="1" x14ac:dyDescent="0.25">
      <c r="A47" s="1077"/>
      <c r="B47" s="1078"/>
      <c r="C47" s="1077"/>
      <c r="D47" s="1078"/>
      <c r="E47" s="1128"/>
      <c r="F47" s="2971"/>
      <c r="G47" s="2165"/>
      <c r="H47" s="2793"/>
      <c r="I47" s="2165"/>
      <c r="J47" s="2793"/>
      <c r="K47" s="2165"/>
      <c r="L47" s="2793"/>
      <c r="M47" s="2165"/>
      <c r="N47" s="2793"/>
      <c r="O47" s="2260"/>
      <c r="P47" s="2260"/>
      <c r="Q47" s="2168"/>
      <c r="R47" s="3032"/>
      <c r="S47" s="3041"/>
      <c r="T47" s="3043"/>
      <c r="U47" s="3027"/>
      <c r="V47" s="2324"/>
      <c r="W47" s="1211">
        <v>0</v>
      </c>
      <c r="X47" s="1213" t="s">
        <v>1489</v>
      </c>
      <c r="Y47" s="948">
        <v>20</v>
      </c>
      <c r="Z47" s="1198" t="s">
        <v>1481</v>
      </c>
      <c r="AA47" s="3025"/>
      <c r="AB47" s="3025"/>
      <c r="AC47" s="3025"/>
      <c r="AD47" s="3025"/>
      <c r="AE47" s="3025"/>
      <c r="AF47" s="3025"/>
      <c r="AG47" s="3025"/>
      <c r="AH47" s="3025"/>
      <c r="AI47" s="3025"/>
      <c r="AJ47" s="3025"/>
      <c r="AK47" s="3025"/>
      <c r="AL47" s="3025"/>
      <c r="AM47" s="3025"/>
      <c r="AN47" s="3025"/>
      <c r="AO47" s="3025"/>
      <c r="AP47" s="3025"/>
      <c r="AQ47" s="3038"/>
      <c r="AR47" s="3038"/>
      <c r="AS47" s="3039"/>
    </row>
    <row r="48" spans="1:45" s="74" customFormat="1" ht="67.5" customHeight="1" x14ac:dyDescent="0.25">
      <c r="A48" s="1077"/>
      <c r="B48" s="1078"/>
      <c r="C48" s="1077"/>
      <c r="D48" s="1078"/>
      <c r="E48" s="1128"/>
      <c r="F48" s="2971"/>
      <c r="G48" s="2165"/>
      <c r="H48" s="2793"/>
      <c r="I48" s="2165"/>
      <c r="J48" s="2793"/>
      <c r="K48" s="2165"/>
      <c r="L48" s="2793"/>
      <c r="M48" s="2165"/>
      <c r="N48" s="2793"/>
      <c r="O48" s="2260"/>
      <c r="P48" s="2260"/>
      <c r="Q48" s="2168"/>
      <c r="R48" s="3032"/>
      <c r="S48" s="3041"/>
      <c r="T48" s="3043"/>
      <c r="U48" s="3027"/>
      <c r="V48" s="2324"/>
      <c r="W48" s="1211">
        <v>0</v>
      </c>
      <c r="X48" s="1214" t="s">
        <v>1490</v>
      </c>
      <c r="Y48" s="948">
        <v>20</v>
      </c>
      <c r="Z48" s="1198" t="s">
        <v>1481</v>
      </c>
      <c r="AA48" s="3025"/>
      <c r="AB48" s="3025"/>
      <c r="AC48" s="3025"/>
      <c r="AD48" s="3025"/>
      <c r="AE48" s="3025"/>
      <c r="AF48" s="3025"/>
      <c r="AG48" s="3025"/>
      <c r="AH48" s="3025"/>
      <c r="AI48" s="3025"/>
      <c r="AJ48" s="3025"/>
      <c r="AK48" s="3025"/>
      <c r="AL48" s="3025"/>
      <c r="AM48" s="3025"/>
      <c r="AN48" s="3025"/>
      <c r="AO48" s="3025"/>
      <c r="AP48" s="3025"/>
      <c r="AQ48" s="3038"/>
      <c r="AR48" s="3038"/>
      <c r="AS48" s="3039"/>
    </row>
    <row r="49" spans="1:45" s="74" customFormat="1" ht="47.25" customHeight="1" x14ac:dyDescent="0.25">
      <c r="A49" s="1077"/>
      <c r="B49" s="1078"/>
      <c r="C49" s="1077"/>
      <c r="D49" s="1078"/>
      <c r="E49" s="1128"/>
      <c r="F49" s="2971"/>
      <c r="G49" s="2165"/>
      <c r="H49" s="2793"/>
      <c r="I49" s="2165"/>
      <c r="J49" s="2793"/>
      <c r="K49" s="2165"/>
      <c r="L49" s="2793"/>
      <c r="M49" s="2165"/>
      <c r="N49" s="2793"/>
      <c r="O49" s="2260"/>
      <c r="P49" s="2260"/>
      <c r="Q49" s="2168"/>
      <c r="R49" s="3032"/>
      <c r="S49" s="3041"/>
      <c r="T49" s="3043"/>
      <c r="U49" s="3027"/>
      <c r="V49" s="2324"/>
      <c r="W49" s="1211">
        <v>3000000</v>
      </c>
      <c r="X49" s="1213" t="s">
        <v>1491</v>
      </c>
      <c r="Y49" s="948">
        <v>20</v>
      </c>
      <c r="Z49" s="1198" t="s">
        <v>1481</v>
      </c>
      <c r="AA49" s="3025"/>
      <c r="AB49" s="3025"/>
      <c r="AC49" s="3025"/>
      <c r="AD49" s="3025"/>
      <c r="AE49" s="3025"/>
      <c r="AF49" s="3025"/>
      <c r="AG49" s="3025"/>
      <c r="AH49" s="3025"/>
      <c r="AI49" s="3025"/>
      <c r="AJ49" s="3025"/>
      <c r="AK49" s="3025"/>
      <c r="AL49" s="3025"/>
      <c r="AM49" s="3025"/>
      <c r="AN49" s="3025"/>
      <c r="AO49" s="3025"/>
      <c r="AP49" s="3025"/>
      <c r="AQ49" s="3038"/>
      <c r="AR49" s="3038"/>
      <c r="AS49" s="3039"/>
    </row>
    <row r="50" spans="1:45" s="74" customFormat="1" ht="47.25" customHeight="1" x14ac:dyDescent="0.25">
      <c r="A50" s="1077"/>
      <c r="B50" s="1078"/>
      <c r="C50" s="1077"/>
      <c r="D50" s="1078"/>
      <c r="E50" s="1128"/>
      <c r="F50" s="2971"/>
      <c r="G50" s="2165"/>
      <c r="H50" s="2793"/>
      <c r="I50" s="2165"/>
      <c r="J50" s="2793"/>
      <c r="K50" s="2165"/>
      <c r="L50" s="2793"/>
      <c r="M50" s="2165"/>
      <c r="N50" s="2793"/>
      <c r="O50" s="2260"/>
      <c r="P50" s="2260"/>
      <c r="Q50" s="2168"/>
      <c r="R50" s="3032"/>
      <c r="S50" s="3041"/>
      <c r="T50" s="3043"/>
      <c r="U50" s="3027"/>
      <c r="V50" s="2324"/>
      <c r="W50" s="1211">
        <v>6100000</v>
      </c>
      <c r="X50" s="1214" t="s">
        <v>1492</v>
      </c>
      <c r="Y50" s="948">
        <v>20</v>
      </c>
      <c r="Z50" s="1198" t="s">
        <v>1481</v>
      </c>
      <c r="AA50" s="3025"/>
      <c r="AB50" s="3025"/>
      <c r="AC50" s="3025"/>
      <c r="AD50" s="3025"/>
      <c r="AE50" s="3025"/>
      <c r="AF50" s="3025"/>
      <c r="AG50" s="3025"/>
      <c r="AH50" s="3025"/>
      <c r="AI50" s="3025"/>
      <c r="AJ50" s="3025"/>
      <c r="AK50" s="3025"/>
      <c r="AL50" s="3025"/>
      <c r="AM50" s="3025"/>
      <c r="AN50" s="3025"/>
      <c r="AO50" s="3025"/>
      <c r="AP50" s="3025"/>
      <c r="AQ50" s="3038"/>
      <c r="AR50" s="3038"/>
      <c r="AS50" s="3039"/>
    </row>
    <row r="51" spans="1:45" s="74" customFormat="1" ht="46.5" customHeight="1" x14ac:dyDescent="0.25">
      <c r="A51" s="1077"/>
      <c r="B51" s="1078"/>
      <c r="C51" s="1077"/>
      <c r="D51" s="1078"/>
      <c r="E51" s="1128"/>
      <c r="F51" s="2971"/>
      <c r="G51" s="2165"/>
      <c r="H51" s="2793"/>
      <c r="I51" s="2165"/>
      <c r="J51" s="2793"/>
      <c r="K51" s="2165"/>
      <c r="L51" s="2793"/>
      <c r="M51" s="2165"/>
      <c r="N51" s="2793"/>
      <c r="O51" s="2260"/>
      <c r="P51" s="2260"/>
      <c r="Q51" s="2168"/>
      <c r="R51" s="3032"/>
      <c r="S51" s="3041"/>
      <c r="T51" s="3043"/>
      <c r="U51" s="3027"/>
      <c r="V51" s="2324"/>
      <c r="W51" s="1211">
        <v>900000</v>
      </c>
      <c r="X51" s="196" t="s">
        <v>1493</v>
      </c>
      <c r="Y51" s="948">
        <v>20</v>
      </c>
      <c r="Z51" s="1198" t="s">
        <v>1481</v>
      </c>
      <c r="AA51" s="3025"/>
      <c r="AB51" s="3025"/>
      <c r="AC51" s="3025"/>
      <c r="AD51" s="3025"/>
      <c r="AE51" s="3025"/>
      <c r="AF51" s="3025"/>
      <c r="AG51" s="3025"/>
      <c r="AH51" s="3025"/>
      <c r="AI51" s="3025"/>
      <c r="AJ51" s="3025"/>
      <c r="AK51" s="3025"/>
      <c r="AL51" s="3025"/>
      <c r="AM51" s="3025"/>
      <c r="AN51" s="3025"/>
      <c r="AO51" s="3025"/>
      <c r="AP51" s="3025"/>
      <c r="AQ51" s="3038"/>
      <c r="AR51" s="3038"/>
      <c r="AS51" s="3039"/>
    </row>
    <row r="52" spans="1:45" s="74" customFormat="1" ht="49.5" customHeight="1" x14ac:dyDescent="0.25">
      <c r="A52" s="1077"/>
      <c r="B52" s="1078"/>
      <c r="C52" s="1077"/>
      <c r="D52" s="1078"/>
      <c r="E52" s="1128"/>
      <c r="F52" s="2971"/>
      <c r="G52" s="2165"/>
      <c r="H52" s="2793"/>
      <c r="I52" s="2165"/>
      <c r="J52" s="2793"/>
      <c r="K52" s="2165"/>
      <c r="L52" s="2793"/>
      <c r="M52" s="2165"/>
      <c r="N52" s="2793"/>
      <c r="O52" s="2260"/>
      <c r="P52" s="2260"/>
      <c r="Q52" s="2168"/>
      <c r="R52" s="3032"/>
      <c r="S52" s="3041"/>
      <c r="T52" s="3043"/>
      <c r="U52" s="3027"/>
      <c r="V52" s="2324"/>
      <c r="W52" s="1211">
        <v>0</v>
      </c>
      <c r="X52" s="182" t="s">
        <v>1475</v>
      </c>
      <c r="Y52" s="948">
        <v>34</v>
      </c>
      <c r="Z52" s="1198" t="s">
        <v>1476</v>
      </c>
      <c r="AA52" s="3025"/>
      <c r="AB52" s="3025"/>
      <c r="AC52" s="3025"/>
      <c r="AD52" s="3025"/>
      <c r="AE52" s="3025"/>
      <c r="AF52" s="3025"/>
      <c r="AG52" s="3025"/>
      <c r="AH52" s="3025"/>
      <c r="AI52" s="3025"/>
      <c r="AJ52" s="3025"/>
      <c r="AK52" s="3025"/>
      <c r="AL52" s="3025"/>
      <c r="AM52" s="3025"/>
      <c r="AN52" s="3025"/>
      <c r="AO52" s="3025"/>
      <c r="AP52" s="3025"/>
      <c r="AQ52" s="3038"/>
      <c r="AR52" s="3038"/>
      <c r="AS52" s="3039"/>
    </row>
    <row r="53" spans="1:45" s="74" customFormat="1" ht="69" customHeight="1" x14ac:dyDescent="0.25">
      <c r="A53" s="1077"/>
      <c r="B53" s="1078"/>
      <c r="C53" s="1077"/>
      <c r="D53" s="1078"/>
      <c r="E53" s="1128"/>
      <c r="F53" s="2971"/>
      <c r="G53" s="2165"/>
      <c r="H53" s="2793"/>
      <c r="I53" s="2165"/>
      <c r="J53" s="2793"/>
      <c r="K53" s="2165"/>
      <c r="L53" s="2793"/>
      <c r="M53" s="2165"/>
      <c r="N53" s="2793"/>
      <c r="O53" s="2260"/>
      <c r="P53" s="2260"/>
      <c r="Q53" s="2168"/>
      <c r="R53" s="3032"/>
      <c r="S53" s="3041"/>
      <c r="T53" s="3043"/>
      <c r="U53" s="3027"/>
      <c r="V53" s="2324"/>
      <c r="W53" s="1211">
        <v>0</v>
      </c>
      <c r="X53" s="182" t="s">
        <v>1494</v>
      </c>
      <c r="Y53" s="948">
        <v>34</v>
      </c>
      <c r="Z53" s="1198" t="s">
        <v>1476</v>
      </c>
      <c r="AA53" s="3025"/>
      <c r="AB53" s="3025"/>
      <c r="AC53" s="3025"/>
      <c r="AD53" s="3025"/>
      <c r="AE53" s="3025"/>
      <c r="AF53" s="3025"/>
      <c r="AG53" s="3025"/>
      <c r="AH53" s="3025"/>
      <c r="AI53" s="3025"/>
      <c r="AJ53" s="3025"/>
      <c r="AK53" s="3025"/>
      <c r="AL53" s="3025"/>
      <c r="AM53" s="3025"/>
      <c r="AN53" s="3025"/>
      <c r="AO53" s="3025"/>
      <c r="AP53" s="3025"/>
      <c r="AQ53" s="3038"/>
      <c r="AR53" s="3038"/>
      <c r="AS53" s="3039"/>
    </row>
    <row r="54" spans="1:45" s="74" customFormat="1" ht="69" customHeight="1" x14ac:dyDescent="0.25">
      <c r="A54" s="1077"/>
      <c r="B54" s="1078"/>
      <c r="C54" s="1077"/>
      <c r="D54" s="1078"/>
      <c r="E54" s="1128"/>
      <c r="F54" s="2971"/>
      <c r="G54" s="2165"/>
      <c r="H54" s="2793"/>
      <c r="I54" s="2165"/>
      <c r="J54" s="2793"/>
      <c r="K54" s="2165"/>
      <c r="L54" s="2793"/>
      <c r="M54" s="2165"/>
      <c r="N54" s="2793"/>
      <c r="O54" s="2260"/>
      <c r="P54" s="2260"/>
      <c r="Q54" s="2168"/>
      <c r="R54" s="3032"/>
      <c r="S54" s="3041"/>
      <c r="T54" s="3043"/>
      <c r="U54" s="3027"/>
      <c r="V54" s="1243" t="s">
        <v>1495</v>
      </c>
      <c r="W54" s="1211">
        <v>28800000</v>
      </c>
      <c r="X54" s="182" t="s">
        <v>1475</v>
      </c>
      <c r="Y54" s="948">
        <v>34</v>
      </c>
      <c r="Z54" s="1198" t="s">
        <v>1476</v>
      </c>
      <c r="AA54" s="3025"/>
      <c r="AB54" s="3025"/>
      <c r="AC54" s="3025"/>
      <c r="AD54" s="3025"/>
      <c r="AE54" s="3025"/>
      <c r="AF54" s="3025"/>
      <c r="AG54" s="3025"/>
      <c r="AH54" s="3025"/>
      <c r="AI54" s="3025"/>
      <c r="AJ54" s="3025"/>
      <c r="AK54" s="3025"/>
      <c r="AL54" s="3025"/>
      <c r="AM54" s="3025"/>
      <c r="AN54" s="3025"/>
      <c r="AO54" s="3025"/>
      <c r="AP54" s="3025"/>
      <c r="AQ54" s="3038"/>
      <c r="AR54" s="3038"/>
      <c r="AS54" s="3039"/>
    </row>
    <row r="55" spans="1:45" s="74" customFormat="1" ht="60" customHeight="1" x14ac:dyDescent="0.25">
      <c r="A55" s="1077"/>
      <c r="B55" s="1078"/>
      <c r="C55" s="1077"/>
      <c r="D55" s="1078"/>
      <c r="E55" s="1128"/>
      <c r="F55" s="2971"/>
      <c r="G55" s="2165"/>
      <c r="H55" s="2793"/>
      <c r="I55" s="2165"/>
      <c r="J55" s="2793"/>
      <c r="K55" s="2165"/>
      <c r="L55" s="2793"/>
      <c r="M55" s="2165"/>
      <c r="N55" s="2793"/>
      <c r="O55" s="2260"/>
      <c r="P55" s="2260"/>
      <c r="Q55" s="2168"/>
      <c r="R55" s="3032"/>
      <c r="S55" s="3041"/>
      <c r="T55" s="3043"/>
      <c r="U55" s="3028"/>
      <c r="V55" s="1244" t="s">
        <v>1495</v>
      </c>
      <c r="W55" s="1211">
        <v>0</v>
      </c>
      <c r="X55" s="182" t="s">
        <v>1480</v>
      </c>
      <c r="Y55" s="948">
        <v>20</v>
      </c>
      <c r="Z55" s="1198" t="s">
        <v>1481</v>
      </c>
      <c r="AA55" s="3025"/>
      <c r="AB55" s="3025"/>
      <c r="AC55" s="3025"/>
      <c r="AD55" s="3025"/>
      <c r="AE55" s="3025"/>
      <c r="AF55" s="3025"/>
      <c r="AG55" s="3025"/>
      <c r="AH55" s="3025"/>
      <c r="AI55" s="3025"/>
      <c r="AJ55" s="3025"/>
      <c r="AK55" s="3025"/>
      <c r="AL55" s="3025"/>
      <c r="AM55" s="3025"/>
      <c r="AN55" s="3025"/>
      <c r="AO55" s="3025"/>
      <c r="AP55" s="3025"/>
      <c r="AQ55" s="3038"/>
      <c r="AR55" s="3038"/>
      <c r="AS55" s="3039"/>
    </row>
    <row r="56" spans="1:45" s="3" customFormat="1" ht="60" customHeight="1" x14ac:dyDescent="0.25">
      <c r="A56" s="1077"/>
      <c r="B56" s="1078"/>
      <c r="C56" s="1077"/>
      <c r="D56" s="1078"/>
      <c r="E56" s="1128"/>
      <c r="F56" s="2971"/>
      <c r="G56" s="3024">
        <v>3301100</v>
      </c>
      <c r="H56" s="2793" t="s">
        <v>1496</v>
      </c>
      <c r="I56" s="3024">
        <v>3301100</v>
      </c>
      <c r="J56" s="2793" t="s">
        <v>1496</v>
      </c>
      <c r="K56" s="3024" t="s">
        <v>1497</v>
      </c>
      <c r="L56" s="2793" t="s">
        <v>1498</v>
      </c>
      <c r="M56" s="3024" t="s">
        <v>1497</v>
      </c>
      <c r="N56" s="2793" t="s">
        <v>1498</v>
      </c>
      <c r="O56" s="2260">
        <v>10</v>
      </c>
      <c r="P56" s="2260"/>
      <c r="Q56" s="2168"/>
      <c r="R56" s="3032">
        <v>0.21618908644511717</v>
      </c>
      <c r="S56" s="3041"/>
      <c r="T56" s="3043"/>
      <c r="U56" s="3033" t="s">
        <v>1499</v>
      </c>
      <c r="V56" s="3036" t="s">
        <v>1500</v>
      </c>
      <c r="W56" s="806">
        <v>63982494.599999994</v>
      </c>
      <c r="X56" s="511" t="s">
        <v>1501</v>
      </c>
      <c r="Y56" s="948">
        <v>34</v>
      </c>
      <c r="Z56" s="1198" t="s">
        <v>1476</v>
      </c>
      <c r="AA56" s="3025"/>
      <c r="AB56" s="3025"/>
      <c r="AC56" s="3025"/>
      <c r="AD56" s="3025"/>
      <c r="AE56" s="3025"/>
      <c r="AF56" s="3025"/>
      <c r="AG56" s="3025"/>
      <c r="AH56" s="3025"/>
      <c r="AI56" s="3025"/>
      <c r="AJ56" s="3025"/>
      <c r="AK56" s="3025"/>
      <c r="AL56" s="3025"/>
      <c r="AM56" s="3025"/>
      <c r="AN56" s="3025"/>
      <c r="AO56" s="3025"/>
      <c r="AP56" s="3025"/>
      <c r="AQ56" s="3038"/>
      <c r="AR56" s="3038"/>
      <c r="AS56" s="3039"/>
    </row>
    <row r="57" spans="1:45" s="3" customFormat="1" ht="80.25" customHeight="1" x14ac:dyDescent="0.25">
      <c r="A57" s="1077"/>
      <c r="B57" s="1078"/>
      <c r="C57" s="1077"/>
      <c r="D57" s="1078"/>
      <c r="E57" s="1128"/>
      <c r="F57" s="2971"/>
      <c r="G57" s="3024"/>
      <c r="H57" s="2793"/>
      <c r="I57" s="3024"/>
      <c r="J57" s="2793"/>
      <c r="K57" s="3024"/>
      <c r="L57" s="2793"/>
      <c r="M57" s="3024"/>
      <c r="N57" s="2793"/>
      <c r="O57" s="2260"/>
      <c r="P57" s="2260"/>
      <c r="Q57" s="2168"/>
      <c r="R57" s="3032"/>
      <c r="S57" s="3041"/>
      <c r="T57" s="3043"/>
      <c r="U57" s="3034"/>
      <c r="V57" s="3016"/>
      <c r="W57" s="1215">
        <v>0</v>
      </c>
      <c r="X57" s="511" t="s">
        <v>1502</v>
      </c>
      <c r="Y57" s="952">
        <v>20</v>
      </c>
      <c r="Z57" s="1209" t="s">
        <v>1481</v>
      </c>
      <c r="AA57" s="3025"/>
      <c r="AB57" s="3025"/>
      <c r="AC57" s="3025"/>
      <c r="AD57" s="3025"/>
      <c r="AE57" s="3025"/>
      <c r="AF57" s="3025"/>
      <c r="AG57" s="3025"/>
      <c r="AH57" s="3025"/>
      <c r="AI57" s="3025"/>
      <c r="AJ57" s="3025"/>
      <c r="AK57" s="3025"/>
      <c r="AL57" s="3025"/>
      <c r="AM57" s="3025"/>
      <c r="AN57" s="3025"/>
      <c r="AO57" s="3025"/>
      <c r="AP57" s="3025"/>
      <c r="AQ57" s="3038"/>
      <c r="AR57" s="3038"/>
      <c r="AS57" s="3039"/>
    </row>
    <row r="58" spans="1:45" s="3" customFormat="1" ht="63.75" customHeight="1" x14ac:dyDescent="0.25">
      <c r="A58" s="1077"/>
      <c r="B58" s="1078"/>
      <c r="C58" s="1077"/>
      <c r="D58" s="1078"/>
      <c r="E58" s="1128"/>
      <c r="F58" s="2971"/>
      <c r="G58" s="3024"/>
      <c r="H58" s="2793"/>
      <c r="I58" s="3024"/>
      <c r="J58" s="2793"/>
      <c r="K58" s="3024"/>
      <c r="L58" s="2793"/>
      <c r="M58" s="3024"/>
      <c r="N58" s="2793"/>
      <c r="O58" s="2260"/>
      <c r="P58" s="2260"/>
      <c r="Q58" s="2168"/>
      <c r="R58" s="3032"/>
      <c r="S58" s="3041"/>
      <c r="T58" s="3043"/>
      <c r="U58" s="3034"/>
      <c r="V58" s="3016"/>
      <c r="W58" s="1215">
        <v>0</v>
      </c>
      <c r="X58" s="1212" t="s">
        <v>1503</v>
      </c>
      <c r="Y58" s="952">
        <v>20</v>
      </c>
      <c r="Z58" s="1209" t="s">
        <v>1481</v>
      </c>
      <c r="AA58" s="3025"/>
      <c r="AB58" s="3025"/>
      <c r="AC58" s="3025"/>
      <c r="AD58" s="3025"/>
      <c r="AE58" s="3025"/>
      <c r="AF58" s="3025"/>
      <c r="AG58" s="3025"/>
      <c r="AH58" s="3025"/>
      <c r="AI58" s="3025"/>
      <c r="AJ58" s="3025"/>
      <c r="AK58" s="3025"/>
      <c r="AL58" s="3025"/>
      <c r="AM58" s="3025"/>
      <c r="AN58" s="3025"/>
      <c r="AO58" s="3025"/>
      <c r="AP58" s="3025"/>
      <c r="AQ58" s="3038"/>
      <c r="AR58" s="3038"/>
      <c r="AS58" s="3039"/>
    </row>
    <row r="59" spans="1:45" s="3" customFormat="1" ht="71.25" customHeight="1" x14ac:dyDescent="0.25">
      <c r="A59" s="1077"/>
      <c r="B59" s="1078"/>
      <c r="C59" s="1077"/>
      <c r="D59" s="1078"/>
      <c r="E59" s="1128"/>
      <c r="F59" s="2971"/>
      <c r="G59" s="3024"/>
      <c r="H59" s="2793"/>
      <c r="I59" s="3024"/>
      <c r="J59" s="2793"/>
      <c r="K59" s="3024"/>
      <c r="L59" s="2793"/>
      <c r="M59" s="3024"/>
      <c r="N59" s="2793"/>
      <c r="O59" s="2260"/>
      <c r="P59" s="2260"/>
      <c r="Q59" s="2168"/>
      <c r="R59" s="3032"/>
      <c r="S59" s="3041"/>
      <c r="T59" s="3043"/>
      <c r="U59" s="3034"/>
      <c r="V59" s="3037"/>
      <c r="W59" s="1215">
        <v>30803</v>
      </c>
      <c r="X59" s="1212" t="s">
        <v>1504</v>
      </c>
      <c r="Y59" s="952">
        <v>83</v>
      </c>
      <c r="Z59" s="1209" t="s">
        <v>1479</v>
      </c>
      <c r="AA59" s="3025"/>
      <c r="AB59" s="3025"/>
      <c r="AC59" s="3025"/>
      <c r="AD59" s="3025"/>
      <c r="AE59" s="3025"/>
      <c r="AF59" s="3025"/>
      <c r="AG59" s="3025"/>
      <c r="AH59" s="3025"/>
      <c r="AI59" s="3025"/>
      <c r="AJ59" s="3025"/>
      <c r="AK59" s="3025"/>
      <c r="AL59" s="3025"/>
      <c r="AM59" s="3025"/>
      <c r="AN59" s="3025"/>
      <c r="AO59" s="3025"/>
      <c r="AP59" s="3025"/>
      <c r="AQ59" s="3038"/>
      <c r="AR59" s="3038"/>
      <c r="AS59" s="3039"/>
    </row>
    <row r="60" spans="1:45" s="74" customFormat="1" ht="84" customHeight="1" x14ac:dyDescent="0.25">
      <c r="A60" s="1073"/>
      <c r="B60" s="1074"/>
      <c r="C60" s="1073"/>
      <c r="D60" s="1074"/>
      <c r="E60" s="953"/>
      <c r="F60" s="2971"/>
      <c r="G60" s="3024"/>
      <c r="H60" s="2793"/>
      <c r="I60" s="3024"/>
      <c r="J60" s="2793"/>
      <c r="K60" s="3024"/>
      <c r="L60" s="2793"/>
      <c r="M60" s="3024"/>
      <c r="N60" s="2793"/>
      <c r="O60" s="2260"/>
      <c r="P60" s="2260"/>
      <c r="Q60" s="2168"/>
      <c r="R60" s="3032"/>
      <c r="S60" s="3041"/>
      <c r="T60" s="3044"/>
      <c r="U60" s="3035"/>
      <c r="V60" s="1103" t="s">
        <v>1505</v>
      </c>
      <c r="W60" s="1216">
        <v>8000000</v>
      </c>
      <c r="X60" s="1093" t="s">
        <v>1502</v>
      </c>
      <c r="Y60" s="1096">
        <v>20</v>
      </c>
      <c r="Z60" s="1091" t="s">
        <v>1481</v>
      </c>
      <c r="AA60" s="3031"/>
      <c r="AB60" s="3025"/>
      <c r="AC60" s="3025"/>
      <c r="AD60" s="3025"/>
      <c r="AE60" s="3025"/>
      <c r="AF60" s="3025"/>
      <c r="AG60" s="3025"/>
      <c r="AH60" s="3025"/>
      <c r="AI60" s="3025"/>
      <c r="AJ60" s="3025"/>
      <c r="AK60" s="3025"/>
      <c r="AL60" s="3025"/>
      <c r="AM60" s="3025"/>
      <c r="AN60" s="3025"/>
      <c r="AO60" s="3025"/>
      <c r="AP60" s="3025"/>
      <c r="AQ60" s="3038"/>
      <c r="AR60" s="3038"/>
      <c r="AS60" s="3039"/>
    </row>
    <row r="61" spans="1:45" s="3" customFormat="1" ht="54" customHeight="1" x14ac:dyDescent="0.25">
      <c r="A61" s="1077"/>
      <c r="B61" s="1078"/>
      <c r="C61" s="1077"/>
      <c r="D61" s="1078"/>
      <c r="E61" s="1128"/>
      <c r="F61" s="2971"/>
      <c r="G61" s="2164">
        <v>3301095</v>
      </c>
      <c r="H61" s="2825" t="s">
        <v>1506</v>
      </c>
      <c r="I61" s="2164">
        <v>3301095</v>
      </c>
      <c r="J61" s="2825" t="s">
        <v>1506</v>
      </c>
      <c r="K61" s="2164">
        <v>330109500</v>
      </c>
      <c r="L61" s="2825" t="s">
        <v>1507</v>
      </c>
      <c r="M61" s="2164">
        <v>330109500</v>
      </c>
      <c r="N61" s="2825" t="s">
        <v>1507</v>
      </c>
      <c r="O61" s="3045">
        <v>150</v>
      </c>
      <c r="P61" s="3045" t="s">
        <v>1508</v>
      </c>
      <c r="Q61" s="3046" t="s">
        <v>1509</v>
      </c>
      <c r="R61" s="3047">
        <v>1</v>
      </c>
      <c r="S61" s="3049">
        <v>1421227081.52</v>
      </c>
      <c r="T61" s="2988" t="s">
        <v>1510</v>
      </c>
      <c r="U61" s="3050" t="s">
        <v>1511</v>
      </c>
      <c r="V61" s="3053" t="s">
        <v>1512</v>
      </c>
      <c r="W61" s="1217">
        <v>183982494.59999999</v>
      </c>
      <c r="X61" s="1218" t="s">
        <v>1513</v>
      </c>
      <c r="Y61" s="1104">
        <v>33</v>
      </c>
      <c r="Z61" s="1097" t="s">
        <v>1514</v>
      </c>
      <c r="AA61" s="3054">
        <v>15.268041378930862</v>
      </c>
      <c r="AB61" s="3048">
        <v>14.73195862106914</v>
      </c>
      <c r="AC61" s="3048">
        <v>6.9922380113902109</v>
      </c>
      <c r="AD61" s="3048">
        <v>2.282891297768729</v>
      </c>
      <c r="AE61" s="3048">
        <v>15.947636668775965</v>
      </c>
      <c r="AF61" s="3048">
        <v>4.7772340220650902</v>
      </c>
      <c r="AG61" s="3048">
        <v>0.11065218587503782</v>
      </c>
      <c r="AH61" s="3048">
        <v>0.65607202795278841</v>
      </c>
      <c r="AI61" s="3048">
        <v>1.3412386166671252E-3</v>
      </c>
      <c r="AJ61" s="3048">
        <v>1.9086857237186013E-3</v>
      </c>
      <c r="AK61" s="3048">
        <v>0</v>
      </c>
      <c r="AL61" s="3048">
        <v>0</v>
      </c>
      <c r="AM61" s="3048">
        <v>2.2878435634302692</v>
      </c>
      <c r="AN61" s="3048">
        <v>1.1320053924670537</v>
      </c>
      <c r="AO61" s="3048">
        <v>3.9043971992186419</v>
      </c>
      <c r="AP61" s="3048">
        <v>30</v>
      </c>
      <c r="AQ61" s="3055">
        <v>44200</v>
      </c>
      <c r="AR61" s="3055">
        <v>44560</v>
      </c>
      <c r="AS61" s="3056" t="s">
        <v>1515</v>
      </c>
    </row>
    <row r="62" spans="1:45" s="74" customFormat="1" ht="88.5" customHeight="1" x14ac:dyDescent="0.25">
      <c r="A62" s="1077"/>
      <c r="B62" s="1078"/>
      <c r="C62" s="1077"/>
      <c r="D62" s="1078"/>
      <c r="E62" s="1128"/>
      <c r="F62" s="2971"/>
      <c r="G62" s="2164"/>
      <c r="H62" s="2825"/>
      <c r="I62" s="2164"/>
      <c r="J62" s="2825"/>
      <c r="K62" s="2164"/>
      <c r="L62" s="2825"/>
      <c r="M62" s="2164"/>
      <c r="N62" s="2825"/>
      <c r="O62" s="3045"/>
      <c r="P62" s="3045"/>
      <c r="Q62" s="3046"/>
      <c r="R62" s="3047"/>
      <c r="S62" s="3049"/>
      <c r="T62" s="2989"/>
      <c r="U62" s="3051"/>
      <c r="V62" s="3053"/>
      <c r="W62" s="1219">
        <v>20000000</v>
      </c>
      <c r="X62" s="1220" t="s">
        <v>1516</v>
      </c>
      <c r="Y62" s="1221">
        <v>20</v>
      </c>
      <c r="Z62" s="1112" t="s">
        <v>1481</v>
      </c>
      <c r="AA62" s="3048"/>
      <c r="AB62" s="3048"/>
      <c r="AC62" s="3048"/>
      <c r="AD62" s="3048"/>
      <c r="AE62" s="3048"/>
      <c r="AF62" s="3048"/>
      <c r="AG62" s="3048"/>
      <c r="AH62" s="3048"/>
      <c r="AI62" s="3048"/>
      <c r="AJ62" s="3048"/>
      <c r="AK62" s="3048"/>
      <c r="AL62" s="3048"/>
      <c r="AM62" s="3048"/>
      <c r="AN62" s="3048"/>
      <c r="AO62" s="3048"/>
      <c r="AP62" s="3048"/>
      <c r="AQ62" s="3055"/>
      <c r="AR62" s="3055"/>
      <c r="AS62" s="3056"/>
    </row>
    <row r="63" spans="1:45" s="74" customFormat="1" ht="76.5" customHeight="1" x14ac:dyDescent="0.25">
      <c r="A63" s="1077"/>
      <c r="B63" s="1078"/>
      <c r="C63" s="1077"/>
      <c r="D63" s="1078"/>
      <c r="E63" s="1128"/>
      <c r="F63" s="2972"/>
      <c r="G63" s="2165"/>
      <c r="H63" s="2793"/>
      <c r="I63" s="2165"/>
      <c r="J63" s="2793"/>
      <c r="K63" s="2165"/>
      <c r="L63" s="2793"/>
      <c r="M63" s="2165"/>
      <c r="N63" s="2793"/>
      <c r="O63" s="2973"/>
      <c r="P63" s="2973"/>
      <c r="Q63" s="2993"/>
      <c r="R63" s="2307"/>
      <c r="S63" s="3001"/>
      <c r="T63" s="3046"/>
      <c r="U63" s="3052"/>
      <c r="V63" s="3053"/>
      <c r="W63" s="1222">
        <v>1217244586.9200001</v>
      </c>
      <c r="X63" s="511" t="s">
        <v>1517</v>
      </c>
      <c r="Y63" s="1223">
        <v>83</v>
      </c>
      <c r="Z63" s="1097" t="s">
        <v>1518</v>
      </c>
      <c r="AA63" s="3031"/>
      <c r="AB63" s="3025"/>
      <c r="AC63" s="3025"/>
      <c r="AD63" s="3025"/>
      <c r="AE63" s="3025"/>
      <c r="AF63" s="3025"/>
      <c r="AG63" s="3025"/>
      <c r="AH63" s="3025"/>
      <c r="AI63" s="3025"/>
      <c r="AJ63" s="3025"/>
      <c r="AK63" s="3025"/>
      <c r="AL63" s="3025"/>
      <c r="AM63" s="3025"/>
      <c r="AN63" s="3025"/>
      <c r="AO63" s="3025"/>
      <c r="AP63" s="3025"/>
      <c r="AQ63" s="3038"/>
      <c r="AR63" s="3038"/>
      <c r="AS63" s="3039"/>
    </row>
    <row r="64" spans="1:45" s="74" customFormat="1" ht="39" customHeight="1" x14ac:dyDescent="0.25">
      <c r="A64" s="1077"/>
      <c r="B64" s="1078"/>
      <c r="C64" s="1077"/>
      <c r="D64" s="1078"/>
      <c r="E64" s="1224">
        <v>3302</v>
      </c>
      <c r="F64" s="1246" t="s">
        <v>1519</v>
      </c>
      <c r="G64" s="1247"/>
      <c r="H64" s="1247"/>
      <c r="I64" s="1247"/>
      <c r="J64" s="1247"/>
      <c r="K64" s="1247"/>
      <c r="L64" s="1247"/>
      <c r="M64" s="1247"/>
      <c r="N64" s="1247"/>
      <c r="O64" s="1225"/>
      <c r="P64" s="1225"/>
      <c r="Q64" s="2139"/>
      <c r="R64" s="1225"/>
      <c r="S64" s="1225"/>
      <c r="T64" s="1225"/>
      <c r="U64" s="1225"/>
      <c r="V64" s="1225"/>
      <c r="W64" s="1226"/>
      <c r="X64" s="962"/>
      <c r="Y64" s="1225"/>
      <c r="Z64" s="1225"/>
      <c r="AA64" s="1227"/>
      <c r="AB64" s="1225"/>
      <c r="AC64" s="1225"/>
      <c r="AD64" s="1225"/>
      <c r="AE64" s="1225"/>
      <c r="AF64" s="1225"/>
      <c r="AG64" s="1225"/>
      <c r="AH64" s="1228"/>
      <c r="AI64" s="1225"/>
      <c r="AJ64" s="1225"/>
      <c r="AK64" s="1225"/>
      <c r="AL64" s="1225"/>
      <c r="AM64" s="1225"/>
      <c r="AN64" s="1225"/>
      <c r="AO64" s="1225"/>
      <c r="AP64" s="1225"/>
      <c r="AQ64" s="1225"/>
      <c r="AR64" s="1225"/>
      <c r="AS64" s="1228"/>
    </row>
    <row r="65" spans="1:45" s="74" customFormat="1" ht="141.75" customHeight="1" x14ac:dyDescent="0.25">
      <c r="A65" s="1077"/>
      <c r="B65" s="1078"/>
      <c r="C65" s="1077"/>
      <c r="D65" s="1078"/>
      <c r="E65" s="1128"/>
      <c r="F65" s="1128"/>
      <c r="G65" s="1052">
        <v>3302042</v>
      </c>
      <c r="H65" s="1141" t="s">
        <v>1520</v>
      </c>
      <c r="I65" s="1052">
        <v>3302042</v>
      </c>
      <c r="J65" s="1141" t="s">
        <v>1520</v>
      </c>
      <c r="K65" s="1045">
        <v>330204200</v>
      </c>
      <c r="L65" s="1152" t="s">
        <v>1521</v>
      </c>
      <c r="M65" s="1045">
        <v>330204200</v>
      </c>
      <c r="N65" s="1152" t="s">
        <v>1521</v>
      </c>
      <c r="O65" s="1229">
        <v>12</v>
      </c>
      <c r="P65" s="2977" t="s">
        <v>1522</v>
      </c>
      <c r="Q65" s="3066" t="s">
        <v>1523</v>
      </c>
      <c r="R65" s="1084">
        <v>0.24252526528741936</v>
      </c>
      <c r="S65" s="3068">
        <v>274198236.30000001</v>
      </c>
      <c r="T65" s="3070" t="s">
        <v>1524</v>
      </c>
      <c r="U65" s="1245" t="s">
        <v>1525</v>
      </c>
      <c r="V65" s="782" t="s">
        <v>1526</v>
      </c>
      <c r="W65" s="1230">
        <v>66500000</v>
      </c>
      <c r="X65" s="182" t="s">
        <v>1527</v>
      </c>
      <c r="Y65" s="1102">
        <v>20</v>
      </c>
      <c r="Z65" s="1065" t="s">
        <v>1481</v>
      </c>
      <c r="AA65" s="2996">
        <v>295972</v>
      </c>
      <c r="AB65" s="2996">
        <v>285580</v>
      </c>
      <c r="AC65" s="2996">
        <v>135545</v>
      </c>
      <c r="AD65" s="2996">
        <v>44254</v>
      </c>
      <c r="AE65" s="2996">
        <v>309146</v>
      </c>
      <c r="AF65" s="2996">
        <v>92607</v>
      </c>
      <c r="AG65" s="2996">
        <v>2145</v>
      </c>
      <c r="AH65" s="2996">
        <v>12718</v>
      </c>
      <c r="AI65" s="2996">
        <v>26</v>
      </c>
      <c r="AJ65" s="2996">
        <v>37</v>
      </c>
      <c r="AK65" s="2996">
        <v>0</v>
      </c>
      <c r="AL65" s="2996">
        <v>0</v>
      </c>
      <c r="AM65" s="2996">
        <v>44350</v>
      </c>
      <c r="AN65" s="2996">
        <v>21944</v>
      </c>
      <c r="AO65" s="2996">
        <v>75686.999999999985</v>
      </c>
      <c r="AP65" s="2996">
        <v>581552</v>
      </c>
      <c r="AQ65" s="3018">
        <v>44200</v>
      </c>
      <c r="AR65" s="3018">
        <v>44560</v>
      </c>
      <c r="AS65" s="3020" t="s">
        <v>1515</v>
      </c>
    </row>
    <row r="66" spans="1:45" s="74" customFormat="1" ht="90.75" customHeight="1" x14ac:dyDescent="0.25">
      <c r="A66" s="1077"/>
      <c r="B66" s="1078"/>
      <c r="C66" s="1077"/>
      <c r="D66" s="1078"/>
      <c r="E66" s="1128"/>
      <c r="F66" s="1128"/>
      <c r="G66" s="3024">
        <v>3302070</v>
      </c>
      <c r="H66" s="3059" t="s">
        <v>1528</v>
      </c>
      <c r="I66" s="3024">
        <v>3302070</v>
      </c>
      <c r="J66" s="3059" t="s">
        <v>1528</v>
      </c>
      <c r="K66" s="3062" t="s">
        <v>1529</v>
      </c>
      <c r="L66" s="3073" t="s">
        <v>1498</v>
      </c>
      <c r="M66" s="3062" t="s">
        <v>1529</v>
      </c>
      <c r="N66" s="3073" t="s">
        <v>1498</v>
      </c>
      <c r="O66" s="2974">
        <v>4</v>
      </c>
      <c r="P66" s="2977"/>
      <c r="Q66" s="3066"/>
      <c r="R66" s="2323">
        <v>0.75747473471258064</v>
      </c>
      <c r="S66" s="3068"/>
      <c r="T66" s="3071"/>
      <c r="U66" s="3076" t="s">
        <v>1530</v>
      </c>
      <c r="V66" s="3008" t="s">
        <v>1528</v>
      </c>
      <c r="W66" s="1230">
        <v>66500000</v>
      </c>
      <c r="X66" s="182" t="s">
        <v>1531</v>
      </c>
      <c r="Y66" s="948">
        <v>20</v>
      </c>
      <c r="Z66" s="1068" t="s">
        <v>1481</v>
      </c>
      <c r="AA66" s="2996"/>
      <c r="AB66" s="2996"/>
      <c r="AC66" s="2996"/>
      <c r="AD66" s="2996"/>
      <c r="AE66" s="2996"/>
      <c r="AF66" s="2996"/>
      <c r="AG66" s="2996"/>
      <c r="AH66" s="2996"/>
      <c r="AI66" s="2996"/>
      <c r="AJ66" s="2996"/>
      <c r="AK66" s="2996"/>
      <c r="AL66" s="2996"/>
      <c r="AM66" s="2996"/>
      <c r="AN66" s="2996"/>
      <c r="AO66" s="2996"/>
      <c r="AP66" s="2996"/>
      <c r="AQ66" s="3018"/>
      <c r="AR66" s="3018"/>
      <c r="AS66" s="3020"/>
    </row>
    <row r="67" spans="1:45" s="3" customFormat="1" ht="34.5" customHeight="1" x14ac:dyDescent="0.25">
      <c r="A67" s="1077"/>
      <c r="B67" s="1078"/>
      <c r="C67" s="1077"/>
      <c r="D67" s="1078"/>
      <c r="E67" s="1128"/>
      <c r="F67" s="1128"/>
      <c r="G67" s="3024"/>
      <c r="H67" s="3060"/>
      <c r="I67" s="3024"/>
      <c r="J67" s="3060"/>
      <c r="K67" s="3063"/>
      <c r="L67" s="3074"/>
      <c r="M67" s="3063"/>
      <c r="N67" s="3074"/>
      <c r="O67" s="2977"/>
      <c r="P67" s="2977"/>
      <c r="Q67" s="3066"/>
      <c r="R67" s="2453"/>
      <c r="S67" s="3068"/>
      <c r="T67" s="3071"/>
      <c r="U67" s="3077"/>
      <c r="V67" s="3016"/>
      <c r="W67" s="1231">
        <v>0</v>
      </c>
      <c r="X67" s="511" t="s">
        <v>1532</v>
      </c>
      <c r="Y67" s="948">
        <v>47</v>
      </c>
      <c r="Z67" s="1068" t="s">
        <v>1533</v>
      </c>
      <c r="AA67" s="2996"/>
      <c r="AB67" s="2996"/>
      <c r="AC67" s="2996"/>
      <c r="AD67" s="2996"/>
      <c r="AE67" s="2996"/>
      <c r="AF67" s="2996"/>
      <c r="AG67" s="2996"/>
      <c r="AH67" s="2996"/>
      <c r="AI67" s="2996"/>
      <c r="AJ67" s="2996"/>
      <c r="AK67" s="2996"/>
      <c r="AL67" s="2996"/>
      <c r="AM67" s="2996"/>
      <c r="AN67" s="2996"/>
      <c r="AO67" s="2996"/>
      <c r="AP67" s="2996"/>
      <c r="AQ67" s="3018"/>
      <c r="AR67" s="3018"/>
      <c r="AS67" s="3020"/>
    </row>
    <row r="68" spans="1:45" ht="34.5" customHeight="1" x14ac:dyDescent="0.25">
      <c r="A68" s="1077"/>
      <c r="B68" s="1078"/>
      <c r="C68" s="1077"/>
      <c r="D68" s="1078"/>
      <c r="E68" s="1128"/>
      <c r="F68" s="1128"/>
      <c r="G68" s="3024"/>
      <c r="H68" s="3060"/>
      <c r="I68" s="3024"/>
      <c r="J68" s="3060"/>
      <c r="K68" s="3063"/>
      <c r="L68" s="3074"/>
      <c r="M68" s="3063"/>
      <c r="N68" s="3074"/>
      <c r="O68" s="2977"/>
      <c r="P68" s="2977"/>
      <c r="Q68" s="3066"/>
      <c r="R68" s="2453"/>
      <c r="S68" s="3068"/>
      <c r="T68" s="3071"/>
      <c r="U68" s="3077"/>
      <c r="V68" s="3016"/>
      <c r="W68" s="1231">
        <v>141163803</v>
      </c>
      <c r="X68" s="511" t="s">
        <v>1534</v>
      </c>
      <c r="Y68" s="948">
        <v>47</v>
      </c>
      <c r="Z68" s="1068" t="s">
        <v>1533</v>
      </c>
      <c r="AA68" s="2996"/>
      <c r="AB68" s="2996"/>
      <c r="AC68" s="2996"/>
      <c r="AD68" s="2996"/>
      <c r="AE68" s="2996"/>
      <c r="AF68" s="2996"/>
      <c r="AG68" s="2996"/>
      <c r="AH68" s="2996"/>
      <c r="AI68" s="2996"/>
      <c r="AJ68" s="2996"/>
      <c r="AK68" s="2996"/>
      <c r="AL68" s="2996"/>
      <c r="AM68" s="2996"/>
      <c r="AN68" s="2996"/>
      <c r="AO68" s="2996"/>
      <c r="AP68" s="2996"/>
      <c r="AQ68" s="3018"/>
      <c r="AR68" s="3018"/>
      <c r="AS68" s="3020"/>
    </row>
    <row r="69" spans="1:45" ht="34.5" customHeight="1" x14ac:dyDescent="0.25">
      <c r="A69" s="1079"/>
      <c r="B69" s="1080"/>
      <c r="C69" s="1079"/>
      <c r="D69" s="1080"/>
      <c r="E69" s="1232"/>
      <c r="F69" s="1232"/>
      <c r="G69" s="3024"/>
      <c r="H69" s="3061"/>
      <c r="I69" s="3024"/>
      <c r="J69" s="3061"/>
      <c r="K69" s="3064"/>
      <c r="L69" s="3075"/>
      <c r="M69" s="3064"/>
      <c r="N69" s="3075"/>
      <c r="O69" s="3045"/>
      <c r="P69" s="3045"/>
      <c r="Q69" s="3067"/>
      <c r="R69" s="2454"/>
      <c r="S69" s="3069"/>
      <c r="T69" s="3072"/>
      <c r="U69" s="3078"/>
      <c r="V69" s="3009"/>
      <c r="W69" s="1196">
        <v>34433.300000000003</v>
      </c>
      <c r="X69" s="511" t="s">
        <v>1535</v>
      </c>
      <c r="Y69" s="948">
        <v>93</v>
      </c>
      <c r="Z69" s="1068" t="s">
        <v>1536</v>
      </c>
      <c r="AA69" s="3065"/>
      <c r="AB69" s="3065"/>
      <c r="AC69" s="3065"/>
      <c r="AD69" s="3065"/>
      <c r="AE69" s="3065"/>
      <c r="AF69" s="3065"/>
      <c r="AG69" s="3065"/>
      <c r="AH69" s="3065"/>
      <c r="AI69" s="3065"/>
      <c r="AJ69" s="3065"/>
      <c r="AK69" s="3065"/>
      <c r="AL69" s="3065"/>
      <c r="AM69" s="3065"/>
      <c r="AN69" s="3065"/>
      <c r="AO69" s="3065"/>
      <c r="AP69" s="3065"/>
      <c r="AQ69" s="3057"/>
      <c r="AR69" s="3057"/>
      <c r="AS69" s="3058"/>
    </row>
    <row r="70" spans="1:45" ht="27" customHeight="1" x14ac:dyDescent="0.25">
      <c r="A70" s="1233"/>
      <c r="B70" s="1233"/>
      <c r="C70" s="1233"/>
      <c r="D70" s="1233"/>
      <c r="E70" s="1233"/>
      <c r="F70" s="1233"/>
      <c r="G70" s="1233"/>
      <c r="H70" s="1233"/>
      <c r="I70" s="1233"/>
      <c r="J70" s="1233"/>
      <c r="K70" s="1233"/>
      <c r="L70" s="1233"/>
      <c r="M70" s="1233"/>
      <c r="N70" s="1233"/>
      <c r="O70" s="1233"/>
      <c r="P70" s="1233"/>
      <c r="Q70" s="1233"/>
      <c r="R70" s="1234"/>
      <c r="S70" s="1235">
        <v>4008607319.3200002</v>
      </c>
      <c r="T70" s="1233"/>
      <c r="U70" s="1233"/>
      <c r="V70" s="1233" t="s">
        <v>118</v>
      </c>
      <c r="W70" s="1236">
        <v>4008607319.3199997</v>
      </c>
      <c r="X70" s="1233"/>
      <c r="Y70" s="1237"/>
      <c r="Z70" s="1233"/>
      <c r="AA70" s="1233"/>
      <c r="AB70" s="1233"/>
      <c r="AC70" s="1233"/>
      <c r="AD70" s="1233"/>
      <c r="AE70" s="1233"/>
      <c r="AF70" s="1233"/>
      <c r="AG70" s="1233"/>
      <c r="AH70" s="1233"/>
      <c r="AI70" s="1233"/>
      <c r="AJ70" s="1233"/>
      <c r="AK70" s="1233"/>
      <c r="AL70" s="1233"/>
      <c r="AM70" s="1233"/>
      <c r="AN70" s="1233"/>
      <c r="AO70" s="1233"/>
      <c r="AP70" s="1233"/>
      <c r="AQ70" s="1238"/>
      <c r="AR70" s="1238"/>
      <c r="AS70" s="1239"/>
    </row>
    <row r="71" spans="1:45" ht="27" customHeight="1" x14ac:dyDescent="0.25">
      <c r="A71"/>
      <c r="B71"/>
      <c r="C71"/>
      <c r="D71"/>
      <c r="E71"/>
      <c r="F71"/>
      <c r="G71"/>
      <c r="H71"/>
      <c r="I71"/>
      <c r="J71"/>
      <c r="K71"/>
      <c r="L71"/>
      <c r="M71"/>
      <c r="N71"/>
      <c r="O71"/>
      <c r="P71"/>
      <c r="Q71"/>
      <c r="R71"/>
      <c r="S71"/>
      <c r="T71"/>
      <c r="U71"/>
      <c r="V71" s="1056"/>
      <c r="X71"/>
      <c r="Y71"/>
      <c r="Z71"/>
      <c r="AA71"/>
      <c r="AB71"/>
      <c r="AC71"/>
      <c r="AD71"/>
      <c r="AE71"/>
      <c r="AF71"/>
      <c r="AG71"/>
      <c r="AH71"/>
      <c r="AI71"/>
      <c r="AJ71"/>
      <c r="AK71"/>
      <c r="AL71"/>
      <c r="AM71"/>
      <c r="AN71"/>
      <c r="AO71"/>
      <c r="AP71"/>
      <c r="AQ71"/>
      <c r="AR71"/>
      <c r="AS71"/>
    </row>
    <row r="72" spans="1:45" ht="27" customHeight="1" x14ac:dyDescent="0.25">
      <c r="A72"/>
      <c r="B72"/>
      <c r="C72"/>
      <c r="D72"/>
      <c r="E72"/>
      <c r="F72"/>
      <c r="G72"/>
      <c r="H72"/>
      <c r="I72"/>
      <c r="J72"/>
      <c r="K72"/>
      <c r="L72"/>
      <c r="M72"/>
      <c r="N72"/>
      <c r="O72"/>
      <c r="P72"/>
      <c r="Q72"/>
      <c r="R72"/>
      <c r="S72"/>
      <c r="T72"/>
      <c r="U72"/>
      <c r="V72" s="1056"/>
      <c r="X72"/>
      <c r="Y72"/>
      <c r="Z72"/>
      <c r="AA72"/>
      <c r="AB72"/>
      <c r="AC72"/>
      <c r="AD72"/>
      <c r="AE72"/>
      <c r="AF72"/>
      <c r="AG72"/>
      <c r="AH72"/>
      <c r="AI72"/>
      <c r="AJ72"/>
      <c r="AK72"/>
      <c r="AL72"/>
      <c r="AM72"/>
      <c r="AN72"/>
      <c r="AO72"/>
      <c r="AP72"/>
      <c r="AQ72"/>
      <c r="AR72"/>
      <c r="AS72"/>
    </row>
  </sheetData>
  <sheetProtection algorithmName="SHA-512" hashValue="D1DbeLJdDgbxrMjwFVsICG2Pa9+9QdWgy3Zjro8q1nBqXaQzIlu9JfaKd5fcQseeBFJfJmnXY/iE9V5T8NuMHg==" saltValue="M3NnNZt9J12nTj0wx1Ghgw==" spinCount="100000" sheet="1" objects="1" scenarios="1"/>
  <mergeCells count="189">
    <mergeCell ref="L66:L69"/>
    <mergeCell ref="M66:M69"/>
    <mergeCell ref="N66:N69"/>
    <mergeCell ref="O66:O69"/>
    <mergeCell ref="R66:R69"/>
    <mergeCell ref="U66:U69"/>
    <mergeCell ref="AO65:AO69"/>
    <mergeCell ref="AP65:AP69"/>
    <mergeCell ref="AQ65:AQ69"/>
    <mergeCell ref="AB65:AB69"/>
    <mergeCell ref="V66:V69"/>
    <mergeCell ref="AR65:AR69"/>
    <mergeCell ref="AS65:AS69"/>
    <mergeCell ref="G66:G69"/>
    <mergeCell ref="H66:H69"/>
    <mergeCell ref="I66:I69"/>
    <mergeCell ref="J66:J69"/>
    <mergeCell ref="K66:K69"/>
    <mergeCell ref="AI65:AI69"/>
    <mergeCell ref="AJ65:AJ69"/>
    <mergeCell ref="AK65:AK69"/>
    <mergeCell ref="AL65:AL69"/>
    <mergeCell ref="AM65:AM69"/>
    <mergeCell ref="AN65:AN69"/>
    <mergeCell ref="AC65:AC69"/>
    <mergeCell ref="AD65:AD69"/>
    <mergeCell ref="AE65:AE69"/>
    <mergeCell ref="AF65:AF69"/>
    <mergeCell ref="AG65:AG69"/>
    <mergeCell ref="AH65:AH69"/>
    <mergeCell ref="P65:P69"/>
    <mergeCell ref="Q65:Q69"/>
    <mergeCell ref="S65:S69"/>
    <mergeCell ref="T65:T69"/>
    <mergeCell ref="AA65:AA69"/>
    <mergeCell ref="AO61:AO63"/>
    <mergeCell ref="AP61:AP63"/>
    <mergeCell ref="AQ61:AQ63"/>
    <mergeCell ref="AR61:AR63"/>
    <mergeCell ref="AS61:AS63"/>
    <mergeCell ref="AI61:AI63"/>
    <mergeCell ref="AJ61:AJ63"/>
    <mergeCell ref="AK61:AK63"/>
    <mergeCell ref="AL61:AL63"/>
    <mergeCell ref="AM61:AM63"/>
    <mergeCell ref="AN61:AN63"/>
    <mergeCell ref="AC61:AC63"/>
    <mergeCell ref="AD61:AD63"/>
    <mergeCell ref="AE61:AE63"/>
    <mergeCell ref="AF61:AF63"/>
    <mergeCell ref="AG61:AG63"/>
    <mergeCell ref="AH61:AH63"/>
    <mergeCell ref="S61:S63"/>
    <mergeCell ref="T61:T63"/>
    <mergeCell ref="U61:U63"/>
    <mergeCell ref="V61:V63"/>
    <mergeCell ref="AA61:AA63"/>
    <mergeCell ref="AB61:AB63"/>
    <mergeCell ref="M61:M63"/>
    <mergeCell ref="N61:N63"/>
    <mergeCell ref="O61:O63"/>
    <mergeCell ref="P61:P63"/>
    <mergeCell ref="Q61:Q63"/>
    <mergeCell ref="R61:R63"/>
    <mergeCell ref="G61:G63"/>
    <mergeCell ref="H61:H63"/>
    <mergeCell ref="I61:I63"/>
    <mergeCell ref="J61:J63"/>
    <mergeCell ref="K61:K63"/>
    <mergeCell ref="L61:L63"/>
    <mergeCell ref="M56:M60"/>
    <mergeCell ref="N56:N60"/>
    <mergeCell ref="O56:O60"/>
    <mergeCell ref="R56:R60"/>
    <mergeCell ref="U56:U60"/>
    <mergeCell ref="V56:V59"/>
    <mergeCell ref="AQ37:AQ60"/>
    <mergeCell ref="AR37:AR60"/>
    <mergeCell ref="AS37:AS60"/>
    <mergeCell ref="V43:V53"/>
    <mergeCell ref="AN37:AN60"/>
    <mergeCell ref="AO37:AO60"/>
    <mergeCell ref="AP37:AP60"/>
    <mergeCell ref="R37:R55"/>
    <mergeCell ref="S37:S60"/>
    <mergeCell ref="T37:T60"/>
    <mergeCell ref="G56:G60"/>
    <mergeCell ref="H56:H60"/>
    <mergeCell ref="I56:I60"/>
    <mergeCell ref="J56:J60"/>
    <mergeCell ref="K56:K60"/>
    <mergeCell ref="L56:L60"/>
    <mergeCell ref="AK37:AK60"/>
    <mergeCell ref="AL37:AL60"/>
    <mergeCell ref="AM37:AM60"/>
    <mergeCell ref="AE37:AE60"/>
    <mergeCell ref="AF37:AF60"/>
    <mergeCell ref="AG37:AG60"/>
    <mergeCell ref="AH37:AH60"/>
    <mergeCell ref="AI37:AI60"/>
    <mergeCell ref="AJ37:AJ60"/>
    <mergeCell ref="U37:U55"/>
    <mergeCell ref="V37:V42"/>
    <mergeCell ref="AA37:AA60"/>
    <mergeCell ref="AB37:AB60"/>
    <mergeCell ref="AC37:AC60"/>
    <mergeCell ref="AD37:AD60"/>
    <mergeCell ref="O37:O55"/>
    <mergeCell ref="P37:P60"/>
    <mergeCell ref="Q37:Q60"/>
    <mergeCell ref="G37:G55"/>
    <mergeCell ref="H37:H55"/>
    <mergeCell ref="I37:I55"/>
    <mergeCell ref="J37:J55"/>
    <mergeCell ref="K37:K55"/>
    <mergeCell ref="L37:L55"/>
    <mergeCell ref="M37:M55"/>
    <mergeCell ref="N37:N55"/>
    <mergeCell ref="G15:G33"/>
    <mergeCell ref="H15:H33"/>
    <mergeCell ref="I15:I33"/>
    <mergeCell ref="J15:J33"/>
    <mergeCell ref="K15:K33"/>
    <mergeCell ref="L15:L33"/>
    <mergeCell ref="AN12:AN36"/>
    <mergeCell ref="AO12:AO36"/>
    <mergeCell ref="AP12:AP36"/>
    <mergeCell ref="AQ12:AQ36"/>
    <mergeCell ref="AR12:AR36"/>
    <mergeCell ref="AS12:AS36"/>
    <mergeCell ref="AH12:AH36"/>
    <mergeCell ref="AI12:AI36"/>
    <mergeCell ref="AJ12:AJ36"/>
    <mergeCell ref="AK12:AK36"/>
    <mergeCell ref="AL12:AL36"/>
    <mergeCell ref="AM12:AM36"/>
    <mergeCell ref="O15:O33"/>
    <mergeCell ref="AB12:AB36"/>
    <mergeCell ref="AC12:AC36"/>
    <mergeCell ref="AD12:AD36"/>
    <mergeCell ref="AE12:AE36"/>
    <mergeCell ref="AF12:AF36"/>
    <mergeCell ref="AG12:AG36"/>
    <mergeCell ref="R12:R14"/>
    <mergeCell ref="S12:S36"/>
    <mergeCell ref="T12:T36"/>
    <mergeCell ref="U12:U14"/>
    <mergeCell ref="V12:V13"/>
    <mergeCell ref="AA12:AA36"/>
    <mergeCell ref="R15:R33"/>
    <mergeCell ref="U15:U33"/>
    <mergeCell ref="V17:V18"/>
    <mergeCell ref="V19:V22"/>
    <mergeCell ref="V26:V28"/>
    <mergeCell ref="V32:V33"/>
    <mergeCell ref="AR7:AR8"/>
    <mergeCell ref="AS7:AS8"/>
    <mergeCell ref="B9:E9"/>
    <mergeCell ref="F11:N11"/>
    <mergeCell ref="F12:F63"/>
    <mergeCell ref="G12:G14"/>
    <mergeCell ref="H12:H14"/>
    <mergeCell ref="I12:I14"/>
    <mergeCell ref="J12:J14"/>
    <mergeCell ref="K12:K14"/>
    <mergeCell ref="AA7:AB7"/>
    <mergeCell ref="AC7:AF7"/>
    <mergeCell ref="AG7:AL7"/>
    <mergeCell ref="AM7:AO7"/>
    <mergeCell ref="AP7:AP8"/>
    <mergeCell ref="AQ7:AQ8"/>
    <mergeCell ref="L12:L14"/>
    <mergeCell ref="M12:M14"/>
    <mergeCell ref="N12:N14"/>
    <mergeCell ref="O12:O14"/>
    <mergeCell ref="P12:P36"/>
    <mergeCell ref="Q12:Q36"/>
    <mergeCell ref="M15:M33"/>
    <mergeCell ref="N15:N33"/>
    <mergeCell ref="A1:AQ4"/>
    <mergeCell ref="A5:Z6"/>
    <mergeCell ref="AA6:AO6"/>
    <mergeCell ref="A7:B7"/>
    <mergeCell ref="C7:D7"/>
    <mergeCell ref="E7:F7"/>
    <mergeCell ref="G7:J7"/>
    <mergeCell ref="K7:N7"/>
    <mergeCell ref="O7:W7"/>
    <mergeCell ref="X7:Z7"/>
  </mergeCells>
  <conditionalFormatting sqref="K53:K56">
    <cfRule type="duplicateValues" dxfId="58" priority="4"/>
  </conditionalFormatting>
  <conditionalFormatting sqref="G53:G56">
    <cfRule type="duplicateValues" dxfId="57" priority="3"/>
  </conditionalFormatting>
  <conditionalFormatting sqref="I53:I56">
    <cfRule type="duplicateValues" dxfId="56" priority="2"/>
  </conditionalFormatting>
  <conditionalFormatting sqref="M53:M56">
    <cfRule type="duplicateValues" dxfId="55" priority="1"/>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M46"/>
  <sheetViews>
    <sheetView showGridLines="0" zoomScale="70" zoomScaleNormal="70" workbookViewId="0">
      <selection activeCell="N8" sqref="N8"/>
    </sheetView>
  </sheetViews>
  <sheetFormatPr baseColWidth="10" defaultColWidth="11.42578125" defaultRowHeight="27" customHeight="1" x14ac:dyDescent="0.25"/>
  <cols>
    <col min="1" max="1" width="9.7109375" style="132" customWidth="1"/>
    <col min="2" max="2" width="11.5703125" style="1006" customWidth="1"/>
    <col min="3" max="3" width="11.7109375" style="1006" customWidth="1"/>
    <col min="4" max="4" width="10.28515625" style="1006" customWidth="1"/>
    <col min="5" max="5" width="10" style="1006" customWidth="1"/>
    <col min="6" max="6" width="10.7109375" style="1006" customWidth="1"/>
    <col min="7" max="7" width="15.7109375" style="1006" customWidth="1"/>
    <col min="8" max="8" width="28.5703125" style="349" customWidth="1"/>
    <col min="9" max="9" width="21.42578125" style="3" customWidth="1"/>
    <col min="10" max="10" width="33.42578125" style="349" customWidth="1"/>
    <col min="11" max="11" width="17.5703125" style="3" customWidth="1"/>
    <col min="12" max="12" width="27.42578125" style="349" customWidth="1"/>
    <col min="13" max="13" width="23.28515625" style="3" customWidth="1"/>
    <col min="14" max="14" width="28.5703125" style="349" customWidth="1"/>
    <col min="15" max="15" width="16.28515625" style="3" customWidth="1"/>
    <col min="16" max="16" width="24.5703125" style="3" customWidth="1"/>
    <col min="17" max="17" width="29" style="3" customWidth="1"/>
    <col min="18" max="18" width="20.28515625" style="121" customWidth="1"/>
    <col min="19" max="19" width="23.42578125" style="128" customWidth="1"/>
    <col min="20" max="20" width="31.85546875" style="349" customWidth="1"/>
    <col min="21" max="21" width="44.28515625" style="349" customWidth="1"/>
    <col min="22" max="22" width="53.7109375" style="349" customWidth="1"/>
    <col min="23" max="23" width="29.42578125" style="128" customWidth="1"/>
    <col min="24" max="24" width="55.7109375" style="128" customWidth="1"/>
    <col min="25" max="25" width="17.28515625" style="124" customWidth="1"/>
    <col min="26" max="26" width="22.140625" style="3" customWidth="1"/>
    <col min="27" max="42" width="10.85546875" style="1006" customWidth="1"/>
    <col min="43" max="43" width="25.42578125" style="134" customWidth="1"/>
    <col min="44" max="44" width="27.5703125" style="134" customWidth="1"/>
    <col min="45" max="45" width="31.7109375" style="1006" customWidth="1"/>
    <col min="46" max="16384" width="11.42578125" style="1006"/>
  </cols>
  <sheetData>
    <row r="1" spans="1:65" ht="33" customHeight="1" x14ac:dyDescent="0.25">
      <c r="A1" s="2349" t="s">
        <v>3350</v>
      </c>
      <c r="B1" s="2955"/>
      <c r="C1" s="2955"/>
      <c r="D1" s="2955"/>
      <c r="E1" s="2955"/>
      <c r="F1" s="2955"/>
      <c r="G1" s="2955"/>
      <c r="H1" s="2955"/>
      <c r="I1" s="2955"/>
      <c r="J1" s="2955"/>
      <c r="K1" s="2955"/>
      <c r="L1" s="2955"/>
      <c r="M1" s="2955"/>
      <c r="N1" s="2955"/>
      <c r="O1" s="2955"/>
      <c r="P1" s="2955"/>
      <c r="Q1" s="2955"/>
      <c r="R1" s="2955"/>
      <c r="S1" s="2955"/>
      <c r="T1" s="2955"/>
      <c r="U1" s="2955"/>
      <c r="V1" s="2955"/>
      <c r="W1" s="2955"/>
      <c r="X1" s="2955"/>
      <c r="Y1" s="2955"/>
      <c r="Z1" s="2955"/>
      <c r="AA1" s="2955"/>
      <c r="AB1" s="2955"/>
      <c r="AC1" s="2955"/>
      <c r="AD1" s="2955"/>
      <c r="AE1" s="2955"/>
      <c r="AF1" s="2955"/>
      <c r="AG1" s="2955"/>
      <c r="AH1" s="2955"/>
      <c r="AI1" s="2955"/>
      <c r="AJ1" s="2955"/>
      <c r="AK1" s="2955"/>
      <c r="AL1" s="2955"/>
      <c r="AM1" s="2955"/>
      <c r="AN1" s="2955"/>
      <c r="AO1" s="2955"/>
      <c r="AP1" s="2955"/>
      <c r="AQ1" s="2237"/>
      <c r="AR1" s="891" t="s">
        <v>1</v>
      </c>
      <c r="AS1" s="891" t="s">
        <v>1141</v>
      </c>
      <c r="AT1" s="3"/>
      <c r="AU1" s="3"/>
      <c r="AV1" s="3"/>
      <c r="AW1" s="3"/>
      <c r="AX1" s="3"/>
      <c r="AY1" s="3"/>
      <c r="AZ1" s="3"/>
      <c r="BA1" s="3"/>
      <c r="BB1" s="3"/>
      <c r="BC1" s="3"/>
      <c r="BD1" s="3"/>
      <c r="BE1" s="3"/>
      <c r="BF1" s="3"/>
      <c r="BG1" s="3"/>
      <c r="BH1" s="3"/>
      <c r="BI1" s="3"/>
      <c r="BJ1" s="3"/>
      <c r="BK1" s="3"/>
      <c r="BL1" s="3"/>
      <c r="BM1" s="3"/>
    </row>
    <row r="2" spans="1:65" ht="33" customHeight="1" x14ac:dyDescent="0.25">
      <c r="A2" s="2955"/>
      <c r="B2" s="2955"/>
      <c r="C2" s="2955"/>
      <c r="D2" s="2955"/>
      <c r="E2" s="2955"/>
      <c r="F2" s="2955"/>
      <c r="G2" s="2955"/>
      <c r="H2" s="2955"/>
      <c r="I2" s="2955"/>
      <c r="J2" s="2955"/>
      <c r="K2" s="2955"/>
      <c r="L2" s="2955"/>
      <c r="M2" s="2955"/>
      <c r="N2" s="2955"/>
      <c r="O2" s="2955"/>
      <c r="P2" s="2955"/>
      <c r="Q2" s="2955"/>
      <c r="R2" s="2955"/>
      <c r="S2" s="2955"/>
      <c r="T2" s="2955"/>
      <c r="U2" s="2955"/>
      <c r="V2" s="2955"/>
      <c r="W2" s="2955"/>
      <c r="X2" s="2955"/>
      <c r="Y2" s="2955"/>
      <c r="Z2" s="2955"/>
      <c r="AA2" s="2955"/>
      <c r="AB2" s="2955"/>
      <c r="AC2" s="2955"/>
      <c r="AD2" s="2955"/>
      <c r="AE2" s="2955"/>
      <c r="AF2" s="2955"/>
      <c r="AG2" s="2955"/>
      <c r="AH2" s="2955"/>
      <c r="AI2" s="2955"/>
      <c r="AJ2" s="2955"/>
      <c r="AK2" s="2955"/>
      <c r="AL2" s="2955"/>
      <c r="AM2" s="2955"/>
      <c r="AN2" s="2955"/>
      <c r="AO2" s="2955"/>
      <c r="AP2" s="2955"/>
      <c r="AQ2" s="2237"/>
      <c r="AR2" s="891" t="s">
        <v>3</v>
      </c>
      <c r="AS2" s="229" t="s">
        <v>693</v>
      </c>
      <c r="AT2" s="3"/>
      <c r="AU2" s="3"/>
      <c r="AV2" s="3"/>
      <c r="AW2" s="3"/>
      <c r="AX2" s="3"/>
      <c r="AY2" s="3"/>
      <c r="AZ2" s="3"/>
      <c r="BA2" s="3"/>
      <c r="BB2" s="3"/>
      <c r="BC2" s="3"/>
      <c r="BD2" s="3"/>
      <c r="BE2" s="3"/>
      <c r="BF2" s="3"/>
      <c r="BG2" s="3"/>
      <c r="BH2" s="3"/>
      <c r="BI2" s="3"/>
      <c r="BJ2" s="3"/>
      <c r="BK2" s="3"/>
      <c r="BL2" s="3"/>
      <c r="BM2" s="3"/>
    </row>
    <row r="3" spans="1:65" ht="33" customHeight="1" x14ac:dyDescent="0.25">
      <c r="A3" s="2955"/>
      <c r="B3" s="2955"/>
      <c r="C3" s="2955"/>
      <c r="D3" s="2955"/>
      <c r="E3" s="2955"/>
      <c r="F3" s="2955"/>
      <c r="G3" s="2955"/>
      <c r="H3" s="2955"/>
      <c r="I3" s="2955"/>
      <c r="J3" s="2955"/>
      <c r="K3" s="2955"/>
      <c r="L3" s="2955"/>
      <c r="M3" s="2955"/>
      <c r="N3" s="2955"/>
      <c r="O3" s="2955"/>
      <c r="P3" s="2955"/>
      <c r="Q3" s="2955"/>
      <c r="R3" s="2955"/>
      <c r="S3" s="2955"/>
      <c r="T3" s="2955"/>
      <c r="U3" s="2955"/>
      <c r="V3" s="2955"/>
      <c r="W3" s="2955"/>
      <c r="X3" s="2955"/>
      <c r="Y3" s="2955"/>
      <c r="Z3" s="2955"/>
      <c r="AA3" s="2955"/>
      <c r="AB3" s="2955"/>
      <c r="AC3" s="2955"/>
      <c r="AD3" s="2955"/>
      <c r="AE3" s="2955"/>
      <c r="AF3" s="2955"/>
      <c r="AG3" s="2955"/>
      <c r="AH3" s="2955"/>
      <c r="AI3" s="2955"/>
      <c r="AJ3" s="2955"/>
      <c r="AK3" s="2955"/>
      <c r="AL3" s="2955"/>
      <c r="AM3" s="2955"/>
      <c r="AN3" s="2955"/>
      <c r="AO3" s="2955"/>
      <c r="AP3" s="2955"/>
      <c r="AQ3" s="2237"/>
      <c r="AR3" s="891" t="s">
        <v>4</v>
      </c>
      <c r="AS3" s="917" t="s">
        <v>1142</v>
      </c>
      <c r="AT3" s="3"/>
      <c r="AU3" s="3"/>
      <c r="AV3" s="3"/>
      <c r="AW3" s="3"/>
      <c r="AX3" s="3"/>
      <c r="AY3" s="3"/>
      <c r="AZ3" s="3"/>
      <c r="BA3" s="3"/>
      <c r="BB3" s="3"/>
      <c r="BC3" s="3"/>
      <c r="BD3" s="3"/>
      <c r="BE3" s="3"/>
      <c r="BF3" s="3"/>
      <c r="BG3" s="3"/>
      <c r="BH3" s="3"/>
      <c r="BI3" s="3"/>
      <c r="BJ3" s="3"/>
      <c r="BK3" s="3"/>
      <c r="BL3" s="3"/>
      <c r="BM3" s="3"/>
    </row>
    <row r="4" spans="1:65" ht="33" customHeight="1" x14ac:dyDescent="0.25">
      <c r="A4" s="2238"/>
      <c r="B4" s="2238"/>
      <c r="C4" s="2238"/>
      <c r="D4" s="2238"/>
      <c r="E4" s="2238"/>
      <c r="F4" s="2238"/>
      <c r="G4" s="2238"/>
      <c r="H4" s="2238"/>
      <c r="I4" s="2238"/>
      <c r="J4" s="2238"/>
      <c r="K4" s="2238"/>
      <c r="L4" s="2238"/>
      <c r="M4" s="2238"/>
      <c r="N4" s="2238"/>
      <c r="O4" s="2238"/>
      <c r="P4" s="2238"/>
      <c r="Q4" s="2238"/>
      <c r="R4" s="2238"/>
      <c r="S4" s="2238"/>
      <c r="T4" s="2238"/>
      <c r="U4" s="2238"/>
      <c r="V4" s="2238"/>
      <c r="W4" s="2238"/>
      <c r="X4" s="2238"/>
      <c r="Y4" s="2238"/>
      <c r="Z4" s="2238"/>
      <c r="AA4" s="2238"/>
      <c r="AB4" s="2238"/>
      <c r="AC4" s="2238"/>
      <c r="AD4" s="2238"/>
      <c r="AE4" s="2238"/>
      <c r="AF4" s="2238"/>
      <c r="AG4" s="2238"/>
      <c r="AH4" s="2238"/>
      <c r="AI4" s="2238"/>
      <c r="AJ4" s="2238"/>
      <c r="AK4" s="2238"/>
      <c r="AL4" s="2238"/>
      <c r="AM4" s="2238"/>
      <c r="AN4" s="2238"/>
      <c r="AO4" s="2238"/>
      <c r="AP4" s="2238"/>
      <c r="AQ4" s="2239"/>
      <c r="AR4" s="891" t="s">
        <v>5</v>
      </c>
      <c r="AS4" s="659" t="s">
        <v>120</v>
      </c>
      <c r="AT4" s="3"/>
      <c r="AU4" s="3"/>
      <c r="AV4" s="3"/>
      <c r="AW4" s="3"/>
      <c r="AX4" s="3"/>
      <c r="AY4" s="3"/>
      <c r="AZ4" s="3"/>
      <c r="BA4" s="3"/>
      <c r="BB4" s="3"/>
      <c r="BC4" s="3"/>
      <c r="BD4" s="3"/>
      <c r="BE4" s="3"/>
      <c r="BF4" s="3"/>
      <c r="BG4" s="3"/>
      <c r="BH4" s="3"/>
      <c r="BI4" s="3"/>
      <c r="BJ4" s="3"/>
      <c r="BK4" s="3"/>
      <c r="BL4" s="3"/>
      <c r="BM4" s="3"/>
    </row>
    <row r="5" spans="1:65" ht="40.5" customHeight="1" x14ac:dyDescent="0.25">
      <c r="A5" s="2240" t="s">
        <v>1305</v>
      </c>
      <c r="B5" s="2241"/>
      <c r="C5" s="2241"/>
      <c r="D5" s="2241"/>
      <c r="E5" s="2241"/>
      <c r="F5" s="2241"/>
      <c r="G5" s="2241"/>
      <c r="H5" s="2241"/>
      <c r="I5" s="2241"/>
      <c r="J5" s="2241"/>
      <c r="K5" s="2241"/>
      <c r="L5" s="2241"/>
      <c r="M5" s="2241"/>
      <c r="N5" s="2241"/>
      <c r="O5" s="2242"/>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2245"/>
      <c r="AT5" s="3"/>
      <c r="AU5" s="3"/>
      <c r="AV5" s="3"/>
      <c r="AW5" s="3"/>
      <c r="AX5" s="3"/>
      <c r="AY5" s="3"/>
      <c r="AZ5" s="3"/>
      <c r="BA5" s="3"/>
      <c r="BB5" s="3"/>
      <c r="BC5" s="3"/>
      <c r="BD5" s="3"/>
      <c r="BE5" s="3"/>
      <c r="BF5" s="3"/>
      <c r="BG5" s="3"/>
      <c r="BH5" s="3"/>
      <c r="BI5" s="3"/>
      <c r="BJ5" s="3"/>
      <c r="BK5" s="3"/>
      <c r="BL5" s="3"/>
      <c r="BM5" s="3"/>
    </row>
    <row r="6" spans="1:65" ht="27" customHeight="1" x14ac:dyDescent="0.25">
      <c r="A6" s="2243"/>
      <c r="B6" s="2238"/>
      <c r="C6" s="2238"/>
      <c r="D6" s="2238"/>
      <c r="E6" s="2238"/>
      <c r="F6" s="2238"/>
      <c r="G6" s="2238"/>
      <c r="H6" s="2238"/>
      <c r="I6" s="2238"/>
      <c r="J6" s="2238"/>
      <c r="K6" s="2238"/>
      <c r="L6" s="2238"/>
      <c r="M6" s="2238"/>
      <c r="N6" s="2238"/>
      <c r="O6" s="2239"/>
      <c r="P6" s="888"/>
      <c r="Q6" s="888"/>
      <c r="R6" s="888"/>
      <c r="S6" s="888"/>
      <c r="T6" s="233"/>
      <c r="U6" s="233"/>
      <c r="V6" s="233"/>
      <c r="W6" s="888"/>
      <c r="X6" s="888"/>
      <c r="Y6" s="888"/>
      <c r="Z6" s="888"/>
      <c r="AA6" s="2243" t="s">
        <v>8</v>
      </c>
      <c r="AB6" s="2238"/>
      <c r="AC6" s="2238"/>
      <c r="AD6" s="2238"/>
      <c r="AE6" s="2238"/>
      <c r="AF6" s="2238"/>
      <c r="AG6" s="2238"/>
      <c r="AH6" s="2238"/>
      <c r="AI6" s="2238"/>
      <c r="AJ6" s="2238"/>
      <c r="AK6" s="2238"/>
      <c r="AL6" s="2238"/>
      <c r="AM6" s="2238"/>
      <c r="AN6" s="2238"/>
      <c r="AO6" s="2239"/>
      <c r="AP6" s="888"/>
      <c r="AQ6" s="888"/>
      <c r="AR6" s="888"/>
      <c r="AS6" s="889"/>
      <c r="AT6" s="3"/>
      <c r="AU6" s="3"/>
      <c r="AV6" s="3"/>
      <c r="AW6" s="3"/>
      <c r="AX6" s="3"/>
      <c r="AY6" s="3"/>
      <c r="AZ6" s="3"/>
      <c r="BA6" s="3"/>
      <c r="BB6" s="3"/>
      <c r="BC6" s="3"/>
      <c r="BD6" s="3"/>
      <c r="BE6" s="3"/>
      <c r="BF6" s="3"/>
      <c r="BG6" s="3"/>
      <c r="BH6" s="3"/>
      <c r="BI6" s="3"/>
      <c r="BJ6" s="3"/>
      <c r="BK6" s="3"/>
      <c r="BL6" s="3"/>
      <c r="BM6" s="3"/>
    </row>
    <row r="7" spans="1:65" ht="36.75" customHeight="1" x14ac:dyDescent="0.25">
      <c r="A7" s="2248" t="s">
        <v>9</v>
      </c>
      <c r="B7" s="2351"/>
      <c r="C7" s="2247" t="s">
        <v>10</v>
      </c>
      <c r="D7" s="2248"/>
      <c r="E7" s="2248" t="s">
        <v>11</v>
      </c>
      <c r="F7" s="2351"/>
      <c r="G7" s="2247" t="s">
        <v>12</v>
      </c>
      <c r="H7" s="2248"/>
      <c r="I7" s="2248"/>
      <c r="J7" s="2248"/>
      <c r="K7" s="2247" t="s">
        <v>13</v>
      </c>
      <c r="L7" s="2248"/>
      <c r="M7" s="2248"/>
      <c r="N7" s="2351"/>
      <c r="O7" s="3141" t="s">
        <v>14</v>
      </c>
      <c r="P7" s="3142"/>
      <c r="Q7" s="3142"/>
      <c r="R7" s="3142"/>
      <c r="S7" s="3142"/>
      <c r="T7" s="3142"/>
      <c r="U7" s="3142"/>
      <c r="V7" s="3142"/>
      <c r="W7" s="3142"/>
      <c r="X7" s="2352" t="s">
        <v>15</v>
      </c>
      <c r="Y7" s="3138"/>
      <c r="Z7" s="3139"/>
      <c r="AA7" s="2401" t="s">
        <v>16</v>
      </c>
      <c r="AB7" s="2401"/>
      <c r="AC7" s="2218" t="s">
        <v>17</v>
      </c>
      <c r="AD7" s="2218"/>
      <c r="AE7" s="2218"/>
      <c r="AF7" s="2218"/>
      <c r="AG7" s="2359" t="s">
        <v>18</v>
      </c>
      <c r="AH7" s="2360"/>
      <c r="AI7" s="2360"/>
      <c r="AJ7" s="2360"/>
      <c r="AK7" s="2360"/>
      <c r="AL7" s="3140"/>
      <c r="AM7" s="2218" t="s">
        <v>19</v>
      </c>
      <c r="AN7" s="2218"/>
      <c r="AO7" s="2218"/>
      <c r="AP7" s="2986" t="s">
        <v>20</v>
      </c>
      <c r="AQ7" s="2249" t="s">
        <v>21</v>
      </c>
      <c r="AR7" s="2249" t="s">
        <v>22</v>
      </c>
      <c r="AS7" s="2357" t="s">
        <v>23</v>
      </c>
      <c r="AT7" s="3"/>
      <c r="AU7" s="3"/>
      <c r="AV7" s="3"/>
      <c r="AW7" s="3"/>
      <c r="AX7" s="3"/>
      <c r="AY7" s="3"/>
      <c r="AZ7" s="3"/>
      <c r="BA7" s="3"/>
      <c r="BB7" s="3"/>
      <c r="BC7" s="3"/>
      <c r="BD7" s="3"/>
      <c r="BE7" s="3"/>
      <c r="BF7" s="3"/>
      <c r="BG7" s="3"/>
      <c r="BH7" s="3"/>
      <c r="BI7" s="3"/>
      <c r="BJ7" s="3"/>
      <c r="BK7" s="3"/>
      <c r="BL7" s="3"/>
      <c r="BM7" s="3"/>
    </row>
    <row r="8" spans="1:65" ht="113.25" customHeight="1" x14ac:dyDescent="0.25">
      <c r="A8" s="239" t="s">
        <v>24</v>
      </c>
      <c r="B8" s="18" t="s">
        <v>25</v>
      </c>
      <c r="C8" s="239" t="s">
        <v>24</v>
      </c>
      <c r="D8" s="18" t="s">
        <v>25</v>
      </c>
      <c r="E8" s="922" t="s">
        <v>24</v>
      </c>
      <c r="F8" s="18" t="s">
        <v>25</v>
      </c>
      <c r="G8" s="240" t="s">
        <v>26</v>
      </c>
      <c r="H8" s="240" t="s">
        <v>27</v>
      </c>
      <c r="I8" s="240" t="s">
        <v>28</v>
      </c>
      <c r="J8" s="240" t="s">
        <v>122</v>
      </c>
      <c r="K8" s="240" t="s">
        <v>26</v>
      </c>
      <c r="L8" s="240" t="s">
        <v>30</v>
      </c>
      <c r="M8" s="18" t="s">
        <v>31</v>
      </c>
      <c r="N8" s="923" t="s">
        <v>32</v>
      </c>
      <c r="O8" s="924" t="s">
        <v>185</v>
      </c>
      <c r="P8" s="924" t="s">
        <v>34</v>
      </c>
      <c r="Q8" s="924" t="s">
        <v>35</v>
      </c>
      <c r="R8" s="1131" t="s">
        <v>36</v>
      </c>
      <c r="S8" s="926" t="s">
        <v>37</v>
      </c>
      <c r="T8" s="924" t="s">
        <v>38</v>
      </c>
      <c r="U8" s="924" t="s">
        <v>39</v>
      </c>
      <c r="V8" s="924" t="s">
        <v>40</v>
      </c>
      <c r="W8" s="926" t="s">
        <v>37</v>
      </c>
      <c r="X8" s="1132" t="s">
        <v>42</v>
      </c>
      <c r="Y8" s="900" t="s">
        <v>43</v>
      </c>
      <c r="Z8" s="18" t="s">
        <v>25</v>
      </c>
      <c r="AA8" s="927" t="s">
        <v>44</v>
      </c>
      <c r="AB8" s="928" t="s">
        <v>45</v>
      </c>
      <c r="AC8" s="929" t="s">
        <v>46</v>
      </c>
      <c r="AD8" s="929" t="s">
        <v>47</v>
      </c>
      <c r="AE8" s="929" t="s">
        <v>188</v>
      </c>
      <c r="AF8" s="929" t="s">
        <v>49</v>
      </c>
      <c r="AG8" s="929" t="s">
        <v>50</v>
      </c>
      <c r="AH8" s="929" t="s">
        <v>51</v>
      </c>
      <c r="AI8" s="929" t="s">
        <v>52</v>
      </c>
      <c r="AJ8" s="929" t="s">
        <v>189</v>
      </c>
      <c r="AK8" s="929" t="s">
        <v>54</v>
      </c>
      <c r="AL8" s="929" t="s">
        <v>55</v>
      </c>
      <c r="AM8" s="929" t="s">
        <v>56</v>
      </c>
      <c r="AN8" s="929" t="s">
        <v>57</v>
      </c>
      <c r="AO8" s="929" t="s">
        <v>58</v>
      </c>
      <c r="AP8" s="2987"/>
      <c r="AQ8" s="2356"/>
      <c r="AR8" s="2356"/>
      <c r="AS8" s="2358"/>
      <c r="AT8" s="3"/>
      <c r="AU8" s="3"/>
      <c r="AV8" s="3"/>
      <c r="AW8" s="3"/>
      <c r="AX8" s="3"/>
      <c r="AY8" s="3"/>
      <c r="AZ8" s="3"/>
      <c r="BA8" s="3"/>
      <c r="BB8" s="3"/>
      <c r="BC8" s="3"/>
      <c r="BD8" s="3"/>
      <c r="BE8" s="3"/>
      <c r="BF8" s="3"/>
      <c r="BG8" s="3"/>
      <c r="BH8" s="3"/>
      <c r="BI8" s="3"/>
      <c r="BJ8" s="3"/>
      <c r="BK8" s="3"/>
      <c r="BL8" s="3"/>
      <c r="BM8" s="3"/>
    </row>
    <row r="9" spans="1:65" ht="27" customHeight="1" x14ac:dyDescent="0.25">
      <c r="A9" s="388">
        <v>2</v>
      </c>
      <c r="B9" s="2967" t="s">
        <v>1278</v>
      </c>
      <c r="C9" s="2968"/>
      <c r="D9" s="2968"/>
      <c r="E9" s="2968"/>
      <c r="F9" s="2968"/>
      <c r="G9" s="392"/>
      <c r="H9" s="931"/>
      <c r="I9" s="392"/>
      <c r="J9" s="931"/>
      <c r="K9" s="392"/>
      <c r="L9" s="931"/>
      <c r="M9" s="392"/>
      <c r="N9" s="931"/>
      <c r="O9" s="392"/>
      <c r="P9" s="392"/>
      <c r="Q9" s="392"/>
      <c r="R9" s="393"/>
      <c r="S9" s="394"/>
      <c r="T9" s="931"/>
      <c r="U9" s="931"/>
      <c r="V9" s="931"/>
      <c r="W9" s="394"/>
      <c r="X9" s="392"/>
      <c r="Y9" s="396"/>
      <c r="Z9" s="392"/>
      <c r="AA9" s="392"/>
      <c r="AB9" s="392"/>
      <c r="AC9" s="392"/>
      <c r="AD9" s="392"/>
      <c r="AE9" s="392"/>
      <c r="AF9" s="392"/>
      <c r="AG9" s="392"/>
      <c r="AH9" s="392"/>
      <c r="AI9" s="392"/>
      <c r="AJ9" s="392"/>
      <c r="AK9" s="392"/>
      <c r="AL9" s="392"/>
      <c r="AM9" s="392"/>
      <c r="AN9" s="392"/>
      <c r="AO9" s="392"/>
      <c r="AP9" s="392"/>
      <c r="AQ9" s="934"/>
      <c r="AR9" s="934"/>
      <c r="AS9" s="935"/>
      <c r="AT9" s="3"/>
      <c r="AU9" s="3"/>
      <c r="AV9" s="3"/>
      <c r="AW9" s="3"/>
      <c r="AX9" s="3"/>
      <c r="AY9" s="3"/>
      <c r="AZ9" s="3"/>
      <c r="BA9" s="3"/>
      <c r="BB9" s="3"/>
      <c r="BC9" s="3"/>
      <c r="BD9" s="3"/>
      <c r="BE9" s="3"/>
      <c r="BF9" s="3"/>
      <c r="BG9" s="3"/>
      <c r="BH9" s="3"/>
      <c r="BI9" s="3"/>
      <c r="BJ9" s="3"/>
      <c r="BK9" s="3"/>
      <c r="BL9" s="3"/>
      <c r="BM9" s="3"/>
    </row>
    <row r="10" spans="1:65" ht="27" customHeight="1" x14ac:dyDescent="0.25">
      <c r="A10" s="823"/>
      <c r="B10" s="890"/>
      <c r="C10" s="36">
        <v>35</v>
      </c>
      <c r="D10" s="2210" t="s">
        <v>1306</v>
      </c>
      <c r="E10" s="2682"/>
      <c r="F10" s="2682"/>
      <c r="G10" s="2682"/>
      <c r="H10" s="2682"/>
      <c r="I10" s="38"/>
      <c r="J10" s="995"/>
      <c r="K10" s="38"/>
      <c r="L10" s="995"/>
      <c r="M10" s="38"/>
      <c r="N10" s="995"/>
      <c r="O10" s="38"/>
      <c r="P10" s="38"/>
      <c r="Q10" s="38"/>
      <c r="R10" s="40"/>
      <c r="S10" s="42"/>
      <c r="T10" s="995"/>
      <c r="U10" s="995"/>
      <c r="V10" s="995"/>
      <c r="W10" s="42"/>
      <c r="X10" s="38"/>
      <c r="Y10" s="43"/>
      <c r="Z10" s="38"/>
      <c r="AA10" s="38"/>
      <c r="AB10" s="38"/>
      <c r="AC10" s="38"/>
      <c r="AD10" s="38"/>
      <c r="AE10" s="38"/>
      <c r="AF10" s="38"/>
      <c r="AG10" s="38"/>
      <c r="AH10" s="38"/>
      <c r="AI10" s="38"/>
      <c r="AJ10" s="38"/>
      <c r="AK10" s="38"/>
      <c r="AL10" s="38"/>
      <c r="AM10" s="38"/>
      <c r="AN10" s="38"/>
      <c r="AO10" s="38"/>
      <c r="AP10" s="38"/>
      <c r="AQ10" s="44"/>
      <c r="AR10" s="44"/>
      <c r="AS10" s="401"/>
    </row>
    <row r="11" spans="1:65" s="3" customFormat="1" ht="27" customHeight="1" x14ac:dyDescent="0.25">
      <c r="A11" s="903"/>
      <c r="B11" s="904"/>
      <c r="C11" s="901"/>
      <c r="D11" s="902"/>
      <c r="E11" s="714">
        <v>3502</v>
      </c>
      <c r="F11" s="2969" t="s">
        <v>1307</v>
      </c>
      <c r="G11" s="2970"/>
      <c r="H11" s="2970"/>
      <c r="I11" s="2970"/>
      <c r="J11" s="2970"/>
      <c r="K11" s="2970"/>
      <c r="L11" s="2970"/>
      <c r="M11" s="2970"/>
      <c r="N11" s="2970"/>
      <c r="O11" s="2970"/>
      <c r="P11" s="2970"/>
      <c r="Q11" s="62"/>
      <c r="R11" s="710"/>
      <c r="S11" s="1133"/>
      <c r="T11" s="59"/>
      <c r="U11" s="59"/>
      <c r="V11" s="59"/>
      <c r="W11" s="1133"/>
      <c r="X11" s="62"/>
      <c r="Y11" s="712"/>
      <c r="Z11" s="709"/>
      <c r="AA11" s="709"/>
      <c r="AB11" s="709"/>
      <c r="AC11" s="709"/>
      <c r="AD11" s="709"/>
      <c r="AE11" s="709"/>
      <c r="AF11" s="709"/>
      <c r="AG11" s="709"/>
      <c r="AH11" s="709"/>
      <c r="AI11" s="709"/>
      <c r="AJ11" s="709"/>
      <c r="AK11" s="709"/>
      <c r="AL11" s="709"/>
      <c r="AM11" s="709"/>
      <c r="AN11" s="709"/>
      <c r="AO11" s="709"/>
      <c r="AP11" s="709"/>
      <c r="AQ11" s="713"/>
      <c r="AR11" s="713"/>
      <c r="AS11" s="714"/>
    </row>
    <row r="12" spans="1:65" s="3" customFormat="1" ht="180" customHeight="1" x14ac:dyDescent="0.25">
      <c r="A12" s="903"/>
      <c r="B12" s="904"/>
      <c r="C12" s="903"/>
      <c r="D12" s="904"/>
      <c r="E12" s="946"/>
      <c r="F12" s="946"/>
      <c r="G12" s="1134">
        <v>3502006</v>
      </c>
      <c r="H12" s="1135" t="s">
        <v>1308</v>
      </c>
      <c r="I12" s="1134">
        <v>3502006</v>
      </c>
      <c r="J12" s="1135" t="s">
        <v>1308</v>
      </c>
      <c r="K12" s="899" t="s">
        <v>1309</v>
      </c>
      <c r="L12" s="1136" t="s">
        <v>1310</v>
      </c>
      <c r="M12" s="899" t="s">
        <v>1309</v>
      </c>
      <c r="N12" s="1136" t="s">
        <v>1310</v>
      </c>
      <c r="O12" s="1137">
        <v>1</v>
      </c>
      <c r="P12" s="2164" t="s">
        <v>1311</v>
      </c>
      <c r="Q12" s="3131" t="s">
        <v>1312</v>
      </c>
      <c r="R12" s="1138">
        <f>W12/S12</f>
        <v>0.35064935064935066</v>
      </c>
      <c r="S12" s="3132">
        <f>SUM(W12:W15)</f>
        <v>77000000</v>
      </c>
      <c r="T12" s="3134" t="s">
        <v>1313</v>
      </c>
      <c r="U12" s="911" t="s">
        <v>1314</v>
      </c>
      <c r="V12" s="895" t="s">
        <v>1315</v>
      </c>
      <c r="W12" s="1139">
        <v>27000000</v>
      </c>
      <c r="X12" s="78" t="s">
        <v>1316</v>
      </c>
      <c r="Y12" s="915">
        <v>20</v>
      </c>
      <c r="Z12" s="897" t="s">
        <v>403</v>
      </c>
      <c r="AA12" s="2503">
        <v>765</v>
      </c>
      <c r="AB12" s="2503">
        <v>735</v>
      </c>
      <c r="AC12" s="2503"/>
      <c r="AD12" s="2503"/>
      <c r="AE12" s="2503">
        <f>+AA12+AB12</f>
        <v>1500</v>
      </c>
      <c r="AF12" s="2503"/>
      <c r="AG12" s="2503"/>
      <c r="AH12" s="2503"/>
      <c r="AI12" s="2503"/>
      <c r="AJ12" s="2503"/>
      <c r="AK12" s="2503"/>
      <c r="AL12" s="2503"/>
      <c r="AM12" s="2503"/>
      <c r="AN12" s="2503"/>
      <c r="AO12" s="2503"/>
      <c r="AP12" s="2503">
        <f>SUM(AC12:AO15)</f>
        <v>1500</v>
      </c>
      <c r="AQ12" s="3086"/>
      <c r="AR12" s="3086"/>
      <c r="AS12" s="3087" t="s">
        <v>1317</v>
      </c>
    </row>
    <row r="13" spans="1:65" s="3" customFormat="1" ht="83.25" customHeight="1" x14ac:dyDescent="0.25">
      <c r="A13" s="903"/>
      <c r="B13" s="904"/>
      <c r="C13" s="903"/>
      <c r="D13" s="904"/>
      <c r="E13" s="2971"/>
      <c r="F13" s="2971"/>
      <c r="G13" s="2675">
        <v>3502007</v>
      </c>
      <c r="H13" s="2660" t="s">
        <v>1318</v>
      </c>
      <c r="I13" s="2675">
        <v>3502007</v>
      </c>
      <c r="J13" s="2660" t="s">
        <v>1318</v>
      </c>
      <c r="K13" s="2287" t="s">
        <v>1319</v>
      </c>
      <c r="L13" s="2810" t="s">
        <v>1320</v>
      </c>
      <c r="M13" s="2287" t="s">
        <v>1319</v>
      </c>
      <c r="N13" s="2810" t="s">
        <v>1320</v>
      </c>
      <c r="O13" s="2717">
        <v>7</v>
      </c>
      <c r="P13" s="2165"/>
      <c r="Q13" s="3131"/>
      <c r="R13" s="3135">
        <f>SUM(W13:W15)/S12</f>
        <v>0.64935064935064934</v>
      </c>
      <c r="S13" s="3132"/>
      <c r="T13" s="3131"/>
      <c r="U13" s="3122" t="s">
        <v>1321</v>
      </c>
      <c r="V13" s="3116" t="s">
        <v>1322</v>
      </c>
      <c r="W13" s="1140">
        <v>25949953</v>
      </c>
      <c r="X13" s="78" t="s">
        <v>1323</v>
      </c>
      <c r="Y13" s="952">
        <v>20</v>
      </c>
      <c r="Z13" s="2287" t="s">
        <v>403</v>
      </c>
      <c r="AA13" s="2503"/>
      <c r="AB13" s="2503"/>
      <c r="AC13" s="2503"/>
      <c r="AD13" s="2503"/>
      <c r="AE13" s="2503"/>
      <c r="AF13" s="2503"/>
      <c r="AG13" s="2503"/>
      <c r="AH13" s="2503"/>
      <c r="AI13" s="2503"/>
      <c r="AJ13" s="2503"/>
      <c r="AK13" s="2503"/>
      <c r="AL13" s="2503"/>
      <c r="AM13" s="2503"/>
      <c r="AN13" s="2503"/>
      <c r="AO13" s="2503"/>
      <c r="AP13" s="2503"/>
      <c r="AQ13" s="3018"/>
      <c r="AR13" s="3018"/>
      <c r="AS13" s="3020"/>
    </row>
    <row r="14" spans="1:65" s="3" customFormat="1" ht="51.75" customHeight="1" x14ac:dyDescent="0.25">
      <c r="A14" s="903"/>
      <c r="B14" s="904"/>
      <c r="C14" s="903"/>
      <c r="D14" s="904"/>
      <c r="E14" s="2971"/>
      <c r="F14" s="2971"/>
      <c r="G14" s="2675"/>
      <c r="H14" s="2661"/>
      <c r="I14" s="2675"/>
      <c r="J14" s="2661"/>
      <c r="K14" s="2157"/>
      <c r="L14" s="2366"/>
      <c r="M14" s="2157"/>
      <c r="N14" s="2366"/>
      <c r="O14" s="2717"/>
      <c r="P14" s="2165"/>
      <c r="Q14" s="3131"/>
      <c r="R14" s="3136"/>
      <c r="S14" s="3132"/>
      <c r="T14" s="3131"/>
      <c r="U14" s="3123"/>
      <c r="V14" s="3072"/>
      <c r="W14" s="1140">
        <v>9619447</v>
      </c>
      <c r="X14" s="78" t="s">
        <v>1324</v>
      </c>
      <c r="Y14" s="952">
        <v>20</v>
      </c>
      <c r="Z14" s="2304"/>
      <c r="AA14" s="2503"/>
      <c r="AB14" s="2503"/>
      <c r="AC14" s="2503"/>
      <c r="AD14" s="2503"/>
      <c r="AE14" s="2503"/>
      <c r="AF14" s="2503"/>
      <c r="AG14" s="2503"/>
      <c r="AH14" s="2503"/>
      <c r="AI14" s="2503"/>
      <c r="AJ14" s="2503"/>
      <c r="AK14" s="2503"/>
      <c r="AL14" s="2503"/>
      <c r="AM14" s="2503"/>
      <c r="AN14" s="2503"/>
      <c r="AO14" s="2503"/>
      <c r="AP14" s="2503"/>
      <c r="AQ14" s="3018"/>
      <c r="AR14" s="3018"/>
      <c r="AS14" s="3020"/>
    </row>
    <row r="15" spans="1:65" s="3" customFormat="1" ht="55.5" customHeight="1" x14ac:dyDescent="0.25">
      <c r="A15" s="903"/>
      <c r="B15" s="904"/>
      <c r="C15" s="903"/>
      <c r="D15" s="904"/>
      <c r="E15" s="2971"/>
      <c r="F15" s="2971"/>
      <c r="G15" s="2675"/>
      <c r="H15" s="2676"/>
      <c r="I15" s="2675"/>
      <c r="J15" s="2676"/>
      <c r="K15" s="2304"/>
      <c r="L15" s="3130"/>
      <c r="M15" s="2304"/>
      <c r="N15" s="3130"/>
      <c r="O15" s="2717"/>
      <c r="P15" s="2165"/>
      <c r="Q15" s="3131"/>
      <c r="R15" s="3137"/>
      <c r="S15" s="3133"/>
      <c r="T15" s="3131"/>
      <c r="U15" s="3124"/>
      <c r="V15" s="909" t="s">
        <v>1325</v>
      </c>
      <c r="W15" s="1143">
        <v>14430600</v>
      </c>
      <c r="X15" s="78" t="s">
        <v>1324</v>
      </c>
      <c r="Y15" s="948">
        <v>20</v>
      </c>
      <c r="Z15" s="885" t="s">
        <v>403</v>
      </c>
      <c r="AA15" s="2504"/>
      <c r="AB15" s="2504"/>
      <c r="AC15" s="2504"/>
      <c r="AD15" s="2504"/>
      <c r="AE15" s="2504"/>
      <c r="AF15" s="2504"/>
      <c r="AG15" s="2504"/>
      <c r="AH15" s="2504"/>
      <c r="AI15" s="2504"/>
      <c r="AJ15" s="2504"/>
      <c r="AK15" s="2504"/>
      <c r="AL15" s="2504"/>
      <c r="AM15" s="2504"/>
      <c r="AN15" s="2504"/>
      <c r="AO15" s="2504"/>
      <c r="AP15" s="2504"/>
      <c r="AQ15" s="3057"/>
      <c r="AR15" s="3057"/>
      <c r="AS15" s="3058"/>
    </row>
    <row r="16" spans="1:65" s="3" customFormat="1" ht="85.5" customHeight="1" x14ac:dyDescent="0.25">
      <c r="A16" s="903"/>
      <c r="B16" s="904"/>
      <c r="C16" s="903"/>
      <c r="D16" s="904"/>
      <c r="E16" s="946"/>
      <c r="F16" s="946"/>
      <c r="G16" s="2882">
        <v>3502022</v>
      </c>
      <c r="H16" s="2660" t="s">
        <v>1326</v>
      </c>
      <c r="I16" s="2882">
        <v>3502022</v>
      </c>
      <c r="J16" s="2660" t="s">
        <v>1326</v>
      </c>
      <c r="K16" s="2755" t="s">
        <v>1327</v>
      </c>
      <c r="L16" s="3125" t="s">
        <v>1328</v>
      </c>
      <c r="M16" s="2755" t="s">
        <v>1327</v>
      </c>
      <c r="N16" s="3125" t="s">
        <v>1328</v>
      </c>
      <c r="O16" s="2716">
        <v>14</v>
      </c>
      <c r="P16" s="2165" t="s">
        <v>1329</v>
      </c>
      <c r="Q16" s="2793" t="s">
        <v>1330</v>
      </c>
      <c r="R16" s="3127">
        <f>SUM(W16:W18)/S16</f>
        <v>0.36</v>
      </c>
      <c r="S16" s="3120">
        <f>SUM(W16:W19)</f>
        <v>250000000</v>
      </c>
      <c r="T16" s="2793" t="s">
        <v>1331</v>
      </c>
      <c r="U16" s="3122" t="s">
        <v>1332</v>
      </c>
      <c r="V16" s="909" t="s">
        <v>1333</v>
      </c>
      <c r="W16" s="1140">
        <v>30000000</v>
      </c>
      <c r="X16" s="78" t="s">
        <v>1334</v>
      </c>
      <c r="Y16" s="948">
        <v>20</v>
      </c>
      <c r="Z16" s="885" t="s">
        <v>403</v>
      </c>
      <c r="AA16" s="2502">
        <v>918</v>
      </c>
      <c r="AB16" s="2502">
        <v>882</v>
      </c>
      <c r="AC16" s="2997"/>
      <c r="AD16" s="2997"/>
      <c r="AE16" s="2502">
        <f>+AA16+AB16</f>
        <v>1800</v>
      </c>
      <c r="AF16" s="2997"/>
      <c r="AG16" s="2997"/>
      <c r="AH16" s="2997"/>
      <c r="AI16" s="2997"/>
      <c r="AJ16" s="2997"/>
      <c r="AK16" s="2997"/>
      <c r="AL16" s="2997"/>
      <c r="AM16" s="2997"/>
      <c r="AN16" s="2997"/>
      <c r="AO16" s="2997"/>
      <c r="AP16" s="2502">
        <f>SUM(AC16:AO19)</f>
        <v>1800</v>
      </c>
      <c r="AQ16" s="2502"/>
      <c r="AR16" s="2502"/>
      <c r="AS16" s="3019" t="s">
        <v>1317</v>
      </c>
    </row>
    <row r="17" spans="1:45" s="3" customFormat="1" ht="59.25" customHeight="1" x14ac:dyDescent="0.25">
      <c r="A17" s="903"/>
      <c r="B17" s="904"/>
      <c r="C17" s="903"/>
      <c r="D17" s="904"/>
      <c r="E17" s="946"/>
      <c r="F17" s="946"/>
      <c r="G17" s="2882"/>
      <c r="H17" s="2661"/>
      <c r="I17" s="2882"/>
      <c r="J17" s="2661"/>
      <c r="K17" s="2754"/>
      <c r="L17" s="3083"/>
      <c r="M17" s="2754"/>
      <c r="N17" s="3083"/>
      <c r="O17" s="2716"/>
      <c r="P17" s="2165"/>
      <c r="Q17" s="2793"/>
      <c r="R17" s="3128"/>
      <c r="S17" s="3121"/>
      <c r="T17" s="2793"/>
      <c r="U17" s="3123"/>
      <c r="V17" s="3116" t="s">
        <v>1335</v>
      </c>
      <c r="W17" s="1140">
        <v>5000000</v>
      </c>
      <c r="X17" s="78" t="s">
        <v>1334</v>
      </c>
      <c r="Y17" s="948">
        <v>20</v>
      </c>
      <c r="Z17" s="885" t="s">
        <v>403</v>
      </c>
      <c r="AA17" s="2503"/>
      <c r="AB17" s="2503"/>
      <c r="AC17" s="2998"/>
      <c r="AD17" s="2998"/>
      <c r="AE17" s="2503"/>
      <c r="AF17" s="2998"/>
      <c r="AG17" s="2998"/>
      <c r="AH17" s="2998"/>
      <c r="AI17" s="2998"/>
      <c r="AJ17" s="2998"/>
      <c r="AK17" s="2998"/>
      <c r="AL17" s="2998"/>
      <c r="AM17" s="2998"/>
      <c r="AN17" s="2998"/>
      <c r="AO17" s="2998"/>
      <c r="AP17" s="2503"/>
      <c r="AQ17" s="2503"/>
      <c r="AR17" s="2503"/>
      <c r="AS17" s="3020"/>
    </row>
    <row r="18" spans="1:45" s="3" customFormat="1" ht="54.75" customHeight="1" x14ac:dyDescent="0.25">
      <c r="A18" s="903"/>
      <c r="B18" s="904"/>
      <c r="C18" s="903"/>
      <c r="D18" s="904"/>
      <c r="E18" s="946"/>
      <c r="F18" s="946"/>
      <c r="G18" s="2882"/>
      <c r="H18" s="2676"/>
      <c r="I18" s="2882"/>
      <c r="J18" s="2676"/>
      <c r="K18" s="2753"/>
      <c r="L18" s="3126"/>
      <c r="M18" s="2753"/>
      <c r="N18" s="3126"/>
      <c r="O18" s="2716"/>
      <c r="P18" s="2165"/>
      <c r="Q18" s="2793"/>
      <c r="R18" s="3129"/>
      <c r="S18" s="3121"/>
      <c r="T18" s="2793"/>
      <c r="U18" s="3124"/>
      <c r="V18" s="3072"/>
      <c r="W18" s="1140">
        <v>55000000</v>
      </c>
      <c r="X18" s="78" t="s">
        <v>1336</v>
      </c>
      <c r="Y18" s="948">
        <v>20</v>
      </c>
      <c r="Z18" s="885" t="s">
        <v>403</v>
      </c>
      <c r="AA18" s="2503"/>
      <c r="AB18" s="2503"/>
      <c r="AC18" s="2998"/>
      <c r="AD18" s="2998"/>
      <c r="AE18" s="2503"/>
      <c r="AF18" s="2998"/>
      <c r="AG18" s="2998"/>
      <c r="AH18" s="2998"/>
      <c r="AI18" s="2998"/>
      <c r="AJ18" s="2998"/>
      <c r="AK18" s="2998"/>
      <c r="AL18" s="2998"/>
      <c r="AM18" s="2998"/>
      <c r="AN18" s="2998"/>
      <c r="AO18" s="2998"/>
      <c r="AP18" s="2503"/>
      <c r="AQ18" s="2503"/>
      <c r="AR18" s="2503"/>
      <c r="AS18" s="3020"/>
    </row>
    <row r="19" spans="1:45" s="3" customFormat="1" ht="195" x14ac:dyDescent="0.25">
      <c r="A19" s="903"/>
      <c r="B19" s="904"/>
      <c r="C19" s="903"/>
      <c r="D19" s="904"/>
      <c r="E19" s="946"/>
      <c r="F19" s="946"/>
      <c r="G19" s="1144">
        <v>3502047</v>
      </c>
      <c r="H19" s="1145" t="s">
        <v>1337</v>
      </c>
      <c r="I19" s="1144">
        <v>3502047</v>
      </c>
      <c r="J19" s="1145" t="s">
        <v>1337</v>
      </c>
      <c r="K19" s="1146" t="s">
        <v>1338</v>
      </c>
      <c r="L19" s="1147" t="s">
        <v>1203</v>
      </c>
      <c r="M19" s="1146" t="s">
        <v>1338</v>
      </c>
      <c r="N19" s="1147" t="s">
        <v>1203</v>
      </c>
      <c r="O19" s="973" t="s">
        <v>1339</v>
      </c>
      <c r="P19" s="2165"/>
      <c r="Q19" s="2793"/>
      <c r="R19" s="1148">
        <f>W19/S16</f>
        <v>0.64</v>
      </c>
      <c r="S19" s="3121"/>
      <c r="T19" s="2793"/>
      <c r="U19" s="910" t="s">
        <v>1340</v>
      </c>
      <c r="V19" s="898" t="s">
        <v>1341</v>
      </c>
      <c r="W19" s="1143">
        <f>130000000+30000000</f>
        <v>160000000</v>
      </c>
      <c r="X19" s="913" t="s">
        <v>1342</v>
      </c>
      <c r="Y19" s="1149">
        <v>20</v>
      </c>
      <c r="Z19" s="907" t="s">
        <v>403</v>
      </c>
      <c r="AA19" s="2503"/>
      <c r="AB19" s="2503"/>
      <c r="AC19" s="2998"/>
      <c r="AD19" s="2998"/>
      <c r="AE19" s="2503"/>
      <c r="AF19" s="2998"/>
      <c r="AG19" s="2998"/>
      <c r="AH19" s="2998"/>
      <c r="AI19" s="2998"/>
      <c r="AJ19" s="2998"/>
      <c r="AK19" s="2998"/>
      <c r="AL19" s="2998"/>
      <c r="AM19" s="2998"/>
      <c r="AN19" s="2998"/>
      <c r="AO19" s="2998"/>
      <c r="AP19" s="2503"/>
      <c r="AQ19" s="2503"/>
      <c r="AR19" s="2503"/>
      <c r="AS19" s="3058"/>
    </row>
    <row r="20" spans="1:45" s="3" customFormat="1" ht="74.25" customHeight="1" x14ac:dyDescent="0.25">
      <c r="A20" s="903"/>
      <c r="B20" s="904"/>
      <c r="C20" s="903"/>
      <c r="D20" s="904"/>
      <c r="E20" s="946"/>
      <c r="F20" s="946"/>
      <c r="G20" s="3117">
        <v>3502039</v>
      </c>
      <c r="H20" s="2836" t="s">
        <v>1343</v>
      </c>
      <c r="I20" s="3118">
        <v>3502039</v>
      </c>
      <c r="J20" s="2836" t="s">
        <v>1343</v>
      </c>
      <c r="K20" s="2287" t="s">
        <v>1344</v>
      </c>
      <c r="L20" s="2280" t="s">
        <v>289</v>
      </c>
      <c r="M20" s="2287" t="s">
        <v>1344</v>
      </c>
      <c r="N20" s="2280" t="s">
        <v>289</v>
      </c>
      <c r="O20" s="3111">
        <v>12</v>
      </c>
      <c r="P20" s="3113" t="s">
        <v>1345</v>
      </c>
      <c r="Q20" s="2825" t="s">
        <v>1346</v>
      </c>
      <c r="R20" s="3103">
        <f>SUM(W20:W21)/S20</f>
        <v>7.7061126728338078E-2</v>
      </c>
      <c r="S20" s="3105">
        <f>SUM(W20:W25)</f>
        <v>1751856036</v>
      </c>
      <c r="T20" s="2822" t="s">
        <v>1331</v>
      </c>
      <c r="U20" s="3107" t="s">
        <v>1347</v>
      </c>
      <c r="V20" s="3108" t="s">
        <v>289</v>
      </c>
      <c r="W20" s="1143">
        <v>80000000</v>
      </c>
      <c r="X20" s="913" t="s">
        <v>1348</v>
      </c>
      <c r="Y20" s="1149">
        <v>20</v>
      </c>
      <c r="Z20" s="1151" t="s">
        <v>403</v>
      </c>
      <c r="AA20" s="3102">
        <v>765</v>
      </c>
      <c r="AB20" s="3102">
        <v>735</v>
      </c>
      <c r="AC20" s="3102"/>
      <c r="AD20" s="3102"/>
      <c r="AE20" s="3102">
        <f>+AA20+AB20</f>
        <v>1500</v>
      </c>
      <c r="AF20" s="3102"/>
      <c r="AG20" s="3102"/>
      <c r="AH20" s="3102"/>
      <c r="AI20" s="3102"/>
      <c r="AJ20" s="3102"/>
      <c r="AK20" s="3102"/>
      <c r="AL20" s="3102"/>
      <c r="AM20" s="3102"/>
      <c r="AN20" s="3102"/>
      <c r="AO20" s="3102"/>
      <c r="AP20" s="3102">
        <f>SUM(AC20:AO23)</f>
        <v>1500</v>
      </c>
      <c r="AQ20" s="3102"/>
      <c r="AR20" s="3102"/>
      <c r="AS20" s="3019" t="s">
        <v>1317</v>
      </c>
    </row>
    <row r="21" spans="1:45" s="3" customFormat="1" ht="74.25" customHeight="1" x14ac:dyDescent="0.25">
      <c r="A21" s="903"/>
      <c r="B21" s="904"/>
      <c r="C21" s="903"/>
      <c r="D21" s="904"/>
      <c r="E21" s="946"/>
      <c r="F21" s="946"/>
      <c r="G21" s="2881"/>
      <c r="H21" s="2838"/>
      <c r="I21" s="3119"/>
      <c r="J21" s="2838"/>
      <c r="K21" s="2304"/>
      <c r="L21" s="2282"/>
      <c r="M21" s="2304"/>
      <c r="N21" s="2282"/>
      <c r="O21" s="3112"/>
      <c r="P21" s="3113"/>
      <c r="Q21" s="2825"/>
      <c r="R21" s="3104"/>
      <c r="S21" s="3105"/>
      <c r="T21" s="2823"/>
      <c r="U21" s="3107"/>
      <c r="V21" s="3109"/>
      <c r="W21" s="1143">
        <v>55000000</v>
      </c>
      <c r="X21" s="913" t="s">
        <v>1349</v>
      </c>
      <c r="Y21" s="1149">
        <v>88</v>
      </c>
      <c r="Z21" s="1151" t="s">
        <v>1350</v>
      </c>
      <c r="AA21" s="3102"/>
      <c r="AB21" s="3102"/>
      <c r="AC21" s="3102"/>
      <c r="AD21" s="3102"/>
      <c r="AE21" s="3102"/>
      <c r="AF21" s="3102"/>
      <c r="AG21" s="3102"/>
      <c r="AH21" s="3102"/>
      <c r="AI21" s="3102"/>
      <c r="AJ21" s="3102"/>
      <c r="AK21" s="3102"/>
      <c r="AL21" s="3102"/>
      <c r="AM21" s="3102"/>
      <c r="AN21" s="3102"/>
      <c r="AO21" s="3102"/>
      <c r="AP21" s="3102"/>
      <c r="AQ21" s="3102"/>
      <c r="AR21" s="3102"/>
      <c r="AS21" s="3020"/>
    </row>
    <row r="22" spans="1:45" s="3" customFormat="1" ht="56.25" customHeight="1" x14ac:dyDescent="0.25">
      <c r="A22" s="903"/>
      <c r="B22" s="904"/>
      <c r="C22" s="903"/>
      <c r="D22" s="904"/>
      <c r="E22" s="946"/>
      <c r="F22" s="946"/>
      <c r="G22" s="1144">
        <v>3502047</v>
      </c>
      <c r="H22" s="1153" t="s">
        <v>1337</v>
      </c>
      <c r="I22" s="1144">
        <v>3502047</v>
      </c>
      <c r="J22" s="1153" t="s">
        <v>1337</v>
      </c>
      <c r="K22" s="896" t="s">
        <v>1338</v>
      </c>
      <c r="L22" s="893" t="s">
        <v>1203</v>
      </c>
      <c r="M22" s="896" t="s">
        <v>1338</v>
      </c>
      <c r="N22" s="893" t="s">
        <v>1203</v>
      </c>
      <c r="O22" s="1154" t="s">
        <v>1339</v>
      </c>
      <c r="P22" s="3113"/>
      <c r="Q22" s="2793"/>
      <c r="R22" s="1155">
        <f>W22/S20</f>
        <v>1.0274816897111743E-2</v>
      </c>
      <c r="S22" s="3105"/>
      <c r="T22" s="2823"/>
      <c r="U22" s="3107"/>
      <c r="V22" s="1156" t="s">
        <v>1351</v>
      </c>
      <c r="W22" s="1143">
        <v>18000000</v>
      </c>
      <c r="X22" s="913" t="s">
        <v>1352</v>
      </c>
      <c r="Y22" s="1149">
        <v>20</v>
      </c>
      <c r="Z22" s="1151" t="s">
        <v>403</v>
      </c>
      <c r="AA22" s="3102"/>
      <c r="AB22" s="3102"/>
      <c r="AC22" s="3102"/>
      <c r="AD22" s="3102"/>
      <c r="AE22" s="3102"/>
      <c r="AF22" s="3102"/>
      <c r="AG22" s="3102"/>
      <c r="AH22" s="3102"/>
      <c r="AI22" s="3102"/>
      <c r="AJ22" s="3102"/>
      <c r="AK22" s="3102"/>
      <c r="AL22" s="3102"/>
      <c r="AM22" s="3102"/>
      <c r="AN22" s="3102"/>
      <c r="AO22" s="3102"/>
      <c r="AP22" s="3102"/>
      <c r="AQ22" s="3102"/>
      <c r="AR22" s="3102"/>
      <c r="AS22" s="3020"/>
    </row>
    <row r="23" spans="1:45" s="3" customFormat="1" ht="91.5" customHeight="1" x14ac:dyDescent="0.25">
      <c r="A23" s="903"/>
      <c r="B23" s="904"/>
      <c r="C23" s="903"/>
      <c r="D23" s="904"/>
      <c r="E23" s="946"/>
      <c r="F23" s="946"/>
      <c r="G23" s="2904">
        <v>3502039</v>
      </c>
      <c r="H23" s="3099" t="s">
        <v>1343</v>
      </c>
      <c r="I23" s="2904">
        <v>3502039</v>
      </c>
      <c r="J23" s="3099" t="s">
        <v>1343</v>
      </c>
      <c r="K23" s="3100">
        <v>350203910</v>
      </c>
      <c r="L23" s="3101" t="s">
        <v>1353</v>
      </c>
      <c r="M23" s="3100">
        <v>350203910</v>
      </c>
      <c r="N23" s="3101" t="s">
        <v>1353</v>
      </c>
      <c r="O23" s="3115">
        <v>1</v>
      </c>
      <c r="P23" s="3113"/>
      <c r="Q23" s="3023"/>
      <c r="R23" s="3110">
        <f>(SUM(W23:W25)/S20)</f>
        <v>0.91266405637455017</v>
      </c>
      <c r="S23" s="3106"/>
      <c r="T23" s="2823"/>
      <c r="U23" s="3107"/>
      <c r="V23" s="1156" t="s">
        <v>1354</v>
      </c>
      <c r="W23" s="1143">
        <f>100000000-43121399</f>
        <v>56878601</v>
      </c>
      <c r="X23" s="913" t="s">
        <v>1348</v>
      </c>
      <c r="Y23" s="1149">
        <v>20</v>
      </c>
      <c r="Z23" s="1151" t="s">
        <v>403</v>
      </c>
      <c r="AA23" s="3102"/>
      <c r="AB23" s="3102"/>
      <c r="AC23" s="3102"/>
      <c r="AD23" s="3102"/>
      <c r="AE23" s="3102"/>
      <c r="AF23" s="3102"/>
      <c r="AG23" s="3102"/>
      <c r="AH23" s="3102"/>
      <c r="AI23" s="3102"/>
      <c r="AJ23" s="3102"/>
      <c r="AK23" s="3102"/>
      <c r="AL23" s="3102"/>
      <c r="AM23" s="3102"/>
      <c r="AN23" s="3102"/>
      <c r="AO23" s="3102"/>
      <c r="AP23" s="3102"/>
      <c r="AQ23" s="3102"/>
      <c r="AR23" s="3102"/>
      <c r="AS23" s="3020"/>
    </row>
    <row r="24" spans="1:45" s="3" customFormat="1" ht="91.5" customHeight="1" x14ac:dyDescent="0.25">
      <c r="A24" s="903"/>
      <c r="B24" s="904"/>
      <c r="C24" s="903"/>
      <c r="D24" s="904"/>
      <c r="E24" s="946"/>
      <c r="F24" s="946"/>
      <c r="G24" s="2904"/>
      <c r="H24" s="3099"/>
      <c r="I24" s="2904"/>
      <c r="J24" s="3099"/>
      <c r="K24" s="3100"/>
      <c r="L24" s="3101"/>
      <c r="M24" s="3100"/>
      <c r="N24" s="3101"/>
      <c r="O24" s="3115"/>
      <c r="P24" s="3113"/>
      <c r="Q24" s="3023"/>
      <c r="R24" s="3110"/>
      <c r="S24" s="3106"/>
      <c r="T24" s="2823"/>
      <c r="U24" s="3107"/>
      <c r="V24" s="3108" t="s">
        <v>1355</v>
      </c>
      <c r="W24" s="1143">
        <v>43121399</v>
      </c>
      <c r="X24" s="913" t="s">
        <v>1356</v>
      </c>
      <c r="Y24" s="1149">
        <v>20</v>
      </c>
      <c r="Z24" s="1151" t="s">
        <v>403</v>
      </c>
      <c r="AA24" s="3102"/>
      <c r="AB24" s="3102"/>
      <c r="AC24" s="3102"/>
      <c r="AD24" s="3102"/>
      <c r="AE24" s="3102"/>
      <c r="AF24" s="3102"/>
      <c r="AG24" s="3102"/>
      <c r="AH24" s="3102"/>
      <c r="AI24" s="3102"/>
      <c r="AJ24" s="3102"/>
      <c r="AK24" s="3102"/>
      <c r="AL24" s="3102"/>
      <c r="AM24" s="3102"/>
      <c r="AN24" s="3102"/>
      <c r="AO24" s="3102"/>
      <c r="AP24" s="3102"/>
      <c r="AQ24" s="3102"/>
      <c r="AR24" s="3102"/>
      <c r="AS24" s="3020"/>
    </row>
    <row r="25" spans="1:45" s="3" customFormat="1" ht="91.5" customHeight="1" x14ac:dyDescent="0.25">
      <c r="A25" s="903"/>
      <c r="B25" s="904"/>
      <c r="C25" s="903"/>
      <c r="D25" s="904"/>
      <c r="E25" s="946"/>
      <c r="F25" s="946"/>
      <c r="G25" s="2904"/>
      <c r="H25" s="3099"/>
      <c r="I25" s="2904"/>
      <c r="J25" s="3099"/>
      <c r="K25" s="3100"/>
      <c r="L25" s="3101"/>
      <c r="M25" s="3100"/>
      <c r="N25" s="3101"/>
      <c r="O25" s="3115"/>
      <c r="P25" s="3114"/>
      <c r="Q25" s="3023"/>
      <c r="R25" s="3110"/>
      <c r="S25" s="3106"/>
      <c r="T25" s="2390"/>
      <c r="U25" s="3107"/>
      <c r="V25" s="3109"/>
      <c r="W25" s="1143">
        <v>1498856036</v>
      </c>
      <c r="X25" s="913" t="s">
        <v>1357</v>
      </c>
      <c r="Y25" s="975">
        <v>88</v>
      </c>
      <c r="Z25" s="1158" t="s">
        <v>1350</v>
      </c>
      <c r="AA25" s="3102"/>
      <c r="AB25" s="3102"/>
      <c r="AC25" s="3102"/>
      <c r="AD25" s="3102"/>
      <c r="AE25" s="3102"/>
      <c r="AF25" s="3102"/>
      <c r="AG25" s="3102"/>
      <c r="AH25" s="3102"/>
      <c r="AI25" s="3102"/>
      <c r="AJ25" s="3102"/>
      <c r="AK25" s="3102"/>
      <c r="AL25" s="3102"/>
      <c r="AM25" s="3102"/>
      <c r="AN25" s="3102"/>
      <c r="AO25" s="3102"/>
      <c r="AP25" s="3102"/>
      <c r="AQ25" s="3102"/>
      <c r="AR25" s="3102"/>
      <c r="AS25" s="3058"/>
    </row>
    <row r="26" spans="1:45" s="3" customFormat="1" ht="60" customHeight="1" x14ac:dyDescent="0.25">
      <c r="A26" s="903"/>
      <c r="B26" s="904"/>
      <c r="C26" s="903"/>
      <c r="D26" s="904"/>
      <c r="E26" s="946"/>
      <c r="F26" s="946"/>
      <c r="G26" s="2882">
        <v>3502046</v>
      </c>
      <c r="H26" s="2661" t="s">
        <v>1358</v>
      </c>
      <c r="I26" s="2882">
        <v>3502046</v>
      </c>
      <c r="J26" s="2661" t="s">
        <v>1358</v>
      </c>
      <c r="K26" s="2157">
        <v>350204600</v>
      </c>
      <c r="L26" s="2281" t="s">
        <v>1359</v>
      </c>
      <c r="M26" s="2157">
        <v>350204600</v>
      </c>
      <c r="N26" s="2281" t="s">
        <v>1359</v>
      </c>
      <c r="O26" s="2742">
        <v>1</v>
      </c>
      <c r="P26" s="2195" t="s">
        <v>1360</v>
      </c>
      <c r="Q26" s="2831" t="s">
        <v>1361</v>
      </c>
      <c r="R26" s="3098">
        <f>SUM(W26:W33)/S26</f>
        <v>1</v>
      </c>
      <c r="S26" s="3094">
        <f>SUM(W26:W33)</f>
        <v>1105231673.6100001</v>
      </c>
      <c r="T26" s="3095" t="s">
        <v>1362</v>
      </c>
      <c r="U26" s="2528" t="s">
        <v>1363</v>
      </c>
      <c r="V26" s="3079" t="s">
        <v>1364</v>
      </c>
      <c r="W26" s="1143">
        <f>634872303.76-27000000</f>
        <v>607872303.75999999</v>
      </c>
      <c r="X26" s="739" t="s">
        <v>1365</v>
      </c>
      <c r="Y26" s="912">
        <v>52</v>
      </c>
      <c r="Z26" s="799" t="s">
        <v>1366</v>
      </c>
      <c r="AA26" s="3097">
        <v>765</v>
      </c>
      <c r="AB26" s="2503">
        <v>735</v>
      </c>
      <c r="AC26" s="2503"/>
      <c r="AD26" s="2503"/>
      <c r="AE26" s="2503">
        <f>+AA26+AB26</f>
        <v>1500</v>
      </c>
      <c r="AF26" s="2503"/>
      <c r="AG26" s="2503"/>
      <c r="AH26" s="2503"/>
      <c r="AI26" s="2503"/>
      <c r="AJ26" s="2503"/>
      <c r="AK26" s="2503"/>
      <c r="AL26" s="2503"/>
      <c r="AM26" s="2503"/>
      <c r="AN26" s="2503"/>
      <c r="AO26" s="2503"/>
      <c r="AP26" s="2503">
        <f>SUM(AC26:AO33)</f>
        <v>1500</v>
      </c>
      <c r="AQ26" s="3090"/>
      <c r="AR26" s="3086"/>
      <c r="AS26" s="3019" t="s">
        <v>1317</v>
      </c>
    </row>
    <row r="27" spans="1:45" s="3" customFormat="1" ht="60" customHeight="1" x14ac:dyDescent="0.25">
      <c r="A27" s="903"/>
      <c r="B27" s="904"/>
      <c r="C27" s="903"/>
      <c r="D27" s="904"/>
      <c r="E27" s="946"/>
      <c r="F27" s="946"/>
      <c r="G27" s="2882"/>
      <c r="H27" s="2661"/>
      <c r="I27" s="2882"/>
      <c r="J27" s="2661"/>
      <c r="K27" s="2157"/>
      <c r="L27" s="2281"/>
      <c r="M27" s="2157"/>
      <c r="N27" s="2281"/>
      <c r="O27" s="2742"/>
      <c r="P27" s="2195"/>
      <c r="Q27" s="2831"/>
      <c r="R27" s="3098"/>
      <c r="S27" s="3094"/>
      <c r="T27" s="2831"/>
      <c r="U27" s="2528"/>
      <c r="V27" s="3080"/>
      <c r="W27" s="1143">
        <v>100000000</v>
      </c>
      <c r="X27" s="739" t="s">
        <v>1367</v>
      </c>
      <c r="Y27" s="912">
        <v>88</v>
      </c>
      <c r="Z27" s="799" t="s">
        <v>1350</v>
      </c>
      <c r="AA27" s="3097"/>
      <c r="AB27" s="2503"/>
      <c r="AC27" s="2503"/>
      <c r="AD27" s="2503"/>
      <c r="AE27" s="2503"/>
      <c r="AF27" s="2503"/>
      <c r="AG27" s="2503"/>
      <c r="AH27" s="2503"/>
      <c r="AI27" s="2503"/>
      <c r="AJ27" s="2503"/>
      <c r="AK27" s="2503"/>
      <c r="AL27" s="2503"/>
      <c r="AM27" s="2503"/>
      <c r="AN27" s="2503"/>
      <c r="AO27" s="2503"/>
      <c r="AP27" s="2503"/>
      <c r="AQ27" s="2503"/>
      <c r="AR27" s="3018"/>
      <c r="AS27" s="3020"/>
    </row>
    <row r="28" spans="1:45" s="3" customFormat="1" ht="69" customHeight="1" x14ac:dyDescent="0.25">
      <c r="A28" s="903"/>
      <c r="B28" s="904"/>
      <c r="C28" s="903"/>
      <c r="D28" s="904"/>
      <c r="E28" s="946"/>
      <c r="F28" s="946"/>
      <c r="G28" s="2882"/>
      <c r="H28" s="2661"/>
      <c r="I28" s="2882"/>
      <c r="J28" s="2661"/>
      <c r="K28" s="2157"/>
      <c r="L28" s="2281"/>
      <c r="M28" s="2157"/>
      <c r="N28" s="2281"/>
      <c r="O28" s="2742"/>
      <c r="P28" s="2195"/>
      <c r="Q28" s="2831"/>
      <c r="R28" s="3098"/>
      <c r="S28" s="3094"/>
      <c r="T28" s="2831"/>
      <c r="U28" s="2528"/>
      <c r="V28" s="3082"/>
      <c r="W28" s="1143">
        <v>340359369.85000002</v>
      </c>
      <c r="X28" s="739" t="s">
        <v>1368</v>
      </c>
      <c r="Y28" s="912">
        <v>94</v>
      </c>
      <c r="Z28" s="799" t="s">
        <v>1369</v>
      </c>
      <c r="AA28" s="3097"/>
      <c r="AB28" s="2503"/>
      <c r="AC28" s="2503"/>
      <c r="AD28" s="2503"/>
      <c r="AE28" s="2503"/>
      <c r="AF28" s="2503"/>
      <c r="AG28" s="2503"/>
      <c r="AH28" s="2503"/>
      <c r="AI28" s="2503"/>
      <c r="AJ28" s="2503"/>
      <c r="AK28" s="2503"/>
      <c r="AL28" s="2503"/>
      <c r="AM28" s="2503"/>
      <c r="AN28" s="2503"/>
      <c r="AO28" s="2503"/>
      <c r="AP28" s="2503"/>
      <c r="AQ28" s="2503"/>
      <c r="AR28" s="3018"/>
      <c r="AS28" s="3020"/>
    </row>
    <row r="29" spans="1:45" s="3" customFormat="1" ht="45.75" customHeight="1" x14ac:dyDescent="0.25">
      <c r="A29" s="903"/>
      <c r="B29" s="904"/>
      <c r="C29" s="903"/>
      <c r="D29" s="904"/>
      <c r="E29" s="946"/>
      <c r="F29" s="946"/>
      <c r="G29" s="2882"/>
      <c r="H29" s="2661"/>
      <c r="I29" s="2882"/>
      <c r="J29" s="2661"/>
      <c r="K29" s="2157"/>
      <c r="L29" s="2281"/>
      <c r="M29" s="2157"/>
      <c r="N29" s="2281"/>
      <c r="O29" s="2742"/>
      <c r="P29" s="2195"/>
      <c r="Q29" s="2831"/>
      <c r="R29" s="3098"/>
      <c r="S29" s="3094"/>
      <c r="T29" s="2831"/>
      <c r="U29" s="2528"/>
      <c r="V29" s="3079" t="s">
        <v>1370</v>
      </c>
      <c r="W29" s="1143">
        <f>12000000-12000000</f>
        <v>0</v>
      </c>
      <c r="X29" s="739" t="s">
        <v>1365</v>
      </c>
      <c r="Y29" s="912">
        <v>52</v>
      </c>
      <c r="Z29" s="799" t="s">
        <v>1366</v>
      </c>
      <c r="AA29" s="3097"/>
      <c r="AB29" s="2503"/>
      <c r="AC29" s="2503"/>
      <c r="AD29" s="2503"/>
      <c r="AE29" s="2503"/>
      <c r="AF29" s="2503"/>
      <c r="AG29" s="2503"/>
      <c r="AH29" s="2503"/>
      <c r="AI29" s="2503"/>
      <c r="AJ29" s="2503"/>
      <c r="AK29" s="2503"/>
      <c r="AL29" s="2503"/>
      <c r="AM29" s="2503"/>
      <c r="AN29" s="2503"/>
      <c r="AO29" s="2503"/>
      <c r="AP29" s="2503"/>
      <c r="AQ29" s="2503"/>
      <c r="AR29" s="3018"/>
      <c r="AS29" s="3020"/>
    </row>
    <row r="30" spans="1:45" s="3" customFormat="1" ht="45.75" customHeight="1" x14ac:dyDescent="0.25">
      <c r="A30" s="903"/>
      <c r="B30" s="904"/>
      <c r="C30" s="903"/>
      <c r="D30" s="904"/>
      <c r="E30" s="946"/>
      <c r="F30" s="946"/>
      <c r="G30" s="2882"/>
      <c r="H30" s="2661"/>
      <c r="I30" s="2882"/>
      <c r="J30" s="2661"/>
      <c r="K30" s="2157"/>
      <c r="L30" s="2281"/>
      <c r="M30" s="2157"/>
      <c r="N30" s="2281"/>
      <c r="O30" s="2742"/>
      <c r="P30" s="2195"/>
      <c r="Q30" s="2831"/>
      <c r="R30" s="3098"/>
      <c r="S30" s="3094"/>
      <c r="T30" s="2831"/>
      <c r="U30" s="2528"/>
      <c r="V30" s="3080"/>
      <c r="W30" s="1143">
        <f>3000000-3000000</f>
        <v>0</v>
      </c>
      <c r="X30" s="913" t="s">
        <v>1371</v>
      </c>
      <c r="Y30" s="959">
        <v>52</v>
      </c>
      <c r="Z30" s="887" t="s">
        <v>1366</v>
      </c>
      <c r="AA30" s="2503"/>
      <c r="AB30" s="2503"/>
      <c r="AC30" s="2503"/>
      <c r="AD30" s="2503"/>
      <c r="AE30" s="2503"/>
      <c r="AF30" s="2503"/>
      <c r="AG30" s="2503"/>
      <c r="AH30" s="2503"/>
      <c r="AI30" s="2503"/>
      <c r="AJ30" s="2503"/>
      <c r="AK30" s="2503"/>
      <c r="AL30" s="2503"/>
      <c r="AM30" s="2503"/>
      <c r="AN30" s="2503"/>
      <c r="AO30" s="2503"/>
      <c r="AP30" s="2503"/>
      <c r="AQ30" s="2503"/>
      <c r="AR30" s="3018"/>
      <c r="AS30" s="3020"/>
    </row>
    <row r="31" spans="1:45" s="3" customFormat="1" ht="45" customHeight="1" x14ac:dyDescent="0.25">
      <c r="A31" s="903"/>
      <c r="B31" s="904"/>
      <c r="C31" s="903"/>
      <c r="D31" s="904"/>
      <c r="E31" s="946"/>
      <c r="F31" s="946"/>
      <c r="G31" s="2882"/>
      <c r="H31" s="2661"/>
      <c r="I31" s="2882"/>
      <c r="J31" s="2661"/>
      <c r="K31" s="2157"/>
      <c r="L31" s="2281"/>
      <c r="M31" s="2157"/>
      <c r="N31" s="2281"/>
      <c r="O31" s="2742"/>
      <c r="P31" s="2287"/>
      <c r="Q31" s="2831"/>
      <c r="R31" s="3098"/>
      <c r="S31" s="3094"/>
      <c r="T31" s="2831"/>
      <c r="U31" s="2528"/>
      <c r="V31" s="3080"/>
      <c r="W31" s="1159">
        <v>24000000</v>
      </c>
      <c r="X31" s="913" t="s">
        <v>1372</v>
      </c>
      <c r="Y31" s="1149">
        <v>52</v>
      </c>
      <c r="Z31" s="907" t="s">
        <v>1366</v>
      </c>
      <c r="AA31" s="2503"/>
      <c r="AB31" s="2503"/>
      <c r="AC31" s="2503"/>
      <c r="AD31" s="2503"/>
      <c r="AE31" s="2503"/>
      <c r="AF31" s="2503"/>
      <c r="AG31" s="2503"/>
      <c r="AH31" s="2503"/>
      <c r="AI31" s="2503"/>
      <c r="AJ31" s="2503"/>
      <c r="AK31" s="2503"/>
      <c r="AL31" s="2503"/>
      <c r="AM31" s="2503"/>
      <c r="AN31" s="2503"/>
      <c r="AO31" s="2503"/>
      <c r="AP31" s="2503"/>
      <c r="AQ31" s="2503"/>
      <c r="AR31" s="3018"/>
      <c r="AS31" s="3020"/>
    </row>
    <row r="32" spans="1:45" s="3" customFormat="1" ht="53.25" customHeight="1" x14ac:dyDescent="0.25">
      <c r="A32" s="903"/>
      <c r="B32" s="904"/>
      <c r="C32" s="903"/>
      <c r="D32" s="904"/>
      <c r="E32" s="946"/>
      <c r="F32" s="946"/>
      <c r="G32" s="2882"/>
      <c r="H32" s="2661"/>
      <c r="I32" s="2882"/>
      <c r="J32" s="2661"/>
      <c r="K32" s="2157"/>
      <c r="L32" s="2281"/>
      <c r="M32" s="2157"/>
      <c r="N32" s="2281"/>
      <c r="O32" s="2742"/>
      <c r="P32" s="2287"/>
      <c r="Q32" s="2831"/>
      <c r="R32" s="3098"/>
      <c r="S32" s="3094"/>
      <c r="T32" s="2831"/>
      <c r="U32" s="3096"/>
      <c r="V32" s="914" t="s">
        <v>1373</v>
      </c>
      <c r="W32" s="1160">
        <v>15000000</v>
      </c>
      <c r="X32" s="913" t="s">
        <v>1374</v>
      </c>
      <c r="Y32" s="1149">
        <v>52</v>
      </c>
      <c r="Z32" s="907" t="s">
        <v>1366</v>
      </c>
      <c r="AA32" s="2503"/>
      <c r="AB32" s="2503"/>
      <c r="AC32" s="2503"/>
      <c r="AD32" s="2503"/>
      <c r="AE32" s="2503"/>
      <c r="AF32" s="2503"/>
      <c r="AG32" s="2503"/>
      <c r="AH32" s="2503"/>
      <c r="AI32" s="2503"/>
      <c r="AJ32" s="2503"/>
      <c r="AK32" s="2503"/>
      <c r="AL32" s="2503"/>
      <c r="AM32" s="2503"/>
      <c r="AN32" s="2503"/>
      <c r="AO32" s="2503"/>
      <c r="AP32" s="2503"/>
      <c r="AQ32" s="2503"/>
      <c r="AR32" s="3018"/>
      <c r="AS32" s="3020"/>
    </row>
    <row r="33" spans="1:45" s="3" customFormat="1" ht="52.5" customHeight="1" x14ac:dyDescent="0.25">
      <c r="A33" s="903"/>
      <c r="B33" s="904"/>
      <c r="C33" s="905"/>
      <c r="D33" s="906"/>
      <c r="E33" s="946"/>
      <c r="F33" s="946"/>
      <c r="G33" s="2882"/>
      <c r="H33" s="2661"/>
      <c r="I33" s="2882"/>
      <c r="J33" s="2661"/>
      <c r="K33" s="2157"/>
      <c r="L33" s="2281"/>
      <c r="M33" s="2157"/>
      <c r="N33" s="2281"/>
      <c r="O33" s="2742"/>
      <c r="P33" s="2287"/>
      <c r="Q33" s="2831"/>
      <c r="R33" s="3098"/>
      <c r="S33" s="3094"/>
      <c r="T33" s="2831"/>
      <c r="U33" s="3096"/>
      <c r="V33" s="914" t="s">
        <v>1375</v>
      </c>
      <c r="W33" s="1160">
        <v>18000000</v>
      </c>
      <c r="X33" s="913" t="s">
        <v>1371</v>
      </c>
      <c r="Y33" s="975">
        <v>52</v>
      </c>
      <c r="Z33" s="886" t="s">
        <v>1366</v>
      </c>
      <c r="AA33" s="2503"/>
      <c r="AB33" s="2503"/>
      <c r="AC33" s="2503"/>
      <c r="AD33" s="2503"/>
      <c r="AE33" s="2503"/>
      <c r="AF33" s="2503"/>
      <c r="AG33" s="2503"/>
      <c r="AH33" s="2503"/>
      <c r="AI33" s="2503"/>
      <c r="AJ33" s="2503"/>
      <c r="AK33" s="2503"/>
      <c r="AL33" s="2503"/>
      <c r="AM33" s="2503"/>
      <c r="AN33" s="2503"/>
      <c r="AO33" s="2503"/>
      <c r="AP33" s="2503"/>
      <c r="AQ33" s="3091"/>
      <c r="AR33" s="3092"/>
      <c r="AS33" s="3093"/>
    </row>
    <row r="34" spans="1:45" s="3" customFormat="1" ht="15.75" x14ac:dyDescent="0.25">
      <c r="A34" s="903"/>
      <c r="B34" s="904"/>
      <c r="C34" s="155">
        <v>36</v>
      </c>
      <c r="D34" s="1161" t="s">
        <v>1024</v>
      </c>
      <c r="E34" s="548"/>
      <c r="F34" s="700"/>
      <c r="G34" s="1162"/>
      <c r="H34" s="1163"/>
      <c r="I34" s="1164"/>
      <c r="J34" s="1163"/>
      <c r="K34" s="1164"/>
      <c r="L34" s="1163"/>
      <c r="M34" s="1164"/>
      <c r="N34" s="1163"/>
      <c r="O34" s="1165"/>
      <c r="P34" s="1164"/>
      <c r="Q34" s="1163"/>
      <c r="R34" s="726"/>
      <c r="S34" s="1166"/>
      <c r="T34" s="1163"/>
      <c r="U34" s="831"/>
      <c r="V34" s="1167"/>
      <c r="W34" s="1166"/>
      <c r="X34" s="1168"/>
      <c r="Y34" s="729"/>
      <c r="Z34" s="1164"/>
      <c r="AA34" s="729"/>
      <c r="AB34" s="729"/>
      <c r="AC34" s="729"/>
      <c r="AD34" s="729"/>
      <c r="AE34" s="729"/>
      <c r="AF34" s="729"/>
      <c r="AG34" s="729"/>
      <c r="AH34" s="729"/>
      <c r="AI34" s="729"/>
      <c r="AJ34" s="729"/>
      <c r="AK34" s="729"/>
      <c r="AL34" s="729"/>
      <c r="AM34" s="729"/>
      <c r="AN34" s="729"/>
      <c r="AO34" s="729"/>
      <c r="AP34" s="729"/>
      <c r="AQ34" s="731"/>
      <c r="AR34" s="731"/>
      <c r="AS34" s="732"/>
    </row>
    <row r="35" spans="1:45" s="3" customFormat="1" ht="27" customHeight="1" x14ac:dyDescent="0.25">
      <c r="A35" s="1169"/>
      <c r="B35" s="1170"/>
      <c r="C35" s="1171"/>
      <c r="D35" s="1172"/>
      <c r="E35" s="714">
        <v>3602</v>
      </c>
      <c r="F35" s="2969" t="s">
        <v>1376</v>
      </c>
      <c r="G35" s="2970"/>
      <c r="H35" s="2970"/>
      <c r="I35" s="2970"/>
      <c r="J35" s="2970"/>
      <c r="K35" s="2970"/>
      <c r="L35" s="2970"/>
      <c r="M35" s="2970"/>
      <c r="N35" s="2970"/>
      <c r="O35" s="2970"/>
      <c r="P35" s="2970"/>
      <c r="Q35" s="59"/>
      <c r="R35" s="710"/>
      <c r="S35" s="1133"/>
      <c r="T35" s="59"/>
      <c r="U35" s="59"/>
      <c r="V35" s="59"/>
      <c r="W35" s="1133"/>
      <c r="X35" s="62"/>
      <c r="Y35" s="712"/>
      <c r="Z35" s="709"/>
      <c r="AA35" s="1173"/>
      <c r="AB35" s="1173"/>
      <c r="AC35" s="1173"/>
      <c r="AD35" s="1173"/>
      <c r="AE35" s="1173"/>
      <c r="AF35" s="1173"/>
      <c r="AG35" s="1173"/>
      <c r="AH35" s="1173"/>
      <c r="AI35" s="1173"/>
      <c r="AJ35" s="1173"/>
      <c r="AK35" s="1173"/>
      <c r="AL35" s="1173"/>
      <c r="AM35" s="1173"/>
      <c r="AN35" s="1173"/>
      <c r="AO35" s="1173"/>
      <c r="AP35" s="1173"/>
      <c r="AQ35" s="713"/>
      <c r="AR35" s="713"/>
      <c r="AS35" s="714"/>
    </row>
    <row r="36" spans="1:45" ht="131.25" customHeight="1" x14ac:dyDescent="0.25">
      <c r="A36" s="968"/>
      <c r="B36" s="884"/>
      <c r="C36" s="892"/>
      <c r="D36" s="884"/>
      <c r="F36" s="883"/>
      <c r="G36" s="897">
        <v>3602018</v>
      </c>
      <c r="H36" s="894" t="s">
        <v>1377</v>
      </c>
      <c r="I36" s="897">
        <v>3602018</v>
      </c>
      <c r="J36" s="894" t="s">
        <v>1377</v>
      </c>
      <c r="K36" s="1174" t="s">
        <v>1378</v>
      </c>
      <c r="L36" s="1175" t="s">
        <v>1379</v>
      </c>
      <c r="M36" s="1174" t="s">
        <v>1378</v>
      </c>
      <c r="N36" s="1175" t="s">
        <v>1379</v>
      </c>
      <c r="O36" s="1137">
        <v>3</v>
      </c>
      <c r="P36" s="2164" t="s">
        <v>1380</v>
      </c>
      <c r="Q36" s="2724" t="s">
        <v>1381</v>
      </c>
      <c r="R36" s="1176">
        <f>W36/S36</f>
        <v>0.40421052631578946</v>
      </c>
      <c r="S36" s="3088">
        <f>SUM(W36:W45)</f>
        <v>237500000</v>
      </c>
      <c r="T36" s="2745" t="s">
        <v>1382</v>
      </c>
      <c r="U36" s="895" t="s">
        <v>1383</v>
      </c>
      <c r="V36" s="908" t="s">
        <v>1384</v>
      </c>
      <c r="W36" s="1177">
        <f>120000000-24000000</f>
        <v>96000000</v>
      </c>
      <c r="X36" s="913" t="s">
        <v>1385</v>
      </c>
      <c r="Y36" s="959">
        <v>20</v>
      </c>
      <c r="Z36" s="887" t="s">
        <v>403</v>
      </c>
      <c r="AA36" s="2262">
        <v>2725</v>
      </c>
      <c r="AB36" s="2262">
        <v>2620</v>
      </c>
      <c r="AC36" s="2262"/>
      <c r="AD36" s="2262"/>
      <c r="AE36" s="2262">
        <f>+AA36+AB36</f>
        <v>5345</v>
      </c>
      <c r="AF36" s="2262"/>
      <c r="AG36" s="2262"/>
      <c r="AH36" s="2262"/>
      <c r="AI36" s="2262"/>
      <c r="AJ36" s="2262"/>
      <c r="AK36" s="2262"/>
      <c r="AL36" s="2262"/>
      <c r="AM36" s="2262"/>
      <c r="AN36" s="2262"/>
      <c r="AO36" s="2262"/>
      <c r="AP36" s="2262">
        <f>SUM(AC36:AN45)</f>
        <v>5345</v>
      </c>
      <c r="AQ36" s="3086"/>
      <c r="AR36" s="3086"/>
      <c r="AS36" s="3087" t="s">
        <v>1317</v>
      </c>
    </row>
    <row r="37" spans="1:45" ht="99" customHeight="1" x14ac:dyDescent="0.25">
      <c r="A37" s="968"/>
      <c r="B37" s="884"/>
      <c r="C37" s="892"/>
      <c r="D37" s="884"/>
      <c r="G37" s="3089">
        <v>3602032</v>
      </c>
      <c r="H37" s="2257" t="s">
        <v>1386</v>
      </c>
      <c r="I37" s="3089">
        <v>3602032</v>
      </c>
      <c r="J37" s="2257" t="s">
        <v>1386</v>
      </c>
      <c r="K37" s="3085" t="s">
        <v>1387</v>
      </c>
      <c r="L37" s="2313" t="s">
        <v>1388</v>
      </c>
      <c r="M37" s="3085" t="s">
        <v>1387</v>
      </c>
      <c r="N37" s="2313" t="s">
        <v>1388</v>
      </c>
      <c r="O37" s="2717">
        <v>14</v>
      </c>
      <c r="P37" s="2165"/>
      <c r="Q37" s="2724"/>
      <c r="R37" s="2288">
        <f>SUM(W37:W38)/S36</f>
        <v>0.38378947368421051</v>
      </c>
      <c r="S37" s="3088"/>
      <c r="T37" s="2745"/>
      <c r="U37" s="2462" t="s">
        <v>1389</v>
      </c>
      <c r="V37" s="898" t="s">
        <v>1390</v>
      </c>
      <c r="W37" s="1143">
        <f>30000000+31150000</f>
        <v>61150000</v>
      </c>
      <c r="X37" s="913" t="s">
        <v>1391</v>
      </c>
      <c r="Y37" s="1149">
        <v>20</v>
      </c>
      <c r="Z37" s="907" t="s">
        <v>403</v>
      </c>
      <c r="AA37" s="2262"/>
      <c r="AB37" s="2262"/>
      <c r="AC37" s="2262"/>
      <c r="AD37" s="2262"/>
      <c r="AE37" s="2262"/>
      <c r="AF37" s="2262"/>
      <c r="AG37" s="2262"/>
      <c r="AH37" s="2262"/>
      <c r="AI37" s="2262"/>
      <c r="AJ37" s="2262"/>
      <c r="AK37" s="2262"/>
      <c r="AL37" s="2262"/>
      <c r="AM37" s="2262"/>
      <c r="AN37" s="2262"/>
      <c r="AO37" s="2262"/>
      <c r="AP37" s="2262"/>
      <c r="AQ37" s="3018"/>
      <c r="AR37" s="3018"/>
      <c r="AS37" s="3020"/>
    </row>
    <row r="38" spans="1:45" ht="45" x14ac:dyDescent="0.25">
      <c r="A38" s="968"/>
      <c r="B38" s="884"/>
      <c r="C38" s="892"/>
      <c r="D38" s="884"/>
      <c r="G38" s="3089"/>
      <c r="H38" s="2257"/>
      <c r="I38" s="3089"/>
      <c r="J38" s="2257"/>
      <c r="K38" s="3085"/>
      <c r="L38" s="2313"/>
      <c r="M38" s="3085"/>
      <c r="N38" s="2313"/>
      <c r="O38" s="2717"/>
      <c r="P38" s="2165"/>
      <c r="Q38" s="2724"/>
      <c r="R38" s="3081"/>
      <c r="S38" s="3088"/>
      <c r="T38" s="2745"/>
      <c r="U38" s="2462"/>
      <c r="V38" s="898" t="s">
        <v>1392</v>
      </c>
      <c r="W38" s="1143">
        <v>30000000</v>
      </c>
      <c r="X38" s="913" t="s">
        <v>1393</v>
      </c>
      <c r="Y38" s="1149">
        <v>20</v>
      </c>
      <c r="Z38" s="907" t="s">
        <v>403</v>
      </c>
      <c r="AA38" s="2262"/>
      <c r="AB38" s="2262"/>
      <c r="AC38" s="2262"/>
      <c r="AD38" s="2262"/>
      <c r="AE38" s="2262"/>
      <c r="AF38" s="2262"/>
      <c r="AG38" s="2262"/>
      <c r="AH38" s="2262"/>
      <c r="AI38" s="2262"/>
      <c r="AJ38" s="2262"/>
      <c r="AK38" s="2262"/>
      <c r="AL38" s="2262"/>
      <c r="AM38" s="2262"/>
      <c r="AN38" s="2262"/>
      <c r="AO38" s="2262"/>
      <c r="AP38" s="2262"/>
      <c r="AQ38" s="3018"/>
      <c r="AR38" s="3018"/>
      <c r="AS38" s="3020"/>
    </row>
    <row r="39" spans="1:45" ht="75.75" customHeight="1" x14ac:dyDescent="0.25">
      <c r="A39" s="968"/>
      <c r="B39" s="884"/>
      <c r="C39" s="892"/>
      <c r="D39" s="884"/>
      <c r="G39" s="3089">
        <v>3602029</v>
      </c>
      <c r="H39" s="2257" t="s">
        <v>1394</v>
      </c>
      <c r="I39" s="3089">
        <v>3602029</v>
      </c>
      <c r="J39" s="2257" t="s">
        <v>1394</v>
      </c>
      <c r="K39" s="3085">
        <v>360202904</v>
      </c>
      <c r="L39" s="2313" t="s">
        <v>1395</v>
      </c>
      <c r="M39" s="3085">
        <v>360202904</v>
      </c>
      <c r="N39" s="2313" t="s">
        <v>1395</v>
      </c>
      <c r="O39" s="2174">
        <v>12</v>
      </c>
      <c r="P39" s="2165"/>
      <c r="Q39" s="2724"/>
      <c r="R39" s="2288">
        <f>SUM(W39:W41)/S36</f>
        <v>9.4736842105263161E-2</v>
      </c>
      <c r="S39" s="3088"/>
      <c r="T39" s="2745"/>
      <c r="U39" s="2283" t="s">
        <v>1396</v>
      </c>
      <c r="V39" s="898" t="s">
        <v>1397</v>
      </c>
      <c r="W39" s="1143">
        <v>20000000</v>
      </c>
      <c r="X39" s="913" t="s">
        <v>1398</v>
      </c>
      <c r="Y39" s="1149">
        <v>20</v>
      </c>
      <c r="Z39" s="907" t="s">
        <v>403</v>
      </c>
      <c r="AA39" s="2262"/>
      <c r="AB39" s="2262"/>
      <c r="AC39" s="2262"/>
      <c r="AD39" s="2262"/>
      <c r="AE39" s="2262"/>
      <c r="AF39" s="2262"/>
      <c r="AG39" s="2262"/>
      <c r="AH39" s="2262"/>
      <c r="AI39" s="2262"/>
      <c r="AJ39" s="2262"/>
      <c r="AK39" s="2262"/>
      <c r="AL39" s="2262"/>
      <c r="AM39" s="2262"/>
      <c r="AN39" s="2262"/>
      <c r="AO39" s="2262"/>
      <c r="AP39" s="2262"/>
      <c r="AQ39" s="3018"/>
      <c r="AR39" s="3018"/>
      <c r="AS39" s="3020"/>
    </row>
    <row r="40" spans="1:45" ht="72.75" customHeight="1" x14ac:dyDescent="0.25">
      <c r="A40" s="968"/>
      <c r="B40" s="884"/>
      <c r="C40" s="892"/>
      <c r="D40" s="884"/>
      <c r="G40" s="3089"/>
      <c r="H40" s="2257"/>
      <c r="I40" s="3089"/>
      <c r="J40" s="2257"/>
      <c r="K40" s="3085"/>
      <c r="L40" s="2313"/>
      <c r="M40" s="3085"/>
      <c r="N40" s="2313"/>
      <c r="O40" s="2175"/>
      <c r="P40" s="2165"/>
      <c r="Q40" s="2724"/>
      <c r="R40" s="2289"/>
      <c r="S40" s="3088"/>
      <c r="T40" s="2745"/>
      <c r="U40" s="2284"/>
      <c r="V40" s="3079" t="s">
        <v>1399</v>
      </c>
      <c r="W40" s="1143">
        <f>2500000-1500000</f>
        <v>1000000</v>
      </c>
      <c r="X40" s="913" t="s">
        <v>1398</v>
      </c>
      <c r="Y40" s="1149">
        <v>20</v>
      </c>
      <c r="Z40" s="907" t="s">
        <v>403</v>
      </c>
      <c r="AA40" s="2262"/>
      <c r="AB40" s="2262"/>
      <c r="AC40" s="2262"/>
      <c r="AD40" s="2262"/>
      <c r="AE40" s="2262"/>
      <c r="AF40" s="2262"/>
      <c r="AG40" s="2262"/>
      <c r="AH40" s="2262"/>
      <c r="AI40" s="2262"/>
      <c r="AJ40" s="2262"/>
      <c r="AK40" s="2262"/>
      <c r="AL40" s="2262"/>
      <c r="AM40" s="2262"/>
      <c r="AN40" s="2262"/>
      <c r="AO40" s="2262"/>
      <c r="AP40" s="2262"/>
      <c r="AQ40" s="3018"/>
      <c r="AR40" s="3018"/>
      <c r="AS40" s="3020"/>
    </row>
    <row r="41" spans="1:45" ht="72.75" customHeight="1" x14ac:dyDescent="0.25">
      <c r="A41" s="968"/>
      <c r="B41" s="884"/>
      <c r="C41" s="892"/>
      <c r="D41" s="884"/>
      <c r="G41" s="3089"/>
      <c r="H41" s="2257"/>
      <c r="I41" s="3089"/>
      <c r="J41" s="2257"/>
      <c r="K41" s="3085"/>
      <c r="L41" s="2313"/>
      <c r="M41" s="3085"/>
      <c r="N41" s="2313"/>
      <c r="O41" s="3084"/>
      <c r="P41" s="2165"/>
      <c r="Q41" s="2724"/>
      <c r="R41" s="3081"/>
      <c r="S41" s="3088"/>
      <c r="T41" s="2745"/>
      <c r="U41" s="2285"/>
      <c r="V41" s="3082"/>
      <c r="W41" s="1143">
        <v>1500000</v>
      </c>
      <c r="X41" s="913" t="s">
        <v>1400</v>
      </c>
      <c r="Y41" s="1149">
        <v>20</v>
      </c>
      <c r="Z41" s="907" t="s">
        <v>403</v>
      </c>
      <c r="AA41" s="2262"/>
      <c r="AB41" s="2262"/>
      <c r="AC41" s="2262"/>
      <c r="AD41" s="2262"/>
      <c r="AE41" s="2262"/>
      <c r="AF41" s="2262"/>
      <c r="AG41" s="2262"/>
      <c r="AH41" s="2262"/>
      <c r="AI41" s="2262"/>
      <c r="AJ41" s="2262"/>
      <c r="AK41" s="2262"/>
      <c r="AL41" s="2262"/>
      <c r="AM41" s="2262"/>
      <c r="AN41" s="2262"/>
      <c r="AO41" s="2262"/>
      <c r="AP41" s="2262"/>
      <c r="AQ41" s="3018"/>
      <c r="AR41" s="3018"/>
      <c r="AS41" s="3020"/>
    </row>
    <row r="42" spans="1:45" ht="79.5" customHeight="1" x14ac:dyDescent="0.25">
      <c r="A42" s="968"/>
      <c r="B42" s="884"/>
      <c r="C42" s="892"/>
      <c r="D42" s="884"/>
      <c r="G42" s="2674">
        <v>3602030</v>
      </c>
      <c r="H42" s="2661" t="s">
        <v>1401</v>
      </c>
      <c r="I42" s="2674">
        <v>3602030</v>
      </c>
      <c r="J42" s="2661" t="s">
        <v>1401</v>
      </c>
      <c r="K42" s="2754" t="s">
        <v>1402</v>
      </c>
      <c r="L42" s="3083" t="s">
        <v>1403</v>
      </c>
      <c r="M42" s="2754" t="s">
        <v>1402</v>
      </c>
      <c r="N42" s="3083" t="s">
        <v>1403</v>
      </c>
      <c r="O42" s="2717">
        <v>3</v>
      </c>
      <c r="P42" s="2165"/>
      <c r="Q42" s="2724"/>
      <c r="R42" s="2288">
        <f>SUM(W42:W45)/S36</f>
        <v>0.11726315789473685</v>
      </c>
      <c r="S42" s="3088"/>
      <c r="T42" s="2745"/>
      <c r="U42" s="2462" t="s">
        <v>1404</v>
      </c>
      <c r="V42" s="898" t="s">
        <v>1405</v>
      </c>
      <c r="W42" s="1143">
        <v>22500000</v>
      </c>
      <c r="X42" s="913" t="s">
        <v>1406</v>
      </c>
      <c r="Y42" s="1149">
        <v>20</v>
      </c>
      <c r="Z42" s="907" t="s">
        <v>403</v>
      </c>
      <c r="AA42" s="2262"/>
      <c r="AB42" s="2262"/>
      <c r="AC42" s="2262"/>
      <c r="AD42" s="2262"/>
      <c r="AE42" s="2262"/>
      <c r="AF42" s="2262"/>
      <c r="AG42" s="2262"/>
      <c r="AH42" s="2262"/>
      <c r="AI42" s="2262"/>
      <c r="AJ42" s="2262"/>
      <c r="AK42" s="2262"/>
      <c r="AL42" s="2262"/>
      <c r="AM42" s="2262"/>
      <c r="AN42" s="2262"/>
      <c r="AO42" s="2262"/>
      <c r="AP42" s="2262"/>
      <c r="AQ42" s="3018"/>
      <c r="AR42" s="3018"/>
      <c r="AS42" s="3020"/>
    </row>
    <row r="43" spans="1:45" ht="65.25" customHeight="1" x14ac:dyDescent="0.25">
      <c r="A43" s="968"/>
      <c r="B43" s="884"/>
      <c r="C43" s="892"/>
      <c r="D43" s="884"/>
      <c r="G43" s="2675"/>
      <c r="H43" s="2661"/>
      <c r="I43" s="2675"/>
      <c r="J43" s="2661"/>
      <c r="K43" s="2754"/>
      <c r="L43" s="3083"/>
      <c r="M43" s="2754"/>
      <c r="N43" s="3083"/>
      <c r="O43" s="2717"/>
      <c r="P43" s="2165"/>
      <c r="Q43" s="2724"/>
      <c r="R43" s="2289"/>
      <c r="S43" s="3088"/>
      <c r="T43" s="2745"/>
      <c r="U43" s="2462"/>
      <c r="V43" s="898" t="s">
        <v>1407</v>
      </c>
      <c r="W43" s="1143">
        <f>10000000-7150000</f>
        <v>2850000</v>
      </c>
      <c r="X43" s="913" t="s">
        <v>1406</v>
      </c>
      <c r="Y43" s="1149">
        <v>20</v>
      </c>
      <c r="Z43" s="907" t="s">
        <v>403</v>
      </c>
      <c r="AA43" s="2262"/>
      <c r="AB43" s="2262"/>
      <c r="AC43" s="2262"/>
      <c r="AD43" s="2262"/>
      <c r="AE43" s="2262"/>
      <c r="AF43" s="2262"/>
      <c r="AG43" s="2262"/>
      <c r="AH43" s="2262"/>
      <c r="AI43" s="2262"/>
      <c r="AJ43" s="2262"/>
      <c r="AK43" s="2262"/>
      <c r="AL43" s="2262"/>
      <c r="AM43" s="2262"/>
      <c r="AN43" s="2262"/>
      <c r="AO43" s="2262"/>
      <c r="AP43" s="2262"/>
      <c r="AQ43" s="3018"/>
      <c r="AR43" s="3018"/>
      <c r="AS43" s="3020"/>
    </row>
    <row r="44" spans="1:45" ht="45" customHeight="1" x14ac:dyDescent="0.25">
      <c r="A44" s="968"/>
      <c r="B44" s="884"/>
      <c r="C44" s="892"/>
      <c r="D44" s="884"/>
      <c r="G44" s="2832"/>
      <c r="H44" s="2661"/>
      <c r="I44" s="2832"/>
      <c r="J44" s="2661"/>
      <c r="K44" s="2754"/>
      <c r="L44" s="3083"/>
      <c r="M44" s="2754"/>
      <c r="N44" s="3083"/>
      <c r="O44" s="2174"/>
      <c r="P44" s="2166"/>
      <c r="Q44" s="2724"/>
      <c r="R44" s="2289"/>
      <c r="S44" s="3088"/>
      <c r="T44" s="2745"/>
      <c r="U44" s="2462"/>
      <c r="V44" s="3079" t="s">
        <v>1408</v>
      </c>
      <c r="W44" s="1159">
        <f>2500000-1500000</f>
        <v>1000000</v>
      </c>
      <c r="X44" s="913" t="s">
        <v>1406</v>
      </c>
      <c r="Y44" s="1149">
        <v>20</v>
      </c>
      <c r="Z44" s="907" t="s">
        <v>403</v>
      </c>
      <c r="AA44" s="2262"/>
      <c r="AB44" s="2262"/>
      <c r="AC44" s="2262"/>
      <c r="AD44" s="2262"/>
      <c r="AE44" s="2262"/>
      <c r="AF44" s="2262"/>
      <c r="AG44" s="2262"/>
      <c r="AH44" s="2262"/>
      <c r="AI44" s="2262"/>
      <c r="AJ44" s="2262"/>
      <c r="AK44" s="2262"/>
      <c r="AL44" s="2262"/>
      <c r="AM44" s="2262"/>
      <c r="AN44" s="2262"/>
      <c r="AO44" s="2262"/>
      <c r="AP44" s="2262"/>
      <c r="AQ44" s="3018"/>
      <c r="AR44" s="3018"/>
      <c r="AS44" s="3020"/>
    </row>
    <row r="45" spans="1:45" ht="45" customHeight="1" x14ac:dyDescent="0.25">
      <c r="A45" s="968"/>
      <c r="B45" s="884"/>
      <c r="C45" s="892"/>
      <c r="D45" s="884"/>
      <c r="G45" s="2832"/>
      <c r="H45" s="2661"/>
      <c r="I45" s="2832"/>
      <c r="J45" s="2661"/>
      <c r="K45" s="2754"/>
      <c r="L45" s="3083"/>
      <c r="M45" s="2754"/>
      <c r="N45" s="3083"/>
      <c r="O45" s="2174"/>
      <c r="P45" s="2166"/>
      <c r="Q45" s="2724"/>
      <c r="R45" s="2289"/>
      <c r="S45" s="3088"/>
      <c r="T45" s="2745"/>
      <c r="U45" s="2283"/>
      <c r="V45" s="3080"/>
      <c r="W45" s="1159">
        <v>1500000</v>
      </c>
      <c r="X45" s="916" t="s">
        <v>1409</v>
      </c>
      <c r="Y45" s="975">
        <v>20</v>
      </c>
      <c r="Z45" s="886" t="s">
        <v>403</v>
      </c>
      <c r="AA45" s="2262"/>
      <c r="AB45" s="2262"/>
      <c r="AC45" s="2262"/>
      <c r="AD45" s="2262"/>
      <c r="AE45" s="2262"/>
      <c r="AF45" s="2262"/>
      <c r="AG45" s="2262"/>
      <c r="AH45" s="2262"/>
      <c r="AI45" s="2262"/>
      <c r="AJ45" s="2262"/>
      <c r="AK45" s="2262"/>
      <c r="AL45" s="2262"/>
      <c r="AM45" s="2262"/>
      <c r="AN45" s="2262"/>
      <c r="AO45" s="2262"/>
      <c r="AP45" s="2262"/>
      <c r="AQ45" s="3057"/>
      <c r="AR45" s="3057"/>
      <c r="AS45" s="3020"/>
    </row>
    <row r="46" spans="1:45" ht="27" customHeight="1" x14ac:dyDescent="0.25">
      <c r="A46" s="1019"/>
      <c r="B46" s="1020"/>
      <c r="C46" s="1020"/>
      <c r="D46" s="1020"/>
      <c r="E46" s="1020"/>
      <c r="F46" s="1020"/>
      <c r="G46" s="1020"/>
      <c r="H46" s="1021"/>
      <c r="I46" s="1020"/>
      <c r="J46" s="1021"/>
      <c r="K46" s="1020"/>
      <c r="L46" s="1021"/>
      <c r="M46" s="1020"/>
      <c r="N46" s="1021"/>
      <c r="O46" s="1020"/>
      <c r="P46" s="1020"/>
      <c r="Q46" s="1020"/>
      <c r="R46" s="1178"/>
      <c r="S46" s="2138">
        <f>SUM(S9:S45)</f>
        <v>3421587709.6100001</v>
      </c>
      <c r="T46" s="1180"/>
      <c r="U46" s="1181"/>
      <c r="V46" s="1182" t="s">
        <v>1410</v>
      </c>
      <c r="W46" s="2138">
        <f>SUM(W9:W45)</f>
        <v>3421587709.6100001</v>
      </c>
      <c r="X46" s="1023"/>
      <c r="Y46" s="1027"/>
      <c r="Z46" s="1020"/>
      <c r="AA46" s="1020"/>
      <c r="AB46" s="1020"/>
      <c r="AC46" s="1020"/>
      <c r="AD46" s="1020"/>
      <c r="AE46" s="1020"/>
      <c r="AF46" s="1020"/>
      <c r="AG46" s="1020"/>
      <c r="AH46" s="1020"/>
      <c r="AI46" s="1020"/>
      <c r="AJ46" s="1020"/>
      <c r="AK46" s="1020"/>
      <c r="AL46" s="1020"/>
      <c r="AM46" s="1020"/>
      <c r="AN46" s="1020"/>
      <c r="AO46" s="1020"/>
      <c r="AP46" s="1020"/>
      <c r="AQ46" s="1028"/>
      <c r="AR46" s="1028"/>
      <c r="AS46" s="1029"/>
    </row>
  </sheetData>
  <sheetProtection algorithmName="SHA-512" hashValue="MoSQJKs1YOXpgzqOLjZeIou/TGjzq8Le66lwvVslZpeQtN/+d9ysHijiijybPnhaGKSb/vni+0dEuVdH47xPNw==" saltValue="S5J1RhDg0g1hpZkXH/vHvQ==" spinCount="100000" sheet="1" objects="1" scenarios="1"/>
  <mergeCells count="236">
    <mergeCell ref="A1:AQ4"/>
    <mergeCell ref="A5:O6"/>
    <mergeCell ref="P5:AS5"/>
    <mergeCell ref="AA6:AO6"/>
    <mergeCell ref="A7:B7"/>
    <mergeCell ref="C7:D7"/>
    <mergeCell ref="E7:F7"/>
    <mergeCell ref="G7:J7"/>
    <mergeCell ref="K7:N7"/>
    <mergeCell ref="O7:W7"/>
    <mergeCell ref="AQ7:AQ8"/>
    <mergeCell ref="AR7:AR8"/>
    <mergeCell ref="AS7:AS8"/>
    <mergeCell ref="B9:F9"/>
    <mergeCell ref="D10:H10"/>
    <mergeCell ref="F11:P11"/>
    <mergeCell ref="X7:Z7"/>
    <mergeCell ref="AA7:AB7"/>
    <mergeCell ref="AC7:AF7"/>
    <mergeCell ref="AG7:AL7"/>
    <mergeCell ref="AM7:AO7"/>
    <mergeCell ref="AP7:AP8"/>
    <mergeCell ref="AH12:AH15"/>
    <mergeCell ref="P12:P15"/>
    <mergeCell ref="Q12:Q15"/>
    <mergeCell ref="S12:S15"/>
    <mergeCell ref="T12:T15"/>
    <mergeCell ref="AA12:AA15"/>
    <mergeCell ref="AB12:AB15"/>
    <mergeCell ref="R13:R15"/>
    <mergeCell ref="U13:U15"/>
    <mergeCell ref="V13:V14"/>
    <mergeCell ref="Z13:Z14"/>
    <mergeCell ref="M13:M15"/>
    <mergeCell ref="N13:N15"/>
    <mergeCell ref="O13:O15"/>
    <mergeCell ref="AO12:AO15"/>
    <mergeCell ref="AP12:AP15"/>
    <mergeCell ref="AQ12:AQ15"/>
    <mergeCell ref="AR12:AR15"/>
    <mergeCell ref="AS12:AS15"/>
    <mergeCell ref="E13:E15"/>
    <mergeCell ref="F13:F15"/>
    <mergeCell ref="G13:G15"/>
    <mergeCell ref="H13:H15"/>
    <mergeCell ref="I13:I15"/>
    <mergeCell ref="AI12:AI15"/>
    <mergeCell ref="AJ12:AJ15"/>
    <mergeCell ref="AK12:AK15"/>
    <mergeCell ref="AL12:AL15"/>
    <mergeCell ref="AM12:AM15"/>
    <mergeCell ref="AN12:AN15"/>
    <mergeCell ref="AC12:AC15"/>
    <mergeCell ref="AD12:AD15"/>
    <mergeCell ref="AE12:AE15"/>
    <mergeCell ref="AF12:AF15"/>
    <mergeCell ref="AG12:AG15"/>
    <mergeCell ref="G16:G18"/>
    <mergeCell ref="H16:H18"/>
    <mergeCell ref="I16:I18"/>
    <mergeCell ref="J16:J18"/>
    <mergeCell ref="K16:K18"/>
    <mergeCell ref="L16:L18"/>
    <mergeCell ref="J13:J15"/>
    <mergeCell ref="K13:K15"/>
    <mergeCell ref="L13:L15"/>
    <mergeCell ref="U16:U18"/>
    <mergeCell ref="AA16:AA19"/>
    <mergeCell ref="AB16:AB19"/>
    <mergeCell ref="AC16:AC19"/>
    <mergeCell ref="M16:M18"/>
    <mergeCell ref="N16:N18"/>
    <mergeCell ref="O16:O18"/>
    <mergeCell ref="P16:P19"/>
    <mergeCell ref="Q16:Q19"/>
    <mergeCell ref="R16:R18"/>
    <mergeCell ref="AP16:AP19"/>
    <mergeCell ref="AQ16:AQ19"/>
    <mergeCell ref="AR16:AR19"/>
    <mergeCell ref="AS16:AS19"/>
    <mergeCell ref="V17:V18"/>
    <mergeCell ref="G20:G21"/>
    <mergeCell ref="H20:H21"/>
    <mergeCell ref="I20:I21"/>
    <mergeCell ref="J20:J21"/>
    <mergeCell ref="K20:K21"/>
    <mergeCell ref="AJ16:AJ19"/>
    <mergeCell ref="AK16:AK19"/>
    <mergeCell ref="AL16:AL19"/>
    <mergeCell ref="AM16:AM19"/>
    <mergeCell ref="AN16:AN19"/>
    <mergeCell ref="AO16:AO19"/>
    <mergeCell ref="AD16:AD19"/>
    <mergeCell ref="AE16:AE19"/>
    <mergeCell ref="AF16:AF19"/>
    <mergeCell ref="AG16:AG19"/>
    <mergeCell ref="AH16:AH19"/>
    <mergeCell ref="AI16:AI19"/>
    <mergeCell ref="S16:S19"/>
    <mergeCell ref="T16:T19"/>
    <mergeCell ref="L20:L21"/>
    <mergeCell ref="M20:M21"/>
    <mergeCell ref="N20:N21"/>
    <mergeCell ref="O20:O21"/>
    <mergeCell ref="P20:P25"/>
    <mergeCell ref="Q20:Q25"/>
    <mergeCell ref="M23:M25"/>
    <mergeCell ref="N23:N25"/>
    <mergeCell ref="O23:O25"/>
    <mergeCell ref="AB20:AB25"/>
    <mergeCell ref="AC20:AC25"/>
    <mergeCell ref="AD20:AD25"/>
    <mergeCell ref="AE20:AE25"/>
    <mergeCell ref="AF20:AF25"/>
    <mergeCell ref="AG20:AG25"/>
    <mergeCell ref="R20:R21"/>
    <mergeCell ref="S20:S25"/>
    <mergeCell ref="T20:T25"/>
    <mergeCell ref="U20:U25"/>
    <mergeCell ref="V20:V21"/>
    <mergeCell ref="AA20:AA25"/>
    <mergeCell ref="R23:R25"/>
    <mergeCell ref="V24:V25"/>
    <mergeCell ref="AN20:AN25"/>
    <mergeCell ref="AO20:AO25"/>
    <mergeCell ref="AP20:AP25"/>
    <mergeCell ref="AQ20:AQ25"/>
    <mergeCell ref="AR20:AR25"/>
    <mergeCell ref="AS20:AS25"/>
    <mergeCell ref="AH20:AH25"/>
    <mergeCell ref="AI20:AI25"/>
    <mergeCell ref="AJ20:AJ25"/>
    <mergeCell ref="AK20:AK25"/>
    <mergeCell ref="AL20:AL25"/>
    <mergeCell ref="AM20:AM25"/>
    <mergeCell ref="G26:G33"/>
    <mergeCell ref="H26:H33"/>
    <mergeCell ref="I26:I33"/>
    <mergeCell ref="J26:J33"/>
    <mergeCell ref="K26:K33"/>
    <mergeCell ref="L26:L33"/>
    <mergeCell ref="G23:G25"/>
    <mergeCell ref="H23:H25"/>
    <mergeCell ref="I23:I25"/>
    <mergeCell ref="J23:J25"/>
    <mergeCell ref="K23:K25"/>
    <mergeCell ref="L23:L25"/>
    <mergeCell ref="S26:S33"/>
    <mergeCell ref="T26:T33"/>
    <mergeCell ref="U26:U33"/>
    <mergeCell ref="V26:V28"/>
    <mergeCell ref="AA26:AA33"/>
    <mergeCell ref="AB26:AB33"/>
    <mergeCell ref="M26:M33"/>
    <mergeCell ref="N26:N33"/>
    <mergeCell ref="O26:O33"/>
    <mergeCell ref="P26:P33"/>
    <mergeCell ref="Q26:Q33"/>
    <mergeCell ref="R26:R33"/>
    <mergeCell ref="AO26:AO33"/>
    <mergeCell ref="AP26:AP33"/>
    <mergeCell ref="AQ26:AQ33"/>
    <mergeCell ref="AR26:AR33"/>
    <mergeCell ref="AS26:AS33"/>
    <mergeCell ref="V29:V31"/>
    <mergeCell ref="AI26:AI33"/>
    <mergeCell ref="AJ26:AJ33"/>
    <mergeCell ref="AK26:AK33"/>
    <mergeCell ref="AL26:AL33"/>
    <mergeCell ref="AM26:AM33"/>
    <mergeCell ref="AN26:AN33"/>
    <mergeCell ref="AC26:AC33"/>
    <mergeCell ref="AD26:AD33"/>
    <mergeCell ref="AE26:AE33"/>
    <mergeCell ref="AF26:AF33"/>
    <mergeCell ref="AG26:AG33"/>
    <mergeCell ref="AH26:AH33"/>
    <mergeCell ref="AB36:AB45"/>
    <mergeCell ref="AC36:AC45"/>
    <mergeCell ref="AD36:AD45"/>
    <mergeCell ref="AE36:AE45"/>
    <mergeCell ref="AF36:AF45"/>
    <mergeCell ref="AG36:AG45"/>
    <mergeCell ref="F35:P35"/>
    <mergeCell ref="P36:P45"/>
    <mergeCell ref="Q36:Q45"/>
    <mergeCell ref="S36:S45"/>
    <mergeCell ref="T36:T45"/>
    <mergeCell ref="AA36:AA45"/>
    <mergeCell ref="G37:G38"/>
    <mergeCell ref="H37:H38"/>
    <mergeCell ref="I37:I38"/>
    <mergeCell ref="J37:J38"/>
    <mergeCell ref="U37:U38"/>
    <mergeCell ref="G39:G41"/>
    <mergeCell ref="H39:H41"/>
    <mergeCell ref="I39:I41"/>
    <mergeCell ref="J39:J41"/>
    <mergeCell ref="K39:K41"/>
    <mergeCell ref="L39:L41"/>
    <mergeCell ref="M39:M41"/>
    <mergeCell ref="AN36:AN45"/>
    <mergeCell ref="AO36:AO45"/>
    <mergeCell ref="AP36:AP45"/>
    <mergeCell ref="AQ36:AQ45"/>
    <mergeCell ref="AR36:AR45"/>
    <mergeCell ref="AS36:AS45"/>
    <mergeCell ref="AH36:AH45"/>
    <mergeCell ref="AI36:AI45"/>
    <mergeCell ref="AJ36:AJ45"/>
    <mergeCell ref="AK36:AK45"/>
    <mergeCell ref="AL36:AL45"/>
    <mergeCell ref="AM36:AM45"/>
    <mergeCell ref="K37:K38"/>
    <mergeCell ref="L37:L38"/>
    <mergeCell ref="M37:M38"/>
    <mergeCell ref="N37:N38"/>
    <mergeCell ref="O37:O38"/>
    <mergeCell ref="R37:R38"/>
    <mergeCell ref="N42:N45"/>
    <mergeCell ref="O42:O45"/>
    <mergeCell ref="R42:R45"/>
    <mergeCell ref="U42:U45"/>
    <mergeCell ref="V44:V45"/>
    <mergeCell ref="R39:R41"/>
    <mergeCell ref="U39:U41"/>
    <mergeCell ref="V40:V41"/>
    <mergeCell ref="G42:G45"/>
    <mergeCell ref="H42:H45"/>
    <mergeCell ref="I42:I45"/>
    <mergeCell ref="J42:J45"/>
    <mergeCell ref="K42:K45"/>
    <mergeCell ref="L42:L45"/>
    <mergeCell ref="M42:M45"/>
    <mergeCell ref="N39:N41"/>
    <mergeCell ref="O39:O41"/>
  </mergeCells>
  <pageMargins left="0.70866141732283472" right="0.70866141732283472" top="0.74803149606299213" bottom="0.74803149606299213" header="0.31496062992125984" footer="0.31496062992125984"/>
  <pageSetup scale="61" fitToHeight="3"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L1634"/>
  <sheetViews>
    <sheetView showGridLines="0" topLeftCell="M7" zoomScale="70" zoomScaleNormal="70" workbookViewId="0">
      <selection activeCell="T12" sqref="T12:T16"/>
    </sheetView>
  </sheetViews>
  <sheetFormatPr baseColWidth="10" defaultColWidth="11.42578125" defaultRowHeight="27" customHeight="1" x14ac:dyDescent="0.25"/>
  <cols>
    <col min="1" max="1" width="12.7109375" style="132" customWidth="1"/>
    <col min="2" max="2" width="14.28515625" style="1533" customWidth="1"/>
    <col min="3" max="3" width="12.42578125" style="1533" customWidth="1"/>
    <col min="4" max="4" width="13.140625" style="1533" customWidth="1"/>
    <col min="5" max="5" width="12.28515625" style="1533" customWidth="1"/>
    <col min="6" max="6" width="13.28515625" style="1533" customWidth="1"/>
    <col min="7" max="7" width="17.5703125" style="1533" customWidth="1"/>
    <col min="8" max="8" width="57.42578125" style="119" customWidth="1"/>
    <col min="9" max="9" width="24.28515625" style="3" customWidth="1"/>
    <col min="10" max="10" width="50.7109375" style="119" customWidth="1"/>
    <col min="11" max="11" width="17.85546875" style="3" customWidth="1"/>
    <col min="12" max="12" width="38" style="119" customWidth="1"/>
    <col min="13" max="13" width="23.140625" style="3" customWidth="1"/>
    <col min="14" max="14" width="39" style="119" customWidth="1"/>
    <col min="15" max="15" width="23.5703125" style="3" customWidth="1"/>
    <col min="16" max="16" width="21.85546875" style="3" customWidth="1"/>
    <col min="17" max="17" width="33.7109375" style="119" customWidth="1"/>
    <col min="18" max="18" width="18.28515625" style="121" customWidth="1"/>
    <col min="19" max="19" width="32.28515625" style="128" customWidth="1"/>
    <col min="20" max="20" width="70" style="119" customWidth="1"/>
    <col min="21" max="21" width="78.140625" style="119" customWidth="1"/>
    <col min="22" max="22" width="62.28515625" style="119" customWidth="1"/>
    <col min="23" max="23" width="30.140625" style="128" bestFit="1" customWidth="1"/>
    <col min="24" max="24" width="56.5703125" style="122" customWidth="1"/>
    <col min="25" max="25" width="20.7109375" style="124" customWidth="1"/>
    <col min="26" max="26" width="33" style="3" customWidth="1"/>
    <col min="27" max="40" width="10.5703125" style="1533" customWidth="1"/>
    <col min="41" max="41" width="15.5703125" style="1533" customWidth="1"/>
    <col min="42" max="42" width="14.5703125" style="1533" customWidth="1"/>
    <col min="43" max="43" width="16.42578125" style="133" customWidth="1"/>
    <col min="44" max="44" width="26" style="1533" customWidth="1"/>
    <col min="45" max="16384" width="11.42578125" style="1533"/>
  </cols>
  <sheetData>
    <row r="1" spans="1:64" ht="49.5" customHeight="1" x14ac:dyDescent="0.25">
      <c r="A1" s="2235" t="s">
        <v>2338</v>
      </c>
      <c r="B1" s="2235"/>
      <c r="C1" s="2235"/>
      <c r="D1" s="2235"/>
      <c r="E1" s="2235"/>
      <c r="F1" s="2235"/>
      <c r="G1" s="2235"/>
      <c r="H1" s="2235"/>
      <c r="I1" s="2235"/>
      <c r="J1" s="2235"/>
      <c r="K1" s="2235"/>
      <c r="L1" s="2235"/>
      <c r="M1" s="2235"/>
      <c r="N1" s="2235"/>
      <c r="O1" s="2235"/>
      <c r="P1" s="2235"/>
      <c r="Q1" s="2235"/>
      <c r="R1" s="2235"/>
      <c r="S1" s="2235"/>
      <c r="T1" s="2235"/>
      <c r="U1" s="2235"/>
      <c r="V1" s="2235"/>
      <c r="W1" s="2235"/>
      <c r="X1" s="2235"/>
      <c r="Y1" s="2235"/>
      <c r="Z1" s="2235"/>
      <c r="AA1" s="2235"/>
      <c r="AB1" s="2235"/>
      <c r="AC1" s="2235"/>
      <c r="AD1" s="2235"/>
      <c r="AE1" s="2235"/>
      <c r="AF1" s="2235"/>
      <c r="AG1" s="2235"/>
      <c r="AH1" s="2235"/>
      <c r="AI1" s="2235"/>
      <c r="AJ1" s="2235"/>
      <c r="AK1" s="2235"/>
      <c r="AL1" s="2235"/>
      <c r="AM1" s="2235"/>
      <c r="AN1" s="2235"/>
      <c r="AO1" s="2235"/>
      <c r="AP1" s="3143"/>
      <c r="AQ1" s="1586" t="s">
        <v>1</v>
      </c>
      <c r="AR1" s="135" t="s">
        <v>2</v>
      </c>
      <c r="AS1" s="3"/>
      <c r="AT1" s="3"/>
      <c r="AU1" s="3"/>
      <c r="AV1" s="3"/>
      <c r="AW1" s="3"/>
      <c r="AX1" s="3"/>
      <c r="AY1" s="3"/>
      <c r="AZ1" s="3"/>
      <c r="BA1" s="3"/>
      <c r="BB1" s="3"/>
      <c r="BC1" s="3"/>
      <c r="BD1" s="3"/>
      <c r="BE1" s="3"/>
      <c r="BF1" s="3"/>
      <c r="BG1" s="3"/>
      <c r="BH1" s="3"/>
      <c r="BI1" s="3"/>
      <c r="BJ1" s="3"/>
      <c r="BK1" s="3"/>
      <c r="BL1" s="3"/>
    </row>
    <row r="2" spans="1:64" ht="25.5" customHeight="1" x14ac:dyDescent="0.25">
      <c r="A2" s="1587"/>
      <c r="B2" s="1587"/>
      <c r="C2" s="1587"/>
      <c r="D2" s="1587"/>
      <c r="E2" s="1587"/>
      <c r="F2" s="1587"/>
      <c r="G2" s="1587"/>
      <c r="H2" s="1587"/>
      <c r="I2" s="1587"/>
      <c r="J2" s="1587"/>
      <c r="K2" s="1587"/>
      <c r="L2" s="1587"/>
      <c r="M2" s="1587"/>
      <c r="N2" s="1587"/>
      <c r="O2" s="1587"/>
      <c r="P2" s="1587"/>
      <c r="Q2" s="1587"/>
      <c r="R2" s="1587"/>
      <c r="S2" s="1587"/>
      <c r="T2" s="1587"/>
      <c r="U2" s="1587"/>
      <c r="V2" s="1587"/>
      <c r="W2" s="1587"/>
      <c r="X2" s="1587"/>
      <c r="Y2" s="1587"/>
      <c r="Z2" s="1587"/>
      <c r="AA2" s="1587"/>
      <c r="AB2" s="1587"/>
      <c r="AC2" s="1587"/>
      <c r="AD2" s="1587"/>
      <c r="AE2" s="1587"/>
      <c r="AF2" s="1587"/>
      <c r="AG2" s="1587"/>
      <c r="AH2" s="1587"/>
      <c r="AI2" s="1587"/>
      <c r="AJ2" s="1587"/>
      <c r="AK2" s="1587"/>
      <c r="AL2" s="1587"/>
      <c r="AM2" s="1587"/>
      <c r="AN2" s="1587"/>
      <c r="AO2" s="1587"/>
      <c r="AP2" s="1587"/>
      <c r="AQ2" s="1588" t="s">
        <v>3</v>
      </c>
      <c r="AR2" s="1589" t="s">
        <v>349</v>
      </c>
      <c r="AS2" s="3"/>
      <c r="AT2" s="3"/>
      <c r="AU2" s="3"/>
      <c r="AV2" s="3"/>
      <c r="AW2" s="3"/>
      <c r="AX2" s="3"/>
      <c r="AY2" s="3"/>
      <c r="AZ2" s="3"/>
      <c r="BA2" s="3"/>
      <c r="BB2" s="3"/>
      <c r="BC2" s="3"/>
      <c r="BD2" s="3"/>
      <c r="BE2" s="3"/>
      <c r="BF2" s="3"/>
      <c r="BG2" s="3"/>
      <c r="BH2" s="3"/>
      <c r="BI2" s="3"/>
      <c r="BJ2" s="3"/>
      <c r="BK2" s="3"/>
      <c r="BL2" s="3"/>
    </row>
    <row r="3" spans="1:64" ht="25.5" customHeight="1" x14ac:dyDescent="0.25">
      <c r="A3" s="1587"/>
      <c r="B3" s="1587"/>
      <c r="C3" s="1587"/>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1587"/>
      <c r="AM3" s="1587"/>
      <c r="AN3" s="1587"/>
      <c r="AO3" s="1587"/>
      <c r="AP3" s="1587"/>
      <c r="AQ3" s="1588" t="s">
        <v>4</v>
      </c>
      <c r="AR3" s="137">
        <v>44266</v>
      </c>
      <c r="AS3" s="3"/>
      <c r="AT3" s="3"/>
      <c r="AU3" s="3"/>
      <c r="AV3" s="3"/>
      <c r="AW3" s="3"/>
      <c r="AX3" s="3"/>
      <c r="AY3" s="3"/>
      <c r="AZ3" s="3"/>
      <c r="BA3" s="3"/>
      <c r="BB3" s="3"/>
      <c r="BC3" s="3"/>
      <c r="BD3" s="3"/>
      <c r="BE3" s="3"/>
      <c r="BF3" s="3"/>
      <c r="BG3" s="3"/>
      <c r="BH3" s="3"/>
      <c r="BI3" s="3"/>
      <c r="BJ3" s="3"/>
      <c r="BK3" s="3"/>
      <c r="BL3" s="3"/>
    </row>
    <row r="4" spans="1:64" ht="31.5" customHeight="1" x14ac:dyDescent="0.25">
      <c r="A4" s="1590"/>
      <c r="B4" s="1590"/>
      <c r="C4" s="1590"/>
      <c r="D4" s="1590"/>
      <c r="E4" s="1590"/>
      <c r="F4" s="1590"/>
      <c r="G4" s="1590"/>
      <c r="H4" s="1590"/>
      <c r="I4" s="1590"/>
      <c r="J4" s="1590"/>
      <c r="K4" s="1590"/>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L4" s="1590"/>
      <c r="AM4" s="1590"/>
      <c r="AN4" s="1590"/>
      <c r="AO4" s="1590"/>
      <c r="AP4" s="1590"/>
      <c r="AQ4" s="1588" t="s">
        <v>5</v>
      </c>
      <c r="AR4" s="138" t="s">
        <v>120</v>
      </c>
      <c r="AS4" s="3"/>
      <c r="AT4" s="3"/>
      <c r="AU4" s="3"/>
      <c r="AV4" s="3"/>
      <c r="AW4" s="3"/>
      <c r="AX4" s="3"/>
      <c r="AY4" s="3"/>
      <c r="AZ4" s="3"/>
      <c r="BA4" s="3"/>
      <c r="BB4" s="3"/>
      <c r="BC4" s="3"/>
      <c r="BD4" s="3"/>
      <c r="BE4" s="3"/>
      <c r="BF4" s="3"/>
      <c r="BG4" s="3"/>
      <c r="BH4" s="3"/>
      <c r="BI4" s="3"/>
      <c r="BJ4" s="3"/>
      <c r="BK4" s="3"/>
      <c r="BL4" s="3"/>
    </row>
    <row r="5" spans="1:64" ht="19.5" customHeight="1" x14ac:dyDescent="0.25">
      <c r="A5" s="2245" t="s">
        <v>2339</v>
      </c>
      <c r="B5" s="2245"/>
      <c r="C5" s="2245"/>
      <c r="D5" s="2245"/>
      <c r="E5" s="2245"/>
      <c r="F5" s="2245"/>
      <c r="G5" s="2245"/>
      <c r="H5" s="2245"/>
      <c r="I5" s="2245"/>
      <c r="J5" s="2245"/>
      <c r="K5" s="2245"/>
      <c r="L5" s="2245"/>
      <c r="M5" s="2245"/>
      <c r="N5" s="2245"/>
      <c r="O5" s="2245"/>
      <c r="P5" s="2244"/>
      <c r="Q5" s="2245"/>
      <c r="R5" s="2245"/>
      <c r="S5" s="2245"/>
      <c r="T5" s="2245"/>
      <c r="U5" s="2245"/>
      <c r="V5" s="2245"/>
      <c r="W5" s="2245"/>
      <c r="X5" s="2245"/>
      <c r="Y5" s="2245"/>
      <c r="Z5" s="2245"/>
      <c r="AA5" s="2245"/>
      <c r="AB5" s="2245"/>
      <c r="AC5" s="2245"/>
      <c r="AD5" s="2245"/>
      <c r="AE5" s="2245"/>
      <c r="AF5" s="2245"/>
      <c r="AG5" s="2245"/>
      <c r="AH5" s="2245"/>
      <c r="AI5" s="2245"/>
      <c r="AJ5" s="2245"/>
      <c r="AK5" s="2245"/>
      <c r="AL5" s="2245"/>
      <c r="AM5" s="2245"/>
      <c r="AN5" s="2245"/>
      <c r="AO5" s="2245"/>
      <c r="AP5" s="2245"/>
      <c r="AQ5" s="2245"/>
      <c r="AR5" s="2245"/>
      <c r="AS5" s="3"/>
      <c r="AT5" s="3"/>
      <c r="AU5" s="3"/>
      <c r="AV5" s="3"/>
      <c r="AW5" s="3"/>
      <c r="AX5" s="3"/>
      <c r="AY5" s="3"/>
      <c r="AZ5" s="3"/>
      <c r="BA5" s="3"/>
      <c r="BB5" s="3"/>
      <c r="BC5" s="3"/>
      <c r="BD5" s="3"/>
      <c r="BE5" s="3"/>
      <c r="BF5" s="3"/>
      <c r="BG5" s="3"/>
      <c r="BH5" s="3"/>
      <c r="BI5" s="3"/>
      <c r="BJ5" s="3"/>
      <c r="BK5" s="3"/>
      <c r="BL5" s="3"/>
    </row>
    <row r="6" spans="1:64" ht="20.25" customHeight="1" x14ac:dyDescent="0.25">
      <c r="A6" s="2245"/>
      <c r="B6" s="2245"/>
      <c r="C6" s="2245"/>
      <c r="D6" s="2245"/>
      <c r="E6" s="2245"/>
      <c r="F6" s="2245"/>
      <c r="G6" s="2245"/>
      <c r="H6" s="2245"/>
      <c r="I6" s="2245"/>
      <c r="J6" s="2245"/>
      <c r="K6" s="2245"/>
      <c r="L6" s="2245"/>
      <c r="M6" s="2245"/>
      <c r="N6" s="2245"/>
      <c r="O6" s="2245"/>
      <c r="P6" s="1466"/>
      <c r="Q6" s="13"/>
      <c r="R6" s="1466"/>
      <c r="S6" s="1466"/>
      <c r="T6" s="13"/>
      <c r="U6" s="13"/>
      <c r="V6" s="13"/>
      <c r="W6" s="1466"/>
      <c r="X6" s="1591"/>
      <c r="Y6" s="1467"/>
      <c r="Z6" s="1467"/>
      <c r="AA6" s="2243" t="s">
        <v>8</v>
      </c>
      <c r="AB6" s="2238"/>
      <c r="AC6" s="2238"/>
      <c r="AD6" s="2238"/>
      <c r="AE6" s="2238"/>
      <c r="AF6" s="2238"/>
      <c r="AG6" s="2238"/>
      <c r="AH6" s="2238"/>
      <c r="AI6" s="2238"/>
      <c r="AJ6" s="2238"/>
      <c r="AK6" s="2238"/>
      <c r="AL6" s="2238"/>
      <c r="AM6" s="2238"/>
      <c r="AN6" s="2238"/>
      <c r="AO6" s="2239"/>
      <c r="AP6" s="1467"/>
      <c r="AQ6" s="1467"/>
      <c r="AR6" s="1468"/>
      <c r="AS6" s="3"/>
      <c r="AT6" s="3"/>
      <c r="AU6" s="3"/>
      <c r="AV6" s="3"/>
      <c r="AW6" s="3"/>
      <c r="AX6" s="3"/>
      <c r="AY6" s="3"/>
      <c r="AZ6" s="3"/>
      <c r="BA6" s="3"/>
      <c r="BB6" s="3"/>
      <c r="BC6" s="3"/>
      <c r="BD6" s="3"/>
      <c r="BE6" s="3"/>
      <c r="BF6" s="3"/>
      <c r="BG6" s="3"/>
      <c r="BH6" s="3"/>
      <c r="BI6" s="3"/>
      <c r="BJ6" s="3"/>
      <c r="BK6" s="3"/>
      <c r="BL6" s="3"/>
    </row>
    <row r="7" spans="1:64" ht="36.75" customHeight="1" x14ac:dyDescent="0.25">
      <c r="A7" s="2958" t="s">
        <v>9</v>
      </c>
      <c r="B7" s="2959"/>
      <c r="C7" s="2353" t="s">
        <v>10</v>
      </c>
      <c r="D7" s="2958"/>
      <c r="E7" s="2958" t="s">
        <v>11</v>
      </c>
      <c r="F7" s="2959"/>
      <c r="G7" s="2353" t="s">
        <v>12</v>
      </c>
      <c r="H7" s="2958"/>
      <c r="I7" s="2958"/>
      <c r="J7" s="2958"/>
      <c r="K7" s="2353" t="s">
        <v>13</v>
      </c>
      <c r="L7" s="2958"/>
      <c r="M7" s="2958"/>
      <c r="N7" s="2958"/>
      <c r="O7" s="3144" t="s">
        <v>2340</v>
      </c>
      <c r="P7" s="3145"/>
      <c r="Q7" s="3145"/>
      <c r="R7" s="3145"/>
      <c r="S7" s="3145"/>
      <c r="T7" s="3145"/>
      <c r="U7" s="3145"/>
      <c r="V7" s="3145"/>
      <c r="W7" s="3145"/>
      <c r="X7" s="3138" t="s">
        <v>15</v>
      </c>
      <c r="Y7" s="3138"/>
      <c r="Z7" s="3139"/>
      <c r="AA7" s="2213" t="s">
        <v>16</v>
      </c>
      <c r="AB7" s="2214"/>
      <c r="AC7" s="2215" t="s">
        <v>17</v>
      </c>
      <c r="AD7" s="2216"/>
      <c r="AE7" s="2216"/>
      <c r="AF7" s="2216"/>
      <c r="AG7" s="2217" t="s">
        <v>18</v>
      </c>
      <c r="AH7" s="2217"/>
      <c r="AI7" s="2217"/>
      <c r="AJ7" s="2217"/>
      <c r="AK7" s="2217"/>
      <c r="AL7" s="2217"/>
      <c r="AM7" s="2218" t="s">
        <v>19</v>
      </c>
      <c r="AN7" s="2218"/>
      <c r="AO7" s="2218"/>
      <c r="AP7" s="2219" t="s">
        <v>20</v>
      </c>
      <c r="AQ7" s="2404" t="s">
        <v>21</v>
      </c>
      <c r="AR7" s="3146" t="s">
        <v>23</v>
      </c>
      <c r="AS7" s="3"/>
      <c r="AT7" s="3"/>
      <c r="AU7" s="3"/>
      <c r="AV7" s="3"/>
      <c r="AW7" s="3"/>
      <c r="AX7" s="3"/>
      <c r="AY7" s="3"/>
      <c r="AZ7" s="3"/>
      <c r="BA7" s="3"/>
      <c r="BB7" s="3"/>
      <c r="BC7" s="3"/>
      <c r="BD7" s="3"/>
      <c r="BE7" s="3"/>
      <c r="BF7" s="3"/>
      <c r="BG7" s="3"/>
      <c r="BH7" s="3"/>
      <c r="BI7" s="3"/>
      <c r="BJ7" s="3"/>
      <c r="BK7" s="3"/>
      <c r="BL7" s="3"/>
    </row>
    <row r="8" spans="1:64" ht="106.5" customHeight="1" x14ac:dyDescent="0.25">
      <c r="A8" s="1493" t="s">
        <v>24</v>
      </c>
      <c r="B8" s="1493" t="s">
        <v>25</v>
      </c>
      <c r="C8" s="1493" t="s">
        <v>24</v>
      </c>
      <c r="D8" s="1493" t="s">
        <v>25</v>
      </c>
      <c r="E8" s="1493" t="s">
        <v>24</v>
      </c>
      <c r="F8" s="1493" t="s">
        <v>25</v>
      </c>
      <c r="G8" s="1493" t="s">
        <v>26</v>
      </c>
      <c r="H8" s="1493" t="s">
        <v>27</v>
      </c>
      <c r="I8" s="1493" t="s">
        <v>28</v>
      </c>
      <c r="J8" s="1493" t="s">
        <v>122</v>
      </c>
      <c r="K8" s="1493" t="s">
        <v>26</v>
      </c>
      <c r="L8" s="1493" t="s">
        <v>30</v>
      </c>
      <c r="M8" s="1493" t="s">
        <v>31</v>
      </c>
      <c r="N8" s="1493" t="s">
        <v>32</v>
      </c>
      <c r="O8" s="16" t="s">
        <v>33</v>
      </c>
      <c r="P8" s="1493" t="s">
        <v>34</v>
      </c>
      <c r="Q8" s="1493" t="s">
        <v>35</v>
      </c>
      <c r="R8" s="1493" t="s">
        <v>36</v>
      </c>
      <c r="S8" s="1493" t="s">
        <v>37</v>
      </c>
      <c r="T8" s="1493" t="s">
        <v>38</v>
      </c>
      <c r="U8" s="1493" t="s">
        <v>39</v>
      </c>
      <c r="V8" s="139" t="s">
        <v>40</v>
      </c>
      <c r="W8" s="17" t="s">
        <v>123</v>
      </c>
      <c r="X8" s="1493" t="s">
        <v>42</v>
      </c>
      <c r="Y8" s="1493" t="s">
        <v>43</v>
      </c>
      <c r="Z8" s="1493" t="s">
        <v>25</v>
      </c>
      <c r="AA8" s="19" t="s">
        <v>44</v>
      </c>
      <c r="AB8" s="20" t="s">
        <v>45</v>
      </c>
      <c r="AC8" s="20" t="s">
        <v>46</v>
      </c>
      <c r="AD8" s="20" t="s">
        <v>47</v>
      </c>
      <c r="AE8" s="20" t="s">
        <v>48</v>
      </c>
      <c r="AF8" s="20" t="s">
        <v>49</v>
      </c>
      <c r="AG8" s="1469" t="s">
        <v>50</v>
      </c>
      <c r="AH8" s="1469" t="s">
        <v>51</v>
      </c>
      <c r="AI8" s="1469" t="s">
        <v>52</v>
      </c>
      <c r="AJ8" s="1469" t="s">
        <v>53</v>
      </c>
      <c r="AK8" s="1469" t="s">
        <v>54</v>
      </c>
      <c r="AL8" s="1469" t="s">
        <v>2341</v>
      </c>
      <c r="AM8" s="1469" t="s">
        <v>56</v>
      </c>
      <c r="AN8" s="1469" t="s">
        <v>57</v>
      </c>
      <c r="AO8" s="1469" t="s">
        <v>58</v>
      </c>
      <c r="AP8" s="2219"/>
      <c r="AQ8" s="2404"/>
      <c r="AR8" s="3147"/>
      <c r="AS8" s="3"/>
      <c r="AT8" s="3"/>
      <c r="AU8" s="3"/>
      <c r="AV8" s="3"/>
      <c r="AW8" s="3"/>
      <c r="AX8" s="3"/>
      <c r="AY8" s="3"/>
      <c r="AZ8" s="3"/>
      <c r="BA8" s="3"/>
      <c r="BB8" s="3"/>
      <c r="BC8" s="3"/>
      <c r="BD8" s="3"/>
      <c r="BE8" s="3"/>
      <c r="BF8" s="3"/>
      <c r="BG8" s="3"/>
      <c r="BH8" s="3"/>
      <c r="BI8" s="3"/>
      <c r="BJ8" s="3"/>
      <c r="BK8" s="3"/>
      <c r="BL8" s="3"/>
    </row>
    <row r="9" spans="1:64" s="33" customFormat="1" ht="27" customHeight="1" x14ac:dyDescent="0.25">
      <c r="A9" s="1593">
        <v>2</v>
      </c>
      <c r="B9" s="3148" t="s">
        <v>1278</v>
      </c>
      <c r="C9" s="3148"/>
      <c r="D9" s="3148"/>
      <c r="E9" s="3148"/>
      <c r="F9" s="392"/>
      <c r="G9" s="392"/>
      <c r="H9" s="391"/>
      <c r="I9" s="392"/>
      <c r="J9" s="391"/>
      <c r="K9" s="392"/>
      <c r="L9" s="391"/>
      <c r="M9" s="392"/>
      <c r="N9" s="391"/>
      <c r="O9" s="392"/>
      <c r="P9" s="392"/>
      <c r="Q9" s="391"/>
      <c r="R9" s="393"/>
      <c r="S9" s="394"/>
      <c r="T9" s="391"/>
      <c r="U9" s="391"/>
      <c r="V9" s="391"/>
      <c r="W9" s="394"/>
      <c r="X9" s="391"/>
      <c r="Y9" s="396"/>
      <c r="Z9" s="392"/>
      <c r="AA9" s="392"/>
      <c r="AB9" s="392"/>
      <c r="AC9" s="392"/>
      <c r="AD9" s="392"/>
      <c r="AE9" s="392"/>
      <c r="AF9" s="392"/>
      <c r="AG9" s="392"/>
      <c r="AH9" s="392"/>
      <c r="AI9" s="392"/>
      <c r="AJ9" s="392"/>
      <c r="AK9" s="392"/>
      <c r="AL9" s="392"/>
      <c r="AM9" s="392"/>
      <c r="AN9" s="392"/>
      <c r="AO9" s="392"/>
      <c r="AP9" s="392"/>
      <c r="AQ9" s="31"/>
      <c r="AR9" s="397"/>
      <c r="AS9" s="3"/>
      <c r="AT9" s="3"/>
      <c r="AU9" s="3"/>
      <c r="AV9" s="3"/>
      <c r="AW9" s="3"/>
      <c r="AX9" s="3"/>
      <c r="AY9" s="3"/>
      <c r="AZ9" s="3"/>
      <c r="BA9" s="3"/>
      <c r="BB9" s="3"/>
      <c r="BC9" s="3"/>
      <c r="BD9" s="3"/>
      <c r="BE9" s="3"/>
      <c r="BF9" s="3"/>
      <c r="BG9" s="3"/>
      <c r="BH9" s="3"/>
      <c r="BI9" s="3"/>
      <c r="BJ9" s="3"/>
      <c r="BK9" s="3"/>
      <c r="BL9" s="3"/>
    </row>
    <row r="10" spans="1:64" s="73" customFormat="1" ht="27" customHeight="1" x14ac:dyDescent="0.25">
      <c r="A10" s="2567"/>
      <c r="B10" s="2568"/>
      <c r="C10" s="36">
        <v>17</v>
      </c>
      <c r="D10" s="2210" t="s">
        <v>1011</v>
      </c>
      <c r="E10" s="2682"/>
      <c r="F10" s="2682"/>
      <c r="G10" s="2682"/>
      <c r="H10" s="2682"/>
      <c r="I10" s="38"/>
      <c r="J10" s="37"/>
      <c r="K10" s="38"/>
      <c r="L10" s="37"/>
      <c r="M10" s="38"/>
      <c r="N10" s="37"/>
      <c r="O10" s="38"/>
      <c r="P10" s="38"/>
      <c r="Q10" s="37"/>
      <c r="R10" s="40"/>
      <c r="S10" s="42"/>
      <c r="T10" s="37"/>
      <c r="U10" s="37"/>
      <c r="V10" s="37"/>
      <c r="W10" s="42"/>
      <c r="X10" s="37"/>
      <c r="Y10" s="674"/>
      <c r="Z10" s="671"/>
      <c r="AA10" s="671"/>
      <c r="AB10" s="671"/>
      <c r="AC10" s="671"/>
      <c r="AD10" s="671"/>
      <c r="AE10" s="671"/>
      <c r="AF10" s="671"/>
      <c r="AG10" s="671"/>
      <c r="AH10" s="671"/>
      <c r="AI10" s="671"/>
      <c r="AJ10" s="671"/>
      <c r="AK10" s="671"/>
      <c r="AL10" s="671"/>
      <c r="AM10" s="671"/>
      <c r="AN10" s="671"/>
      <c r="AO10" s="671"/>
      <c r="AP10" s="671"/>
      <c r="AQ10" s="675"/>
      <c r="AR10" s="676"/>
      <c r="AS10" s="74"/>
      <c r="AT10" s="74"/>
      <c r="AU10" s="74"/>
      <c r="AV10" s="74"/>
      <c r="AW10" s="74"/>
      <c r="AX10" s="74"/>
      <c r="AY10" s="74"/>
      <c r="AZ10" s="74"/>
      <c r="BA10" s="74"/>
      <c r="BB10" s="74"/>
      <c r="BC10" s="74"/>
      <c r="BD10" s="74"/>
      <c r="BE10" s="74"/>
      <c r="BF10" s="74"/>
      <c r="BG10" s="74"/>
      <c r="BH10" s="74"/>
      <c r="BI10" s="74"/>
      <c r="BJ10" s="74"/>
      <c r="BK10" s="74"/>
      <c r="BL10" s="74"/>
    </row>
    <row r="11" spans="1:64" s="3" customFormat="1" ht="27" customHeight="1" x14ac:dyDescent="0.25">
      <c r="A11" s="2431"/>
      <c r="B11" s="2432"/>
      <c r="C11" s="2436"/>
      <c r="D11" s="2437"/>
      <c r="E11" s="1594">
        <v>1702</v>
      </c>
      <c r="F11" s="2442" t="s">
        <v>2342</v>
      </c>
      <c r="G11" s="2442"/>
      <c r="H11" s="2442"/>
      <c r="I11" s="2442"/>
      <c r="J11" s="2442"/>
      <c r="K11" s="2442"/>
      <c r="L11" s="2442"/>
      <c r="M11" s="169"/>
      <c r="N11" s="173"/>
      <c r="O11" s="169"/>
      <c r="P11" s="169"/>
      <c r="Q11" s="173"/>
      <c r="R11" s="171"/>
      <c r="S11" s="172"/>
      <c r="T11" s="173"/>
      <c r="U11" s="173"/>
      <c r="V11" s="173"/>
      <c r="W11" s="172"/>
      <c r="X11" s="173"/>
      <c r="Y11" s="943"/>
      <c r="Z11" s="680"/>
      <c r="AA11" s="680"/>
      <c r="AB11" s="680"/>
      <c r="AC11" s="680"/>
      <c r="AD11" s="680"/>
      <c r="AE11" s="680"/>
      <c r="AF11" s="680"/>
      <c r="AG11" s="680"/>
      <c r="AH11" s="680"/>
      <c r="AI11" s="680"/>
      <c r="AJ11" s="680"/>
      <c r="AK11" s="680"/>
      <c r="AL11" s="680"/>
      <c r="AM11" s="680"/>
      <c r="AN11" s="680"/>
      <c r="AO11" s="680"/>
      <c r="AP11" s="680"/>
      <c r="AQ11" s="944"/>
      <c r="AR11" s="945"/>
    </row>
    <row r="12" spans="1:64" s="3" customFormat="1" ht="95.25" customHeight="1" x14ac:dyDescent="0.25">
      <c r="A12" s="2431"/>
      <c r="B12" s="2432"/>
      <c r="C12" s="2438"/>
      <c r="D12" s="2439"/>
      <c r="E12" s="3149"/>
      <c r="F12" s="3150"/>
      <c r="G12" s="2468">
        <v>1702011</v>
      </c>
      <c r="H12" s="2329" t="s">
        <v>2343</v>
      </c>
      <c r="I12" s="2468">
        <v>1702011</v>
      </c>
      <c r="J12" s="2329" t="s">
        <v>2343</v>
      </c>
      <c r="K12" s="3161">
        <v>170201100</v>
      </c>
      <c r="L12" s="2329" t="s">
        <v>2344</v>
      </c>
      <c r="M12" s="3161">
        <v>170201100</v>
      </c>
      <c r="N12" s="2329" t="s">
        <v>2344</v>
      </c>
      <c r="O12" s="3172">
        <v>30</v>
      </c>
      <c r="P12" s="3173" t="s">
        <v>2345</v>
      </c>
      <c r="Q12" s="2458" t="s">
        <v>2346</v>
      </c>
      <c r="R12" s="3176">
        <f>SUM(W12:W13)/S12</f>
        <v>0.30581867388362655</v>
      </c>
      <c r="S12" s="3177">
        <f>SUM(W12:W16)</f>
        <v>739000000</v>
      </c>
      <c r="T12" s="2283" t="s">
        <v>2347</v>
      </c>
      <c r="U12" s="2196" t="s">
        <v>2348</v>
      </c>
      <c r="V12" s="2196" t="s">
        <v>2349</v>
      </c>
      <c r="W12" s="1595">
        <v>170000000</v>
      </c>
      <c r="X12" s="1540" t="s">
        <v>2350</v>
      </c>
      <c r="Y12" s="948">
        <v>20</v>
      </c>
      <c r="Z12" s="1491" t="s">
        <v>2351</v>
      </c>
      <c r="AA12" s="2502">
        <v>140</v>
      </c>
      <c r="AB12" s="2502">
        <v>160</v>
      </c>
      <c r="AC12" s="2502"/>
      <c r="AD12" s="2502"/>
      <c r="AE12" s="2502">
        <v>250</v>
      </c>
      <c r="AF12" s="2502">
        <v>50</v>
      </c>
      <c r="AG12" s="2463"/>
      <c r="AH12" s="2502"/>
      <c r="AI12" s="2502"/>
      <c r="AJ12" s="2502"/>
      <c r="AK12" s="2502"/>
      <c r="AL12" s="2502"/>
      <c r="AM12" s="2502"/>
      <c r="AN12" s="2502"/>
      <c r="AO12" s="2502"/>
      <c r="AP12" s="2502">
        <v>300</v>
      </c>
      <c r="AQ12" s="2265">
        <v>44211</v>
      </c>
      <c r="AR12" s="3019" t="s">
        <v>2352</v>
      </c>
    </row>
    <row r="13" spans="1:64" s="3" customFormat="1" ht="95.25" customHeight="1" x14ac:dyDescent="0.25">
      <c r="A13" s="2431"/>
      <c r="B13" s="2432"/>
      <c r="C13" s="2438"/>
      <c r="D13" s="2439"/>
      <c r="E13" s="3151"/>
      <c r="F13" s="3152"/>
      <c r="G13" s="2468"/>
      <c r="H13" s="2329"/>
      <c r="I13" s="2468"/>
      <c r="J13" s="2329"/>
      <c r="K13" s="3161"/>
      <c r="L13" s="2329"/>
      <c r="M13" s="3161"/>
      <c r="N13" s="2329"/>
      <c r="O13" s="3172"/>
      <c r="P13" s="3174"/>
      <c r="Q13" s="2459"/>
      <c r="R13" s="3176"/>
      <c r="S13" s="3178"/>
      <c r="T13" s="2284"/>
      <c r="U13" s="3163"/>
      <c r="V13" s="3163"/>
      <c r="W13" s="1595">
        <v>56000000</v>
      </c>
      <c r="X13" s="1540" t="s">
        <v>2353</v>
      </c>
      <c r="Y13" s="948">
        <v>20</v>
      </c>
      <c r="Z13" s="1491" t="s">
        <v>2351</v>
      </c>
      <c r="AA13" s="2503"/>
      <c r="AB13" s="2503"/>
      <c r="AC13" s="2503"/>
      <c r="AD13" s="2503"/>
      <c r="AE13" s="2503"/>
      <c r="AF13" s="2503"/>
      <c r="AG13" s="2463"/>
      <c r="AH13" s="2503"/>
      <c r="AI13" s="2503"/>
      <c r="AJ13" s="2503"/>
      <c r="AK13" s="2503"/>
      <c r="AL13" s="2503"/>
      <c r="AM13" s="2503"/>
      <c r="AN13" s="2503"/>
      <c r="AO13" s="2503"/>
      <c r="AP13" s="2503"/>
      <c r="AQ13" s="3170"/>
      <c r="AR13" s="3020"/>
    </row>
    <row r="14" spans="1:64" s="3" customFormat="1" ht="95.25" customHeight="1" x14ac:dyDescent="0.25">
      <c r="A14" s="2431"/>
      <c r="B14" s="2432"/>
      <c r="C14" s="2438"/>
      <c r="D14" s="2439"/>
      <c r="E14" s="3151"/>
      <c r="F14" s="3152"/>
      <c r="G14" s="1496">
        <v>1702007</v>
      </c>
      <c r="H14" s="1500" t="s">
        <v>2354</v>
      </c>
      <c r="I14" s="1496">
        <v>1702007</v>
      </c>
      <c r="J14" s="1500" t="s">
        <v>2354</v>
      </c>
      <c r="K14" s="1596">
        <v>170200700</v>
      </c>
      <c r="L14" s="1597" t="s">
        <v>2355</v>
      </c>
      <c r="M14" s="1596">
        <v>170200700</v>
      </c>
      <c r="N14" s="1597" t="s">
        <v>2355</v>
      </c>
      <c r="O14" s="1598">
        <v>4</v>
      </c>
      <c r="P14" s="3174"/>
      <c r="Q14" s="2459"/>
      <c r="R14" s="1530">
        <f>W14/S12</f>
        <v>0.16644113667117727</v>
      </c>
      <c r="S14" s="3178"/>
      <c r="T14" s="2284"/>
      <c r="U14" s="1471" t="s">
        <v>2356</v>
      </c>
      <c r="V14" s="1471" t="s">
        <v>2357</v>
      </c>
      <c r="W14" s="1595">
        <v>123000000</v>
      </c>
      <c r="X14" s="1540" t="s">
        <v>2358</v>
      </c>
      <c r="Y14" s="948">
        <v>20</v>
      </c>
      <c r="Z14" s="1491" t="s">
        <v>2351</v>
      </c>
      <c r="AA14" s="2503"/>
      <c r="AB14" s="2503"/>
      <c r="AC14" s="2503"/>
      <c r="AD14" s="2503"/>
      <c r="AE14" s="2503"/>
      <c r="AF14" s="2503"/>
      <c r="AG14" s="2463"/>
      <c r="AH14" s="2503"/>
      <c r="AI14" s="2503"/>
      <c r="AJ14" s="2503"/>
      <c r="AK14" s="2503"/>
      <c r="AL14" s="2503"/>
      <c r="AM14" s="2503"/>
      <c r="AN14" s="2503"/>
      <c r="AO14" s="2503"/>
      <c r="AP14" s="2503"/>
      <c r="AQ14" s="3170"/>
      <c r="AR14" s="3020"/>
    </row>
    <row r="15" spans="1:64" s="3" customFormat="1" ht="53.25" customHeight="1" x14ac:dyDescent="0.25">
      <c r="A15" s="2431"/>
      <c r="B15" s="2432"/>
      <c r="C15" s="2438"/>
      <c r="D15" s="2439"/>
      <c r="E15" s="3151"/>
      <c r="F15" s="3152"/>
      <c r="G15" s="1599">
        <v>1702009</v>
      </c>
      <c r="H15" s="1600" t="s">
        <v>2359</v>
      </c>
      <c r="I15" s="2415">
        <v>1702009</v>
      </c>
      <c r="J15" s="3166" t="s">
        <v>2359</v>
      </c>
      <c r="K15" s="3168">
        <v>170200900</v>
      </c>
      <c r="L15" s="3158" t="s">
        <v>2360</v>
      </c>
      <c r="M15" s="3168">
        <v>170200900</v>
      </c>
      <c r="N15" s="3158" t="s">
        <v>2360</v>
      </c>
      <c r="O15" s="3180">
        <v>168</v>
      </c>
      <c r="P15" s="3174"/>
      <c r="Q15" s="2459"/>
      <c r="R15" s="3182">
        <f>+(W15+W16)/S12</f>
        <v>0.52774018944519618</v>
      </c>
      <c r="S15" s="3178"/>
      <c r="T15" s="2284"/>
      <c r="U15" s="2196" t="s">
        <v>2361</v>
      </c>
      <c r="V15" s="2196" t="s">
        <v>2362</v>
      </c>
      <c r="W15" s="1595">
        <v>90000000</v>
      </c>
      <c r="X15" s="1540" t="s">
        <v>2363</v>
      </c>
      <c r="Y15" s="948">
        <v>20</v>
      </c>
      <c r="Z15" s="1491" t="s">
        <v>2351</v>
      </c>
      <c r="AA15" s="2503"/>
      <c r="AB15" s="2503"/>
      <c r="AC15" s="2503"/>
      <c r="AD15" s="2503"/>
      <c r="AE15" s="2503"/>
      <c r="AF15" s="2503"/>
      <c r="AG15" s="2463"/>
      <c r="AH15" s="2503"/>
      <c r="AI15" s="2503"/>
      <c r="AJ15" s="2503"/>
      <c r="AK15" s="2503"/>
      <c r="AL15" s="2503"/>
      <c r="AM15" s="2503"/>
      <c r="AN15" s="2503"/>
      <c r="AO15" s="2503"/>
      <c r="AP15" s="2503"/>
      <c r="AQ15" s="3170"/>
      <c r="AR15" s="3020"/>
    </row>
    <row r="16" spans="1:64" s="3" customFormat="1" ht="53.25" customHeight="1" x14ac:dyDescent="0.25">
      <c r="A16" s="2431"/>
      <c r="B16" s="2432"/>
      <c r="C16" s="2438"/>
      <c r="D16" s="2439"/>
      <c r="E16" s="3151"/>
      <c r="F16" s="3152"/>
      <c r="G16" s="1601"/>
      <c r="H16" s="1602"/>
      <c r="I16" s="2417"/>
      <c r="J16" s="3167"/>
      <c r="K16" s="3169"/>
      <c r="L16" s="3160"/>
      <c r="M16" s="3169"/>
      <c r="N16" s="3160"/>
      <c r="O16" s="3181"/>
      <c r="P16" s="3175"/>
      <c r="Q16" s="2460"/>
      <c r="R16" s="3183"/>
      <c r="S16" s="3179"/>
      <c r="T16" s="2285"/>
      <c r="U16" s="3163"/>
      <c r="V16" s="3163"/>
      <c r="W16" s="1595">
        <v>300000000</v>
      </c>
      <c r="X16" s="1540" t="s">
        <v>2364</v>
      </c>
      <c r="Y16" s="952">
        <v>195</v>
      </c>
      <c r="Z16" s="1488" t="s">
        <v>2365</v>
      </c>
      <c r="AA16" s="2504"/>
      <c r="AB16" s="2504"/>
      <c r="AC16" s="2504"/>
      <c r="AD16" s="2504"/>
      <c r="AE16" s="2504"/>
      <c r="AF16" s="2504"/>
      <c r="AG16" s="2463"/>
      <c r="AH16" s="2504"/>
      <c r="AI16" s="2504"/>
      <c r="AJ16" s="2504"/>
      <c r="AK16" s="2504"/>
      <c r="AL16" s="2504"/>
      <c r="AM16" s="2504"/>
      <c r="AN16" s="2504"/>
      <c r="AO16" s="2504"/>
      <c r="AP16" s="2504"/>
      <c r="AQ16" s="3171"/>
      <c r="AR16" s="3058"/>
    </row>
    <row r="17" spans="1:44" ht="52.5" customHeight="1" x14ac:dyDescent="0.25">
      <c r="A17" s="2431"/>
      <c r="B17" s="2432"/>
      <c r="C17" s="2438"/>
      <c r="D17" s="2439"/>
      <c r="E17" s="3151"/>
      <c r="F17" s="3152"/>
      <c r="G17" s="3155">
        <v>1702017</v>
      </c>
      <c r="H17" s="3158" t="s">
        <v>2366</v>
      </c>
      <c r="I17" s="3155">
        <v>1702017</v>
      </c>
      <c r="J17" s="3158" t="s">
        <v>2366</v>
      </c>
      <c r="K17" s="2755" t="s">
        <v>2367</v>
      </c>
      <c r="L17" s="3158" t="s">
        <v>2368</v>
      </c>
      <c r="M17" s="2755" t="s">
        <v>2367</v>
      </c>
      <c r="N17" s="3158" t="s">
        <v>2368</v>
      </c>
      <c r="O17" s="3184">
        <v>750</v>
      </c>
      <c r="P17" s="3187" t="s">
        <v>2369</v>
      </c>
      <c r="Q17" s="2330" t="s">
        <v>2370</v>
      </c>
      <c r="R17" s="3182">
        <f>SUM(W17:W19)/S17</f>
        <v>0.87737064405377529</v>
      </c>
      <c r="S17" s="3194">
        <f>SUM(W17:W21)</f>
        <v>530052526.97000003</v>
      </c>
      <c r="T17" s="2458" t="s">
        <v>2371</v>
      </c>
      <c r="U17" s="2196" t="s">
        <v>2372</v>
      </c>
      <c r="V17" s="2320" t="s">
        <v>2373</v>
      </c>
      <c r="W17" s="1595">
        <v>90000000</v>
      </c>
      <c r="X17" s="1540" t="s">
        <v>2374</v>
      </c>
      <c r="Y17" s="1518">
        <v>20</v>
      </c>
      <c r="Z17" s="1512" t="s">
        <v>2351</v>
      </c>
      <c r="AA17" s="2502">
        <v>25</v>
      </c>
      <c r="AB17" s="2502">
        <v>25</v>
      </c>
      <c r="AC17" s="2502">
        <v>10</v>
      </c>
      <c r="AD17" s="2502">
        <v>10</v>
      </c>
      <c r="AE17" s="2502">
        <v>20</v>
      </c>
      <c r="AF17" s="2502">
        <v>10</v>
      </c>
      <c r="AG17" s="2502">
        <v>2145</v>
      </c>
      <c r="AH17" s="2502">
        <v>12718</v>
      </c>
      <c r="AI17" s="2502">
        <v>26</v>
      </c>
      <c r="AJ17" s="2502"/>
      <c r="AK17" s="2502"/>
      <c r="AL17" s="2502"/>
      <c r="AM17" s="2502"/>
      <c r="AN17" s="2502"/>
      <c r="AO17" s="2502"/>
      <c r="AP17" s="2502">
        <v>50</v>
      </c>
      <c r="AQ17" s="3189">
        <v>44211</v>
      </c>
      <c r="AR17" s="3019" t="s">
        <v>2352</v>
      </c>
    </row>
    <row r="18" spans="1:44" ht="52.5" customHeight="1" x14ac:dyDescent="0.25">
      <c r="A18" s="2431"/>
      <c r="B18" s="2432"/>
      <c r="C18" s="2438"/>
      <c r="D18" s="2439"/>
      <c r="E18" s="3151"/>
      <c r="F18" s="3152"/>
      <c r="G18" s="3156"/>
      <c r="H18" s="3159"/>
      <c r="I18" s="3156"/>
      <c r="J18" s="3159"/>
      <c r="K18" s="2754"/>
      <c r="L18" s="3159"/>
      <c r="M18" s="2754"/>
      <c r="N18" s="3159"/>
      <c r="O18" s="3185"/>
      <c r="P18" s="3187"/>
      <c r="Q18" s="2330"/>
      <c r="R18" s="3188"/>
      <c r="S18" s="3194"/>
      <c r="T18" s="2459"/>
      <c r="U18" s="3162"/>
      <c r="V18" s="3164"/>
      <c r="W18" s="1595">
        <v>40000000</v>
      </c>
      <c r="X18" s="1540" t="s">
        <v>2375</v>
      </c>
      <c r="Y18" s="1518">
        <v>20</v>
      </c>
      <c r="Z18" s="1512" t="s">
        <v>2351</v>
      </c>
      <c r="AA18" s="2503"/>
      <c r="AB18" s="2503"/>
      <c r="AC18" s="2503"/>
      <c r="AD18" s="2503"/>
      <c r="AE18" s="2503"/>
      <c r="AF18" s="2503"/>
      <c r="AG18" s="2503"/>
      <c r="AH18" s="2503"/>
      <c r="AI18" s="2503"/>
      <c r="AJ18" s="2503"/>
      <c r="AK18" s="2503"/>
      <c r="AL18" s="2503"/>
      <c r="AM18" s="2503"/>
      <c r="AN18" s="2503"/>
      <c r="AO18" s="2503"/>
      <c r="AP18" s="2503"/>
      <c r="AQ18" s="3190"/>
      <c r="AR18" s="3020"/>
    </row>
    <row r="19" spans="1:44" ht="52.5" customHeight="1" x14ac:dyDescent="0.25">
      <c r="A19" s="2431"/>
      <c r="B19" s="2432"/>
      <c r="C19" s="2438"/>
      <c r="D19" s="2439"/>
      <c r="E19" s="3151"/>
      <c r="F19" s="3152"/>
      <c r="G19" s="3157"/>
      <c r="H19" s="3160"/>
      <c r="I19" s="3157"/>
      <c r="J19" s="3160"/>
      <c r="K19" s="2753"/>
      <c r="L19" s="3160"/>
      <c r="M19" s="2753"/>
      <c r="N19" s="3160"/>
      <c r="O19" s="3186"/>
      <c r="P19" s="3187"/>
      <c r="Q19" s="2330"/>
      <c r="R19" s="3183"/>
      <c r="S19" s="3194"/>
      <c r="T19" s="2459"/>
      <c r="U19" s="3163"/>
      <c r="V19" s="3165"/>
      <c r="W19" s="1595">
        <v>335052526.97000003</v>
      </c>
      <c r="X19" s="1540" t="s">
        <v>2376</v>
      </c>
      <c r="Y19" s="1518">
        <v>88</v>
      </c>
      <c r="Z19" s="1512" t="s">
        <v>374</v>
      </c>
      <c r="AA19" s="2503"/>
      <c r="AB19" s="2503"/>
      <c r="AC19" s="2503"/>
      <c r="AD19" s="2503"/>
      <c r="AE19" s="2503"/>
      <c r="AF19" s="2503"/>
      <c r="AG19" s="2503"/>
      <c r="AH19" s="2503"/>
      <c r="AI19" s="2503"/>
      <c r="AJ19" s="2503"/>
      <c r="AK19" s="2503"/>
      <c r="AL19" s="2503"/>
      <c r="AM19" s="2503"/>
      <c r="AN19" s="2503"/>
      <c r="AO19" s="2503"/>
      <c r="AP19" s="2503"/>
      <c r="AQ19" s="3190"/>
      <c r="AR19" s="3020"/>
    </row>
    <row r="20" spans="1:44" ht="52.5" customHeight="1" x14ac:dyDescent="0.25">
      <c r="A20" s="2431"/>
      <c r="B20" s="2432"/>
      <c r="C20" s="2438"/>
      <c r="D20" s="2439"/>
      <c r="E20" s="3151"/>
      <c r="F20" s="3152"/>
      <c r="G20" s="1496">
        <v>1702014</v>
      </c>
      <c r="H20" s="1500" t="s">
        <v>2377</v>
      </c>
      <c r="I20" s="1496">
        <v>1702014</v>
      </c>
      <c r="J20" s="1500" t="s">
        <v>2377</v>
      </c>
      <c r="K20" s="1498" t="s">
        <v>2378</v>
      </c>
      <c r="L20" s="1597" t="s">
        <v>2379</v>
      </c>
      <c r="M20" s="1498" t="s">
        <v>2378</v>
      </c>
      <c r="N20" s="1597" t="s">
        <v>2379</v>
      </c>
      <c r="O20" s="1598">
        <v>25</v>
      </c>
      <c r="P20" s="3187"/>
      <c r="Q20" s="2330"/>
      <c r="R20" s="1530">
        <f>+W20/S17</f>
        <v>8.4897246424309403E-2</v>
      </c>
      <c r="S20" s="3194"/>
      <c r="T20" s="2459"/>
      <c r="U20" s="1482" t="s">
        <v>2380</v>
      </c>
      <c r="V20" s="1484" t="s">
        <v>2381</v>
      </c>
      <c r="W20" s="1595">
        <v>45000000</v>
      </c>
      <c r="X20" s="1540" t="s">
        <v>2382</v>
      </c>
      <c r="Y20" s="1525">
        <v>20</v>
      </c>
      <c r="Z20" s="1489" t="s">
        <v>2351</v>
      </c>
      <c r="AA20" s="2503"/>
      <c r="AB20" s="2503"/>
      <c r="AC20" s="2503"/>
      <c r="AD20" s="2503"/>
      <c r="AE20" s="2503"/>
      <c r="AF20" s="2503"/>
      <c r="AG20" s="2503"/>
      <c r="AH20" s="2503"/>
      <c r="AI20" s="2503"/>
      <c r="AJ20" s="2503"/>
      <c r="AK20" s="2503"/>
      <c r="AL20" s="2503"/>
      <c r="AM20" s="2503"/>
      <c r="AN20" s="2503"/>
      <c r="AO20" s="2503"/>
      <c r="AP20" s="2503"/>
      <c r="AQ20" s="3190"/>
      <c r="AR20" s="3020"/>
    </row>
    <row r="21" spans="1:44" ht="77.25" customHeight="1" x14ac:dyDescent="0.25">
      <c r="A21" s="2431"/>
      <c r="B21" s="2432"/>
      <c r="C21" s="2438"/>
      <c r="D21" s="2439"/>
      <c r="E21" s="3151"/>
      <c r="F21" s="3152"/>
      <c r="G21" s="1496">
        <v>1702021</v>
      </c>
      <c r="H21" s="1500" t="s">
        <v>2383</v>
      </c>
      <c r="I21" s="1496">
        <v>1702021</v>
      </c>
      <c r="J21" s="1500" t="s">
        <v>2383</v>
      </c>
      <c r="K21" s="1498" t="s">
        <v>2384</v>
      </c>
      <c r="L21" s="1597" t="s">
        <v>2385</v>
      </c>
      <c r="M21" s="1498" t="s">
        <v>2384</v>
      </c>
      <c r="N21" s="1597" t="s">
        <v>2385</v>
      </c>
      <c r="O21" s="1598">
        <v>150</v>
      </c>
      <c r="P21" s="3187"/>
      <c r="Q21" s="2330"/>
      <c r="R21" s="1530">
        <f>+W21/S17</f>
        <v>3.7732109521915289E-2</v>
      </c>
      <c r="S21" s="3194"/>
      <c r="T21" s="2460"/>
      <c r="U21" s="1482" t="s">
        <v>2386</v>
      </c>
      <c r="V21" s="1484" t="s">
        <v>2387</v>
      </c>
      <c r="W21" s="1595">
        <v>20000000</v>
      </c>
      <c r="X21" s="1540" t="s">
        <v>2388</v>
      </c>
      <c r="Y21" s="948">
        <v>20</v>
      </c>
      <c r="Z21" s="1491" t="s">
        <v>2351</v>
      </c>
      <c r="AA21" s="2504"/>
      <c r="AB21" s="2504"/>
      <c r="AC21" s="2504"/>
      <c r="AD21" s="2504"/>
      <c r="AE21" s="2504"/>
      <c r="AF21" s="2504"/>
      <c r="AG21" s="2504"/>
      <c r="AH21" s="2504"/>
      <c r="AI21" s="2504"/>
      <c r="AJ21" s="2504"/>
      <c r="AK21" s="2504"/>
      <c r="AL21" s="2504"/>
      <c r="AM21" s="2504"/>
      <c r="AN21" s="2504"/>
      <c r="AO21" s="2504"/>
      <c r="AP21" s="2504"/>
      <c r="AQ21" s="3191"/>
      <c r="AR21" s="3058"/>
    </row>
    <row r="22" spans="1:44" ht="52.5" customHeight="1" x14ac:dyDescent="0.25">
      <c r="A22" s="2431"/>
      <c r="B22" s="2432"/>
      <c r="C22" s="2438"/>
      <c r="D22" s="2439"/>
      <c r="E22" s="3151"/>
      <c r="F22" s="3152"/>
      <c r="G22" s="2415">
        <v>1702038</v>
      </c>
      <c r="H22" s="2560" t="s">
        <v>2389</v>
      </c>
      <c r="I22" s="2415">
        <v>1702038</v>
      </c>
      <c r="J22" s="2560" t="s">
        <v>2389</v>
      </c>
      <c r="K22" s="3192" t="s">
        <v>2390</v>
      </c>
      <c r="L22" s="2515" t="s">
        <v>2391</v>
      </c>
      <c r="M22" s="3192" t="s">
        <v>2390</v>
      </c>
      <c r="N22" s="2515" t="s">
        <v>2391</v>
      </c>
      <c r="O22" s="3180">
        <v>30</v>
      </c>
      <c r="P22" s="3187" t="s">
        <v>2392</v>
      </c>
      <c r="Q22" s="2330" t="s">
        <v>2393</v>
      </c>
      <c r="R22" s="3198">
        <f>+(W22+W23+W24)/S22</f>
        <v>1</v>
      </c>
      <c r="S22" s="3194">
        <f>SUM(W22:W24)</f>
        <v>188606585.66</v>
      </c>
      <c r="T22" s="2458" t="s">
        <v>2394</v>
      </c>
      <c r="U22" s="2458" t="s">
        <v>2395</v>
      </c>
      <c r="V22" s="2320" t="s">
        <v>2396</v>
      </c>
      <c r="W22" s="1595">
        <v>65000000</v>
      </c>
      <c r="X22" s="1540" t="s">
        <v>2397</v>
      </c>
      <c r="Y22" s="948">
        <v>20</v>
      </c>
      <c r="Z22" s="1491" t="s">
        <v>2351</v>
      </c>
      <c r="AA22" s="3195">
        <v>480</v>
      </c>
      <c r="AB22" s="3195">
        <v>500</v>
      </c>
      <c r="AC22" s="3195"/>
      <c r="AD22" s="3195">
        <v>150</v>
      </c>
      <c r="AE22" s="3195">
        <v>680</v>
      </c>
      <c r="AF22" s="3195">
        <v>150</v>
      </c>
      <c r="AG22" s="3195"/>
      <c r="AH22" s="3195"/>
      <c r="AI22" s="3195"/>
      <c r="AJ22" s="3195"/>
      <c r="AK22" s="3195"/>
      <c r="AL22" s="3195"/>
      <c r="AM22" s="3195"/>
      <c r="AN22" s="3195"/>
      <c r="AO22" s="3195"/>
      <c r="AP22" s="3195">
        <v>980</v>
      </c>
      <c r="AQ22" s="3189">
        <v>44211</v>
      </c>
      <c r="AR22" s="3019" t="s">
        <v>2352</v>
      </c>
    </row>
    <row r="23" spans="1:44" ht="52.5" customHeight="1" x14ac:dyDescent="0.25">
      <c r="A23" s="2431"/>
      <c r="B23" s="2432"/>
      <c r="C23" s="2438"/>
      <c r="D23" s="2439"/>
      <c r="E23" s="3151"/>
      <c r="F23" s="3152"/>
      <c r="G23" s="2416"/>
      <c r="H23" s="2560"/>
      <c r="I23" s="2416"/>
      <c r="J23" s="2560"/>
      <c r="K23" s="3193"/>
      <c r="L23" s="2516"/>
      <c r="M23" s="3193"/>
      <c r="N23" s="2516"/>
      <c r="O23" s="3181"/>
      <c r="P23" s="3187"/>
      <c r="Q23" s="2330"/>
      <c r="R23" s="3198"/>
      <c r="S23" s="3194"/>
      <c r="T23" s="2459"/>
      <c r="U23" s="2459"/>
      <c r="V23" s="3165"/>
      <c r="W23" s="1595">
        <v>105606585.66</v>
      </c>
      <c r="X23" s="1540" t="s">
        <v>2398</v>
      </c>
      <c r="Y23" s="948">
        <v>195</v>
      </c>
      <c r="Z23" s="1488" t="s">
        <v>2365</v>
      </c>
      <c r="AA23" s="3196"/>
      <c r="AB23" s="3196"/>
      <c r="AC23" s="3196"/>
      <c r="AD23" s="3196"/>
      <c r="AE23" s="3196"/>
      <c r="AF23" s="3196"/>
      <c r="AG23" s="3196"/>
      <c r="AH23" s="3196"/>
      <c r="AI23" s="3196"/>
      <c r="AJ23" s="3196"/>
      <c r="AK23" s="3196"/>
      <c r="AL23" s="3196"/>
      <c r="AM23" s="3196"/>
      <c r="AN23" s="3196"/>
      <c r="AO23" s="3196"/>
      <c r="AP23" s="3196"/>
      <c r="AQ23" s="3190"/>
      <c r="AR23" s="3020"/>
    </row>
    <row r="24" spans="1:44" ht="52.5" customHeight="1" x14ac:dyDescent="0.25">
      <c r="A24" s="2431"/>
      <c r="B24" s="2432"/>
      <c r="C24" s="2438"/>
      <c r="D24" s="2439"/>
      <c r="E24" s="3151"/>
      <c r="F24" s="3152"/>
      <c r="G24" s="2417"/>
      <c r="H24" s="2560"/>
      <c r="I24" s="2417"/>
      <c r="J24" s="2560"/>
      <c r="K24" s="1495" t="s">
        <v>2399</v>
      </c>
      <c r="L24" s="1481" t="s">
        <v>2400</v>
      </c>
      <c r="M24" s="1495" t="s">
        <v>2399</v>
      </c>
      <c r="N24" s="1481" t="s">
        <v>2400</v>
      </c>
      <c r="O24" s="1598">
        <v>80</v>
      </c>
      <c r="P24" s="3187"/>
      <c r="Q24" s="2330"/>
      <c r="R24" s="3198"/>
      <c r="S24" s="3194"/>
      <c r="T24" s="2460"/>
      <c r="U24" s="2460"/>
      <c r="V24" s="1484" t="s">
        <v>2401</v>
      </c>
      <c r="W24" s="1595">
        <v>18000000</v>
      </c>
      <c r="X24" s="1540" t="s">
        <v>2397</v>
      </c>
      <c r="Y24" s="948">
        <v>20</v>
      </c>
      <c r="Z24" s="1491" t="s">
        <v>2351</v>
      </c>
      <c r="AA24" s="3197"/>
      <c r="AB24" s="3197"/>
      <c r="AC24" s="3197"/>
      <c r="AD24" s="3197"/>
      <c r="AE24" s="3197"/>
      <c r="AF24" s="3197"/>
      <c r="AG24" s="3197"/>
      <c r="AH24" s="3197"/>
      <c r="AI24" s="3197"/>
      <c r="AJ24" s="3197"/>
      <c r="AK24" s="3197"/>
      <c r="AL24" s="3197"/>
      <c r="AM24" s="3197"/>
      <c r="AN24" s="3197"/>
      <c r="AO24" s="3197"/>
      <c r="AP24" s="3197"/>
      <c r="AQ24" s="3191"/>
      <c r="AR24" s="3058"/>
    </row>
    <row r="25" spans="1:44" ht="52.5" customHeight="1" x14ac:dyDescent="0.25">
      <c r="A25" s="2431"/>
      <c r="B25" s="2432"/>
      <c r="C25" s="2438"/>
      <c r="D25" s="2439"/>
      <c r="E25" s="3151"/>
      <c r="F25" s="3152"/>
      <c r="G25" s="1496">
        <v>1702023</v>
      </c>
      <c r="H25" s="1500" t="s">
        <v>1337</v>
      </c>
      <c r="I25" s="1496">
        <v>1702023</v>
      </c>
      <c r="J25" s="1500" t="s">
        <v>1337</v>
      </c>
      <c r="K25" s="1495" t="s">
        <v>2402</v>
      </c>
      <c r="L25" s="1481" t="s">
        <v>2403</v>
      </c>
      <c r="M25" s="1495" t="s">
        <v>2402</v>
      </c>
      <c r="N25" s="1481" t="s">
        <v>2403</v>
      </c>
      <c r="O25" s="1598">
        <v>1</v>
      </c>
      <c r="P25" s="2449" t="s">
        <v>2404</v>
      </c>
      <c r="Q25" s="2330" t="s">
        <v>2405</v>
      </c>
      <c r="R25" s="1603">
        <f>W25/S25</f>
        <v>0.5</v>
      </c>
      <c r="S25" s="3194">
        <f>SUM(W25:W26)</f>
        <v>90000000</v>
      </c>
      <c r="T25" s="2458" t="s">
        <v>2405</v>
      </c>
      <c r="U25" s="1604" t="s">
        <v>2406</v>
      </c>
      <c r="V25" s="1538" t="s">
        <v>2407</v>
      </c>
      <c r="W25" s="1595">
        <v>45000000</v>
      </c>
      <c r="X25" s="1540" t="s">
        <v>2408</v>
      </c>
      <c r="Y25" s="948">
        <v>20</v>
      </c>
      <c r="Z25" s="1491" t="s">
        <v>2351</v>
      </c>
      <c r="AA25" s="3195">
        <v>65000</v>
      </c>
      <c r="AB25" s="3195">
        <v>65000</v>
      </c>
      <c r="AC25" s="3195">
        <v>22000</v>
      </c>
      <c r="AD25" s="3195">
        <v>14000</v>
      </c>
      <c r="AE25" s="3195">
        <v>79000</v>
      </c>
      <c r="AF25" s="3195">
        <v>15000</v>
      </c>
      <c r="AG25" s="3195"/>
      <c r="AH25" s="3195"/>
      <c r="AI25" s="3195"/>
      <c r="AJ25" s="3195"/>
      <c r="AK25" s="3195"/>
      <c r="AL25" s="3195"/>
      <c r="AM25" s="3195"/>
      <c r="AN25" s="3195"/>
      <c r="AO25" s="3195"/>
      <c r="AP25" s="3195">
        <v>130000</v>
      </c>
      <c r="AQ25" s="3189">
        <v>44211</v>
      </c>
      <c r="AR25" s="3019" t="s">
        <v>2352</v>
      </c>
    </row>
    <row r="26" spans="1:44" ht="52.5" customHeight="1" x14ac:dyDescent="0.25">
      <c r="A26" s="2431"/>
      <c r="B26" s="2432"/>
      <c r="C26" s="2438"/>
      <c r="D26" s="2439"/>
      <c r="E26" s="3151"/>
      <c r="F26" s="3152"/>
      <c r="G26" s="1496">
        <v>1702024</v>
      </c>
      <c r="H26" s="1500" t="s">
        <v>2409</v>
      </c>
      <c r="I26" s="1496">
        <v>1702024</v>
      </c>
      <c r="J26" s="1500" t="s">
        <v>2409</v>
      </c>
      <c r="K26" s="1498" t="s">
        <v>2410</v>
      </c>
      <c r="L26" s="1597" t="s">
        <v>2411</v>
      </c>
      <c r="M26" s="1498" t="s">
        <v>2410</v>
      </c>
      <c r="N26" s="1597" t="s">
        <v>2411</v>
      </c>
      <c r="O26" s="1598">
        <v>12</v>
      </c>
      <c r="P26" s="2449"/>
      <c r="Q26" s="2330"/>
      <c r="R26" s="1603">
        <f>W26/S25</f>
        <v>0.5</v>
      </c>
      <c r="S26" s="3194"/>
      <c r="T26" s="2460"/>
      <c r="U26" s="1604" t="s">
        <v>2412</v>
      </c>
      <c r="V26" s="1538" t="s">
        <v>2413</v>
      </c>
      <c r="W26" s="1595">
        <v>45000000</v>
      </c>
      <c r="X26" s="1540" t="s">
        <v>2414</v>
      </c>
      <c r="Y26" s="948">
        <v>20</v>
      </c>
      <c r="Z26" s="1491" t="s">
        <v>2351</v>
      </c>
      <c r="AA26" s="3197"/>
      <c r="AB26" s="3197"/>
      <c r="AC26" s="3197"/>
      <c r="AD26" s="3197"/>
      <c r="AE26" s="3197"/>
      <c r="AF26" s="3197"/>
      <c r="AG26" s="3197"/>
      <c r="AH26" s="3197"/>
      <c r="AI26" s="3197"/>
      <c r="AJ26" s="3197"/>
      <c r="AK26" s="3197"/>
      <c r="AL26" s="3197"/>
      <c r="AM26" s="3197"/>
      <c r="AN26" s="3197"/>
      <c r="AO26" s="3197"/>
      <c r="AP26" s="3197"/>
      <c r="AQ26" s="3191"/>
      <c r="AR26" s="3058"/>
    </row>
    <row r="27" spans="1:44" ht="52.5" customHeight="1" x14ac:dyDescent="0.25">
      <c r="A27" s="2431"/>
      <c r="B27" s="2432"/>
      <c r="C27" s="2438"/>
      <c r="D27" s="2439"/>
      <c r="E27" s="3153"/>
      <c r="F27" s="3154"/>
      <c r="G27" s="1496">
        <v>1702025</v>
      </c>
      <c r="H27" s="1500" t="s">
        <v>2415</v>
      </c>
      <c r="I27" s="1496">
        <v>1702025</v>
      </c>
      <c r="J27" s="1500" t="s">
        <v>2415</v>
      </c>
      <c r="K27" s="1498" t="s">
        <v>2416</v>
      </c>
      <c r="L27" s="1597" t="s">
        <v>2417</v>
      </c>
      <c r="M27" s="1498" t="s">
        <v>2416</v>
      </c>
      <c r="N27" s="1597" t="s">
        <v>2417</v>
      </c>
      <c r="O27" s="1598">
        <v>25</v>
      </c>
      <c r="P27" s="1504" t="s">
        <v>2418</v>
      </c>
      <c r="Q27" s="1481" t="s">
        <v>2419</v>
      </c>
      <c r="R27" s="1603">
        <f>W27/S27</f>
        <v>1</v>
      </c>
      <c r="S27" s="1605">
        <f>SUM(W27)</f>
        <v>27000000</v>
      </c>
      <c r="T27" s="1482" t="s">
        <v>2420</v>
      </c>
      <c r="U27" s="1482" t="s">
        <v>2421</v>
      </c>
      <c r="V27" s="1484" t="s">
        <v>2422</v>
      </c>
      <c r="W27" s="1595">
        <v>27000000</v>
      </c>
      <c r="X27" s="1540" t="s">
        <v>2423</v>
      </c>
      <c r="Y27" s="948">
        <v>20</v>
      </c>
      <c r="Z27" s="1491" t="s">
        <v>2351</v>
      </c>
      <c r="AA27" s="1497">
        <v>1057</v>
      </c>
      <c r="AB27" s="1497">
        <v>832</v>
      </c>
      <c r="AC27" s="1497">
        <v>253</v>
      </c>
      <c r="AD27" s="1497">
        <v>142</v>
      </c>
      <c r="AE27" s="1497">
        <v>1200</v>
      </c>
      <c r="AF27" s="1497">
        <v>663</v>
      </c>
      <c r="AG27" s="1497"/>
      <c r="AH27" s="1497"/>
      <c r="AI27" s="1497"/>
      <c r="AJ27" s="1497"/>
      <c r="AK27" s="1497"/>
      <c r="AL27" s="1497"/>
      <c r="AM27" s="1497">
        <v>582</v>
      </c>
      <c r="AN27" s="1497">
        <v>33</v>
      </c>
      <c r="AO27" s="1497">
        <v>51</v>
      </c>
      <c r="AP27" s="1497">
        <v>1889</v>
      </c>
      <c r="AQ27" s="1501">
        <v>44211</v>
      </c>
      <c r="AR27" s="1507" t="s">
        <v>2352</v>
      </c>
    </row>
    <row r="28" spans="1:44" ht="15.75" x14ac:dyDescent="0.25">
      <c r="A28" s="2431"/>
      <c r="B28" s="2432"/>
      <c r="C28" s="2438"/>
      <c r="D28" s="2439"/>
      <c r="E28" s="1594">
        <v>1703</v>
      </c>
      <c r="F28" s="1499" t="s">
        <v>2424</v>
      </c>
      <c r="G28" s="1499"/>
      <c r="H28" s="173"/>
      <c r="I28" s="1499"/>
      <c r="J28" s="173"/>
      <c r="K28" s="1499"/>
      <c r="L28" s="173"/>
      <c r="M28" s="1499"/>
      <c r="N28" s="173"/>
      <c r="O28" s="169"/>
      <c r="P28" s="169"/>
      <c r="Q28" s="173"/>
      <c r="R28" s="171"/>
      <c r="S28" s="1606"/>
      <c r="T28" s="173"/>
      <c r="U28" s="173"/>
      <c r="V28" s="1607"/>
      <c r="W28" s="483"/>
      <c r="X28" s="942"/>
      <c r="Y28" s="1608"/>
      <c r="Z28" s="965"/>
      <c r="AA28" s="964"/>
      <c r="AB28" s="964"/>
      <c r="AC28" s="964"/>
      <c r="AD28" s="964"/>
      <c r="AE28" s="964"/>
      <c r="AF28" s="964"/>
      <c r="AG28" s="964"/>
      <c r="AH28" s="964"/>
      <c r="AI28" s="964"/>
      <c r="AJ28" s="964"/>
      <c r="AK28" s="964"/>
      <c r="AL28" s="964"/>
      <c r="AM28" s="964"/>
      <c r="AN28" s="964"/>
      <c r="AO28" s="964"/>
      <c r="AP28" s="964"/>
      <c r="AQ28" s="1609"/>
      <c r="AR28" s="496"/>
    </row>
    <row r="29" spans="1:44" ht="37.5" customHeight="1" x14ac:dyDescent="0.25">
      <c r="A29" s="2431"/>
      <c r="B29" s="2432"/>
      <c r="C29" s="2438"/>
      <c r="D29" s="2439"/>
      <c r="E29" s="3199"/>
      <c r="F29" s="3200"/>
      <c r="G29" s="2415">
        <v>1703013</v>
      </c>
      <c r="H29" s="3166" t="s">
        <v>2425</v>
      </c>
      <c r="I29" s="2415">
        <v>1703013</v>
      </c>
      <c r="J29" s="3166" t="s">
        <v>2425</v>
      </c>
      <c r="K29" s="3203" t="s">
        <v>2426</v>
      </c>
      <c r="L29" s="2458" t="s">
        <v>2427</v>
      </c>
      <c r="M29" s="3203" t="s">
        <v>2426</v>
      </c>
      <c r="N29" s="2458" t="s">
        <v>2427</v>
      </c>
      <c r="O29" s="3180">
        <v>100</v>
      </c>
      <c r="P29" s="2229" t="s">
        <v>2428</v>
      </c>
      <c r="Q29" s="2458" t="s">
        <v>2429</v>
      </c>
      <c r="R29" s="3209">
        <f>+(W29+W30)/S29</f>
        <v>1</v>
      </c>
      <c r="S29" s="3211">
        <f>SUM(W29:W30)</f>
        <v>325000000</v>
      </c>
      <c r="T29" s="2458" t="s">
        <v>2430</v>
      </c>
      <c r="U29" s="2458" t="s">
        <v>2431</v>
      </c>
      <c r="V29" s="2324" t="s">
        <v>2432</v>
      </c>
      <c r="W29" s="1610">
        <v>75000000</v>
      </c>
      <c r="X29" s="1540" t="s">
        <v>2433</v>
      </c>
      <c r="Y29" s="1518">
        <v>20</v>
      </c>
      <c r="Z29" s="1509" t="s">
        <v>2351</v>
      </c>
      <c r="AA29" s="3207">
        <v>270331</v>
      </c>
      <c r="AB29" s="3207">
        <v>291286</v>
      </c>
      <c r="AC29" s="3207">
        <v>102045</v>
      </c>
      <c r="AD29" s="3207">
        <v>141228</v>
      </c>
      <c r="AE29" s="3207">
        <v>310195</v>
      </c>
      <c r="AF29" s="3207">
        <v>110694</v>
      </c>
      <c r="AG29" s="3207"/>
      <c r="AH29" s="3207"/>
      <c r="AI29" s="3207"/>
      <c r="AJ29" s="1611"/>
      <c r="AK29" s="3207"/>
      <c r="AL29" s="3207"/>
      <c r="AM29" s="3207"/>
      <c r="AN29" s="3207"/>
      <c r="AO29" s="3207"/>
      <c r="AP29" s="3207">
        <v>562117</v>
      </c>
      <c r="AQ29" s="3017">
        <v>44211</v>
      </c>
      <c r="AR29" s="3019" t="s">
        <v>2352</v>
      </c>
    </row>
    <row r="30" spans="1:44" ht="37.5" customHeight="1" x14ac:dyDescent="0.25">
      <c r="A30" s="2431"/>
      <c r="B30" s="2432"/>
      <c r="C30" s="2438"/>
      <c r="D30" s="2439"/>
      <c r="E30" s="3201"/>
      <c r="F30" s="3202"/>
      <c r="G30" s="2417"/>
      <c r="H30" s="3167"/>
      <c r="I30" s="2417"/>
      <c r="J30" s="3167"/>
      <c r="K30" s="3204"/>
      <c r="L30" s="2460"/>
      <c r="M30" s="3204"/>
      <c r="N30" s="2460"/>
      <c r="O30" s="3181"/>
      <c r="P30" s="2231"/>
      <c r="Q30" s="2460"/>
      <c r="R30" s="3210"/>
      <c r="S30" s="3212"/>
      <c r="T30" s="2460"/>
      <c r="U30" s="2460"/>
      <c r="V30" s="2324"/>
      <c r="W30" s="1595">
        <v>250000000</v>
      </c>
      <c r="X30" s="1540" t="s">
        <v>2434</v>
      </c>
      <c r="Y30" s="1612">
        <v>195</v>
      </c>
      <c r="Z30" s="1512" t="s">
        <v>2365</v>
      </c>
      <c r="AA30" s="3208"/>
      <c r="AB30" s="3208"/>
      <c r="AC30" s="3208"/>
      <c r="AD30" s="3208"/>
      <c r="AE30" s="3208"/>
      <c r="AF30" s="3208"/>
      <c r="AG30" s="3208"/>
      <c r="AH30" s="3208"/>
      <c r="AI30" s="3208"/>
      <c r="AJ30" s="1613"/>
      <c r="AK30" s="3208"/>
      <c r="AL30" s="3208"/>
      <c r="AM30" s="3208"/>
      <c r="AN30" s="3208"/>
      <c r="AO30" s="3208"/>
      <c r="AP30" s="3208"/>
      <c r="AQ30" s="3057"/>
      <c r="AR30" s="3058"/>
    </row>
    <row r="31" spans="1:44" ht="15.75" x14ac:dyDescent="0.25">
      <c r="A31" s="2431"/>
      <c r="B31" s="2432"/>
      <c r="C31" s="2438"/>
      <c r="D31" s="2439"/>
      <c r="E31" s="1594">
        <v>1704</v>
      </c>
      <c r="F31" s="2442" t="s">
        <v>2435</v>
      </c>
      <c r="G31" s="2442"/>
      <c r="H31" s="2442"/>
      <c r="I31" s="2442"/>
      <c r="J31" s="2442"/>
      <c r="K31" s="2442"/>
      <c r="L31" s="2442"/>
      <c r="M31" s="2442"/>
      <c r="N31" s="173"/>
      <c r="O31" s="169"/>
      <c r="P31" s="169"/>
      <c r="Q31" s="173"/>
      <c r="R31" s="171"/>
      <c r="S31" s="1606"/>
      <c r="T31" s="173"/>
      <c r="U31" s="173"/>
      <c r="V31" s="1614"/>
      <c r="W31" s="483"/>
      <c r="X31" s="942"/>
      <c r="Y31" s="943"/>
      <c r="Z31" s="680"/>
      <c r="AA31" s="680"/>
      <c r="AB31" s="680"/>
      <c r="AC31" s="680"/>
      <c r="AD31" s="680"/>
      <c r="AE31" s="680"/>
      <c r="AF31" s="680"/>
      <c r="AG31" s="680"/>
      <c r="AH31" s="680"/>
      <c r="AI31" s="680"/>
      <c r="AJ31" s="680"/>
      <c r="AK31" s="680"/>
      <c r="AL31" s="680"/>
      <c r="AM31" s="680"/>
      <c r="AN31" s="680"/>
      <c r="AO31" s="680"/>
      <c r="AP31" s="680"/>
      <c r="AQ31" s="944"/>
      <c r="AR31" s="945"/>
    </row>
    <row r="32" spans="1:44" ht="57.75" customHeight="1" x14ac:dyDescent="0.25">
      <c r="A32" s="2431"/>
      <c r="B32" s="2432"/>
      <c r="C32" s="2438"/>
      <c r="D32" s="2439"/>
      <c r="E32" s="3199"/>
      <c r="F32" s="3200"/>
      <c r="G32" s="1496">
        <v>1704002</v>
      </c>
      <c r="H32" s="1503" t="s">
        <v>242</v>
      </c>
      <c r="I32" s="1496">
        <v>1704002</v>
      </c>
      <c r="J32" s="1503" t="s">
        <v>242</v>
      </c>
      <c r="K32" s="1502" t="s">
        <v>2436</v>
      </c>
      <c r="L32" s="1486" t="s">
        <v>2437</v>
      </c>
      <c r="M32" s="1502" t="s">
        <v>2436</v>
      </c>
      <c r="N32" s="1486" t="s">
        <v>2437</v>
      </c>
      <c r="O32" s="1479">
        <v>1</v>
      </c>
      <c r="P32" s="3205" t="s">
        <v>2438</v>
      </c>
      <c r="Q32" s="2257" t="s">
        <v>2439</v>
      </c>
      <c r="R32" s="1603">
        <f>W32/S32</f>
        <v>0.6</v>
      </c>
      <c r="S32" s="3206">
        <f>SUM(W32:W33)</f>
        <v>70000000</v>
      </c>
      <c r="T32" s="2458" t="s">
        <v>2440</v>
      </c>
      <c r="U32" s="1482" t="s">
        <v>2441</v>
      </c>
      <c r="V32" s="1484" t="s">
        <v>2442</v>
      </c>
      <c r="W32" s="1615">
        <v>42000000</v>
      </c>
      <c r="X32" s="1540" t="s">
        <v>2443</v>
      </c>
      <c r="Y32" s="948">
        <v>20</v>
      </c>
      <c r="Z32" s="1491" t="s">
        <v>2351</v>
      </c>
      <c r="AA32" s="3195">
        <v>295972</v>
      </c>
      <c r="AB32" s="3195">
        <v>285580</v>
      </c>
      <c r="AC32" s="3195">
        <v>135545</v>
      </c>
      <c r="AD32" s="3195">
        <v>44254</v>
      </c>
      <c r="AE32" s="3195">
        <v>309146</v>
      </c>
      <c r="AF32" s="3195">
        <v>92607</v>
      </c>
      <c r="AG32" s="3195"/>
      <c r="AH32" s="3195"/>
      <c r="AI32" s="3195"/>
      <c r="AJ32" s="3195"/>
      <c r="AK32" s="3195"/>
      <c r="AL32" s="3195"/>
      <c r="AM32" s="3195">
        <v>44350</v>
      </c>
      <c r="AN32" s="3195">
        <v>21944</v>
      </c>
      <c r="AO32" s="3195"/>
      <c r="AP32" s="3195">
        <v>581552</v>
      </c>
      <c r="AQ32" s="3189">
        <v>44211</v>
      </c>
      <c r="AR32" s="3019" t="s">
        <v>2352</v>
      </c>
    </row>
    <row r="33" spans="1:44" ht="57.75" customHeight="1" x14ac:dyDescent="0.25">
      <c r="A33" s="2431"/>
      <c r="B33" s="2432"/>
      <c r="C33" s="2438"/>
      <c r="D33" s="2439"/>
      <c r="E33" s="3201"/>
      <c r="F33" s="3202"/>
      <c r="G33" s="1496">
        <v>1704017</v>
      </c>
      <c r="H33" s="1503" t="s">
        <v>2444</v>
      </c>
      <c r="I33" s="1496">
        <v>1704017</v>
      </c>
      <c r="J33" s="1503" t="s">
        <v>2444</v>
      </c>
      <c r="K33" s="1502" t="s">
        <v>2445</v>
      </c>
      <c r="L33" s="1486" t="s">
        <v>2446</v>
      </c>
      <c r="M33" s="1502" t="s">
        <v>2445</v>
      </c>
      <c r="N33" s="1486" t="s">
        <v>2446</v>
      </c>
      <c r="O33" s="1479">
        <v>150</v>
      </c>
      <c r="P33" s="3205"/>
      <c r="Q33" s="2257"/>
      <c r="R33" s="1603">
        <f>W33/S32</f>
        <v>0.4</v>
      </c>
      <c r="S33" s="3206"/>
      <c r="T33" s="2460"/>
      <c r="U33" s="1482" t="s">
        <v>2447</v>
      </c>
      <c r="V33" s="1484" t="s">
        <v>2448</v>
      </c>
      <c r="W33" s="1615">
        <v>28000000</v>
      </c>
      <c r="X33" s="1540" t="s">
        <v>2449</v>
      </c>
      <c r="Y33" s="948">
        <v>20</v>
      </c>
      <c r="Z33" s="1491" t="s">
        <v>2351</v>
      </c>
      <c r="AA33" s="3197"/>
      <c r="AB33" s="3197"/>
      <c r="AC33" s="3197"/>
      <c r="AD33" s="3197"/>
      <c r="AE33" s="3197"/>
      <c r="AF33" s="3197"/>
      <c r="AG33" s="3197"/>
      <c r="AH33" s="3197"/>
      <c r="AI33" s="3197"/>
      <c r="AJ33" s="3197"/>
      <c r="AK33" s="3197"/>
      <c r="AL33" s="3197"/>
      <c r="AM33" s="3197"/>
      <c r="AN33" s="3197"/>
      <c r="AO33" s="3197"/>
      <c r="AP33" s="3197"/>
      <c r="AQ33" s="3191"/>
      <c r="AR33" s="3058"/>
    </row>
    <row r="34" spans="1:44" ht="15.75" x14ac:dyDescent="0.25">
      <c r="A34" s="2431"/>
      <c r="B34" s="2432"/>
      <c r="C34" s="2438"/>
      <c r="D34" s="2439"/>
      <c r="E34" s="1594">
        <v>1706</v>
      </c>
      <c r="F34" s="2442" t="s">
        <v>2450</v>
      </c>
      <c r="G34" s="2442"/>
      <c r="H34" s="2442"/>
      <c r="I34" s="2442"/>
      <c r="J34" s="2442"/>
      <c r="K34" s="2442"/>
      <c r="L34" s="2442"/>
      <c r="M34" s="2442"/>
      <c r="N34" s="173"/>
      <c r="O34" s="169"/>
      <c r="P34" s="169"/>
      <c r="Q34" s="173"/>
      <c r="R34" s="171"/>
      <c r="S34" s="1606"/>
      <c r="T34" s="173"/>
      <c r="U34" s="173"/>
      <c r="V34" s="1616"/>
      <c r="W34" s="483"/>
      <c r="X34" s="942"/>
      <c r="Y34" s="1617"/>
      <c r="Z34" s="964"/>
      <c r="AA34" s="964"/>
      <c r="AB34" s="964"/>
      <c r="AC34" s="964"/>
      <c r="AD34" s="964"/>
      <c r="AE34" s="964"/>
      <c r="AF34" s="964"/>
      <c r="AG34" s="964"/>
      <c r="AH34" s="964"/>
      <c r="AI34" s="964"/>
      <c r="AJ34" s="964"/>
      <c r="AK34" s="964"/>
      <c r="AL34" s="964"/>
      <c r="AM34" s="964"/>
      <c r="AN34" s="964"/>
      <c r="AO34" s="964"/>
      <c r="AP34" s="964"/>
      <c r="AQ34" s="1609"/>
      <c r="AR34" s="496"/>
    </row>
    <row r="35" spans="1:44" ht="75" x14ac:dyDescent="0.25">
      <c r="A35" s="2431"/>
      <c r="B35" s="2432"/>
      <c r="C35" s="2438"/>
      <c r="D35" s="2439"/>
      <c r="E35" s="3213"/>
      <c r="F35" s="3214"/>
      <c r="G35" s="1496">
        <v>1706004</v>
      </c>
      <c r="H35" s="1500" t="s">
        <v>2451</v>
      </c>
      <c r="I35" s="1496">
        <v>1706004</v>
      </c>
      <c r="J35" s="1500" t="s">
        <v>2451</v>
      </c>
      <c r="K35" s="1495" t="s">
        <v>2452</v>
      </c>
      <c r="L35" s="1481" t="s">
        <v>2453</v>
      </c>
      <c r="M35" s="1495" t="s">
        <v>2452</v>
      </c>
      <c r="N35" s="1481" t="s">
        <v>2453</v>
      </c>
      <c r="O35" s="1598">
        <v>10</v>
      </c>
      <c r="P35" s="1504" t="s">
        <v>2454</v>
      </c>
      <c r="Q35" s="1481" t="s">
        <v>2455</v>
      </c>
      <c r="R35" s="1603">
        <f>W35/S35</f>
        <v>1</v>
      </c>
      <c r="S35" s="1605">
        <f>SUM(W35)</f>
        <v>20000000</v>
      </c>
      <c r="T35" s="1482" t="s">
        <v>2456</v>
      </c>
      <c r="U35" s="1482" t="s">
        <v>2457</v>
      </c>
      <c r="V35" s="1484" t="s">
        <v>2458</v>
      </c>
      <c r="W35" s="1610">
        <v>20000000</v>
      </c>
      <c r="X35" s="1540" t="s">
        <v>2459</v>
      </c>
      <c r="Y35" s="948">
        <v>20</v>
      </c>
      <c r="Z35" s="1491" t="s">
        <v>2351</v>
      </c>
      <c r="AA35" s="1497">
        <v>1233</v>
      </c>
      <c r="AB35" s="1497">
        <v>656</v>
      </c>
      <c r="AC35" s="1497">
        <v>253</v>
      </c>
      <c r="AD35" s="1497">
        <v>142</v>
      </c>
      <c r="AE35" s="1497">
        <v>1200</v>
      </c>
      <c r="AF35" s="1497">
        <v>663</v>
      </c>
      <c r="AG35" s="1497">
        <v>126</v>
      </c>
      <c r="AH35" s="1497">
        <v>120</v>
      </c>
      <c r="AI35" s="1497"/>
      <c r="AJ35" s="1497"/>
      <c r="AK35" s="1497"/>
      <c r="AL35" s="1497"/>
      <c r="AM35" s="1497">
        <v>582</v>
      </c>
      <c r="AN35" s="1497">
        <v>33</v>
      </c>
      <c r="AO35" s="1497">
        <v>51</v>
      </c>
      <c r="AP35" s="1497">
        <v>1889</v>
      </c>
      <c r="AQ35" s="1501"/>
      <c r="AR35" s="1507" t="s">
        <v>2352</v>
      </c>
    </row>
    <row r="36" spans="1:44" ht="15.75" x14ac:dyDescent="0.25">
      <c r="A36" s="2431"/>
      <c r="B36" s="2432"/>
      <c r="C36" s="2438"/>
      <c r="D36" s="2439"/>
      <c r="E36" s="1594">
        <v>1707</v>
      </c>
      <c r="F36" s="2442" t="s">
        <v>2460</v>
      </c>
      <c r="G36" s="2442"/>
      <c r="H36" s="2442"/>
      <c r="I36" s="2442"/>
      <c r="J36" s="2442"/>
      <c r="K36" s="2442"/>
      <c r="L36" s="2442"/>
      <c r="M36" s="169"/>
      <c r="N36" s="173"/>
      <c r="O36" s="169"/>
      <c r="P36" s="169"/>
      <c r="Q36" s="173"/>
      <c r="R36" s="171"/>
      <c r="S36" s="1606"/>
      <c r="T36" s="173"/>
      <c r="U36" s="173"/>
      <c r="V36" s="1616"/>
      <c r="W36" s="483"/>
      <c r="X36" s="942"/>
      <c r="Y36" s="1617"/>
      <c r="Z36" s="964"/>
      <c r="AA36" s="964"/>
      <c r="AB36" s="964"/>
      <c r="AC36" s="964"/>
      <c r="AD36" s="964"/>
      <c r="AE36" s="964"/>
      <c r="AF36" s="964"/>
      <c r="AG36" s="964"/>
      <c r="AH36" s="964"/>
      <c r="AI36" s="964"/>
      <c r="AJ36" s="964"/>
      <c r="AK36" s="964"/>
      <c r="AL36" s="964"/>
      <c r="AM36" s="964"/>
      <c r="AN36" s="964"/>
      <c r="AO36" s="964"/>
      <c r="AP36" s="964"/>
      <c r="AQ36" s="1609"/>
      <c r="AR36" s="496"/>
    </row>
    <row r="37" spans="1:44" ht="90" x14ac:dyDescent="0.25">
      <c r="A37" s="2431"/>
      <c r="B37" s="2432"/>
      <c r="C37" s="2438"/>
      <c r="D37" s="2439"/>
      <c r="E37" s="3213"/>
      <c r="F37" s="3214"/>
      <c r="G37" s="1496">
        <v>1707069</v>
      </c>
      <c r="H37" s="1500" t="s">
        <v>2461</v>
      </c>
      <c r="I37" s="1496">
        <v>1707069</v>
      </c>
      <c r="J37" s="1500" t="s">
        <v>2461</v>
      </c>
      <c r="K37" s="1495" t="s">
        <v>2462</v>
      </c>
      <c r="L37" s="1481" t="s">
        <v>2463</v>
      </c>
      <c r="M37" s="1495" t="s">
        <v>2462</v>
      </c>
      <c r="N37" s="1481" t="s">
        <v>2463</v>
      </c>
      <c r="O37" s="1598">
        <v>5</v>
      </c>
      <c r="P37" s="1523" t="s">
        <v>2464</v>
      </c>
      <c r="Q37" s="1482" t="s">
        <v>2465</v>
      </c>
      <c r="R37" s="1603">
        <f>W37/S37</f>
        <v>1</v>
      </c>
      <c r="S37" s="1605">
        <f>SUM(W37)</f>
        <v>43000000</v>
      </c>
      <c r="T37" s="1482" t="s">
        <v>2466</v>
      </c>
      <c r="U37" s="1482" t="s">
        <v>2467</v>
      </c>
      <c r="V37" s="1484" t="s">
        <v>2468</v>
      </c>
      <c r="W37" s="1610">
        <v>43000000</v>
      </c>
      <c r="X37" s="1540" t="s">
        <v>2469</v>
      </c>
      <c r="Y37" s="948">
        <v>20</v>
      </c>
      <c r="Z37" s="1491" t="s">
        <v>2351</v>
      </c>
      <c r="AA37" s="1497">
        <v>1233</v>
      </c>
      <c r="AB37" s="1497">
        <v>656</v>
      </c>
      <c r="AC37" s="1497">
        <v>253</v>
      </c>
      <c r="AD37" s="1497">
        <v>142</v>
      </c>
      <c r="AE37" s="1497">
        <v>1200</v>
      </c>
      <c r="AF37" s="1497">
        <v>663</v>
      </c>
      <c r="AG37" s="1497">
        <v>126</v>
      </c>
      <c r="AH37" s="1497">
        <v>120</v>
      </c>
      <c r="AI37" s="1497"/>
      <c r="AJ37" s="1497"/>
      <c r="AK37" s="1497"/>
      <c r="AL37" s="1497"/>
      <c r="AM37" s="1497">
        <v>582</v>
      </c>
      <c r="AN37" s="1497">
        <v>33</v>
      </c>
      <c r="AO37" s="1497">
        <v>51</v>
      </c>
      <c r="AP37" s="1497">
        <v>1889</v>
      </c>
      <c r="AQ37" s="1519"/>
      <c r="AR37" s="1507" t="s">
        <v>2352</v>
      </c>
    </row>
    <row r="38" spans="1:44" ht="15.75" x14ac:dyDescent="0.25">
      <c r="A38" s="2431"/>
      <c r="B38" s="2432"/>
      <c r="C38" s="2438"/>
      <c r="D38" s="2439"/>
      <c r="E38" s="1594">
        <v>1708</v>
      </c>
      <c r="F38" s="2442" t="s">
        <v>2470</v>
      </c>
      <c r="G38" s="2442"/>
      <c r="H38" s="2442"/>
      <c r="I38" s="2442"/>
      <c r="J38" s="2442"/>
      <c r="K38" s="2442"/>
      <c r="L38" s="2442"/>
      <c r="M38" s="169"/>
      <c r="N38" s="173"/>
      <c r="O38" s="169"/>
      <c r="P38" s="169"/>
      <c r="Q38" s="173"/>
      <c r="R38" s="171"/>
      <c r="S38" s="1606"/>
      <c r="T38" s="173"/>
      <c r="U38" s="173"/>
      <c r="V38" s="1616"/>
      <c r="W38" s="483"/>
      <c r="X38" s="942"/>
      <c r="Y38" s="1617"/>
      <c r="Z38" s="964"/>
      <c r="AA38" s="964"/>
      <c r="AB38" s="964"/>
      <c r="AC38" s="964"/>
      <c r="AD38" s="964"/>
      <c r="AE38" s="964"/>
      <c r="AF38" s="964"/>
      <c r="AG38" s="964"/>
      <c r="AH38" s="964"/>
      <c r="AI38" s="964"/>
      <c r="AJ38" s="964"/>
      <c r="AK38" s="964"/>
      <c r="AL38" s="964"/>
      <c r="AM38" s="964"/>
      <c r="AN38" s="964"/>
      <c r="AO38" s="964"/>
      <c r="AP38" s="964"/>
      <c r="AQ38" s="1609"/>
      <c r="AR38" s="496"/>
    </row>
    <row r="39" spans="1:44" ht="45" x14ac:dyDescent="0.25">
      <c r="A39" s="2431"/>
      <c r="B39" s="2432"/>
      <c r="C39" s="2438"/>
      <c r="D39" s="2439"/>
      <c r="E39" s="3199"/>
      <c r="F39" s="3200"/>
      <c r="G39" s="1496">
        <v>1708016</v>
      </c>
      <c r="H39" s="1500" t="s">
        <v>242</v>
      </c>
      <c r="I39" s="1496">
        <v>1708016</v>
      </c>
      <c r="J39" s="1500" t="s">
        <v>242</v>
      </c>
      <c r="K39" s="1498" t="s">
        <v>2471</v>
      </c>
      <c r="L39" s="1597" t="s">
        <v>1274</v>
      </c>
      <c r="M39" s="1498" t="s">
        <v>2471</v>
      </c>
      <c r="N39" s="1597" t="s">
        <v>1274</v>
      </c>
      <c r="O39" s="1598">
        <v>2</v>
      </c>
      <c r="P39" s="2449" t="s">
        <v>2472</v>
      </c>
      <c r="Q39" s="2329" t="s">
        <v>2473</v>
      </c>
      <c r="R39" s="1603">
        <f>W39/S39</f>
        <v>0.5</v>
      </c>
      <c r="S39" s="3206">
        <f>SUM(W39:W40)</f>
        <v>40000000</v>
      </c>
      <c r="T39" s="2458" t="s">
        <v>2474</v>
      </c>
      <c r="U39" s="1482" t="s">
        <v>2475</v>
      </c>
      <c r="V39" s="1484" t="s">
        <v>2476</v>
      </c>
      <c r="W39" s="1615">
        <v>20000000</v>
      </c>
      <c r="X39" s="1540" t="s">
        <v>2477</v>
      </c>
      <c r="Y39" s="948">
        <v>20</v>
      </c>
      <c r="Z39" s="1491" t="s">
        <v>2351</v>
      </c>
      <c r="AA39" s="1497">
        <v>295972</v>
      </c>
      <c r="AB39" s="1497">
        <v>285580</v>
      </c>
      <c r="AC39" s="1497">
        <v>135545</v>
      </c>
      <c r="AD39" s="1497">
        <v>44254</v>
      </c>
      <c r="AE39" s="1497">
        <v>309146</v>
      </c>
      <c r="AF39" s="1497">
        <v>92607</v>
      </c>
      <c r="AG39" s="1497"/>
      <c r="AH39" s="1497"/>
      <c r="AI39" s="1497"/>
      <c r="AJ39" s="1497"/>
      <c r="AK39" s="1497"/>
      <c r="AL39" s="1497"/>
      <c r="AM39" s="1497">
        <v>44350</v>
      </c>
      <c r="AN39" s="1497">
        <v>21944</v>
      </c>
      <c r="AO39" s="1497"/>
      <c r="AP39" s="1497">
        <v>581552</v>
      </c>
      <c r="AQ39" s="2450">
        <v>44211</v>
      </c>
      <c r="AR39" s="3019" t="s">
        <v>2352</v>
      </c>
    </row>
    <row r="40" spans="1:44" ht="45" x14ac:dyDescent="0.25">
      <c r="A40" s="2431"/>
      <c r="B40" s="2432"/>
      <c r="C40" s="2438"/>
      <c r="D40" s="2439"/>
      <c r="E40" s="3201"/>
      <c r="F40" s="3202"/>
      <c r="G40" s="1496">
        <v>1708051</v>
      </c>
      <c r="H40" s="1500" t="s">
        <v>2478</v>
      </c>
      <c r="I40" s="1496">
        <v>1708051</v>
      </c>
      <c r="J40" s="1500" t="s">
        <v>2478</v>
      </c>
      <c r="K40" s="1498" t="s">
        <v>2479</v>
      </c>
      <c r="L40" s="1597" t="s">
        <v>2480</v>
      </c>
      <c r="M40" s="1498" t="s">
        <v>2479</v>
      </c>
      <c r="N40" s="1597" t="s">
        <v>2480</v>
      </c>
      <c r="O40" s="1598">
        <v>1</v>
      </c>
      <c r="P40" s="2449"/>
      <c r="Q40" s="2329"/>
      <c r="R40" s="1603">
        <f>W40/S39</f>
        <v>0.5</v>
      </c>
      <c r="S40" s="3206"/>
      <c r="T40" s="2460"/>
      <c r="U40" s="1482" t="s">
        <v>2481</v>
      </c>
      <c r="V40" s="1484" t="s">
        <v>2482</v>
      </c>
      <c r="W40" s="1615">
        <v>20000000</v>
      </c>
      <c r="X40" s="1540" t="s">
        <v>2483</v>
      </c>
      <c r="Y40" s="948">
        <v>20</v>
      </c>
      <c r="Z40" s="1491" t="s">
        <v>2351</v>
      </c>
      <c r="AA40" s="1497">
        <v>3000</v>
      </c>
      <c r="AB40" s="1497">
        <v>3000</v>
      </c>
      <c r="AC40" s="1497">
        <v>2000</v>
      </c>
      <c r="AD40" s="1497">
        <v>1000</v>
      </c>
      <c r="AE40" s="1497">
        <v>2500</v>
      </c>
      <c r="AF40" s="1497">
        <v>500</v>
      </c>
      <c r="AG40" s="1497"/>
      <c r="AH40" s="1497"/>
      <c r="AI40" s="1497"/>
      <c r="AJ40" s="1497"/>
      <c r="AK40" s="1497"/>
      <c r="AL40" s="1497"/>
      <c r="AM40" s="1497"/>
      <c r="AN40" s="1497"/>
      <c r="AO40" s="1497"/>
      <c r="AP40" s="1497">
        <v>6000</v>
      </c>
      <c r="AQ40" s="2452"/>
      <c r="AR40" s="3058"/>
    </row>
    <row r="41" spans="1:44" ht="15.75" x14ac:dyDescent="0.25">
      <c r="A41" s="2431"/>
      <c r="B41" s="2432"/>
      <c r="C41" s="2438"/>
      <c r="D41" s="2439"/>
      <c r="E41" s="1594">
        <v>1709</v>
      </c>
      <c r="F41" s="2442" t="s">
        <v>2484</v>
      </c>
      <c r="G41" s="2442"/>
      <c r="H41" s="2442"/>
      <c r="I41" s="2442"/>
      <c r="J41" s="2442"/>
      <c r="K41" s="2442"/>
      <c r="L41" s="2442"/>
      <c r="M41" s="169"/>
      <c r="N41" s="173"/>
      <c r="O41" s="169"/>
      <c r="P41" s="169"/>
      <c r="Q41" s="173"/>
      <c r="R41" s="171"/>
      <c r="S41" s="1606"/>
      <c r="T41" s="173"/>
      <c r="U41" s="173"/>
      <c r="V41" s="1616"/>
      <c r="W41" s="483"/>
      <c r="X41" s="942"/>
      <c r="Y41" s="1617"/>
      <c r="Z41" s="964"/>
      <c r="AA41" s="964"/>
      <c r="AB41" s="964"/>
      <c r="AC41" s="964"/>
      <c r="AD41" s="964"/>
      <c r="AE41" s="964"/>
      <c r="AF41" s="964"/>
      <c r="AG41" s="964"/>
      <c r="AH41" s="964"/>
      <c r="AI41" s="964"/>
      <c r="AJ41" s="964"/>
      <c r="AK41" s="964"/>
      <c r="AL41" s="964"/>
      <c r="AM41" s="964"/>
      <c r="AN41" s="964"/>
      <c r="AO41" s="964"/>
      <c r="AP41" s="964"/>
      <c r="AQ41" s="1609"/>
      <c r="AR41" s="496"/>
    </row>
    <row r="42" spans="1:44" ht="55.5" customHeight="1" x14ac:dyDescent="0.25">
      <c r="A42" s="2431"/>
      <c r="B42" s="2432"/>
      <c r="C42" s="2438"/>
      <c r="D42" s="2439"/>
      <c r="E42" s="3149"/>
      <c r="F42" s="3150"/>
      <c r="G42" s="1496">
        <v>1709019</v>
      </c>
      <c r="H42" s="1503" t="s">
        <v>2485</v>
      </c>
      <c r="I42" s="1496">
        <v>1709019</v>
      </c>
      <c r="J42" s="1503" t="s">
        <v>2485</v>
      </c>
      <c r="K42" s="1498" t="s">
        <v>2486</v>
      </c>
      <c r="L42" s="1480" t="s">
        <v>2485</v>
      </c>
      <c r="M42" s="1498" t="s">
        <v>2486</v>
      </c>
      <c r="N42" s="1480" t="s">
        <v>2485</v>
      </c>
      <c r="O42" s="1479">
        <v>4</v>
      </c>
      <c r="P42" s="3205" t="s">
        <v>2487</v>
      </c>
      <c r="Q42" s="2182" t="s">
        <v>2488</v>
      </c>
      <c r="R42" s="1530">
        <f>W42/S42</f>
        <v>0.39814814814814814</v>
      </c>
      <c r="S42" s="3206">
        <f>SUM(W42:W45)</f>
        <v>108000000</v>
      </c>
      <c r="T42" s="2283" t="s">
        <v>2489</v>
      </c>
      <c r="U42" s="1471" t="s">
        <v>2490</v>
      </c>
      <c r="V42" s="1484" t="s">
        <v>2491</v>
      </c>
      <c r="W42" s="1615">
        <v>43000000</v>
      </c>
      <c r="X42" s="1540" t="s">
        <v>2492</v>
      </c>
      <c r="Y42" s="948">
        <v>20</v>
      </c>
      <c r="Z42" s="1491" t="s">
        <v>2351</v>
      </c>
      <c r="AA42" s="2502">
        <v>600</v>
      </c>
      <c r="AB42" s="2502">
        <v>600</v>
      </c>
      <c r="AC42" s="2502">
        <v>125</v>
      </c>
      <c r="AD42" s="2502">
        <v>75</v>
      </c>
      <c r="AE42" s="2502">
        <v>300</v>
      </c>
      <c r="AF42" s="2502">
        <v>700</v>
      </c>
      <c r="AG42" s="2502">
        <v>50</v>
      </c>
      <c r="AH42" s="2502">
        <v>30</v>
      </c>
      <c r="AI42" s="2502"/>
      <c r="AJ42" s="2502"/>
      <c r="AK42" s="2502"/>
      <c r="AL42" s="2502"/>
      <c r="AM42" s="2502">
        <v>10</v>
      </c>
      <c r="AN42" s="2502">
        <v>10</v>
      </c>
      <c r="AO42" s="2502"/>
      <c r="AP42" s="2502">
        <v>1200</v>
      </c>
      <c r="AQ42" s="3215">
        <v>44211</v>
      </c>
      <c r="AR42" s="3019" t="s">
        <v>2352</v>
      </c>
    </row>
    <row r="43" spans="1:44" ht="27.75" customHeight="1" x14ac:dyDescent="0.25">
      <c r="A43" s="2431"/>
      <c r="B43" s="2432"/>
      <c r="C43" s="2438"/>
      <c r="D43" s="2439"/>
      <c r="E43" s="3151"/>
      <c r="F43" s="3152"/>
      <c r="G43" s="2468">
        <v>1709034</v>
      </c>
      <c r="H43" s="2257" t="s">
        <v>2493</v>
      </c>
      <c r="I43" s="2468">
        <v>1709034</v>
      </c>
      <c r="J43" s="2257" t="s">
        <v>2493</v>
      </c>
      <c r="K43" s="3085" t="s">
        <v>2494</v>
      </c>
      <c r="L43" s="2313" t="s">
        <v>2493</v>
      </c>
      <c r="M43" s="3085" t="s">
        <v>2494</v>
      </c>
      <c r="N43" s="2313" t="s">
        <v>2493</v>
      </c>
      <c r="O43" s="2311">
        <v>3</v>
      </c>
      <c r="P43" s="3205"/>
      <c r="Q43" s="2182"/>
      <c r="R43" s="3176">
        <f>SUM(W43:W44)/S42</f>
        <v>0.39814814814814814</v>
      </c>
      <c r="S43" s="3206"/>
      <c r="T43" s="2284"/>
      <c r="U43" s="2196" t="s">
        <v>2495</v>
      </c>
      <c r="V43" s="2196" t="s">
        <v>2496</v>
      </c>
      <c r="W43" s="1615">
        <v>30000000</v>
      </c>
      <c r="X43" s="1540" t="s">
        <v>2497</v>
      </c>
      <c r="Y43" s="3218">
        <v>20</v>
      </c>
      <c r="Z43" s="2293" t="s">
        <v>2351</v>
      </c>
      <c r="AA43" s="2503"/>
      <c r="AB43" s="2503"/>
      <c r="AC43" s="2503"/>
      <c r="AD43" s="2503"/>
      <c r="AE43" s="2503"/>
      <c r="AF43" s="2503"/>
      <c r="AG43" s="2503"/>
      <c r="AH43" s="2503"/>
      <c r="AI43" s="2503"/>
      <c r="AJ43" s="2503"/>
      <c r="AK43" s="2503"/>
      <c r="AL43" s="2503"/>
      <c r="AM43" s="2503"/>
      <c r="AN43" s="2503"/>
      <c r="AO43" s="2503"/>
      <c r="AP43" s="2503"/>
      <c r="AQ43" s="3216"/>
      <c r="AR43" s="3020"/>
    </row>
    <row r="44" spans="1:44" ht="27.75" customHeight="1" x14ac:dyDescent="0.25">
      <c r="A44" s="2431"/>
      <c r="B44" s="2432"/>
      <c r="C44" s="2438"/>
      <c r="D44" s="2439"/>
      <c r="E44" s="3151"/>
      <c r="F44" s="3152"/>
      <c r="G44" s="2468"/>
      <c r="H44" s="2257"/>
      <c r="I44" s="2468"/>
      <c r="J44" s="2257"/>
      <c r="K44" s="3085"/>
      <c r="L44" s="2313"/>
      <c r="M44" s="3085"/>
      <c r="N44" s="2313"/>
      <c r="O44" s="2311"/>
      <c r="P44" s="3205"/>
      <c r="Q44" s="2182"/>
      <c r="R44" s="3176"/>
      <c r="S44" s="3206"/>
      <c r="T44" s="2284"/>
      <c r="U44" s="3163"/>
      <c r="V44" s="3163"/>
      <c r="W44" s="1615">
        <v>13000000</v>
      </c>
      <c r="X44" s="1540" t="s">
        <v>2498</v>
      </c>
      <c r="Y44" s="3219"/>
      <c r="Z44" s="2267"/>
      <c r="AA44" s="2503"/>
      <c r="AB44" s="2503"/>
      <c r="AC44" s="2503"/>
      <c r="AD44" s="2503"/>
      <c r="AE44" s="2503"/>
      <c r="AF44" s="2503"/>
      <c r="AG44" s="2503"/>
      <c r="AH44" s="2503"/>
      <c r="AI44" s="2503"/>
      <c r="AJ44" s="2503"/>
      <c r="AK44" s="2503"/>
      <c r="AL44" s="2503"/>
      <c r="AM44" s="2503"/>
      <c r="AN44" s="2503"/>
      <c r="AO44" s="2503"/>
      <c r="AP44" s="2503"/>
      <c r="AQ44" s="3216"/>
      <c r="AR44" s="3020"/>
    </row>
    <row r="45" spans="1:44" ht="48" customHeight="1" x14ac:dyDescent="0.25">
      <c r="A45" s="2431"/>
      <c r="B45" s="2432"/>
      <c r="C45" s="2440"/>
      <c r="D45" s="2441"/>
      <c r="E45" s="3153"/>
      <c r="F45" s="3154"/>
      <c r="G45" s="1496">
        <v>1709093</v>
      </c>
      <c r="H45" s="1503" t="s">
        <v>2499</v>
      </c>
      <c r="I45" s="1496">
        <v>1709093</v>
      </c>
      <c r="J45" s="1503" t="s">
        <v>2499</v>
      </c>
      <c r="K45" s="1502" t="s">
        <v>2500</v>
      </c>
      <c r="L45" s="1486" t="s">
        <v>2501</v>
      </c>
      <c r="M45" s="1502" t="s">
        <v>2500</v>
      </c>
      <c r="N45" s="1486" t="s">
        <v>2501</v>
      </c>
      <c r="O45" s="1479">
        <v>2</v>
      </c>
      <c r="P45" s="3205"/>
      <c r="Q45" s="2182"/>
      <c r="R45" s="1530">
        <f>W45/S42</f>
        <v>0.20370370370370369</v>
      </c>
      <c r="S45" s="3206"/>
      <c r="T45" s="2285"/>
      <c r="U45" s="1486" t="s">
        <v>2502</v>
      </c>
      <c r="V45" s="1513" t="s">
        <v>2503</v>
      </c>
      <c r="W45" s="1615">
        <v>22000000</v>
      </c>
      <c r="X45" s="1540" t="s">
        <v>2504</v>
      </c>
      <c r="Y45" s="952">
        <v>20</v>
      </c>
      <c r="Z45" s="1488" t="s">
        <v>2351</v>
      </c>
      <c r="AA45" s="2503"/>
      <c r="AB45" s="2503"/>
      <c r="AC45" s="2503"/>
      <c r="AD45" s="2503"/>
      <c r="AE45" s="2503"/>
      <c r="AF45" s="2503"/>
      <c r="AG45" s="2503"/>
      <c r="AH45" s="2503"/>
      <c r="AI45" s="2503"/>
      <c r="AJ45" s="2503"/>
      <c r="AK45" s="2503"/>
      <c r="AL45" s="2503"/>
      <c r="AM45" s="2503"/>
      <c r="AN45" s="2503"/>
      <c r="AO45" s="2503"/>
      <c r="AP45" s="2503"/>
      <c r="AQ45" s="3217"/>
      <c r="AR45" s="3020"/>
    </row>
    <row r="46" spans="1:44" ht="15.75" x14ac:dyDescent="0.25">
      <c r="A46" s="2431"/>
      <c r="B46" s="2432"/>
      <c r="C46" s="469">
        <v>35</v>
      </c>
      <c r="D46" s="2435" t="s">
        <v>1306</v>
      </c>
      <c r="E46" s="2435"/>
      <c r="F46" s="2435"/>
      <c r="G46" s="2435"/>
      <c r="H46" s="2435"/>
      <c r="I46" s="2435"/>
      <c r="J46" s="2435"/>
      <c r="K46" s="1618"/>
      <c r="L46" s="494"/>
      <c r="M46" s="521"/>
      <c r="N46" s="494"/>
      <c r="O46" s="546"/>
      <c r="P46" s="1619"/>
      <c r="Q46" s="473"/>
      <c r="R46" s="1620"/>
      <c r="S46" s="1621"/>
      <c r="T46" s="473"/>
      <c r="U46" s="1622"/>
      <c r="V46" s="1623"/>
      <c r="W46" s="1624"/>
      <c r="X46" s="1625"/>
      <c r="Y46" s="1626"/>
      <c r="Z46" s="700"/>
      <c r="AA46" s="1627"/>
      <c r="AB46" s="1627"/>
      <c r="AC46" s="1627"/>
      <c r="AD46" s="1627"/>
      <c r="AE46" s="1627"/>
      <c r="AF46" s="1627"/>
      <c r="AG46" s="1628"/>
      <c r="AH46" s="1628"/>
      <c r="AI46" s="1628"/>
      <c r="AJ46" s="1628"/>
      <c r="AK46" s="1628"/>
      <c r="AL46" s="1628"/>
      <c r="AM46" s="1628"/>
      <c r="AN46" s="1628"/>
      <c r="AO46" s="1627"/>
      <c r="AP46" s="1627"/>
      <c r="AQ46" s="1629"/>
      <c r="AR46" s="1630"/>
    </row>
    <row r="47" spans="1:44" ht="15.75" x14ac:dyDescent="0.25">
      <c r="A47" s="2431"/>
      <c r="B47" s="2432"/>
      <c r="C47" s="2482"/>
      <c r="D47" s="2483"/>
      <c r="E47" s="1594">
        <v>3502</v>
      </c>
      <c r="F47" s="2442" t="s">
        <v>1307</v>
      </c>
      <c r="G47" s="2442"/>
      <c r="H47" s="2442"/>
      <c r="I47" s="2442"/>
      <c r="J47" s="2442"/>
      <c r="K47" s="2442"/>
      <c r="L47" s="2442"/>
      <c r="M47" s="169"/>
      <c r="N47" s="173"/>
      <c r="O47" s="169"/>
      <c r="P47" s="169"/>
      <c r="Q47" s="173"/>
      <c r="R47" s="171"/>
      <c r="S47" s="1606"/>
      <c r="T47" s="173"/>
      <c r="U47" s="173"/>
      <c r="V47" s="1614"/>
      <c r="W47" s="483"/>
      <c r="X47" s="942"/>
      <c r="Y47" s="943"/>
      <c r="Z47" s="680"/>
      <c r="AA47" s="680"/>
      <c r="AB47" s="680"/>
      <c r="AC47" s="680"/>
      <c r="AD47" s="680"/>
      <c r="AE47" s="680"/>
      <c r="AF47" s="680"/>
      <c r="AG47" s="680"/>
      <c r="AH47" s="680"/>
      <c r="AI47" s="680"/>
      <c r="AJ47" s="680"/>
      <c r="AK47" s="680"/>
      <c r="AL47" s="680"/>
      <c r="AM47" s="680"/>
      <c r="AN47" s="680"/>
      <c r="AO47" s="680"/>
      <c r="AP47" s="680"/>
      <c r="AQ47" s="944"/>
      <c r="AR47" s="945"/>
    </row>
    <row r="48" spans="1:44" ht="45" x14ac:dyDescent="0.25">
      <c r="A48" s="2431"/>
      <c r="B48" s="2432"/>
      <c r="C48" s="2272"/>
      <c r="D48" s="2156"/>
      <c r="E48" s="3149"/>
      <c r="F48" s="3150"/>
      <c r="G48" s="1496">
        <v>3502017</v>
      </c>
      <c r="H48" s="1500" t="s">
        <v>2505</v>
      </c>
      <c r="I48" s="1496">
        <v>3502017</v>
      </c>
      <c r="J48" s="1500" t="s">
        <v>2505</v>
      </c>
      <c r="K48" s="1498" t="s">
        <v>2506</v>
      </c>
      <c r="L48" s="1597" t="s">
        <v>2507</v>
      </c>
      <c r="M48" s="1498" t="s">
        <v>2506</v>
      </c>
      <c r="N48" s="1597" t="s">
        <v>2507</v>
      </c>
      <c r="O48" s="1598">
        <v>6</v>
      </c>
      <c r="P48" s="3187" t="s">
        <v>2508</v>
      </c>
      <c r="Q48" s="2329" t="s">
        <v>2509</v>
      </c>
      <c r="R48" s="1530">
        <f>W48/S48</f>
        <v>0.5</v>
      </c>
      <c r="S48" s="3206">
        <f>SUM(W48:W49)</f>
        <v>36000000</v>
      </c>
      <c r="T48" s="2283" t="s">
        <v>2510</v>
      </c>
      <c r="U48" s="2196" t="s">
        <v>2511</v>
      </c>
      <c r="V48" s="1484" t="s">
        <v>2512</v>
      </c>
      <c r="W48" s="1610">
        <v>18000000</v>
      </c>
      <c r="X48" s="1540" t="s">
        <v>2513</v>
      </c>
      <c r="Y48" s="948">
        <v>20</v>
      </c>
      <c r="Z48" s="1491" t="s">
        <v>2351</v>
      </c>
      <c r="AA48" s="2502">
        <v>655</v>
      </c>
      <c r="AB48" s="2502">
        <v>1234</v>
      </c>
      <c r="AC48" s="2502">
        <v>253</v>
      </c>
      <c r="AD48" s="2502">
        <v>172</v>
      </c>
      <c r="AE48" s="2502">
        <v>1200</v>
      </c>
      <c r="AF48" s="2502">
        <v>633</v>
      </c>
      <c r="AG48" s="2502">
        <v>126</v>
      </c>
      <c r="AH48" s="2502">
        <v>120</v>
      </c>
      <c r="AI48" s="2502"/>
      <c r="AJ48" s="2502"/>
      <c r="AK48" s="2502"/>
      <c r="AL48" s="2502"/>
      <c r="AM48" s="2502">
        <v>582</v>
      </c>
      <c r="AN48" s="2502">
        <v>33</v>
      </c>
      <c r="AO48" s="2502">
        <v>51</v>
      </c>
      <c r="AP48" s="2502">
        <v>1889</v>
      </c>
      <c r="AQ48" s="3017"/>
      <c r="AR48" s="3019" t="s">
        <v>2352</v>
      </c>
    </row>
    <row r="49" spans="1:44" ht="69" customHeight="1" x14ac:dyDescent="0.25">
      <c r="A49" s="2433"/>
      <c r="B49" s="2434"/>
      <c r="C49" s="2273"/>
      <c r="D49" s="2484"/>
      <c r="E49" s="3153"/>
      <c r="F49" s="3154"/>
      <c r="G49" s="1496">
        <v>3502007</v>
      </c>
      <c r="H49" s="1500" t="s">
        <v>2514</v>
      </c>
      <c r="I49" s="1496">
        <v>3502007</v>
      </c>
      <c r="J49" s="1500" t="s">
        <v>2514</v>
      </c>
      <c r="K49" s="1495" t="s">
        <v>1319</v>
      </c>
      <c r="L49" s="1481" t="s">
        <v>1320</v>
      </c>
      <c r="M49" s="1495" t="s">
        <v>1319</v>
      </c>
      <c r="N49" s="1481" t="s">
        <v>1320</v>
      </c>
      <c r="O49" s="1495">
        <v>5</v>
      </c>
      <c r="P49" s="3187"/>
      <c r="Q49" s="2329"/>
      <c r="R49" s="1530">
        <f>W49/S48</f>
        <v>0.5</v>
      </c>
      <c r="S49" s="3206"/>
      <c r="T49" s="2285"/>
      <c r="U49" s="3163"/>
      <c r="V49" s="1485" t="s">
        <v>2515</v>
      </c>
      <c r="W49" s="1610">
        <v>18000000</v>
      </c>
      <c r="X49" s="1540" t="s">
        <v>2516</v>
      </c>
      <c r="Y49" s="952">
        <v>20</v>
      </c>
      <c r="Z49" s="1488" t="s">
        <v>2351</v>
      </c>
      <c r="AA49" s="2503"/>
      <c r="AB49" s="2503"/>
      <c r="AC49" s="2503"/>
      <c r="AD49" s="2503"/>
      <c r="AE49" s="2503"/>
      <c r="AF49" s="2503"/>
      <c r="AG49" s="2503"/>
      <c r="AH49" s="2503"/>
      <c r="AI49" s="2503"/>
      <c r="AJ49" s="2503"/>
      <c r="AK49" s="2503"/>
      <c r="AL49" s="2503"/>
      <c r="AM49" s="2503"/>
      <c r="AN49" s="2503"/>
      <c r="AO49" s="2503"/>
      <c r="AP49" s="2503"/>
      <c r="AQ49" s="3092"/>
      <c r="AR49" s="3020"/>
    </row>
    <row r="50" spans="1:44" ht="15.75" x14ac:dyDescent="0.25">
      <c r="A50" s="456">
        <v>3</v>
      </c>
      <c r="B50" s="2430" t="s">
        <v>503</v>
      </c>
      <c r="C50" s="2430"/>
      <c r="D50" s="2430"/>
      <c r="E50" s="2430"/>
      <c r="F50" s="2430"/>
      <c r="G50" s="2430"/>
      <c r="H50" s="2430"/>
      <c r="I50" s="145"/>
      <c r="J50" s="144"/>
      <c r="K50" s="145"/>
      <c r="L50" s="144"/>
      <c r="M50" s="145"/>
      <c r="N50" s="144"/>
      <c r="O50" s="145"/>
      <c r="P50" s="145"/>
      <c r="Q50" s="144"/>
      <c r="R50" s="148"/>
      <c r="S50" s="1631"/>
      <c r="T50" s="144"/>
      <c r="U50" s="144"/>
      <c r="V50" s="391"/>
      <c r="W50" s="502"/>
      <c r="X50" s="993"/>
      <c r="Y50" s="396"/>
      <c r="Z50" s="392"/>
      <c r="AA50" s="392"/>
      <c r="AB50" s="392"/>
      <c r="AC50" s="392"/>
      <c r="AD50" s="392"/>
      <c r="AE50" s="392"/>
      <c r="AF50" s="392"/>
      <c r="AG50" s="392"/>
      <c r="AH50" s="392"/>
      <c r="AI50" s="392"/>
      <c r="AJ50" s="392"/>
      <c r="AK50" s="392"/>
      <c r="AL50" s="392"/>
      <c r="AM50" s="392"/>
      <c r="AN50" s="392"/>
      <c r="AO50" s="392"/>
      <c r="AP50" s="392"/>
      <c r="AQ50" s="934"/>
      <c r="AR50" s="935"/>
    </row>
    <row r="51" spans="1:44" s="74" customFormat="1" ht="15.75" x14ac:dyDescent="0.25">
      <c r="A51" s="2567"/>
      <c r="B51" s="2568"/>
      <c r="C51" s="469">
        <v>32</v>
      </c>
      <c r="D51" s="2435" t="s">
        <v>565</v>
      </c>
      <c r="E51" s="2435"/>
      <c r="F51" s="2435"/>
      <c r="G51" s="2435"/>
      <c r="H51" s="2435"/>
      <c r="I51" s="2435"/>
      <c r="J51" s="2435"/>
      <c r="K51" s="2435"/>
      <c r="L51" s="159"/>
      <c r="M51" s="158"/>
      <c r="N51" s="159"/>
      <c r="O51" s="158"/>
      <c r="P51" s="158"/>
      <c r="Q51" s="159"/>
      <c r="R51" s="161"/>
      <c r="S51" s="1632"/>
      <c r="T51" s="159"/>
      <c r="U51" s="159"/>
      <c r="V51" s="1633"/>
      <c r="W51" s="504"/>
      <c r="X51" s="671"/>
      <c r="Y51" s="674"/>
      <c r="Z51" s="671"/>
      <c r="AA51" s="671"/>
      <c r="AB51" s="671"/>
      <c r="AC51" s="671"/>
      <c r="AD51" s="671"/>
      <c r="AE51" s="671"/>
      <c r="AF51" s="671"/>
      <c r="AG51" s="671"/>
      <c r="AH51" s="671"/>
      <c r="AI51" s="671"/>
      <c r="AJ51" s="671"/>
      <c r="AK51" s="671"/>
      <c r="AL51" s="671"/>
      <c r="AM51" s="671"/>
      <c r="AN51" s="671"/>
      <c r="AO51" s="671"/>
      <c r="AP51" s="671"/>
      <c r="AQ51" s="675"/>
      <c r="AR51" s="676"/>
    </row>
    <row r="52" spans="1:44" ht="15.75" x14ac:dyDescent="0.25">
      <c r="A52" s="2431"/>
      <c r="B52" s="2432"/>
      <c r="C52" s="2482"/>
      <c r="D52" s="2483"/>
      <c r="E52" s="169">
        <v>3201</v>
      </c>
      <c r="F52" s="2442" t="s">
        <v>2517</v>
      </c>
      <c r="G52" s="2442"/>
      <c r="H52" s="2442"/>
      <c r="I52" s="2442"/>
      <c r="J52" s="2442"/>
      <c r="K52" s="2442"/>
      <c r="L52" s="2442"/>
      <c r="M52" s="169"/>
      <c r="N52" s="173"/>
      <c r="O52" s="169"/>
      <c r="P52" s="169"/>
      <c r="Q52" s="173"/>
      <c r="R52" s="169"/>
      <c r="S52" s="1606"/>
      <c r="T52" s="173"/>
      <c r="U52" s="173"/>
      <c r="V52" s="1634"/>
      <c r="W52" s="483"/>
      <c r="X52" s="942"/>
      <c r="Y52" s="942"/>
      <c r="Z52" s="942"/>
      <c r="AA52" s="549"/>
      <c r="AB52" s="549"/>
      <c r="AC52" s="549"/>
      <c r="AD52" s="549"/>
      <c r="AE52" s="549"/>
      <c r="AF52" s="549"/>
      <c r="AG52" s="549"/>
      <c r="AH52" s="549"/>
      <c r="AI52" s="549"/>
      <c r="AJ52" s="549"/>
      <c r="AK52" s="549"/>
      <c r="AL52" s="549"/>
      <c r="AM52" s="549"/>
      <c r="AN52" s="549"/>
      <c r="AO52" s="549"/>
      <c r="AP52" s="549"/>
      <c r="AQ52" s="549"/>
      <c r="AR52" s="549"/>
    </row>
    <row r="53" spans="1:44" ht="60" x14ac:dyDescent="0.25">
      <c r="A53" s="2431"/>
      <c r="B53" s="2432"/>
      <c r="C53" s="2272"/>
      <c r="D53" s="2156"/>
      <c r="E53" s="2567"/>
      <c r="F53" s="2568"/>
      <c r="G53" s="1504">
        <v>3201013</v>
      </c>
      <c r="H53" s="1481" t="s">
        <v>2518</v>
      </c>
      <c r="I53" s="1504">
        <v>3201013</v>
      </c>
      <c r="J53" s="1481" t="s">
        <v>2518</v>
      </c>
      <c r="K53" s="1504">
        <v>320101300</v>
      </c>
      <c r="L53" s="1481" t="s">
        <v>2519</v>
      </c>
      <c r="M53" s="1504">
        <v>320101300</v>
      </c>
      <c r="N53" s="1481" t="s">
        <v>2519</v>
      </c>
      <c r="O53" s="554">
        <v>1</v>
      </c>
      <c r="P53" s="3187" t="s">
        <v>2520</v>
      </c>
      <c r="Q53" s="2330" t="s">
        <v>2521</v>
      </c>
      <c r="R53" s="1635">
        <f>W53/S53</f>
        <v>0.3902439024390244</v>
      </c>
      <c r="S53" s="3221">
        <f>SUM(W53:W54)</f>
        <v>82000000</v>
      </c>
      <c r="T53" s="2458" t="s">
        <v>2522</v>
      </c>
      <c r="U53" s="2280" t="s">
        <v>2523</v>
      </c>
      <c r="V53" s="1636" t="s">
        <v>2524</v>
      </c>
      <c r="W53" s="1637">
        <v>32000000</v>
      </c>
      <c r="X53" s="1540" t="s">
        <v>2525</v>
      </c>
      <c r="Y53" s="3222">
        <v>20</v>
      </c>
      <c r="Z53" s="3223" t="s">
        <v>2351</v>
      </c>
      <c r="AA53" s="3220">
        <v>39408</v>
      </c>
      <c r="AB53" s="3220">
        <v>38892</v>
      </c>
      <c r="AC53" s="3220">
        <v>15324</v>
      </c>
      <c r="AD53" s="3220">
        <v>7104</v>
      </c>
      <c r="AE53" s="3220">
        <v>40867</v>
      </c>
      <c r="AF53" s="3220">
        <v>15005</v>
      </c>
      <c r="AG53" s="3220"/>
      <c r="AH53" s="3220"/>
      <c r="AI53" s="3220"/>
      <c r="AJ53" s="3220"/>
      <c r="AK53" s="3220"/>
      <c r="AL53" s="3220"/>
      <c r="AM53" s="3220"/>
      <c r="AN53" s="3220"/>
      <c r="AO53" s="3220"/>
      <c r="AP53" s="3220">
        <f>SUM(L53:N54)</f>
        <v>640202105</v>
      </c>
      <c r="AQ53" s="3224">
        <v>44211</v>
      </c>
      <c r="AR53" s="3226" t="s">
        <v>2352</v>
      </c>
    </row>
    <row r="54" spans="1:44" ht="51" customHeight="1" x14ac:dyDescent="0.25">
      <c r="A54" s="2431"/>
      <c r="B54" s="2432"/>
      <c r="C54" s="2272"/>
      <c r="D54" s="2156"/>
      <c r="E54" s="2433"/>
      <c r="F54" s="2434"/>
      <c r="G54" s="1504">
        <v>3201008</v>
      </c>
      <c r="H54" s="1481" t="s">
        <v>2526</v>
      </c>
      <c r="I54" s="1504">
        <v>3201008</v>
      </c>
      <c r="J54" s="1481" t="s">
        <v>2526</v>
      </c>
      <c r="K54" s="1504">
        <v>320100805</v>
      </c>
      <c r="L54" s="1481" t="s">
        <v>2527</v>
      </c>
      <c r="M54" s="1504">
        <v>320100805</v>
      </c>
      <c r="N54" s="1481" t="s">
        <v>2527</v>
      </c>
      <c r="O54" s="554">
        <v>2</v>
      </c>
      <c r="P54" s="3187"/>
      <c r="Q54" s="2330"/>
      <c r="R54" s="1635">
        <f>W54/S53</f>
        <v>0.6097560975609756</v>
      </c>
      <c r="S54" s="3221"/>
      <c r="T54" s="2460"/>
      <c r="U54" s="2282"/>
      <c r="V54" s="1636" t="s">
        <v>2528</v>
      </c>
      <c r="W54" s="1637">
        <v>50000000</v>
      </c>
      <c r="X54" s="1540" t="s">
        <v>2529</v>
      </c>
      <c r="Y54" s="3222"/>
      <c r="Z54" s="3223"/>
      <c r="AA54" s="3220"/>
      <c r="AB54" s="3220"/>
      <c r="AC54" s="3220"/>
      <c r="AD54" s="3220"/>
      <c r="AE54" s="3220"/>
      <c r="AF54" s="3220"/>
      <c r="AG54" s="3220"/>
      <c r="AH54" s="3220"/>
      <c r="AI54" s="3220"/>
      <c r="AJ54" s="3220"/>
      <c r="AK54" s="3220"/>
      <c r="AL54" s="3220"/>
      <c r="AM54" s="3220"/>
      <c r="AN54" s="3220"/>
      <c r="AO54" s="3220"/>
      <c r="AP54" s="3220"/>
      <c r="AQ54" s="3225"/>
      <c r="AR54" s="3226"/>
    </row>
    <row r="55" spans="1:44" ht="15.75" x14ac:dyDescent="0.25">
      <c r="A55" s="2431"/>
      <c r="B55" s="2432"/>
      <c r="C55" s="2272"/>
      <c r="D55" s="2156"/>
      <c r="E55" s="1594">
        <v>3202</v>
      </c>
      <c r="F55" s="2442" t="s">
        <v>2530</v>
      </c>
      <c r="G55" s="2442"/>
      <c r="H55" s="2442"/>
      <c r="I55" s="2442"/>
      <c r="J55" s="2442"/>
      <c r="K55" s="2442"/>
      <c r="L55" s="2442"/>
      <c r="M55" s="169"/>
      <c r="N55" s="173"/>
      <c r="O55" s="169"/>
      <c r="P55" s="169"/>
      <c r="Q55" s="173"/>
      <c r="R55" s="169"/>
      <c r="S55" s="1606"/>
      <c r="T55" s="173"/>
      <c r="U55" s="173"/>
      <c r="V55" s="1614"/>
      <c r="W55" s="483"/>
      <c r="X55" s="942"/>
      <c r="Y55" s="680"/>
      <c r="Z55" s="680"/>
      <c r="AA55" s="680"/>
      <c r="AB55" s="680"/>
      <c r="AC55" s="680"/>
      <c r="AD55" s="680"/>
      <c r="AE55" s="680"/>
      <c r="AF55" s="680"/>
      <c r="AG55" s="680"/>
      <c r="AH55" s="680"/>
      <c r="AI55" s="680"/>
      <c r="AJ55" s="680"/>
      <c r="AK55" s="680"/>
      <c r="AL55" s="680"/>
      <c r="AM55" s="680"/>
      <c r="AN55" s="680"/>
      <c r="AO55" s="680"/>
      <c r="AP55" s="680"/>
      <c r="AQ55" s="680"/>
      <c r="AR55" s="680"/>
    </row>
    <row r="56" spans="1:44" ht="33.75" customHeight="1" x14ac:dyDescent="0.25">
      <c r="A56" s="2431"/>
      <c r="B56" s="2432"/>
      <c r="C56" s="2272"/>
      <c r="D56" s="2156"/>
      <c r="E56" s="3227"/>
      <c r="F56" s="3228"/>
      <c r="G56" s="2468" t="s">
        <v>2531</v>
      </c>
      <c r="H56" s="2560" t="s">
        <v>2532</v>
      </c>
      <c r="I56" s="2468" t="s">
        <v>2531</v>
      </c>
      <c r="J56" s="2560" t="s">
        <v>2532</v>
      </c>
      <c r="K56" s="2558" t="s">
        <v>2533</v>
      </c>
      <c r="L56" s="3233" t="s">
        <v>2534</v>
      </c>
      <c r="M56" s="2558" t="s">
        <v>2533</v>
      </c>
      <c r="N56" s="3233" t="s">
        <v>2534</v>
      </c>
      <c r="O56" s="3172">
        <v>600</v>
      </c>
      <c r="P56" s="3173" t="s">
        <v>2535</v>
      </c>
      <c r="Q56" s="2560" t="s">
        <v>2536</v>
      </c>
      <c r="R56" s="3176">
        <f>SUM(W56:W58)/S56</f>
        <v>0.19203384449166835</v>
      </c>
      <c r="S56" s="3236">
        <f>SUM(W56:W63)</f>
        <v>1145631389</v>
      </c>
      <c r="T56" s="2283" t="s">
        <v>2537</v>
      </c>
      <c r="U56" s="2280" t="s">
        <v>2538</v>
      </c>
      <c r="V56" s="3042" t="s">
        <v>2539</v>
      </c>
      <c r="W56" s="1639">
        <f>220000000-20000000-10100000</f>
        <v>189900000</v>
      </c>
      <c r="X56" s="1540" t="s">
        <v>2540</v>
      </c>
      <c r="Y56" s="948">
        <v>20</v>
      </c>
      <c r="Z56" s="1491" t="s">
        <v>2351</v>
      </c>
      <c r="AA56" s="2463">
        <v>291786</v>
      </c>
      <c r="AB56" s="2463">
        <v>270331</v>
      </c>
      <c r="AC56" s="2463">
        <v>102045</v>
      </c>
      <c r="AD56" s="2463">
        <v>39183</v>
      </c>
      <c r="AE56" s="2463">
        <v>310195</v>
      </c>
      <c r="AF56" s="2463">
        <v>110694</v>
      </c>
      <c r="AG56" s="2463"/>
      <c r="AH56" s="2463"/>
      <c r="AI56" s="2463"/>
      <c r="AJ56" s="2463"/>
      <c r="AK56" s="2463"/>
      <c r="AL56" s="2463"/>
      <c r="AM56" s="2463"/>
      <c r="AN56" s="2463"/>
      <c r="AO56" s="2463"/>
      <c r="AP56" s="2463">
        <v>562117</v>
      </c>
      <c r="AQ56" s="3239">
        <v>44211</v>
      </c>
      <c r="AR56" s="2424" t="s">
        <v>2352</v>
      </c>
    </row>
    <row r="57" spans="1:44" ht="33.75" customHeight="1" x14ac:dyDescent="0.25">
      <c r="A57" s="2431"/>
      <c r="B57" s="2432"/>
      <c r="C57" s="2272"/>
      <c r="D57" s="2156"/>
      <c r="E57" s="3229"/>
      <c r="F57" s="3230"/>
      <c r="G57" s="2468"/>
      <c r="H57" s="2560"/>
      <c r="I57" s="2468"/>
      <c r="J57" s="2560"/>
      <c r="K57" s="2558"/>
      <c r="L57" s="3233"/>
      <c r="M57" s="2558"/>
      <c r="N57" s="3233"/>
      <c r="O57" s="3172"/>
      <c r="P57" s="3174"/>
      <c r="Q57" s="2560"/>
      <c r="R57" s="3176"/>
      <c r="S57" s="3236"/>
      <c r="T57" s="2284"/>
      <c r="U57" s="2281"/>
      <c r="V57" s="3237"/>
      <c r="W57" s="1639">
        <v>20000000</v>
      </c>
      <c r="X57" s="1540" t="s">
        <v>2541</v>
      </c>
      <c r="Y57" s="948">
        <v>20</v>
      </c>
      <c r="Z57" s="1491" t="s">
        <v>2351</v>
      </c>
      <c r="AA57" s="2463"/>
      <c r="AB57" s="2463"/>
      <c r="AC57" s="2463"/>
      <c r="AD57" s="2463"/>
      <c r="AE57" s="2463"/>
      <c r="AF57" s="2463"/>
      <c r="AG57" s="2463"/>
      <c r="AH57" s="2463"/>
      <c r="AI57" s="2463"/>
      <c r="AJ57" s="2463"/>
      <c r="AK57" s="2463"/>
      <c r="AL57" s="2463"/>
      <c r="AM57" s="2463"/>
      <c r="AN57" s="2463"/>
      <c r="AO57" s="2463"/>
      <c r="AP57" s="2463"/>
      <c r="AQ57" s="3240"/>
      <c r="AR57" s="2424"/>
    </row>
    <row r="58" spans="1:44" ht="33.75" customHeight="1" x14ac:dyDescent="0.25">
      <c r="A58" s="2431"/>
      <c r="B58" s="2432"/>
      <c r="C58" s="2272"/>
      <c r="D58" s="2156"/>
      <c r="E58" s="3229"/>
      <c r="F58" s="3230"/>
      <c r="G58" s="2468"/>
      <c r="H58" s="2560"/>
      <c r="I58" s="2468"/>
      <c r="J58" s="2560"/>
      <c r="K58" s="2558"/>
      <c r="L58" s="3233"/>
      <c r="M58" s="2558"/>
      <c r="N58" s="3233"/>
      <c r="O58" s="3172"/>
      <c r="P58" s="3174"/>
      <c r="Q58" s="2560"/>
      <c r="R58" s="3176"/>
      <c r="S58" s="3236"/>
      <c r="T58" s="2284"/>
      <c r="U58" s="2281"/>
      <c r="V58" s="3238"/>
      <c r="W58" s="1639">
        <v>10100000</v>
      </c>
      <c r="X58" s="1540" t="s">
        <v>2542</v>
      </c>
      <c r="Y58" s="948">
        <v>20</v>
      </c>
      <c r="Z58" s="1491" t="s">
        <v>2351</v>
      </c>
      <c r="AA58" s="2463"/>
      <c r="AB58" s="2463"/>
      <c r="AC58" s="2463"/>
      <c r="AD58" s="2463"/>
      <c r="AE58" s="2463"/>
      <c r="AF58" s="2463"/>
      <c r="AG58" s="2463"/>
      <c r="AH58" s="2463"/>
      <c r="AI58" s="2463"/>
      <c r="AJ58" s="2463"/>
      <c r="AK58" s="2463"/>
      <c r="AL58" s="2463"/>
      <c r="AM58" s="2463"/>
      <c r="AN58" s="2463"/>
      <c r="AO58" s="2463"/>
      <c r="AP58" s="2463"/>
      <c r="AQ58" s="3240"/>
      <c r="AR58" s="2424"/>
    </row>
    <row r="59" spans="1:44" ht="52.5" customHeight="1" x14ac:dyDescent="0.25">
      <c r="A59" s="2431"/>
      <c r="B59" s="2432"/>
      <c r="C59" s="2272"/>
      <c r="D59" s="2156"/>
      <c r="E59" s="3229"/>
      <c r="F59" s="3230"/>
      <c r="G59" s="1496">
        <v>3202037</v>
      </c>
      <c r="H59" s="1500" t="s">
        <v>2543</v>
      </c>
      <c r="I59" s="1496">
        <v>3202037</v>
      </c>
      <c r="J59" s="1500" t="s">
        <v>2543</v>
      </c>
      <c r="K59" s="1498">
        <v>320203704</v>
      </c>
      <c r="L59" s="1597" t="s">
        <v>2544</v>
      </c>
      <c r="M59" s="1498" t="s">
        <v>2545</v>
      </c>
      <c r="N59" s="1597" t="s">
        <v>2544</v>
      </c>
      <c r="O59" s="1598">
        <v>40</v>
      </c>
      <c r="P59" s="3174"/>
      <c r="Q59" s="2560"/>
      <c r="R59" s="1530">
        <f>W59/S56</f>
        <v>8.3140342447443186E-2</v>
      </c>
      <c r="S59" s="3236"/>
      <c r="T59" s="2284"/>
      <c r="U59" s="2281"/>
      <c r="V59" s="1538" t="s">
        <v>2546</v>
      </c>
      <c r="W59" s="1641">
        <f>82575952+12672234</f>
        <v>95248186</v>
      </c>
      <c r="X59" s="1540" t="s">
        <v>2547</v>
      </c>
      <c r="Y59" s="952">
        <v>20</v>
      </c>
      <c r="Z59" s="1488" t="s">
        <v>2351</v>
      </c>
      <c r="AA59" s="2463"/>
      <c r="AB59" s="2463"/>
      <c r="AC59" s="2463"/>
      <c r="AD59" s="2463"/>
      <c r="AE59" s="2463"/>
      <c r="AF59" s="2463"/>
      <c r="AG59" s="2463"/>
      <c r="AH59" s="2463"/>
      <c r="AI59" s="2463"/>
      <c r="AJ59" s="2463"/>
      <c r="AK59" s="2463"/>
      <c r="AL59" s="2463"/>
      <c r="AM59" s="2463"/>
      <c r="AN59" s="2463"/>
      <c r="AO59" s="2463"/>
      <c r="AP59" s="2463"/>
      <c r="AQ59" s="3240"/>
      <c r="AR59" s="2424"/>
    </row>
    <row r="60" spans="1:44" ht="15" x14ac:dyDescent="0.25">
      <c r="A60" s="2431"/>
      <c r="B60" s="2432"/>
      <c r="C60" s="2272"/>
      <c r="D60" s="2156"/>
      <c r="E60" s="3229"/>
      <c r="F60" s="3230"/>
      <c r="G60" s="3235" t="s">
        <v>62</v>
      </c>
      <c r="H60" s="2560" t="s">
        <v>2548</v>
      </c>
      <c r="I60" s="3235">
        <v>3202037</v>
      </c>
      <c r="J60" s="2560" t="s">
        <v>2543</v>
      </c>
      <c r="K60" s="3235" t="s">
        <v>62</v>
      </c>
      <c r="L60" s="3172" t="s">
        <v>2549</v>
      </c>
      <c r="M60" s="3242">
        <v>320203700</v>
      </c>
      <c r="N60" s="3233" t="s">
        <v>2550</v>
      </c>
      <c r="O60" s="3172">
        <v>60</v>
      </c>
      <c r="P60" s="3174"/>
      <c r="Q60" s="2560"/>
      <c r="R60" s="3182">
        <f>SUM(W60:W62)/S56</f>
        <v>0.62008007970179668</v>
      </c>
      <c r="S60" s="3236"/>
      <c r="T60" s="2284"/>
      <c r="U60" s="2281"/>
      <c r="V60" s="2192" t="s">
        <v>2551</v>
      </c>
      <c r="W60" s="1642">
        <v>290383203</v>
      </c>
      <c r="X60" s="1540" t="s">
        <v>2552</v>
      </c>
      <c r="Y60" s="1483">
        <v>88</v>
      </c>
      <c r="Z60" s="1512" t="s">
        <v>374</v>
      </c>
      <c r="AA60" s="2463"/>
      <c r="AB60" s="2463"/>
      <c r="AC60" s="2463"/>
      <c r="AD60" s="2463"/>
      <c r="AE60" s="2463"/>
      <c r="AF60" s="2463"/>
      <c r="AG60" s="2463"/>
      <c r="AH60" s="2463"/>
      <c r="AI60" s="2463"/>
      <c r="AJ60" s="2463"/>
      <c r="AK60" s="2463"/>
      <c r="AL60" s="2463"/>
      <c r="AM60" s="2463"/>
      <c r="AN60" s="2463"/>
      <c r="AO60" s="2463"/>
      <c r="AP60" s="2463"/>
      <c r="AQ60" s="3240"/>
      <c r="AR60" s="2424"/>
    </row>
    <row r="61" spans="1:44" ht="15" x14ac:dyDescent="0.25">
      <c r="A61" s="2431"/>
      <c r="B61" s="2432"/>
      <c r="C61" s="2272"/>
      <c r="D61" s="2156"/>
      <c r="E61" s="3229"/>
      <c r="F61" s="3230"/>
      <c r="G61" s="3235"/>
      <c r="H61" s="2560"/>
      <c r="I61" s="3235"/>
      <c r="J61" s="2560"/>
      <c r="K61" s="3235"/>
      <c r="L61" s="3172"/>
      <c r="M61" s="3242"/>
      <c r="N61" s="3233"/>
      <c r="O61" s="3172"/>
      <c r="P61" s="3174"/>
      <c r="Q61" s="2560"/>
      <c r="R61" s="3188"/>
      <c r="S61" s="3236"/>
      <c r="T61" s="2284"/>
      <c r="U61" s="2281"/>
      <c r="V61" s="2193"/>
      <c r="W61" s="1641">
        <f>400000000+20000000-20000000</f>
        <v>400000000</v>
      </c>
      <c r="X61" s="1540" t="s">
        <v>2553</v>
      </c>
      <c r="Y61" s="1525">
        <v>20</v>
      </c>
      <c r="Z61" s="1489" t="s">
        <v>2351</v>
      </c>
      <c r="AA61" s="2463"/>
      <c r="AB61" s="2463"/>
      <c r="AC61" s="2463"/>
      <c r="AD61" s="2463"/>
      <c r="AE61" s="2463"/>
      <c r="AF61" s="2463"/>
      <c r="AG61" s="2463"/>
      <c r="AH61" s="2463"/>
      <c r="AI61" s="2463"/>
      <c r="AJ61" s="2463"/>
      <c r="AK61" s="2463"/>
      <c r="AL61" s="2463"/>
      <c r="AM61" s="2463"/>
      <c r="AN61" s="2463"/>
      <c r="AO61" s="2463"/>
      <c r="AP61" s="2463"/>
      <c r="AQ61" s="3240"/>
      <c r="AR61" s="2424"/>
    </row>
    <row r="62" spans="1:44" ht="15" x14ac:dyDescent="0.25">
      <c r="A62" s="2431"/>
      <c r="B62" s="2432"/>
      <c r="C62" s="2272"/>
      <c r="D62" s="2156"/>
      <c r="E62" s="3229"/>
      <c r="F62" s="3230"/>
      <c r="G62" s="3235"/>
      <c r="H62" s="2560"/>
      <c r="I62" s="3235"/>
      <c r="J62" s="2560"/>
      <c r="K62" s="3235"/>
      <c r="L62" s="3172"/>
      <c r="M62" s="3242"/>
      <c r="N62" s="3233"/>
      <c r="O62" s="3172"/>
      <c r="P62" s="3174"/>
      <c r="Q62" s="2560"/>
      <c r="R62" s="3183"/>
      <c r="S62" s="3236"/>
      <c r="T62" s="2284"/>
      <c r="U62" s="2281"/>
      <c r="V62" s="3015"/>
      <c r="W62" s="1641">
        <v>20000000</v>
      </c>
      <c r="X62" s="1540" t="s">
        <v>2554</v>
      </c>
      <c r="Y62" s="948">
        <v>20</v>
      </c>
      <c r="Z62" s="1491" t="s">
        <v>2351</v>
      </c>
      <c r="AA62" s="2463"/>
      <c r="AB62" s="2463"/>
      <c r="AC62" s="2463"/>
      <c r="AD62" s="2463"/>
      <c r="AE62" s="2463"/>
      <c r="AF62" s="2463"/>
      <c r="AG62" s="2463"/>
      <c r="AH62" s="2463"/>
      <c r="AI62" s="2463"/>
      <c r="AJ62" s="2463"/>
      <c r="AK62" s="2463"/>
      <c r="AL62" s="2463"/>
      <c r="AM62" s="2463"/>
      <c r="AN62" s="2463"/>
      <c r="AO62" s="2463"/>
      <c r="AP62" s="2463"/>
      <c r="AQ62" s="3240"/>
      <c r="AR62" s="2424"/>
    </row>
    <row r="63" spans="1:44" ht="45" x14ac:dyDescent="0.25">
      <c r="A63" s="2431"/>
      <c r="B63" s="2432"/>
      <c r="C63" s="2272"/>
      <c r="D63" s="2156"/>
      <c r="E63" s="3229"/>
      <c r="F63" s="3230"/>
      <c r="G63" s="1470">
        <v>3202043</v>
      </c>
      <c r="H63" s="1500" t="s">
        <v>2555</v>
      </c>
      <c r="I63" s="1496">
        <v>3202043</v>
      </c>
      <c r="J63" s="1500" t="s">
        <v>2555</v>
      </c>
      <c r="K63" s="1470">
        <v>3202043</v>
      </c>
      <c r="L63" s="1597" t="s">
        <v>2556</v>
      </c>
      <c r="M63" s="1498">
        <v>320204300</v>
      </c>
      <c r="N63" s="1597" t="s">
        <v>2556</v>
      </c>
      <c r="O63" s="1643">
        <v>1</v>
      </c>
      <c r="P63" s="3175"/>
      <c r="Q63" s="2560"/>
      <c r="R63" s="1530">
        <f>W63/S56</f>
        <v>0.10474573335909182</v>
      </c>
      <c r="S63" s="3236"/>
      <c r="T63" s="2285"/>
      <c r="U63" s="2282"/>
      <c r="V63" s="1513" t="s">
        <v>2557</v>
      </c>
      <c r="W63" s="1641">
        <f>100000000+20000000</f>
        <v>120000000</v>
      </c>
      <c r="X63" s="1540" t="s">
        <v>2558</v>
      </c>
      <c r="Y63" s="952">
        <v>20</v>
      </c>
      <c r="Z63" s="1488" t="s">
        <v>2351</v>
      </c>
      <c r="AA63" s="2463"/>
      <c r="AB63" s="2463"/>
      <c r="AC63" s="2463"/>
      <c r="AD63" s="2463"/>
      <c r="AE63" s="2463"/>
      <c r="AF63" s="2463"/>
      <c r="AG63" s="2463"/>
      <c r="AH63" s="2463"/>
      <c r="AI63" s="2463"/>
      <c r="AJ63" s="2463"/>
      <c r="AK63" s="2463"/>
      <c r="AL63" s="2463"/>
      <c r="AM63" s="2463"/>
      <c r="AN63" s="2463"/>
      <c r="AO63" s="2463"/>
      <c r="AP63" s="2463"/>
      <c r="AQ63" s="3241"/>
      <c r="AR63" s="2424"/>
    </row>
    <row r="64" spans="1:44" ht="39" customHeight="1" x14ac:dyDescent="0.25">
      <c r="A64" s="2431"/>
      <c r="B64" s="2432"/>
      <c r="C64" s="2272"/>
      <c r="D64" s="2156"/>
      <c r="E64" s="3229"/>
      <c r="F64" s="3230"/>
      <c r="G64" s="2559" t="s">
        <v>62</v>
      </c>
      <c r="H64" s="2560" t="s">
        <v>2559</v>
      </c>
      <c r="I64" s="2559">
        <v>3202014</v>
      </c>
      <c r="J64" s="2257" t="s">
        <v>2560</v>
      </c>
      <c r="K64" s="3234" t="s">
        <v>62</v>
      </c>
      <c r="L64" s="3233" t="s">
        <v>2561</v>
      </c>
      <c r="M64" s="3234">
        <v>320201402</v>
      </c>
      <c r="N64" s="2313" t="s">
        <v>2562</v>
      </c>
      <c r="O64" s="3244">
        <v>1</v>
      </c>
      <c r="P64" s="3205" t="s">
        <v>2563</v>
      </c>
      <c r="Q64" s="2257" t="s">
        <v>2564</v>
      </c>
      <c r="R64" s="3245">
        <f>SUM(W64:W65)/S64</f>
        <v>1</v>
      </c>
      <c r="S64" s="3246">
        <f>SUM(W64:W65)</f>
        <v>36000000</v>
      </c>
      <c r="T64" s="2458" t="s">
        <v>2565</v>
      </c>
      <c r="U64" s="2458" t="s">
        <v>2566</v>
      </c>
      <c r="V64" s="2324" t="s">
        <v>2567</v>
      </c>
      <c r="W64" s="1641">
        <f>36000000-4400000</f>
        <v>31600000</v>
      </c>
      <c r="X64" s="1540" t="s">
        <v>2568</v>
      </c>
      <c r="Y64" s="3243">
        <v>20</v>
      </c>
      <c r="Z64" s="2973" t="s">
        <v>2351</v>
      </c>
      <c r="AA64" s="2495">
        <v>6100</v>
      </c>
      <c r="AB64" s="2495">
        <v>5060</v>
      </c>
      <c r="AC64" s="2495">
        <v>2550</v>
      </c>
      <c r="AD64" s="2495">
        <v>2150</v>
      </c>
      <c r="AE64" s="2495">
        <v>5500</v>
      </c>
      <c r="AF64" s="2495">
        <v>960</v>
      </c>
      <c r="AG64" s="2495"/>
      <c r="AH64" s="2495"/>
      <c r="AI64" s="2495"/>
      <c r="AJ64" s="2495"/>
      <c r="AK64" s="2495"/>
      <c r="AL64" s="2495"/>
      <c r="AM64" s="2495">
        <v>400</v>
      </c>
      <c r="AN64" s="2495">
        <v>100</v>
      </c>
      <c r="AO64" s="2495">
        <v>200</v>
      </c>
      <c r="AP64" s="2495">
        <v>11160</v>
      </c>
      <c r="AQ64" s="3248">
        <v>44211</v>
      </c>
      <c r="AR64" s="3250" t="s">
        <v>2352</v>
      </c>
    </row>
    <row r="65" spans="1:45" ht="39" customHeight="1" x14ac:dyDescent="0.25">
      <c r="A65" s="2431"/>
      <c r="B65" s="2432"/>
      <c r="C65" s="2272"/>
      <c r="D65" s="2156"/>
      <c r="E65" s="3229"/>
      <c r="F65" s="3230"/>
      <c r="G65" s="2559"/>
      <c r="H65" s="2560"/>
      <c r="I65" s="2559"/>
      <c r="J65" s="2257"/>
      <c r="K65" s="3234"/>
      <c r="L65" s="3233"/>
      <c r="M65" s="3234"/>
      <c r="N65" s="2313"/>
      <c r="O65" s="3244"/>
      <c r="P65" s="3205"/>
      <c r="Q65" s="2257"/>
      <c r="R65" s="3245"/>
      <c r="S65" s="3246"/>
      <c r="T65" s="2460"/>
      <c r="U65" s="2460"/>
      <c r="V65" s="3029"/>
      <c r="W65" s="1641">
        <v>4400000</v>
      </c>
      <c r="X65" s="1540" t="s">
        <v>2569</v>
      </c>
      <c r="Y65" s="3243"/>
      <c r="Z65" s="2973"/>
      <c r="AA65" s="2495"/>
      <c r="AB65" s="2495"/>
      <c r="AC65" s="2495"/>
      <c r="AD65" s="2495"/>
      <c r="AE65" s="2495"/>
      <c r="AF65" s="2495"/>
      <c r="AG65" s="2495"/>
      <c r="AH65" s="2495"/>
      <c r="AI65" s="2495"/>
      <c r="AJ65" s="2495"/>
      <c r="AK65" s="2495"/>
      <c r="AL65" s="2495"/>
      <c r="AM65" s="2495"/>
      <c r="AN65" s="2495"/>
      <c r="AO65" s="2495"/>
      <c r="AP65" s="2495"/>
      <c r="AQ65" s="3249"/>
      <c r="AR65" s="3251"/>
    </row>
    <row r="66" spans="1:45" ht="15" x14ac:dyDescent="0.25">
      <c r="A66" s="2431"/>
      <c r="B66" s="2432"/>
      <c r="C66" s="2272"/>
      <c r="D66" s="2156"/>
      <c r="E66" s="3229"/>
      <c r="F66" s="3230"/>
      <c r="G66" s="3192" t="s">
        <v>62</v>
      </c>
      <c r="H66" s="3166" t="s">
        <v>2570</v>
      </c>
      <c r="I66" s="3192">
        <v>3202014</v>
      </c>
      <c r="J66" s="3166" t="s">
        <v>2560</v>
      </c>
      <c r="K66" s="3192" t="s">
        <v>62</v>
      </c>
      <c r="L66" s="2732" t="s">
        <v>2571</v>
      </c>
      <c r="M66" s="3192">
        <v>320201402</v>
      </c>
      <c r="N66" s="2732" t="s">
        <v>2562</v>
      </c>
      <c r="O66" s="3271">
        <v>1</v>
      </c>
      <c r="P66" s="3173" t="s">
        <v>2572</v>
      </c>
      <c r="Q66" s="2280" t="s">
        <v>2573</v>
      </c>
      <c r="R66" s="3209">
        <f>SUM(W66:W68)/S66</f>
        <v>1</v>
      </c>
      <c r="S66" s="3266">
        <f>SUM(W66:W68)</f>
        <v>54000000</v>
      </c>
      <c r="T66" s="2458" t="s">
        <v>2574</v>
      </c>
      <c r="U66" s="2458" t="s">
        <v>2575</v>
      </c>
      <c r="V66" s="2324" t="s">
        <v>2576</v>
      </c>
      <c r="W66" s="1641">
        <f>48000000-8300000</f>
        <v>39700000</v>
      </c>
      <c r="X66" s="1540" t="s">
        <v>2577</v>
      </c>
      <c r="Y66" s="3269">
        <v>20</v>
      </c>
      <c r="Z66" s="3270" t="s">
        <v>2351</v>
      </c>
      <c r="AA66" s="3207">
        <v>6100</v>
      </c>
      <c r="AB66" s="3207">
        <v>5060</v>
      </c>
      <c r="AC66" s="3207">
        <v>2550</v>
      </c>
      <c r="AD66" s="3207">
        <v>2150</v>
      </c>
      <c r="AE66" s="3207">
        <v>5500</v>
      </c>
      <c r="AF66" s="3207">
        <v>960</v>
      </c>
      <c r="AG66" s="3207"/>
      <c r="AH66" s="3207"/>
      <c r="AI66" s="3207"/>
      <c r="AJ66" s="3207"/>
      <c r="AK66" s="3207"/>
      <c r="AL66" s="3207"/>
      <c r="AM66" s="3207">
        <v>400</v>
      </c>
      <c r="AN66" s="3207">
        <v>100</v>
      </c>
      <c r="AO66" s="3207">
        <v>200</v>
      </c>
      <c r="AP66" s="3207">
        <v>11160</v>
      </c>
      <c r="AQ66" s="3248">
        <v>44211</v>
      </c>
      <c r="AR66" s="2424" t="s">
        <v>2352</v>
      </c>
    </row>
    <row r="67" spans="1:45" ht="15" x14ac:dyDescent="0.25">
      <c r="A67" s="2431"/>
      <c r="B67" s="2432"/>
      <c r="C67" s="2272"/>
      <c r="D67" s="2156"/>
      <c r="E67" s="3229"/>
      <c r="F67" s="3230"/>
      <c r="G67" s="3252"/>
      <c r="H67" s="3253"/>
      <c r="I67" s="3252"/>
      <c r="J67" s="3253"/>
      <c r="K67" s="3252"/>
      <c r="L67" s="2745"/>
      <c r="M67" s="3252"/>
      <c r="N67" s="2745"/>
      <c r="O67" s="3272"/>
      <c r="P67" s="3174"/>
      <c r="Q67" s="2281"/>
      <c r="R67" s="3247"/>
      <c r="S67" s="3267"/>
      <c r="T67" s="2459"/>
      <c r="U67" s="2459"/>
      <c r="V67" s="2324"/>
      <c r="W67" s="1641">
        <v>8300000</v>
      </c>
      <c r="X67" s="1540" t="s">
        <v>2578</v>
      </c>
      <c r="Y67" s="3269"/>
      <c r="Z67" s="3270"/>
      <c r="AA67" s="3254"/>
      <c r="AB67" s="3254"/>
      <c r="AC67" s="3254"/>
      <c r="AD67" s="3254"/>
      <c r="AE67" s="3254"/>
      <c r="AF67" s="3254"/>
      <c r="AG67" s="3254"/>
      <c r="AH67" s="3254"/>
      <c r="AI67" s="3254"/>
      <c r="AJ67" s="3254"/>
      <c r="AK67" s="3254"/>
      <c r="AL67" s="3254"/>
      <c r="AM67" s="3254"/>
      <c r="AN67" s="3254"/>
      <c r="AO67" s="3254"/>
      <c r="AP67" s="3254"/>
      <c r="AQ67" s="3255"/>
      <c r="AR67" s="2424"/>
    </row>
    <row r="68" spans="1:45" ht="15" x14ac:dyDescent="0.25">
      <c r="A68" s="2431"/>
      <c r="B68" s="2432"/>
      <c r="C68" s="2272"/>
      <c r="D68" s="2156"/>
      <c r="E68" s="3231"/>
      <c r="F68" s="3232"/>
      <c r="G68" s="3193"/>
      <c r="H68" s="3167"/>
      <c r="I68" s="3193"/>
      <c r="J68" s="3167"/>
      <c r="K68" s="3193"/>
      <c r="L68" s="2744"/>
      <c r="M68" s="3193"/>
      <c r="N68" s="2744"/>
      <c r="O68" s="3273"/>
      <c r="P68" s="3175"/>
      <c r="Q68" s="2282"/>
      <c r="R68" s="3210"/>
      <c r="S68" s="3268"/>
      <c r="T68" s="2460"/>
      <c r="U68" s="2460"/>
      <c r="V68" s="2324"/>
      <c r="W68" s="1641">
        <v>6000000</v>
      </c>
      <c r="X68" s="1540" t="s">
        <v>2579</v>
      </c>
      <c r="Y68" s="3243"/>
      <c r="Z68" s="2992"/>
      <c r="AA68" s="3208"/>
      <c r="AB68" s="3208"/>
      <c r="AC68" s="3208"/>
      <c r="AD68" s="3208"/>
      <c r="AE68" s="3208"/>
      <c r="AF68" s="3208"/>
      <c r="AG68" s="3208"/>
      <c r="AH68" s="3208"/>
      <c r="AI68" s="3208"/>
      <c r="AJ68" s="3208"/>
      <c r="AK68" s="3208"/>
      <c r="AL68" s="3208"/>
      <c r="AM68" s="3208"/>
      <c r="AN68" s="3208"/>
      <c r="AO68" s="3208"/>
      <c r="AP68" s="3208"/>
      <c r="AQ68" s="3249"/>
      <c r="AR68" s="2424"/>
    </row>
    <row r="69" spans="1:45" ht="15.75" x14ac:dyDescent="0.25">
      <c r="A69" s="2431"/>
      <c r="B69" s="2432"/>
      <c r="C69" s="2272"/>
      <c r="D69" s="2156"/>
      <c r="E69" s="1594">
        <v>3204</v>
      </c>
      <c r="F69" s="1499" t="s">
        <v>2580</v>
      </c>
      <c r="G69" s="1499"/>
      <c r="H69" s="173"/>
      <c r="I69" s="1499"/>
      <c r="J69" s="173"/>
      <c r="K69" s="1499"/>
      <c r="L69" s="173"/>
      <c r="M69" s="169"/>
      <c r="N69" s="173"/>
      <c r="O69" s="169"/>
      <c r="P69" s="169"/>
      <c r="Q69" s="173"/>
      <c r="R69" s="171"/>
      <c r="S69" s="1606"/>
      <c r="T69" s="173"/>
      <c r="U69" s="173"/>
      <c r="V69" s="1614"/>
      <c r="W69" s="483"/>
      <c r="X69" s="942"/>
      <c r="Y69" s="943"/>
      <c r="Z69" s="680"/>
      <c r="AA69" s="169"/>
      <c r="AB69" s="169"/>
      <c r="AC69" s="169"/>
      <c r="AD69" s="169"/>
      <c r="AE69" s="169"/>
      <c r="AF69" s="169"/>
      <c r="AG69" s="169"/>
      <c r="AH69" s="169"/>
      <c r="AI69" s="169"/>
      <c r="AJ69" s="169"/>
      <c r="AK69" s="169"/>
      <c r="AL69" s="169"/>
      <c r="AM69" s="169"/>
      <c r="AN69" s="169"/>
      <c r="AO69" s="169"/>
      <c r="AP69" s="169"/>
      <c r="AQ69" s="175"/>
      <c r="AR69" s="945"/>
    </row>
    <row r="70" spans="1:45" ht="117.75" customHeight="1" x14ac:dyDescent="0.25">
      <c r="A70" s="2431"/>
      <c r="B70" s="2432"/>
      <c r="C70" s="2272"/>
      <c r="D70" s="2156"/>
      <c r="E70" s="1521"/>
      <c r="F70" s="1521"/>
      <c r="G70" s="1645">
        <v>3204012</v>
      </c>
      <c r="H70" s="1646" t="s">
        <v>2581</v>
      </c>
      <c r="I70" s="1645">
        <v>3204012</v>
      </c>
      <c r="J70" s="1646" t="s">
        <v>2581</v>
      </c>
      <c r="K70" s="1647" t="s">
        <v>2582</v>
      </c>
      <c r="L70" s="1648" t="s">
        <v>2583</v>
      </c>
      <c r="M70" s="1649" t="s">
        <v>2582</v>
      </c>
      <c r="N70" s="1650" t="s">
        <v>2583</v>
      </c>
      <c r="O70" s="1651">
        <v>2</v>
      </c>
      <c r="P70" s="1652" t="s">
        <v>2584</v>
      </c>
      <c r="Q70" s="1535" t="s">
        <v>2585</v>
      </c>
      <c r="R70" s="1524">
        <f>W70/S70</f>
        <v>1</v>
      </c>
      <c r="S70" s="1653">
        <f>SUM(W70)</f>
        <v>120000000</v>
      </c>
      <c r="T70" s="1527" t="s">
        <v>2586</v>
      </c>
      <c r="U70" s="1527" t="s">
        <v>2587</v>
      </c>
      <c r="V70" s="1484" t="s">
        <v>2588</v>
      </c>
      <c r="W70" s="1615">
        <v>120000000</v>
      </c>
      <c r="X70" s="1540" t="s">
        <v>2589</v>
      </c>
      <c r="Y70" s="948">
        <v>20</v>
      </c>
      <c r="Z70" s="1491" t="s">
        <v>2351</v>
      </c>
      <c r="AA70" s="1497">
        <v>6100</v>
      </c>
      <c r="AB70" s="1497">
        <v>5060</v>
      </c>
      <c r="AC70" s="1497">
        <v>2550</v>
      </c>
      <c r="AD70" s="1497">
        <v>2150</v>
      </c>
      <c r="AE70" s="1497">
        <v>5500</v>
      </c>
      <c r="AF70" s="1497">
        <v>960</v>
      </c>
      <c r="AG70" s="1497"/>
      <c r="AH70" s="1497"/>
      <c r="AI70" s="1497"/>
      <c r="AJ70" s="1497"/>
      <c r="AK70" s="1497"/>
      <c r="AL70" s="1497"/>
      <c r="AM70" s="1497">
        <v>400</v>
      </c>
      <c r="AN70" s="1497">
        <v>100</v>
      </c>
      <c r="AO70" s="1497">
        <v>200</v>
      </c>
      <c r="AP70" s="1497">
        <v>11160</v>
      </c>
      <c r="AQ70" s="1501">
        <v>44211</v>
      </c>
      <c r="AR70" s="1654" t="s">
        <v>2352</v>
      </c>
    </row>
    <row r="71" spans="1:45" ht="15.75" x14ac:dyDescent="0.25">
      <c r="A71" s="2431"/>
      <c r="B71" s="2432"/>
      <c r="C71" s="2272"/>
      <c r="D71" s="2156"/>
      <c r="E71" s="1655">
        <v>3205</v>
      </c>
      <c r="F71" s="3256" t="s">
        <v>566</v>
      </c>
      <c r="G71" s="3257"/>
      <c r="H71" s="3257"/>
      <c r="I71" s="3257"/>
      <c r="J71" s="3257"/>
      <c r="K71" s="3257"/>
      <c r="L71" s="3257"/>
      <c r="M71" s="964"/>
      <c r="N71" s="1616"/>
      <c r="O71" s="964"/>
      <c r="P71" s="964"/>
      <c r="Q71" s="1616"/>
      <c r="R71" s="1656"/>
      <c r="S71" s="1657"/>
      <c r="T71" s="1616"/>
      <c r="U71" s="1616"/>
      <c r="V71" s="1616"/>
      <c r="W71" s="483"/>
      <c r="X71" s="942"/>
      <c r="Y71" s="1617"/>
      <c r="Z71" s="964"/>
      <c r="AA71" s="964"/>
      <c r="AB71" s="964"/>
      <c r="AC71" s="964"/>
      <c r="AD71" s="964"/>
      <c r="AE71" s="964"/>
      <c r="AF71" s="964"/>
      <c r="AG71" s="964"/>
      <c r="AH71" s="964"/>
      <c r="AI71" s="964"/>
      <c r="AJ71" s="964"/>
      <c r="AK71" s="964"/>
      <c r="AL71" s="964"/>
      <c r="AM71" s="964"/>
      <c r="AN71" s="964"/>
      <c r="AO71" s="964"/>
      <c r="AP71" s="964"/>
      <c r="AQ71" s="1609"/>
      <c r="AR71" s="496"/>
    </row>
    <row r="72" spans="1:45" ht="36" customHeight="1" x14ac:dyDescent="0.25">
      <c r="A72" s="2431"/>
      <c r="B72" s="2432"/>
      <c r="C72" s="2272"/>
      <c r="D72" s="2156"/>
      <c r="E72" s="1526"/>
      <c r="F72" s="1526"/>
      <c r="G72" s="1516" t="s">
        <v>2590</v>
      </c>
      <c r="H72" s="1658" t="s">
        <v>2591</v>
      </c>
      <c r="I72" s="1516" t="s">
        <v>2590</v>
      </c>
      <c r="J72" s="1658" t="s">
        <v>2591</v>
      </c>
      <c r="K72" s="1659" t="s">
        <v>2592</v>
      </c>
      <c r="L72" s="798" t="s">
        <v>2593</v>
      </c>
      <c r="M72" s="1659" t="s">
        <v>2592</v>
      </c>
      <c r="N72" s="798" t="s">
        <v>2593</v>
      </c>
      <c r="O72" s="1515">
        <v>200</v>
      </c>
      <c r="P72" s="3258" t="s">
        <v>2594</v>
      </c>
      <c r="Q72" s="2836" t="s">
        <v>2595</v>
      </c>
      <c r="R72" s="1530">
        <f>W72/S72</f>
        <v>0.24390243902439024</v>
      </c>
      <c r="S72" s="3260">
        <f>SUM(W72:W74)</f>
        <v>82000000</v>
      </c>
      <c r="T72" s="3263" t="s">
        <v>2596</v>
      </c>
      <c r="U72" s="512" t="s">
        <v>2597</v>
      </c>
      <c r="V72" s="1484" t="s">
        <v>2598</v>
      </c>
      <c r="W72" s="1615">
        <v>20000000</v>
      </c>
      <c r="X72" s="1540" t="s">
        <v>2599</v>
      </c>
      <c r="Y72" s="948">
        <v>20</v>
      </c>
      <c r="Z72" s="1491" t="s">
        <v>2351</v>
      </c>
      <c r="AA72" s="2502">
        <v>295972</v>
      </c>
      <c r="AB72" s="2502">
        <v>285580</v>
      </c>
      <c r="AC72" s="2502">
        <v>135545</v>
      </c>
      <c r="AD72" s="2502">
        <v>44254</v>
      </c>
      <c r="AE72" s="2502">
        <v>309146</v>
      </c>
      <c r="AF72" s="2502">
        <v>92607</v>
      </c>
      <c r="AG72" s="2502"/>
      <c r="AH72" s="2502"/>
      <c r="AI72" s="2502"/>
      <c r="AJ72" s="2502"/>
      <c r="AK72" s="2502"/>
      <c r="AL72" s="2502"/>
      <c r="AM72" s="2502"/>
      <c r="AN72" s="2502"/>
      <c r="AO72" s="2502"/>
      <c r="AP72" s="2502">
        <v>581552</v>
      </c>
      <c r="AQ72" s="3017"/>
      <c r="AR72" s="3019" t="s">
        <v>2352</v>
      </c>
    </row>
    <row r="73" spans="1:45" ht="36" customHeight="1" x14ac:dyDescent="0.25">
      <c r="A73" s="2431"/>
      <c r="B73" s="2432"/>
      <c r="C73" s="2272"/>
      <c r="D73" s="2156"/>
      <c r="E73" s="1526"/>
      <c r="F73" s="1526"/>
      <c r="G73" s="1516" t="s">
        <v>2600</v>
      </c>
      <c r="H73" s="1658" t="s">
        <v>2601</v>
      </c>
      <c r="I73" s="1516" t="s">
        <v>2600</v>
      </c>
      <c r="J73" s="1658" t="s">
        <v>2601</v>
      </c>
      <c r="K73" s="1659" t="s">
        <v>2602</v>
      </c>
      <c r="L73" s="798" t="s">
        <v>2603</v>
      </c>
      <c r="M73" s="1659" t="s">
        <v>2602</v>
      </c>
      <c r="N73" s="798" t="s">
        <v>2603</v>
      </c>
      <c r="O73" s="1515">
        <v>10</v>
      </c>
      <c r="P73" s="3258"/>
      <c r="Q73" s="2837"/>
      <c r="R73" s="1530">
        <f>W73/S72</f>
        <v>0.24390243902439024</v>
      </c>
      <c r="S73" s="3261"/>
      <c r="T73" s="3264"/>
      <c r="U73" s="512" t="s">
        <v>2604</v>
      </c>
      <c r="V73" s="1484" t="s">
        <v>2605</v>
      </c>
      <c r="W73" s="1615">
        <v>20000000</v>
      </c>
      <c r="X73" s="1540" t="s">
        <v>2606</v>
      </c>
      <c r="Y73" s="948">
        <v>20</v>
      </c>
      <c r="Z73" s="1491" t="s">
        <v>2351</v>
      </c>
      <c r="AA73" s="2503"/>
      <c r="AB73" s="2503"/>
      <c r="AC73" s="2503"/>
      <c r="AD73" s="2503"/>
      <c r="AE73" s="2503"/>
      <c r="AF73" s="2503"/>
      <c r="AG73" s="2503"/>
      <c r="AH73" s="2503"/>
      <c r="AI73" s="2503"/>
      <c r="AJ73" s="2503"/>
      <c r="AK73" s="2503"/>
      <c r="AL73" s="2503"/>
      <c r="AM73" s="2503"/>
      <c r="AN73" s="2503"/>
      <c r="AO73" s="2503"/>
      <c r="AP73" s="2503"/>
      <c r="AQ73" s="3018"/>
      <c r="AR73" s="3020"/>
    </row>
    <row r="74" spans="1:45" ht="36" customHeight="1" x14ac:dyDescent="0.25">
      <c r="A74" s="2431"/>
      <c r="B74" s="2432"/>
      <c r="C74" s="2272"/>
      <c r="D74" s="2156"/>
      <c r="E74" s="1526"/>
      <c r="F74" s="1526"/>
      <c r="G74" s="1517">
        <v>3205010</v>
      </c>
      <c r="H74" s="1660" t="s">
        <v>567</v>
      </c>
      <c r="I74" s="1517">
        <v>3205010</v>
      </c>
      <c r="J74" s="1660" t="s">
        <v>567</v>
      </c>
      <c r="K74" s="1661" t="s">
        <v>568</v>
      </c>
      <c r="L74" s="1662" t="s">
        <v>569</v>
      </c>
      <c r="M74" s="1661" t="s">
        <v>568</v>
      </c>
      <c r="N74" s="798" t="s">
        <v>569</v>
      </c>
      <c r="O74" s="1515">
        <v>1</v>
      </c>
      <c r="P74" s="3258"/>
      <c r="Q74" s="3259"/>
      <c r="R74" s="1530">
        <f>W74/S72</f>
        <v>0.51219512195121952</v>
      </c>
      <c r="S74" s="3262"/>
      <c r="T74" s="3265"/>
      <c r="U74" s="1481" t="s">
        <v>2607</v>
      </c>
      <c r="V74" s="1484" t="s">
        <v>2608</v>
      </c>
      <c r="W74" s="1615">
        <v>42000000</v>
      </c>
      <c r="X74" s="1540" t="s">
        <v>2609</v>
      </c>
      <c r="Y74" s="948">
        <v>20</v>
      </c>
      <c r="Z74" s="1491" t="s">
        <v>2351</v>
      </c>
      <c r="AA74" s="2504"/>
      <c r="AB74" s="2504"/>
      <c r="AC74" s="2504"/>
      <c r="AD74" s="2504"/>
      <c r="AE74" s="2504"/>
      <c r="AF74" s="2504"/>
      <c r="AG74" s="2504"/>
      <c r="AH74" s="2504"/>
      <c r="AI74" s="2504"/>
      <c r="AJ74" s="2504"/>
      <c r="AK74" s="2504"/>
      <c r="AL74" s="2504"/>
      <c r="AM74" s="2504"/>
      <c r="AN74" s="2504"/>
      <c r="AO74" s="2504"/>
      <c r="AP74" s="2504"/>
      <c r="AQ74" s="3057"/>
      <c r="AR74" s="3058"/>
    </row>
    <row r="75" spans="1:45" ht="15.75" x14ac:dyDescent="0.25">
      <c r="A75" s="2431"/>
      <c r="B75" s="2432"/>
      <c r="C75" s="2272"/>
      <c r="D75" s="2156"/>
      <c r="E75" s="1655">
        <v>3206</v>
      </c>
      <c r="F75" s="1663" t="s">
        <v>2610</v>
      </c>
      <c r="G75" s="1664"/>
      <c r="H75" s="1665"/>
      <c r="I75" s="1664"/>
      <c r="J75" s="1665"/>
      <c r="K75" s="1664"/>
      <c r="L75" s="1665"/>
      <c r="M75" s="1664"/>
      <c r="N75" s="1616"/>
      <c r="O75" s="964"/>
      <c r="P75" s="964"/>
      <c r="Q75" s="1616"/>
      <c r="R75" s="1656"/>
      <c r="S75" s="1657"/>
      <c r="T75" s="1616"/>
      <c r="U75" s="1616"/>
      <c r="V75" s="1616"/>
      <c r="W75" s="483"/>
      <c r="X75" s="942"/>
      <c r="Y75" s="1617"/>
      <c r="Z75" s="965"/>
      <c r="AA75" s="964"/>
      <c r="AB75" s="964"/>
      <c r="AC75" s="964"/>
      <c r="AD75" s="964"/>
      <c r="AE75" s="964"/>
      <c r="AF75" s="964"/>
      <c r="AG75" s="964"/>
      <c r="AH75" s="964"/>
      <c r="AI75" s="964"/>
      <c r="AJ75" s="964"/>
      <c r="AK75" s="964"/>
      <c r="AL75" s="964"/>
      <c r="AM75" s="964"/>
      <c r="AN75" s="964"/>
      <c r="AO75" s="964"/>
      <c r="AP75" s="964"/>
      <c r="AQ75" s="1609"/>
      <c r="AR75" s="496"/>
    </row>
    <row r="76" spans="1:45" ht="45" customHeight="1" x14ac:dyDescent="0.25">
      <c r="A76" s="2431"/>
      <c r="B76" s="2432"/>
      <c r="C76" s="2272"/>
      <c r="D76" s="2156"/>
      <c r="E76" s="1526"/>
      <c r="F76" s="1526"/>
      <c r="G76" s="1516" t="s">
        <v>2611</v>
      </c>
      <c r="H76" s="1658" t="s">
        <v>2612</v>
      </c>
      <c r="I76" s="1516" t="s">
        <v>2611</v>
      </c>
      <c r="J76" s="1658" t="s">
        <v>2612</v>
      </c>
      <c r="K76" s="1666" t="s">
        <v>2613</v>
      </c>
      <c r="L76" s="1667" t="s">
        <v>2614</v>
      </c>
      <c r="M76" s="1666" t="s">
        <v>2613</v>
      </c>
      <c r="N76" s="1667" t="s">
        <v>2614</v>
      </c>
      <c r="O76" s="1515">
        <v>6</v>
      </c>
      <c r="P76" s="3274" t="s">
        <v>2615</v>
      </c>
      <c r="Q76" s="2793" t="s">
        <v>2616</v>
      </c>
      <c r="R76" s="1530">
        <f>W76/S76</f>
        <v>0.21186440677966101</v>
      </c>
      <c r="S76" s="3260">
        <f>SUM(W76:W78)</f>
        <v>118000000</v>
      </c>
      <c r="T76" s="3263" t="s">
        <v>2617</v>
      </c>
      <c r="U76" s="2458" t="s">
        <v>2618</v>
      </c>
      <c r="V76" s="1484" t="s">
        <v>2619</v>
      </c>
      <c r="W76" s="1615">
        <v>25000000</v>
      </c>
      <c r="X76" s="1540" t="s">
        <v>2620</v>
      </c>
      <c r="Y76" s="1612">
        <v>20</v>
      </c>
      <c r="Z76" s="1668" t="s">
        <v>2351</v>
      </c>
      <c r="AA76" s="2502">
        <v>291786</v>
      </c>
      <c r="AB76" s="2502">
        <v>270331</v>
      </c>
      <c r="AC76" s="2502">
        <v>102045</v>
      </c>
      <c r="AD76" s="2502">
        <v>39183</v>
      </c>
      <c r="AE76" s="2502">
        <v>310195</v>
      </c>
      <c r="AF76" s="2502">
        <v>110694</v>
      </c>
      <c r="AG76" s="2502"/>
      <c r="AH76" s="2502"/>
      <c r="AI76" s="2502"/>
      <c r="AJ76" s="2502"/>
      <c r="AK76" s="2502"/>
      <c r="AL76" s="2502"/>
      <c r="AM76" s="2502"/>
      <c r="AN76" s="2502"/>
      <c r="AO76" s="2502"/>
      <c r="AP76" s="2502">
        <v>562117</v>
      </c>
      <c r="AQ76" s="3017"/>
      <c r="AR76" s="3019" t="s">
        <v>2352</v>
      </c>
    </row>
    <row r="77" spans="1:45" ht="45" customHeight="1" x14ac:dyDescent="0.25">
      <c r="A77" s="2431"/>
      <c r="B77" s="2432"/>
      <c r="C77" s="2272"/>
      <c r="D77" s="2156"/>
      <c r="E77" s="1526"/>
      <c r="F77" s="1526"/>
      <c r="G77" s="1516">
        <v>3206014</v>
      </c>
      <c r="H77" s="1658" t="s">
        <v>2621</v>
      </c>
      <c r="I77" s="1516">
        <v>3206014</v>
      </c>
      <c r="J77" s="1658" t="s">
        <v>2621</v>
      </c>
      <c r="K77" s="1666" t="s">
        <v>2622</v>
      </c>
      <c r="L77" s="1667" t="s">
        <v>2623</v>
      </c>
      <c r="M77" s="1666" t="s">
        <v>2622</v>
      </c>
      <c r="N77" s="1667" t="s">
        <v>2623</v>
      </c>
      <c r="O77" s="1515">
        <v>1950</v>
      </c>
      <c r="P77" s="3274"/>
      <c r="Q77" s="2793"/>
      <c r="R77" s="1530">
        <f>W77/S76</f>
        <v>0.15254237288135594</v>
      </c>
      <c r="S77" s="3261"/>
      <c r="T77" s="3264"/>
      <c r="U77" s="2459"/>
      <c r="V77" s="1484" t="s">
        <v>2624</v>
      </c>
      <c r="W77" s="1615">
        <v>18000000</v>
      </c>
      <c r="X77" s="1540" t="s">
        <v>2625</v>
      </c>
      <c r="Y77" s="1612">
        <v>20</v>
      </c>
      <c r="Z77" s="1668" t="s">
        <v>2351</v>
      </c>
      <c r="AA77" s="2503"/>
      <c r="AB77" s="2503"/>
      <c r="AC77" s="2503"/>
      <c r="AD77" s="2503"/>
      <c r="AE77" s="2503"/>
      <c r="AF77" s="2503"/>
      <c r="AG77" s="2503"/>
      <c r="AH77" s="2503"/>
      <c r="AI77" s="2503"/>
      <c r="AJ77" s="2503"/>
      <c r="AK77" s="2503"/>
      <c r="AL77" s="2503"/>
      <c r="AM77" s="2503"/>
      <c r="AN77" s="2503"/>
      <c r="AO77" s="2503"/>
      <c r="AP77" s="2503"/>
      <c r="AQ77" s="3018"/>
      <c r="AR77" s="3020"/>
    </row>
    <row r="78" spans="1:45" ht="45" customHeight="1" x14ac:dyDescent="0.25">
      <c r="A78" s="2431"/>
      <c r="B78" s="2432"/>
      <c r="C78" s="2272"/>
      <c r="D78" s="2156"/>
      <c r="E78" s="1526"/>
      <c r="F78" s="1526"/>
      <c r="G78" s="1517">
        <v>3206015</v>
      </c>
      <c r="H78" s="1660" t="s">
        <v>2626</v>
      </c>
      <c r="I78" s="1517" t="s">
        <v>2627</v>
      </c>
      <c r="J78" s="1660" t="s">
        <v>2626</v>
      </c>
      <c r="K78" s="1669" t="s">
        <v>2628</v>
      </c>
      <c r="L78" s="1670" t="s">
        <v>2629</v>
      </c>
      <c r="M78" s="1669" t="s">
        <v>2628</v>
      </c>
      <c r="N78" s="1670" t="s">
        <v>2629</v>
      </c>
      <c r="O78" s="1477">
        <v>20</v>
      </c>
      <c r="P78" s="3275"/>
      <c r="Q78" s="2829"/>
      <c r="R78" s="1529">
        <f>W78/S76</f>
        <v>0.63559322033898302</v>
      </c>
      <c r="S78" s="3261"/>
      <c r="T78" s="3264"/>
      <c r="U78" s="2459"/>
      <c r="V78" s="1484" t="s">
        <v>2630</v>
      </c>
      <c r="W78" s="1615">
        <v>75000000</v>
      </c>
      <c r="X78" s="1540" t="s">
        <v>2631</v>
      </c>
      <c r="Y78" s="1612">
        <v>20</v>
      </c>
      <c r="Z78" s="1668" t="s">
        <v>2351</v>
      </c>
      <c r="AA78" s="2503"/>
      <c r="AB78" s="2503"/>
      <c r="AC78" s="2503"/>
      <c r="AD78" s="2503"/>
      <c r="AE78" s="2503"/>
      <c r="AF78" s="2503"/>
      <c r="AG78" s="2503"/>
      <c r="AH78" s="2503"/>
      <c r="AI78" s="2503"/>
      <c r="AJ78" s="2503"/>
      <c r="AK78" s="2503"/>
      <c r="AL78" s="2503"/>
      <c r="AM78" s="2503"/>
      <c r="AN78" s="2503"/>
      <c r="AO78" s="2503"/>
      <c r="AP78" s="2503"/>
      <c r="AQ78" s="3018"/>
      <c r="AR78" s="3020"/>
    </row>
    <row r="79" spans="1:45" ht="15.75" x14ac:dyDescent="0.25">
      <c r="A79" s="1508"/>
      <c r="B79" s="1671"/>
      <c r="C79" s="1671"/>
      <c r="D79" s="1671"/>
      <c r="E79" s="1671"/>
      <c r="F79" s="1671"/>
      <c r="G79" s="1671"/>
      <c r="H79" s="1672"/>
      <c r="I79" s="1671"/>
      <c r="J79" s="1672"/>
      <c r="K79" s="1671"/>
      <c r="L79" s="1672"/>
      <c r="M79" s="1671"/>
      <c r="N79" s="1672"/>
      <c r="O79" s="1671"/>
      <c r="P79" s="1671"/>
      <c r="Q79" s="1672"/>
      <c r="R79" s="1673"/>
      <c r="S79" s="1674">
        <f>SUM(S9:S78)</f>
        <v>3854290501.6300001</v>
      </c>
      <c r="T79" s="1675"/>
      <c r="U79" s="1676"/>
      <c r="V79" s="109" t="s">
        <v>118</v>
      </c>
      <c r="W79" s="1677">
        <f>SUM(W9:W78)</f>
        <v>3854290501.6300001</v>
      </c>
      <c r="X79" s="1671"/>
      <c r="Y79" s="1671"/>
      <c r="Z79" s="1671"/>
      <c r="AA79" s="1671"/>
      <c r="AB79" s="1671"/>
      <c r="AC79" s="1671"/>
      <c r="AD79" s="1671"/>
      <c r="AE79" s="1671"/>
      <c r="AF79" s="1671"/>
      <c r="AG79" s="1671"/>
      <c r="AH79" s="1671"/>
      <c r="AI79" s="1671"/>
      <c r="AJ79" s="1671"/>
      <c r="AK79" s="1671"/>
      <c r="AL79" s="1671"/>
      <c r="AM79" s="1671"/>
      <c r="AN79" s="1671"/>
      <c r="AO79" s="1678"/>
      <c r="AP79" s="1678"/>
      <c r="AQ79" s="1679"/>
      <c r="AR79" s="1679"/>
    </row>
    <row r="80" spans="1:45" ht="15" x14ac:dyDescent="0.25">
      <c r="W80" s="1680"/>
      <c r="AR80" s="3"/>
      <c r="AS80" s="3"/>
    </row>
    <row r="81" spans="23:45" ht="15" x14ac:dyDescent="0.25">
      <c r="W81" s="1681"/>
      <c r="AR81" s="3"/>
      <c r="AS81" s="3"/>
    </row>
    <row r="82" spans="23:45" ht="15" x14ac:dyDescent="0.25">
      <c r="AR82" s="3"/>
      <c r="AS82" s="3"/>
    </row>
    <row r="83" spans="23:45" ht="15" x14ac:dyDescent="0.25">
      <c r="AR83" s="3"/>
      <c r="AS83" s="3"/>
    </row>
    <row r="84" spans="23:45" ht="15" x14ac:dyDescent="0.25">
      <c r="AR84" s="3"/>
      <c r="AS84" s="3"/>
    </row>
    <row r="85" spans="23:45" ht="15" x14ac:dyDescent="0.25">
      <c r="AR85" s="3"/>
      <c r="AS85" s="3"/>
    </row>
    <row r="86" spans="23:45" ht="15" x14ac:dyDescent="0.25">
      <c r="AR86" s="3"/>
      <c r="AS86" s="3"/>
    </row>
    <row r="87" spans="23:45" ht="15" x14ac:dyDescent="0.25">
      <c r="AR87" s="3"/>
      <c r="AS87" s="3"/>
    </row>
    <row r="88" spans="23:45" ht="15" x14ac:dyDescent="0.25">
      <c r="AR88" s="3"/>
      <c r="AS88" s="3"/>
    </row>
    <row r="89" spans="23:45" ht="15" x14ac:dyDescent="0.25">
      <c r="AR89" s="3"/>
      <c r="AS89" s="3"/>
    </row>
    <row r="90" spans="23:45" ht="15" x14ac:dyDescent="0.25">
      <c r="AR90" s="3"/>
      <c r="AS90" s="3"/>
    </row>
    <row r="91" spans="23:45" ht="15" x14ac:dyDescent="0.25">
      <c r="AR91" s="3"/>
      <c r="AS91" s="3"/>
    </row>
    <row r="92" spans="23:45" ht="15" x14ac:dyDescent="0.25">
      <c r="AR92" s="3"/>
      <c r="AS92" s="3"/>
    </row>
    <row r="93" spans="23:45" ht="15" x14ac:dyDescent="0.25">
      <c r="AR93" s="3"/>
      <c r="AS93" s="3"/>
    </row>
    <row r="94" spans="23:45" ht="15" x14ac:dyDescent="0.25">
      <c r="AR94" s="3"/>
      <c r="AS94" s="3"/>
    </row>
    <row r="95" spans="23:45" ht="15" x14ac:dyDescent="0.25">
      <c r="AR95" s="3"/>
      <c r="AS95" s="3"/>
    </row>
    <row r="96" spans="23:45" ht="15" x14ac:dyDescent="0.25">
      <c r="AR96" s="3"/>
      <c r="AS96" s="3"/>
    </row>
    <row r="97" spans="44:45" ht="15" x14ac:dyDescent="0.25">
      <c r="AR97" s="3"/>
      <c r="AS97" s="3"/>
    </row>
    <row r="98" spans="44:45" ht="15" x14ac:dyDescent="0.25">
      <c r="AR98" s="3"/>
      <c r="AS98" s="3"/>
    </row>
    <row r="99" spans="44:45" ht="15" x14ac:dyDescent="0.25">
      <c r="AR99" s="3"/>
      <c r="AS99" s="3"/>
    </row>
    <row r="100" spans="44:45" ht="15" x14ac:dyDescent="0.25">
      <c r="AR100" s="3"/>
      <c r="AS100" s="3"/>
    </row>
    <row r="101" spans="44:45" ht="15" x14ac:dyDescent="0.25">
      <c r="AR101" s="3"/>
      <c r="AS101" s="3"/>
    </row>
    <row r="102" spans="44:45" ht="15" x14ac:dyDescent="0.25">
      <c r="AR102" s="3"/>
      <c r="AS102" s="3"/>
    </row>
    <row r="103" spans="44:45" ht="15" x14ac:dyDescent="0.25">
      <c r="AR103" s="3"/>
      <c r="AS103" s="3"/>
    </row>
    <row r="104" spans="44:45" ht="15" x14ac:dyDescent="0.25">
      <c r="AR104" s="3"/>
      <c r="AS104" s="3"/>
    </row>
    <row r="105" spans="44:45" ht="15" x14ac:dyDescent="0.25">
      <c r="AR105" s="3"/>
      <c r="AS105" s="3"/>
    </row>
    <row r="106" spans="44:45" ht="15" x14ac:dyDescent="0.25">
      <c r="AR106" s="3"/>
      <c r="AS106" s="3"/>
    </row>
    <row r="107" spans="44:45" ht="15" x14ac:dyDescent="0.25">
      <c r="AR107" s="3"/>
      <c r="AS107" s="3"/>
    </row>
    <row r="108" spans="44:45" ht="15" x14ac:dyDescent="0.25">
      <c r="AR108" s="3"/>
      <c r="AS108" s="3"/>
    </row>
    <row r="109" spans="44:45" ht="15" x14ac:dyDescent="0.25">
      <c r="AR109" s="3"/>
      <c r="AS109" s="3"/>
    </row>
    <row r="110" spans="44:45" ht="15" x14ac:dyDescent="0.25">
      <c r="AR110" s="3"/>
      <c r="AS110" s="3"/>
    </row>
    <row r="111" spans="44:45" ht="15" x14ac:dyDescent="0.25">
      <c r="AR111" s="3"/>
      <c r="AS111" s="3"/>
    </row>
    <row r="112" spans="44:45" ht="15" x14ac:dyDescent="0.25">
      <c r="AR112" s="3"/>
      <c r="AS112" s="3"/>
    </row>
    <row r="113" spans="44:45" ht="15" x14ac:dyDescent="0.25">
      <c r="AR113" s="3"/>
      <c r="AS113" s="3"/>
    </row>
    <row r="114" spans="44:45" ht="15" x14ac:dyDescent="0.25">
      <c r="AR114" s="3"/>
      <c r="AS114" s="3"/>
    </row>
    <row r="115" spans="44:45" ht="15" x14ac:dyDescent="0.25">
      <c r="AR115" s="3"/>
      <c r="AS115" s="3"/>
    </row>
    <row r="116" spans="44:45" ht="15" x14ac:dyDescent="0.25">
      <c r="AR116" s="3"/>
      <c r="AS116" s="3"/>
    </row>
    <row r="117" spans="44:45" ht="15" x14ac:dyDescent="0.25">
      <c r="AR117" s="3"/>
      <c r="AS117" s="3"/>
    </row>
    <row r="118" spans="44:45" ht="15" x14ac:dyDescent="0.25">
      <c r="AR118" s="3"/>
      <c r="AS118" s="3"/>
    </row>
    <row r="119" spans="44:45" ht="15" x14ac:dyDescent="0.25">
      <c r="AR119" s="3"/>
      <c r="AS119" s="3"/>
    </row>
    <row r="120" spans="44:45" ht="15" x14ac:dyDescent="0.25">
      <c r="AR120" s="3"/>
      <c r="AS120" s="3"/>
    </row>
    <row r="121" spans="44:45" ht="15" x14ac:dyDescent="0.25">
      <c r="AR121" s="3"/>
      <c r="AS121" s="3"/>
    </row>
    <row r="122" spans="44:45" ht="15" x14ac:dyDescent="0.25">
      <c r="AR122" s="3"/>
      <c r="AS122" s="3"/>
    </row>
    <row r="123" spans="44:45" ht="15" x14ac:dyDescent="0.25">
      <c r="AR123" s="3"/>
      <c r="AS123" s="3"/>
    </row>
    <row r="124" spans="44:45" ht="15" x14ac:dyDescent="0.25">
      <c r="AR124" s="3"/>
      <c r="AS124" s="3"/>
    </row>
    <row r="125" spans="44:45" ht="15" x14ac:dyDescent="0.25">
      <c r="AR125" s="3"/>
      <c r="AS125" s="3"/>
    </row>
    <row r="126" spans="44:45" ht="15" x14ac:dyDescent="0.25">
      <c r="AR126" s="3"/>
      <c r="AS126" s="3"/>
    </row>
    <row r="127" spans="44:45" ht="15" x14ac:dyDescent="0.25">
      <c r="AR127" s="3"/>
      <c r="AS127" s="3"/>
    </row>
    <row r="128" spans="44:45" ht="15" x14ac:dyDescent="0.25">
      <c r="AR128" s="3"/>
      <c r="AS128" s="3"/>
    </row>
    <row r="129" spans="44:45" ht="15" x14ac:dyDescent="0.25">
      <c r="AR129" s="3"/>
      <c r="AS129" s="3"/>
    </row>
    <row r="130" spans="44:45" ht="15" x14ac:dyDescent="0.25">
      <c r="AR130" s="3"/>
      <c r="AS130" s="3"/>
    </row>
    <row r="131" spans="44:45" ht="15" x14ac:dyDescent="0.25">
      <c r="AR131" s="3"/>
      <c r="AS131" s="3"/>
    </row>
    <row r="132" spans="44:45" ht="15" x14ac:dyDescent="0.25">
      <c r="AR132" s="3"/>
      <c r="AS132" s="3"/>
    </row>
    <row r="133" spans="44:45" ht="15" x14ac:dyDescent="0.25">
      <c r="AR133" s="3"/>
      <c r="AS133" s="3"/>
    </row>
    <row r="134" spans="44:45" ht="15" x14ac:dyDescent="0.25">
      <c r="AR134" s="3"/>
      <c r="AS134" s="3"/>
    </row>
    <row r="135" spans="44:45" ht="15" x14ac:dyDescent="0.25">
      <c r="AR135" s="3"/>
      <c r="AS135" s="3"/>
    </row>
    <row r="136" spans="44:45" ht="15" x14ac:dyDescent="0.25">
      <c r="AR136" s="3"/>
      <c r="AS136" s="3"/>
    </row>
    <row r="137" spans="44:45" ht="15" x14ac:dyDescent="0.25">
      <c r="AR137" s="3"/>
      <c r="AS137" s="3"/>
    </row>
    <row r="138" spans="44:45" ht="15" x14ac:dyDescent="0.25">
      <c r="AR138" s="3"/>
      <c r="AS138" s="3"/>
    </row>
    <row r="139" spans="44:45" ht="15" x14ac:dyDescent="0.25">
      <c r="AR139" s="3"/>
      <c r="AS139" s="3"/>
    </row>
    <row r="140" spans="44:45" ht="15" x14ac:dyDescent="0.25">
      <c r="AR140" s="3"/>
      <c r="AS140" s="3"/>
    </row>
    <row r="141" spans="44:45" ht="15" x14ac:dyDescent="0.25">
      <c r="AR141" s="3"/>
      <c r="AS141" s="3"/>
    </row>
    <row r="142" spans="44:45" ht="15" x14ac:dyDescent="0.25">
      <c r="AR142" s="3"/>
      <c r="AS142" s="3"/>
    </row>
    <row r="143" spans="44:45" ht="15" x14ac:dyDescent="0.25">
      <c r="AR143" s="3"/>
      <c r="AS143" s="3"/>
    </row>
    <row r="144" spans="44:45" ht="15" x14ac:dyDescent="0.25">
      <c r="AR144" s="3"/>
      <c r="AS144" s="3"/>
    </row>
    <row r="145" spans="44:45" ht="15" x14ac:dyDescent="0.25">
      <c r="AR145" s="3"/>
      <c r="AS145" s="3"/>
    </row>
    <row r="146" spans="44:45" ht="15" x14ac:dyDescent="0.25">
      <c r="AR146" s="3"/>
      <c r="AS146" s="3"/>
    </row>
    <row r="147" spans="44:45" ht="15" x14ac:dyDescent="0.25">
      <c r="AR147" s="3"/>
      <c r="AS147" s="3"/>
    </row>
    <row r="148" spans="44:45" ht="15" x14ac:dyDescent="0.25">
      <c r="AR148" s="3"/>
      <c r="AS148" s="3"/>
    </row>
    <row r="149" spans="44:45" ht="15" x14ac:dyDescent="0.25">
      <c r="AR149" s="3"/>
      <c r="AS149" s="3"/>
    </row>
    <row r="150" spans="44:45" ht="15" x14ac:dyDescent="0.25">
      <c r="AR150" s="3"/>
      <c r="AS150" s="3"/>
    </row>
    <row r="151" spans="44:45" ht="15" x14ac:dyDescent="0.25">
      <c r="AR151" s="3"/>
      <c r="AS151" s="3"/>
    </row>
    <row r="152" spans="44:45" ht="15" x14ac:dyDescent="0.25">
      <c r="AR152" s="3"/>
      <c r="AS152" s="3"/>
    </row>
    <row r="153" spans="44:45" ht="15" x14ac:dyDescent="0.25">
      <c r="AR153" s="3"/>
      <c r="AS153" s="3"/>
    </row>
    <row r="154" spans="44:45" ht="15" x14ac:dyDescent="0.25">
      <c r="AR154" s="3"/>
      <c r="AS154" s="3"/>
    </row>
    <row r="155" spans="44:45" ht="15" x14ac:dyDescent="0.25">
      <c r="AR155" s="3"/>
      <c r="AS155" s="3"/>
    </row>
    <row r="156" spans="44:45" ht="15" x14ac:dyDescent="0.25">
      <c r="AR156" s="3"/>
      <c r="AS156" s="3"/>
    </row>
    <row r="157" spans="44:45" ht="15" x14ac:dyDescent="0.25">
      <c r="AR157" s="3"/>
      <c r="AS157" s="3"/>
    </row>
    <row r="158" spans="44:45" ht="15" x14ac:dyDescent="0.25">
      <c r="AR158" s="3"/>
      <c r="AS158" s="3"/>
    </row>
    <row r="159" spans="44:45" ht="15" x14ac:dyDescent="0.25">
      <c r="AR159" s="3"/>
      <c r="AS159" s="3"/>
    </row>
    <row r="160" spans="44:45" ht="15" x14ac:dyDescent="0.25">
      <c r="AR160" s="3"/>
      <c r="AS160" s="3"/>
    </row>
    <row r="161" spans="44:45" ht="15" x14ac:dyDescent="0.25">
      <c r="AR161" s="3"/>
      <c r="AS161" s="3"/>
    </row>
    <row r="162" spans="44:45" ht="15" x14ac:dyDescent="0.25">
      <c r="AR162" s="3"/>
      <c r="AS162" s="3"/>
    </row>
    <row r="163" spans="44:45" ht="15" x14ac:dyDescent="0.25">
      <c r="AR163" s="3"/>
      <c r="AS163" s="3"/>
    </row>
    <row r="164" spans="44:45" ht="15" x14ac:dyDescent="0.25">
      <c r="AR164" s="3"/>
      <c r="AS164" s="3"/>
    </row>
    <row r="165" spans="44:45" ht="15" x14ac:dyDescent="0.25">
      <c r="AR165" s="3"/>
      <c r="AS165" s="3"/>
    </row>
    <row r="166" spans="44:45" ht="15" x14ac:dyDescent="0.25">
      <c r="AR166" s="3"/>
      <c r="AS166" s="3"/>
    </row>
    <row r="167" spans="44:45" ht="15" x14ac:dyDescent="0.25">
      <c r="AR167" s="3"/>
      <c r="AS167" s="3"/>
    </row>
    <row r="168" spans="44:45" ht="15" x14ac:dyDescent="0.25">
      <c r="AR168" s="3"/>
      <c r="AS168" s="3"/>
    </row>
    <row r="169" spans="44:45" ht="15" x14ac:dyDescent="0.25">
      <c r="AR169" s="3"/>
      <c r="AS169" s="3"/>
    </row>
    <row r="170" spans="44:45" ht="15" x14ac:dyDescent="0.25">
      <c r="AR170" s="3"/>
      <c r="AS170" s="3"/>
    </row>
    <row r="171" spans="44:45" ht="15" x14ac:dyDescent="0.25">
      <c r="AR171" s="3"/>
      <c r="AS171" s="3"/>
    </row>
    <row r="172" spans="44:45" ht="15" x14ac:dyDescent="0.25">
      <c r="AR172" s="3"/>
      <c r="AS172" s="3"/>
    </row>
    <row r="173" spans="44:45" ht="15" x14ac:dyDescent="0.25">
      <c r="AR173" s="3"/>
      <c r="AS173" s="3"/>
    </row>
    <row r="174" spans="44:45" ht="15" x14ac:dyDescent="0.25">
      <c r="AR174" s="3"/>
      <c r="AS174" s="3"/>
    </row>
    <row r="175" spans="44:45" ht="15" x14ac:dyDescent="0.25">
      <c r="AR175" s="3"/>
      <c r="AS175" s="3"/>
    </row>
    <row r="176" spans="44:45" ht="15" x14ac:dyDescent="0.25">
      <c r="AR176" s="3"/>
      <c r="AS176" s="3"/>
    </row>
    <row r="177" spans="44:45" ht="15" x14ac:dyDescent="0.25">
      <c r="AR177" s="3"/>
      <c r="AS177" s="3"/>
    </row>
    <row r="178" spans="44:45" ht="15" x14ac:dyDescent="0.25">
      <c r="AR178" s="3"/>
      <c r="AS178" s="3"/>
    </row>
    <row r="179" spans="44:45" ht="15" x14ac:dyDescent="0.25">
      <c r="AR179" s="3"/>
      <c r="AS179" s="3"/>
    </row>
    <row r="180" spans="44:45" ht="15" x14ac:dyDescent="0.25">
      <c r="AR180" s="3"/>
      <c r="AS180" s="3"/>
    </row>
    <row r="181" spans="44:45" ht="15" x14ac:dyDescent="0.25">
      <c r="AR181" s="3"/>
      <c r="AS181" s="3"/>
    </row>
    <row r="182" spans="44:45" ht="15" x14ac:dyDescent="0.25">
      <c r="AR182" s="3"/>
      <c r="AS182" s="3"/>
    </row>
    <row r="183" spans="44:45" ht="15" x14ac:dyDescent="0.25">
      <c r="AR183" s="3"/>
      <c r="AS183" s="3"/>
    </row>
    <row r="184" spans="44:45" ht="15" x14ac:dyDescent="0.25">
      <c r="AR184" s="3"/>
      <c r="AS184" s="3"/>
    </row>
    <row r="185" spans="44:45" ht="15" x14ac:dyDescent="0.25">
      <c r="AR185" s="3"/>
      <c r="AS185" s="3"/>
    </row>
    <row r="186" spans="44:45" ht="15" x14ac:dyDescent="0.25">
      <c r="AR186" s="3"/>
      <c r="AS186" s="3"/>
    </row>
    <row r="187" spans="44:45" ht="15" x14ac:dyDescent="0.25">
      <c r="AR187" s="3"/>
      <c r="AS187" s="3"/>
    </row>
    <row r="188" spans="44:45" ht="15" x14ac:dyDescent="0.25">
      <c r="AR188" s="3"/>
      <c r="AS188" s="3"/>
    </row>
    <row r="189" spans="44:45" ht="15" x14ac:dyDescent="0.25">
      <c r="AR189" s="3"/>
      <c r="AS189" s="3"/>
    </row>
    <row r="190" spans="44:45" ht="15" x14ac:dyDescent="0.25">
      <c r="AR190" s="3"/>
      <c r="AS190" s="3"/>
    </row>
    <row r="191" spans="44:45" ht="15" x14ac:dyDescent="0.25">
      <c r="AR191" s="3"/>
      <c r="AS191" s="3"/>
    </row>
    <row r="192" spans="44:45" ht="15" x14ac:dyDescent="0.25">
      <c r="AR192" s="3"/>
      <c r="AS192" s="3"/>
    </row>
    <row r="193" spans="44:45" ht="15" x14ac:dyDescent="0.25">
      <c r="AR193" s="3"/>
      <c r="AS193" s="3"/>
    </row>
    <row r="194" spans="44:45" ht="15" x14ac:dyDescent="0.25">
      <c r="AR194" s="3"/>
      <c r="AS194" s="3"/>
    </row>
    <row r="195" spans="44:45" ht="15" x14ac:dyDescent="0.25">
      <c r="AR195" s="3"/>
      <c r="AS195" s="3"/>
    </row>
    <row r="196" spans="44:45" ht="15" x14ac:dyDescent="0.25">
      <c r="AR196" s="3"/>
      <c r="AS196" s="3"/>
    </row>
    <row r="197" spans="44:45" ht="15" x14ac:dyDescent="0.25">
      <c r="AR197" s="3"/>
      <c r="AS197" s="3"/>
    </row>
    <row r="198" spans="44:45" ht="15" x14ac:dyDescent="0.25">
      <c r="AR198" s="3"/>
      <c r="AS198" s="3"/>
    </row>
    <row r="199" spans="44:45" ht="15" x14ac:dyDescent="0.25">
      <c r="AR199" s="3"/>
      <c r="AS199" s="3"/>
    </row>
    <row r="200" spans="44:45" ht="15" x14ac:dyDescent="0.25">
      <c r="AR200" s="3"/>
      <c r="AS200" s="3"/>
    </row>
    <row r="201" spans="44:45" ht="15" x14ac:dyDescent="0.25">
      <c r="AR201" s="3"/>
      <c r="AS201" s="3"/>
    </row>
    <row r="202" spans="44:45" ht="15" x14ac:dyDescent="0.25">
      <c r="AR202" s="3"/>
      <c r="AS202" s="3"/>
    </row>
    <row r="203" spans="44:45" ht="15" x14ac:dyDescent="0.25">
      <c r="AR203" s="3"/>
      <c r="AS203" s="3"/>
    </row>
    <row r="204" spans="44:45" ht="15" x14ac:dyDescent="0.25">
      <c r="AR204" s="3"/>
      <c r="AS204" s="3"/>
    </row>
    <row r="205" spans="44:45" ht="15" x14ac:dyDescent="0.25">
      <c r="AR205" s="3"/>
      <c r="AS205" s="3"/>
    </row>
    <row r="206" spans="44:45" ht="15" x14ac:dyDescent="0.25">
      <c r="AR206" s="3"/>
      <c r="AS206" s="3"/>
    </row>
    <row r="207" spans="44:45" ht="15" x14ac:dyDescent="0.25">
      <c r="AR207" s="3"/>
      <c r="AS207" s="3"/>
    </row>
    <row r="208" spans="44:45" ht="15" x14ac:dyDescent="0.25">
      <c r="AR208" s="3"/>
      <c r="AS208" s="3"/>
    </row>
    <row r="209" spans="44:45" ht="15" x14ac:dyDescent="0.25">
      <c r="AR209" s="3"/>
      <c r="AS209" s="3"/>
    </row>
    <row r="210" spans="44:45" ht="15" x14ac:dyDescent="0.25">
      <c r="AR210" s="3"/>
      <c r="AS210" s="3"/>
    </row>
    <row r="211" spans="44:45" ht="15" x14ac:dyDescent="0.25">
      <c r="AR211" s="3"/>
      <c r="AS211" s="3"/>
    </row>
    <row r="212" spans="44:45" ht="15" x14ac:dyDescent="0.25">
      <c r="AR212" s="3"/>
      <c r="AS212" s="3"/>
    </row>
    <row r="213" spans="44:45" ht="15" x14ac:dyDescent="0.25">
      <c r="AR213" s="3"/>
      <c r="AS213" s="3"/>
    </row>
    <row r="214" spans="44:45" ht="15" x14ac:dyDescent="0.25">
      <c r="AR214" s="3"/>
      <c r="AS214" s="3"/>
    </row>
    <row r="215" spans="44:45" ht="15" x14ac:dyDescent="0.25">
      <c r="AR215" s="3"/>
      <c r="AS215" s="3"/>
    </row>
    <row r="216" spans="44:45" ht="15" x14ac:dyDescent="0.25">
      <c r="AR216" s="3"/>
      <c r="AS216" s="3"/>
    </row>
    <row r="217" spans="44:45" ht="15" x14ac:dyDescent="0.25">
      <c r="AR217" s="3"/>
      <c r="AS217" s="3"/>
    </row>
    <row r="218" spans="44:45" ht="15" x14ac:dyDescent="0.25">
      <c r="AR218" s="3"/>
      <c r="AS218" s="3"/>
    </row>
    <row r="219" spans="44:45" ht="15" x14ac:dyDescent="0.25">
      <c r="AR219" s="3"/>
      <c r="AS219" s="3"/>
    </row>
    <row r="220" spans="44:45" ht="15" x14ac:dyDescent="0.25">
      <c r="AR220" s="3"/>
      <c r="AS220" s="3"/>
    </row>
    <row r="221" spans="44:45" ht="15" x14ac:dyDescent="0.25">
      <c r="AR221" s="3"/>
      <c r="AS221" s="3"/>
    </row>
    <row r="222" spans="44:45" ht="15" x14ac:dyDescent="0.25">
      <c r="AR222" s="3"/>
      <c r="AS222" s="3"/>
    </row>
    <row r="223" spans="44:45" ht="15" x14ac:dyDescent="0.25">
      <c r="AR223" s="3"/>
      <c r="AS223" s="3"/>
    </row>
    <row r="224" spans="44:45" ht="15" x14ac:dyDescent="0.25">
      <c r="AR224" s="3"/>
      <c r="AS224" s="3"/>
    </row>
    <row r="225" spans="44:45" ht="15" x14ac:dyDescent="0.25">
      <c r="AR225" s="3"/>
      <c r="AS225" s="3"/>
    </row>
    <row r="226" spans="44:45" ht="15" x14ac:dyDescent="0.25">
      <c r="AR226" s="3"/>
      <c r="AS226" s="3"/>
    </row>
    <row r="227" spans="44:45" ht="15" x14ac:dyDescent="0.25">
      <c r="AR227" s="3"/>
      <c r="AS227" s="3"/>
    </row>
    <row r="228" spans="44:45" ht="15" x14ac:dyDescent="0.25">
      <c r="AR228" s="3"/>
      <c r="AS228" s="3"/>
    </row>
    <row r="229" spans="44:45" ht="15" x14ac:dyDescent="0.25">
      <c r="AR229" s="3"/>
      <c r="AS229" s="3"/>
    </row>
    <row r="230" spans="44:45" ht="15" x14ac:dyDescent="0.25">
      <c r="AR230" s="3"/>
      <c r="AS230" s="3"/>
    </row>
    <row r="231" spans="44:45" ht="15" x14ac:dyDescent="0.25">
      <c r="AR231" s="3"/>
      <c r="AS231" s="3"/>
    </row>
    <row r="232" spans="44:45" ht="15" x14ac:dyDescent="0.25">
      <c r="AR232" s="3"/>
      <c r="AS232" s="3"/>
    </row>
    <row r="233" spans="44:45" ht="15" x14ac:dyDescent="0.25">
      <c r="AR233" s="3"/>
      <c r="AS233" s="3"/>
    </row>
    <row r="234" spans="44:45" ht="15" x14ac:dyDescent="0.25">
      <c r="AR234" s="3"/>
      <c r="AS234" s="3"/>
    </row>
    <row r="235" spans="44:45" ht="15" x14ac:dyDescent="0.25">
      <c r="AR235" s="3"/>
      <c r="AS235" s="3"/>
    </row>
    <row r="236" spans="44:45" ht="15" x14ac:dyDescent="0.25">
      <c r="AR236" s="3"/>
      <c r="AS236" s="3"/>
    </row>
    <row r="237" spans="44:45" ht="15" x14ac:dyDescent="0.25">
      <c r="AR237" s="3"/>
      <c r="AS237" s="3"/>
    </row>
    <row r="238" spans="44:45" ht="15" x14ac:dyDescent="0.25">
      <c r="AR238" s="3"/>
      <c r="AS238" s="3"/>
    </row>
    <row r="239" spans="44:45" ht="15" x14ac:dyDescent="0.25">
      <c r="AR239" s="3"/>
      <c r="AS239" s="3"/>
    </row>
    <row r="240" spans="44:45" ht="15" x14ac:dyDescent="0.25">
      <c r="AR240" s="3"/>
      <c r="AS240" s="3"/>
    </row>
    <row r="241" spans="44:45" ht="15" x14ac:dyDescent="0.25">
      <c r="AR241" s="3"/>
      <c r="AS241" s="3"/>
    </row>
    <row r="242" spans="44:45" ht="15" x14ac:dyDescent="0.25">
      <c r="AR242" s="3"/>
      <c r="AS242" s="3"/>
    </row>
    <row r="243" spans="44:45" ht="15" x14ac:dyDescent="0.25">
      <c r="AR243" s="3"/>
      <c r="AS243" s="3"/>
    </row>
    <row r="244" spans="44:45" ht="15" x14ac:dyDescent="0.25">
      <c r="AR244" s="3"/>
      <c r="AS244" s="3"/>
    </row>
    <row r="245" spans="44:45" ht="15" x14ac:dyDescent="0.25">
      <c r="AR245" s="3"/>
      <c r="AS245" s="3"/>
    </row>
    <row r="246" spans="44:45" ht="15" x14ac:dyDescent="0.25">
      <c r="AR246" s="3"/>
      <c r="AS246" s="3"/>
    </row>
    <row r="247" spans="44:45" ht="15" x14ac:dyDescent="0.25">
      <c r="AR247" s="3"/>
      <c r="AS247" s="3"/>
    </row>
    <row r="248" spans="44:45" ht="15" x14ac:dyDescent="0.25">
      <c r="AR248" s="3"/>
      <c r="AS248" s="3"/>
    </row>
    <row r="249" spans="44:45" ht="15" x14ac:dyDescent="0.25">
      <c r="AR249" s="3"/>
      <c r="AS249" s="3"/>
    </row>
    <row r="250" spans="44:45" ht="15" x14ac:dyDescent="0.25">
      <c r="AR250" s="3"/>
      <c r="AS250" s="3"/>
    </row>
    <row r="251" spans="44:45" ht="15" x14ac:dyDescent="0.25">
      <c r="AR251" s="3"/>
      <c r="AS251" s="3"/>
    </row>
    <row r="252" spans="44:45" ht="15" x14ac:dyDescent="0.25">
      <c r="AR252" s="3"/>
      <c r="AS252" s="3"/>
    </row>
    <row r="253" spans="44:45" ht="15" x14ac:dyDescent="0.25">
      <c r="AR253" s="3"/>
      <c r="AS253" s="3"/>
    </row>
    <row r="254" spans="44:45" ht="15" x14ac:dyDescent="0.25">
      <c r="AR254" s="3"/>
      <c r="AS254" s="3"/>
    </row>
    <row r="255" spans="44:45" ht="15" x14ac:dyDescent="0.25">
      <c r="AR255" s="3"/>
      <c r="AS255" s="3"/>
    </row>
    <row r="256" spans="44:45" ht="15" x14ac:dyDescent="0.25">
      <c r="AR256" s="3"/>
      <c r="AS256" s="3"/>
    </row>
    <row r="257" spans="44:45" ht="15" x14ac:dyDescent="0.25">
      <c r="AR257" s="3"/>
      <c r="AS257" s="3"/>
    </row>
    <row r="258" spans="44:45" ht="15" x14ac:dyDescent="0.25">
      <c r="AR258" s="3"/>
      <c r="AS258" s="3"/>
    </row>
    <row r="259" spans="44:45" ht="15" x14ac:dyDescent="0.25">
      <c r="AR259" s="3"/>
      <c r="AS259" s="3"/>
    </row>
    <row r="260" spans="44:45" ht="15" x14ac:dyDescent="0.25">
      <c r="AR260" s="3"/>
      <c r="AS260" s="3"/>
    </row>
    <row r="261" spans="44:45" ht="15" x14ac:dyDescent="0.25">
      <c r="AR261" s="3"/>
      <c r="AS261" s="3"/>
    </row>
    <row r="262" spans="44:45" ht="15" x14ac:dyDescent="0.25">
      <c r="AR262" s="3"/>
      <c r="AS262" s="3"/>
    </row>
    <row r="263" spans="44:45" ht="15" x14ac:dyDescent="0.25">
      <c r="AR263" s="3"/>
      <c r="AS263" s="3"/>
    </row>
    <row r="264" spans="44:45" ht="15" x14ac:dyDescent="0.25">
      <c r="AR264" s="3"/>
      <c r="AS264" s="3"/>
    </row>
    <row r="265" spans="44:45" ht="15" x14ac:dyDescent="0.25">
      <c r="AR265" s="3"/>
      <c r="AS265" s="3"/>
    </row>
    <row r="266" spans="44:45" ht="15" x14ac:dyDescent="0.25">
      <c r="AR266" s="3"/>
      <c r="AS266" s="3"/>
    </row>
    <row r="267" spans="44:45" ht="15" x14ac:dyDescent="0.25">
      <c r="AR267" s="3"/>
      <c r="AS267" s="3"/>
    </row>
    <row r="268" spans="44:45" ht="15" x14ac:dyDescent="0.25">
      <c r="AR268" s="3"/>
      <c r="AS268" s="3"/>
    </row>
    <row r="269" spans="44:45" ht="15" x14ac:dyDescent="0.25">
      <c r="AR269" s="3"/>
      <c r="AS269" s="3"/>
    </row>
    <row r="270" spans="44:45" ht="15" x14ac:dyDescent="0.25">
      <c r="AR270" s="3"/>
      <c r="AS270" s="3"/>
    </row>
    <row r="271" spans="44:45" ht="15" x14ac:dyDescent="0.25">
      <c r="AR271" s="3"/>
      <c r="AS271" s="3"/>
    </row>
    <row r="272" spans="44:45" ht="15" x14ac:dyDescent="0.25">
      <c r="AR272" s="3"/>
      <c r="AS272" s="3"/>
    </row>
    <row r="273" spans="44:45" ht="15" x14ac:dyDescent="0.25">
      <c r="AR273" s="3"/>
      <c r="AS273" s="3"/>
    </row>
    <row r="274" spans="44:45" ht="15" x14ac:dyDescent="0.25">
      <c r="AR274" s="3"/>
      <c r="AS274" s="3"/>
    </row>
    <row r="275" spans="44:45" ht="15" x14ac:dyDescent="0.25">
      <c r="AR275" s="3"/>
      <c r="AS275" s="3"/>
    </row>
    <row r="276" spans="44:45" ht="15" x14ac:dyDescent="0.25">
      <c r="AR276" s="3"/>
      <c r="AS276" s="3"/>
    </row>
    <row r="277" spans="44:45" ht="15" x14ac:dyDescent="0.25">
      <c r="AR277" s="3"/>
      <c r="AS277" s="3"/>
    </row>
    <row r="278" spans="44:45" ht="15" x14ac:dyDescent="0.25">
      <c r="AR278" s="3"/>
      <c r="AS278" s="3"/>
    </row>
    <row r="279" spans="44:45" ht="15" x14ac:dyDescent="0.25">
      <c r="AR279" s="3"/>
      <c r="AS279" s="3"/>
    </row>
    <row r="280" spans="44:45" ht="15" x14ac:dyDescent="0.25">
      <c r="AR280" s="3"/>
      <c r="AS280" s="3"/>
    </row>
    <row r="281" spans="44:45" ht="15" x14ac:dyDescent="0.25">
      <c r="AR281" s="3"/>
      <c r="AS281" s="3"/>
    </row>
    <row r="282" spans="44:45" ht="15" x14ac:dyDescent="0.25">
      <c r="AR282" s="3"/>
      <c r="AS282" s="3"/>
    </row>
    <row r="283" spans="44:45" ht="15" x14ac:dyDescent="0.25">
      <c r="AR283" s="3"/>
      <c r="AS283" s="3"/>
    </row>
    <row r="284" spans="44:45" ht="15" x14ac:dyDescent="0.25">
      <c r="AR284" s="3"/>
      <c r="AS284" s="3"/>
    </row>
    <row r="285" spans="44:45" ht="15" x14ac:dyDescent="0.25">
      <c r="AR285" s="3"/>
      <c r="AS285" s="3"/>
    </row>
    <row r="286" spans="44:45" ht="15" x14ac:dyDescent="0.25">
      <c r="AR286" s="3"/>
      <c r="AS286" s="3"/>
    </row>
    <row r="287" spans="44:45" ht="15" x14ac:dyDescent="0.25">
      <c r="AR287" s="3"/>
      <c r="AS287" s="3"/>
    </row>
    <row r="288" spans="44:45" ht="15" x14ac:dyDescent="0.25">
      <c r="AR288" s="3"/>
      <c r="AS288" s="3"/>
    </row>
    <row r="289" spans="44:45" ht="15" x14ac:dyDescent="0.25">
      <c r="AR289" s="3"/>
      <c r="AS289" s="3"/>
    </row>
    <row r="290" spans="44:45" ht="15" x14ac:dyDescent="0.25">
      <c r="AR290" s="3"/>
      <c r="AS290" s="3"/>
    </row>
    <row r="291" spans="44:45" ht="15" x14ac:dyDescent="0.25">
      <c r="AR291" s="3"/>
      <c r="AS291" s="3"/>
    </row>
    <row r="292" spans="44:45" ht="15" x14ac:dyDescent="0.25">
      <c r="AR292" s="3"/>
      <c r="AS292" s="3"/>
    </row>
    <row r="293" spans="44:45" ht="15" x14ac:dyDescent="0.25">
      <c r="AR293" s="3"/>
      <c r="AS293" s="3"/>
    </row>
    <row r="294" spans="44:45" ht="15" x14ac:dyDescent="0.25">
      <c r="AR294" s="3"/>
      <c r="AS294" s="3"/>
    </row>
    <row r="295" spans="44:45" ht="15" x14ac:dyDescent="0.25">
      <c r="AR295" s="3"/>
      <c r="AS295" s="3"/>
    </row>
    <row r="296" spans="44:45" ht="15" x14ac:dyDescent="0.25">
      <c r="AR296" s="3"/>
      <c r="AS296" s="3"/>
    </row>
    <row r="297" spans="44:45" ht="15" x14ac:dyDescent="0.25">
      <c r="AR297" s="3"/>
      <c r="AS297" s="3"/>
    </row>
    <row r="298" spans="44:45" ht="15" x14ac:dyDescent="0.25">
      <c r="AR298" s="3"/>
      <c r="AS298" s="3"/>
    </row>
    <row r="299" spans="44:45" ht="15" x14ac:dyDescent="0.25">
      <c r="AR299" s="3"/>
      <c r="AS299" s="3"/>
    </row>
    <row r="300" spans="44:45" ht="15" x14ac:dyDescent="0.25">
      <c r="AR300" s="3"/>
      <c r="AS300" s="3"/>
    </row>
    <row r="301" spans="44:45" ht="15" x14ac:dyDescent="0.25">
      <c r="AR301" s="3"/>
      <c r="AS301" s="3"/>
    </row>
    <row r="302" spans="44:45" ht="15" x14ac:dyDescent="0.25">
      <c r="AR302" s="3"/>
      <c r="AS302" s="3"/>
    </row>
    <row r="303" spans="44:45" ht="15" x14ac:dyDescent="0.25">
      <c r="AR303" s="3"/>
      <c r="AS303" s="3"/>
    </row>
    <row r="304" spans="44:45" ht="15" x14ac:dyDescent="0.25">
      <c r="AR304" s="3"/>
      <c r="AS304" s="3"/>
    </row>
    <row r="305" spans="44:45" ht="15" x14ac:dyDescent="0.25">
      <c r="AR305" s="3"/>
      <c r="AS305" s="3"/>
    </row>
    <row r="306" spans="44:45" ht="15" x14ac:dyDescent="0.25">
      <c r="AR306" s="3"/>
      <c r="AS306" s="3"/>
    </row>
    <row r="307" spans="44:45" ht="15" x14ac:dyDescent="0.25">
      <c r="AR307" s="3"/>
      <c r="AS307" s="3"/>
    </row>
    <row r="308" spans="44:45" ht="15" x14ac:dyDescent="0.25">
      <c r="AR308" s="3"/>
      <c r="AS308" s="3"/>
    </row>
    <row r="309" spans="44:45" ht="15" x14ac:dyDescent="0.25">
      <c r="AR309" s="3"/>
      <c r="AS309" s="3"/>
    </row>
    <row r="310" spans="44:45" ht="15" x14ac:dyDescent="0.25">
      <c r="AR310" s="3"/>
      <c r="AS310" s="3"/>
    </row>
    <row r="311" spans="44:45" ht="15" x14ac:dyDescent="0.25">
      <c r="AR311" s="3"/>
      <c r="AS311" s="3"/>
    </row>
    <row r="312" spans="44:45" ht="15" x14ac:dyDescent="0.25">
      <c r="AR312" s="3"/>
      <c r="AS312" s="3"/>
    </row>
    <row r="313" spans="44:45" ht="15" x14ac:dyDescent="0.25">
      <c r="AR313" s="3"/>
      <c r="AS313" s="3"/>
    </row>
    <row r="314" spans="44:45" ht="15" x14ac:dyDescent="0.25">
      <c r="AR314" s="3"/>
      <c r="AS314" s="3"/>
    </row>
    <row r="315" spans="44:45" ht="15" x14ac:dyDescent="0.25">
      <c r="AR315" s="3"/>
      <c r="AS315" s="3"/>
    </row>
    <row r="316" spans="44:45" ht="15" x14ac:dyDescent="0.25">
      <c r="AR316" s="3"/>
      <c r="AS316" s="3"/>
    </row>
    <row r="317" spans="44:45" ht="15" x14ac:dyDescent="0.25">
      <c r="AR317" s="3"/>
      <c r="AS317" s="3"/>
    </row>
    <row r="318" spans="44:45" ht="15" x14ac:dyDescent="0.25">
      <c r="AR318" s="3"/>
      <c r="AS318" s="3"/>
    </row>
    <row r="319" spans="44:45" ht="15" x14ac:dyDescent="0.25">
      <c r="AR319" s="3"/>
      <c r="AS319" s="3"/>
    </row>
    <row r="320" spans="44:45" ht="15" x14ac:dyDescent="0.25">
      <c r="AR320" s="3"/>
      <c r="AS320" s="3"/>
    </row>
    <row r="321" spans="44:45" ht="15" x14ac:dyDescent="0.25">
      <c r="AR321" s="3"/>
      <c r="AS321" s="3"/>
    </row>
    <row r="322" spans="44:45" ht="15" x14ac:dyDescent="0.25">
      <c r="AR322" s="3"/>
      <c r="AS322" s="3"/>
    </row>
    <row r="323" spans="44:45" ht="15" x14ac:dyDescent="0.25">
      <c r="AR323" s="3"/>
      <c r="AS323" s="3"/>
    </row>
    <row r="324" spans="44:45" ht="15" x14ac:dyDescent="0.25">
      <c r="AR324" s="3"/>
      <c r="AS324" s="3"/>
    </row>
    <row r="325" spans="44:45" ht="15" x14ac:dyDescent="0.25">
      <c r="AR325" s="3"/>
      <c r="AS325" s="3"/>
    </row>
    <row r="326" spans="44:45" ht="15" x14ac:dyDescent="0.25">
      <c r="AR326" s="3"/>
      <c r="AS326" s="3"/>
    </row>
    <row r="327" spans="44:45" ht="15" x14ac:dyDescent="0.25">
      <c r="AR327" s="3"/>
      <c r="AS327" s="3"/>
    </row>
    <row r="328" spans="44:45" ht="15" x14ac:dyDescent="0.25">
      <c r="AR328" s="3"/>
      <c r="AS328" s="3"/>
    </row>
    <row r="329" spans="44:45" ht="15" x14ac:dyDescent="0.25">
      <c r="AR329" s="3"/>
      <c r="AS329" s="3"/>
    </row>
    <row r="330" spans="44:45" ht="15" x14ac:dyDescent="0.25">
      <c r="AR330" s="3"/>
      <c r="AS330" s="3"/>
    </row>
    <row r="331" spans="44:45" ht="15" x14ac:dyDescent="0.25">
      <c r="AR331" s="3"/>
      <c r="AS331" s="3"/>
    </row>
    <row r="332" spans="44:45" ht="15" x14ac:dyDescent="0.25">
      <c r="AR332" s="3"/>
      <c r="AS332" s="3"/>
    </row>
    <row r="333" spans="44:45" ht="15" x14ac:dyDescent="0.25">
      <c r="AR333" s="3"/>
      <c r="AS333" s="3"/>
    </row>
    <row r="334" spans="44:45" ht="15" x14ac:dyDescent="0.25">
      <c r="AR334" s="3"/>
      <c r="AS334" s="3"/>
    </row>
    <row r="335" spans="44:45" ht="15" x14ac:dyDescent="0.25">
      <c r="AR335" s="3"/>
      <c r="AS335" s="3"/>
    </row>
    <row r="336" spans="44:45" ht="15" x14ac:dyDescent="0.25">
      <c r="AR336" s="3"/>
      <c r="AS336" s="3"/>
    </row>
    <row r="337" spans="44:45" ht="15" x14ac:dyDescent="0.25">
      <c r="AR337" s="3"/>
      <c r="AS337" s="3"/>
    </row>
    <row r="338" spans="44:45" ht="15" x14ac:dyDescent="0.25">
      <c r="AR338" s="3"/>
      <c r="AS338" s="3"/>
    </row>
    <row r="339" spans="44:45" ht="15" x14ac:dyDescent="0.25">
      <c r="AR339" s="3"/>
      <c r="AS339" s="3"/>
    </row>
    <row r="340" spans="44:45" ht="15" x14ac:dyDescent="0.25">
      <c r="AR340" s="3"/>
      <c r="AS340" s="3"/>
    </row>
    <row r="341" spans="44:45" ht="15" x14ac:dyDescent="0.25">
      <c r="AR341" s="3"/>
      <c r="AS341" s="3"/>
    </row>
    <row r="342" spans="44:45" ht="15" x14ac:dyDescent="0.25">
      <c r="AR342" s="3"/>
      <c r="AS342" s="3"/>
    </row>
    <row r="343" spans="44:45" ht="15" x14ac:dyDescent="0.25">
      <c r="AR343" s="3"/>
      <c r="AS343" s="3"/>
    </row>
    <row r="344" spans="44:45" ht="15" x14ac:dyDescent="0.25">
      <c r="AR344" s="3"/>
      <c r="AS344" s="3"/>
    </row>
    <row r="345" spans="44:45" ht="15" x14ac:dyDescent="0.25">
      <c r="AR345" s="3"/>
      <c r="AS345" s="3"/>
    </row>
    <row r="346" spans="44:45" ht="15" x14ac:dyDescent="0.25">
      <c r="AR346" s="3"/>
      <c r="AS346" s="3"/>
    </row>
    <row r="347" spans="44:45" ht="15" x14ac:dyDescent="0.25">
      <c r="AR347" s="3"/>
      <c r="AS347" s="3"/>
    </row>
    <row r="348" spans="44:45" ht="15" x14ac:dyDescent="0.25">
      <c r="AR348" s="3"/>
      <c r="AS348" s="3"/>
    </row>
    <row r="349" spans="44:45" ht="15" x14ac:dyDescent="0.25">
      <c r="AR349" s="3"/>
      <c r="AS349" s="3"/>
    </row>
    <row r="350" spans="44:45" ht="15" x14ac:dyDescent="0.25">
      <c r="AR350" s="3"/>
      <c r="AS350" s="3"/>
    </row>
    <row r="351" spans="44:45" ht="15" x14ac:dyDescent="0.25">
      <c r="AR351" s="3"/>
      <c r="AS351" s="3"/>
    </row>
    <row r="352" spans="44:45" ht="15" x14ac:dyDescent="0.25">
      <c r="AR352" s="3"/>
      <c r="AS352" s="3"/>
    </row>
    <row r="353" spans="44:45" ht="15" x14ac:dyDescent="0.25">
      <c r="AR353" s="3"/>
      <c r="AS353" s="3"/>
    </row>
    <row r="354" spans="44:45" ht="15" x14ac:dyDescent="0.25">
      <c r="AR354" s="3"/>
      <c r="AS354" s="3"/>
    </row>
    <row r="355" spans="44:45" ht="15" x14ac:dyDescent="0.25">
      <c r="AR355" s="3"/>
      <c r="AS355" s="3"/>
    </row>
    <row r="356" spans="44:45" ht="15" x14ac:dyDescent="0.25">
      <c r="AR356" s="3"/>
      <c r="AS356" s="3"/>
    </row>
    <row r="357" spans="44:45" ht="15" x14ac:dyDescent="0.25">
      <c r="AR357" s="3"/>
      <c r="AS357" s="3"/>
    </row>
    <row r="358" spans="44:45" ht="15" x14ac:dyDescent="0.25">
      <c r="AR358" s="3"/>
      <c r="AS358" s="3"/>
    </row>
    <row r="359" spans="44:45" ht="15" x14ac:dyDescent="0.25">
      <c r="AR359" s="3"/>
      <c r="AS359" s="3"/>
    </row>
    <row r="360" spans="44:45" ht="15" x14ac:dyDescent="0.25">
      <c r="AR360" s="3"/>
      <c r="AS360" s="3"/>
    </row>
    <row r="361" spans="44:45" ht="15" x14ac:dyDescent="0.25">
      <c r="AR361" s="3"/>
      <c r="AS361" s="3"/>
    </row>
    <row r="362" spans="44:45" ht="15" x14ac:dyDescent="0.25">
      <c r="AR362" s="3"/>
      <c r="AS362" s="3"/>
    </row>
    <row r="363" spans="44:45" ht="15" x14ac:dyDescent="0.25">
      <c r="AR363" s="3"/>
      <c r="AS363" s="3"/>
    </row>
    <row r="364" spans="44:45" ht="15" x14ac:dyDescent="0.25">
      <c r="AR364" s="3"/>
      <c r="AS364" s="3"/>
    </row>
    <row r="365" spans="44:45" ht="15" x14ac:dyDescent="0.25">
      <c r="AR365" s="3"/>
      <c r="AS365" s="3"/>
    </row>
    <row r="366" spans="44:45" ht="15" x14ac:dyDescent="0.25">
      <c r="AR366" s="3"/>
      <c r="AS366" s="3"/>
    </row>
    <row r="367" spans="44:45" ht="15" x14ac:dyDescent="0.25">
      <c r="AR367" s="3"/>
      <c r="AS367" s="3"/>
    </row>
    <row r="368" spans="44:45" ht="15" x14ac:dyDescent="0.25">
      <c r="AR368" s="3"/>
      <c r="AS368" s="3"/>
    </row>
    <row r="369" spans="44:45" ht="15" x14ac:dyDescent="0.25">
      <c r="AR369" s="3"/>
      <c r="AS369" s="3"/>
    </row>
    <row r="370" spans="44:45" ht="15" x14ac:dyDescent="0.25">
      <c r="AR370" s="3"/>
      <c r="AS370" s="3"/>
    </row>
    <row r="371" spans="44:45" ht="15" x14ac:dyDescent="0.25">
      <c r="AR371" s="3"/>
      <c r="AS371" s="3"/>
    </row>
    <row r="372" spans="44:45" ht="15" x14ac:dyDescent="0.25">
      <c r="AR372" s="3"/>
      <c r="AS372" s="3"/>
    </row>
    <row r="373" spans="44:45" ht="15" x14ac:dyDescent="0.25">
      <c r="AR373" s="3"/>
      <c r="AS373" s="3"/>
    </row>
    <row r="374" spans="44:45" ht="15" x14ac:dyDescent="0.25">
      <c r="AR374" s="3"/>
      <c r="AS374" s="3"/>
    </row>
    <row r="375" spans="44:45" ht="15" x14ac:dyDescent="0.25">
      <c r="AR375" s="3"/>
      <c r="AS375" s="3"/>
    </row>
    <row r="376" spans="44:45" ht="15" x14ac:dyDescent="0.25">
      <c r="AR376" s="3"/>
      <c r="AS376" s="3"/>
    </row>
    <row r="377" spans="44:45" ht="15" x14ac:dyDescent="0.25">
      <c r="AR377" s="3"/>
      <c r="AS377" s="3"/>
    </row>
    <row r="378" spans="44:45" ht="15" x14ac:dyDescent="0.25">
      <c r="AR378" s="3"/>
      <c r="AS378" s="3"/>
    </row>
    <row r="379" spans="44:45" ht="15" x14ac:dyDescent="0.25">
      <c r="AR379" s="3"/>
      <c r="AS379" s="3"/>
    </row>
    <row r="380" spans="44:45" ht="15" x14ac:dyDescent="0.25">
      <c r="AR380" s="3"/>
      <c r="AS380" s="3"/>
    </row>
    <row r="381" spans="44:45" ht="15" x14ac:dyDescent="0.25">
      <c r="AR381" s="3"/>
      <c r="AS381" s="3"/>
    </row>
    <row r="382" spans="44:45" ht="15" x14ac:dyDescent="0.25">
      <c r="AR382" s="3"/>
      <c r="AS382" s="3"/>
    </row>
    <row r="383" spans="44:45" ht="15" x14ac:dyDescent="0.25">
      <c r="AR383" s="3"/>
      <c r="AS383" s="3"/>
    </row>
    <row r="384" spans="44:45" ht="15" x14ac:dyDescent="0.25">
      <c r="AR384" s="3"/>
      <c r="AS384" s="3"/>
    </row>
    <row r="385" spans="44:45" ht="15" x14ac:dyDescent="0.25">
      <c r="AR385" s="3"/>
      <c r="AS385" s="3"/>
    </row>
    <row r="386" spans="44:45" ht="15" x14ac:dyDescent="0.25">
      <c r="AR386" s="3"/>
      <c r="AS386" s="3"/>
    </row>
    <row r="387" spans="44:45" ht="15" x14ac:dyDescent="0.25">
      <c r="AR387" s="3"/>
      <c r="AS387" s="3"/>
    </row>
    <row r="388" spans="44:45" ht="15" x14ac:dyDescent="0.25">
      <c r="AR388" s="3"/>
      <c r="AS388" s="3"/>
    </row>
    <row r="389" spans="44:45" ht="15" x14ac:dyDescent="0.25">
      <c r="AR389" s="3"/>
      <c r="AS389" s="3"/>
    </row>
    <row r="390" spans="44:45" ht="15" x14ac:dyDescent="0.25">
      <c r="AR390" s="3"/>
      <c r="AS390" s="3"/>
    </row>
    <row r="391" spans="44:45" ht="15" x14ac:dyDescent="0.25">
      <c r="AR391" s="3"/>
      <c r="AS391" s="3"/>
    </row>
    <row r="392" spans="44:45" ht="15" x14ac:dyDescent="0.25">
      <c r="AR392" s="3"/>
      <c r="AS392" s="3"/>
    </row>
    <row r="393" spans="44:45" ht="15" x14ac:dyDescent="0.25">
      <c r="AR393" s="3"/>
      <c r="AS393" s="3"/>
    </row>
    <row r="394" spans="44:45" ht="15" x14ac:dyDescent="0.25">
      <c r="AR394" s="3"/>
      <c r="AS394" s="3"/>
    </row>
    <row r="395" spans="44:45" ht="15" x14ac:dyDescent="0.25">
      <c r="AR395" s="3"/>
      <c r="AS395" s="3"/>
    </row>
    <row r="396" spans="44:45" ht="15" x14ac:dyDescent="0.25">
      <c r="AR396" s="3"/>
      <c r="AS396" s="3"/>
    </row>
    <row r="397" spans="44:45" ht="15" x14ac:dyDescent="0.25">
      <c r="AR397" s="3"/>
      <c r="AS397" s="3"/>
    </row>
    <row r="398" spans="44:45" ht="15" x14ac:dyDescent="0.25">
      <c r="AR398" s="3"/>
      <c r="AS398" s="3"/>
    </row>
    <row r="399" spans="44:45" ht="15" x14ac:dyDescent="0.25">
      <c r="AR399" s="3"/>
      <c r="AS399" s="3"/>
    </row>
    <row r="400" spans="44:45" ht="15" x14ac:dyDescent="0.25">
      <c r="AR400" s="3"/>
      <c r="AS400" s="3"/>
    </row>
    <row r="401" spans="44:45" ht="15" x14ac:dyDescent="0.25">
      <c r="AR401" s="3"/>
      <c r="AS401" s="3"/>
    </row>
    <row r="402" spans="44:45" ht="15" x14ac:dyDescent="0.25">
      <c r="AR402" s="3"/>
      <c r="AS402" s="3"/>
    </row>
    <row r="403" spans="44:45" ht="15" x14ac:dyDescent="0.25">
      <c r="AR403" s="3"/>
      <c r="AS403" s="3"/>
    </row>
    <row r="404" spans="44:45" ht="15" x14ac:dyDescent="0.25">
      <c r="AR404" s="3"/>
      <c r="AS404" s="3"/>
    </row>
    <row r="405" spans="44:45" ht="15" x14ac:dyDescent="0.25">
      <c r="AR405" s="3"/>
      <c r="AS405" s="3"/>
    </row>
    <row r="406" spans="44:45" ht="15" x14ac:dyDescent="0.25">
      <c r="AR406" s="3"/>
      <c r="AS406" s="3"/>
    </row>
    <row r="407" spans="44:45" ht="15" x14ac:dyDescent="0.25">
      <c r="AR407" s="3"/>
      <c r="AS407" s="3"/>
    </row>
    <row r="408" spans="44:45" ht="15" x14ac:dyDescent="0.25">
      <c r="AR408" s="3"/>
      <c r="AS408" s="3"/>
    </row>
    <row r="409" spans="44:45" ht="15" x14ac:dyDescent="0.25">
      <c r="AR409" s="3"/>
      <c r="AS409" s="3"/>
    </row>
    <row r="410" spans="44:45" ht="15" x14ac:dyDescent="0.25">
      <c r="AR410" s="3"/>
      <c r="AS410" s="3"/>
    </row>
    <row r="411" spans="44:45" ht="15" x14ac:dyDescent="0.25">
      <c r="AR411" s="3"/>
      <c r="AS411" s="3"/>
    </row>
    <row r="412" spans="44:45" ht="15" x14ac:dyDescent="0.25">
      <c r="AR412" s="3"/>
      <c r="AS412" s="3"/>
    </row>
    <row r="413" spans="44:45" ht="15" x14ac:dyDescent="0.25">
      <c r="AR413" s="3"/>
      <c r="AS413" s="3"/>
    </row>
    <row r="414" spans="44:45" ht="15" x14ac:dyDescent="0.25">
      <c r="AR414" s="3"/>
      <c r="AS414" s="3"/>
    </row>
    <row r="415" spans="44:45" ht="15" x14ac:dyDescent="0.25">
      <c r="AR415" s="3"/>
      <c r="AS415" s="3"/>
    </row>
    <row r="416" spans="44:45" ht="15" x14ac:dyDescent="0.25">
      <c r="AR416" s="3"/>
      <c r="AS416" s="3"/>
    </row>
    <row r="417" spans="44:45" ht="15" x14ac:dyDescent="0.25">
      <c r="AR417" s="3"/>
      <c r="AS417" s="3"/>
    </row>
    <row r="418" spans="44:45" ht="15" x14ac:dyDescent="0.25">
      <c r="AR418" s="3"/>
      <c r="AS418" s="3"/>
    </row>
    <row r="419" spans="44:45" ht="15" x14ac:dyDescent="0.25">
      <c r="AR419" s="3"/>
      <c r="AS419" s="3"/>
    </row>
    <row r="420" spans="44:45" ht="15" x14ac:dyDescent="0.25">
      <c r="AR420" s="3"/>
      <c r="AS420" s="3"/>
    </row>
    <row r="421" spans="44:45" ht="15" x14ac:dyDescent="0.25">
      <c r="AR421" s="3"/>
      <c r="AS421" s="3"/>
    </row>
    <row r="422" spans="44:45" ht="15" x14ac:dyDescent="0.25">
      <c r="AR422" s="3"/>
      <c r="AS422" s="3"/>
    </row>
    <row r="423" spans="44:45" ht="15" x14ac:dyDescent="0.25">
      <c r="AR423" s="3"/>
      <c r="AS423" s="3"/>
    </row>
    <row r="424" spans="44:45" ht="15" x14ac:dyDescent="0.25">
      <c r="AR424" s="3"/>
      <c r="AS424" s="3"/>
    </row>
    <row r="425" spans="44:45" ht="15" x14ac:dyDescent="0.25">
      <c r="AR425" s="3"/>
      <c r="AS425" s="3"/>
    </row>
    <row r="426" spans="44:45" ht="15" x14ac:dyDescent="0.25">
      <c r="AR426" s="3"/>
      <c r="AS426" s="3"/>
    </row>
    <row r="427" spans="44:45" ht="15" x14ac:dyDescent="0.25">
      <c r="AR427" s="3"/>
      <c r="AS427" s="3"/>
    </row>
    <row r="428" spans="44:45" ht="15" x14ac:dyDescent="0.25">
      <c r="AR428" s="3"/>
      <c r="AS428" s="3"/>
    </row>
    <row r="429" spans="44:45" ht="15" x14ac:dyDescent="0.25">
      <c r="AR429" s="3"/>
      <c r="AS429" s="3"/>
    </row>
    <row r="430" spans="44:45" ht="15" x14ac:dyDescent="0.25">
      <c r="AR430" s="3"/>
      <c r="AS430" s="3"/>
    </row>
    <row r="431" spans="44:45" ht="15" x14ac:dyDescent="0.25">
      <c r="AR431" s="3"/>
      <c r="AS431" s="3"/>
    </row>
    <row r="432" spans="44:45" ht="15" x14ac:dyDescent="0.25">
      <c r="AR432" s="3"/>
      <c r="AS432" s="3"/>
    </row>
    <row r="433" spans="44:45" ht="15" x14ac:dyDescent="0.25">
      <c r="AR433" s="3"/>
      <c r="AS433" s="3"/>
    </row>
    <row r="434" spans="44:45" ht="15" x14ac:dyDescent="0.25">
      <c r="AR434" s="3"/>
      <c r="AS434" s="3"/>
    </row>
    <row r="435" spans="44:45" ht="15" x14ac:dyDescent="0.25">
      <c r="AR435" s="3"/>
      <c r="AS435" s="3"/>
    </row>
    <row r="436" spans="44:45" ht="15" x14ac:dyDescent="0.25">
      <c r="AR436" s="3"/>
      <c r="AS436" s="3"/>
    </row>
    <row r="437" spans="44:45" ht="15" x14ac:dyDescent="0.25">
      <c r="AR437" s="3"/>
      <c r="AS437" s="3"/>
    </row>
    <row r="438" spans="44:45" ht="15" x14ac:dyDescent="0.25">
      <c r="AR438" s="3"/>
      <c r="AS438" s="3"/>
    </row>
    <row r="439" spans="44:45" ht="15" x14ac:dyDescent="0.25">
      <c r="AR439" s="3"/>
      <c r="AS439" s="3"/>
    </row>
    <row r="440" spans="44:45" ht="15" x14ac:dyDescent="0.25">
      <c r="AR440" s="3"/>
      <c r="AS440" s="3"/>
    </row>
    <row r="441" spans="44:45" ht="15" x14ac:dyDescent="0.25">
      <c r="AR441" s="3"/>
      <c r="AS441" s="3"/>
    </row>
    <row r="442" spans="44:45" ht="15" x14ac:dyDescent="0.25">
      <c r="AR442" s="3"/>
      <c r="AS442" s="3"/>
    </row>
    <row r="443" spans="44:45" ht="15" x14ac:dyDescent="0.25">
      <c r="AR443" s="3"/>
      <c r="AS443" s="3"/>
    </row>
    <row r="444" spans="44:45" ht="15" x14ac:dyDescent="0.25">
      <c r="AR444" s="3"/>
      <c r="AS444" s="3"/>
    </row>
    <row r="445" spans="44:45" ht="15" x14ac:dyDescent="0.25">
      <c r="AR445" s="3"/>
      <c r="AS445" s="3"/>
    </row>
    <row r="446" spans="44:45" ht="15" x14ac:dyDescent="0.25">
      <c r="AR446" s="3"/>
      <c r="AS446" s="3"/>
    </row>
    <row r="447" spans="44:45" ht="15" x14ac:dyDescent="0.25">
      <c r="AR447" s="3"/>
      <c r="AS447" s="3"/>
    </row>
    <row r="448" spans="44:45" ht="15" x14ac:dyDescent="0.25">
      <c r="AR448" s="3"/>
      <c r="AS448" s="3"/>
    </row>
    <row r="449" spans="44:45" ht="15" x14ac:dyDescent="0.25">
      <c r="AR449" s="3"/>
      <c r="AS449" s="3"/>
    </row>
    <row r="450" spans="44:45" ht="15" x14ac:dyDescent="0.25">
      <c r="AR450" s="3"/>
      <c r="AS450" s="3"/>
    </row>
    <row r="451" spans="44:45" ht="15" x14ac:dyDescent="0.25">
      <c r="AR451" s="3"/>
      <c r="AS451" s="3"/>
    </row>
    <row r="452" spans="44:45" ht="15" x14ac:dyDescent="0.25">
      <c r="AR452" s="3"/>
      <c r="AS452" s="3"/>
    </row>
    <row r="453" spans="44:45" ht="15" x14ac:dyDescent="0.25">
      <c r="AR453" s="3"/>
      <c r="AS453" s="3"/>
    </row>
    <row r="454" spans="44:45" ht="15" x14ac:dyDescent="0.25">
      <c r="AR454" s="3"/>
      <c r="AS454" s="3"/>
    </row>
    <row r="455" spans="44:45" ht="15" x14ac:dyDescent="0.25">
      <c r="AR455" s="3"/>
      <c r="AS455" s="3"/>
    </row>
    <row r="456" spans="44:45" ht="15" x14ac:dyDescent="0.25">
      <c r="AR456" s="3"/>
      <c r="AS456" s="3"/>
    </row>
    <row r="457" spans="44:45" ht="15" x14ac:dyDescent="0.25">
      <c r="AR457" s="3"/>
      <c r="AS457" s="3"/>
    </row>
    <row r="458" spans="44:45" ht="15" x14ac:dyDescent="0.25">
      <c r="AR458" s="3"/>
      <c r="AS458" s="3"/>
    </row>
    <row r="459" spans="44:45" ht="15" x14ac:dyDescent="0.25">
      <c r="AR459" s="3"/>
      <c r="AS459" s="3"/>
    </row>
    <row r="460" spans="44:45" ht="15" x14ac:dyDescent="0.25">
      <c r="AR460" s="3"/>
      <c r="AS460" s="3"/>
    </row>
    <row r="461" spans="44:45" ht="15" x14ac:dyDescent="0.25">
      <c r="AR461" s="3"/>
      <c r="AS461" s="3"/>
    </row>
    <row r="462" spans="44:45" ht="15" x14ac:dyDescent="0.25">
      <c r="AR462" s="3"/>
      <c r="AS462" s="3"/>
    </row>
    <row r="463" spans="44:45" ht="15" x14ac:dyDescent="0.25">
      <c r="AR463" s="3"/>
      <c r="AS463" s="3"/>
    </row>
    <row r="464" spans="44:45" ht="15" x14ac:dyDescent="0.25">
      <c r="AR464" s="3"/>
      <c r="AS464" s="3"/>
    </row>
    <row r="465" spans="44:45" ht="15" x14ac:dyDescent="0.25">
      <c r="AR465" s="3"/>
      <c r="AS465" s="3"/>
    </row>
    <row r="466" spans="44:45" ht="15" x14ac:dyDescent="0.25">
      <c r="AR466" s="3"/>
      <c r="AS466" s="3"/>
    </row>
    <row r="467" spans="44:45" ht="15" x14ac:dyDescent="0.25">
      <c r="AR467" s="3"/>
      <c r="AS467" s="3"/>
    </row>
    <row r="468" spans="44:45" ht="15" x14ac:dyDescent="0.25">
      <c r="AR468" s="3"/>
      <c r="AS468" s="3"/>
    </row>
    <row r="469" spans="44:45" ht="15" x14ac:dyDescent="0.25">
      <c r="AR469" s="3"/>
      <c r="AS469" s="3"/>
    </row>
    <row r="470" spans="44:45" ht="15" x14ac:dyDescent="0.25">
      <c r="AR470" s="3"/>
      <c r="AS470" s="3"/>
    </row>
    <row r="471" spans="44:45" ht="15" x14ac:dyDescent="0.25">
      <c r="AR471" s="3"/>
      <c r="AS471" s="3"/>
    </row>
    <row r="472" spans="44:45" ht="15" x14ac:dyDescent="0.25">
      <c r="AR472" s="3"/>
      <c r="AS472" s="3"/>
    </row>
    <row r="473" spans="44:45" ht="15" x14ac:dyDescent="0.25">
      <c r="AR473" s="3"/>
      <c r="AS473" s="3"/>
    </row>
    <row r="474" spans="44:45" ht="15" x14ac:dyDescent="0.25">
      <c r="AR474" s="3"/>
      <c r="AS474" s="3"/>
    </row>
    <row r="475" spans="44:45" ht="15" x14ac:dyDescent="0.25">
      <c r="AR475" s="3"/>
      <c r="AS475" s="3"/>
    </row>
    <row r="476" spans="44:45" ht="15" x14ac:dyDescent="0.25">
      <c r="AR476" s="3"/>
      <c r="AS476" s="3"/>
    </row>
    <row r="477" spans="44:45" ht="15" x14ac:dyDescent="0.25">
      <c r="AR477" s="3"/>
      <c r="AS477" s="3"/>
    </row>
    <row r="478" spans="44:45" ht="15" x14ac:dyDescent="0.25">
      <c r="AR478" s="3"/>
      <c r="AS478" s="3"/>
    </row>
    <row r="479" spans="44:45" ht="15" x14ac:dyDescent="0.25">
      <c r="AR479" s="3"/>
      <c r="AS479" s="3"/>
    </row>
    <row r="480" spans="44:45" ht="15" x14ac:dyDescent="0.25">
      <c r="AR480" s="3"/>
      <c r="AS480" s="3"/>
    </row>
    <row r="481" spans="44:45" ht="15" x14ac:dyDescent="0.25">
      <c r="AR481" s="3"/>
      <c r="AS481" s="3"/>
    </row>
    <row r="482" spans="44:45" ht="15" x14ac:dyDescent="0.25">
      <c r="AR482" s="3"/>
      <c r="AS482" s="3"/>
    </row>
    <row r="483" spans="44:45" ht="15" x14ac:dyDescent="0.25">
      <c r="AR483" s="3"/>
      <c r="AS483" s="3"/>
    </row>
    <row r="484" spans="44:45" ht="15" x14ac:dyDescent="0.25">
      <c r="AR484" s="3"/>
      <c r="AS484" s="3"/>
    </row>
    <row r="485" spans="44:45" ht="15" x14ac:dyDescent="0.25">
      <c r="AR485" s="3"/>
      <c r="AS485" s="3"/>
    </row>
    <row r="486" spans="44:45" ht="15" x14ac:dyDescent="0.25">
      <c r="AR486" s="3"/>
      <c r="AS486" s="3"/>
    </row>
    <row r="487" spans="44:45" ht="15" x14ac:dyDescent="0.25">
      <c r="AR487" s="3"/>
      <c r="AS487" s="3"/>
    </row>
    <row r="488" spans="44:45" ht="15" x14ac:dyDescent="0.25">
      <c r="AR488" s="3"/>
      <c r="AS488" s="3"/>
    </row>
    <row r="489" spans="44:45" ht="15" x14ac:dyDescent="0.25">
      <c r="AR489" s="3"/>
      <c r="AS489" s="3"/>
    </row>
    <row r="490" spans="44:45" ht="15" x14ac:dyDescent="0.25">
      <c r="AR490" s="3"/>
      <c r="AS490" s="3"/>
    </row>
    <row r="491" spans="44:45" ht="15" x14ac:dyDescent="0.25">
      <c r="AR491" s="3"/>
      <c r="AS491" s="3"/>
    </row>
    <row r="492" spans="44:45" ht="15" x14ac:dyDescent="0.25">
      <c r="AR492" s="3"/>
      <c r="AS492" s="3"/>
    </row>
    <row r="493" spans="44:45" ht="15" x14ac:dyDescent="0.25">
      <c r="AR493" s="3"/>
      <c r="AS493" s="3"/>
    </row>
    <row r="494" spans="44:45" ht="15" x14ac:dyDescent="0.25">
      <c r="AR494" s="3"/>
      <c r="AS494" s="3"/>
    </row>
    <row r="495" spans="44:45" ht="15" x14ac:dyDescent="0.25">
      <c r="AR495" s="3"/>
      <c r="AS495" s="3"/>
    </row>
    <row r="496" spans="44:45" ht="15" x14ac:dyDescent="0.25">
      <c r="AR496" s="3"/>
      <c r="AS496" s="3"/>
    </row>
    <row r="497" spans="44:45" ht="15" x14ac:dyDescent="0.25">
      <c r="AR497" s="3"/>
      <c r="AS497" s="3"/>
    </row>
    <row r="498" spans="44:45" ht="15" x14ac:dyDescent="0.25">
      <c r="AR498" s="3"/>
      <c r="AS498" s="3"/>
    </row>
    <row r="499" spans="44:45" ht="15" x14ac:dyDescent="0.25">
      <c r="AR499" s="3"/>
      <c r="AS499" s="3"/>
    </row>
    <row r="500" spans="44:45" ht="15" x14ac:dyDescent="0.25">
      <c r="AR500" s="3"/>
      <c r="AS500" s="3"/>
    </row>
    <row r="501" spans="44:45" ht="15" x14ac:dyDescent="0.25">
      <c r="AR501" s="3"/>
      <c r="AS501" s="3"/>
    </row>
    <row r="502" spans="44:45" ht="15" x14ac:dyDescent="0.25">
      <c r="AR502" s="3"/>
      <c r="AS502" s="3"/>
    </row>
    <row r="503" spans="44:45" ht="15" x14ac:dyDescent="0.25">
      <c r="AR503" s="3"/>
      <c r="AS503" s="3"/>
    </row>
    <row r="504" spans="44:45" ht="15" x14ac:dyDescent="0.25">
      <c r="AR504" s="3"/>
      <c r="AS504" s="3"/>
    </row>
    <row r="505" spans="44:45" ht="15" x14ac:dyDescent="0.25">
      <c r="AR505" s="3"/>
      <c r="AS505" s="3"/>
    </row>
    <row r="506" spans="44:45" ht="15" x14ac:dyDescent="0.25">
      <c r="AR506" s="3"/>
      <c r="AS506" s="3"/>
    </row>
    <row r="507" spans="44:45" ht="15" x14ac:dyDescent="0.25">
      <c r="AR507" s="3"/>
      <c r="AS507" s="3"/>
    </row>
    <row r="508" spans="44:45" ht="15" x14ac:dyDescent="0.25">
      <c r="AR508" s="3"/>
      <c r="AS508" s="3"/>
    </row>
    <row r="509" spans="44:45" ht="15" x14ac:dyDescent="0.25">
      <c r="AR509" s="3"/>
      <c r="AS509" s="3"/>
    </row>
    <row r="510" spans="44:45" ht="15" x14ac:dyDescent="0.25">
      <c r="AR510" s="3"/>
      <c r="AS510" s="3"/>
    </row>
    <row r="511" spans="44:45" ht="15" x14ac:dyDescent="0.25">
      <c r="AR511" s="3"/>
      <c r="AS511" s="3"/>
    </row>
    <row r="512" spans="44:45" ht="15" x14ac:dyDescent="0.25">
      <c r="AR512" s="3"/>
      <c r="AS512" s="3"/>
    </row>
    <row r="513" spans="44:45" ht="15" x14ac:dyDescent="0.25">
      <c r="AR513" s="3"/>
      <c r="AS513" s="3"/>
    </row>
    <row r="514" spans="44:45" ht="15" x14ac:dyDescent="0.25">
      <c r="AR514" s="3"/>
      <c r="AS514" s="3"/>
    </row>
    <row r="515" spans="44:45" ht="15" x14ac:dyDescent="0.25">
      <c r="AR515" s="3"/>
      <c r="AS515" s="3"/>
    </row>
    <row r="516" spans="44:45" ht="15" x14ac:dyDescent="0.25">
      <c r="AR516" s="3"/>
      <c r="AS516" s="3"/>
    </row>
    <row r="517" spans="44:45" ht="15" x14ac:dyDescent="0.25">
      <c r="AR517" s="3"/>
      <c r="AS517" s="3"/>
    </row>
    <row r="518" spans="44:45" ht="15" x14ac:dyDescent="0.25">
      <c r="AR518" s="3"/>
      <c r="AS518" s="3"/>
    </row>
    <row r="519" spans="44:45" ht="15" x14ac:dyDescent="0.25">
      <c r="AR519" s="3"/>
      <c r="AS519" s="3"/>
    </row>
    <row r="520" spans="44:45" ht="15" x14ac:dyDescent="0.25">
      <c r="AR520" s="3"/>
      <c r="AS520" s="3"/>
    </row>
    <row r="521" spans="44:45" ht="15" x14ac:dyDescent="0.25">
      <c r="AR521" s="3"/>
      <c r="AS521" s="3"/>
    </row>
    <row r="522" spans="44:45" ht="15" x14ac:dyDescent="0.25">
      <c r="AR522" s="3"/>
      <c r="AS522" s="3"/>
    </row>
    <row r="523" spans="44:45" ht="15" x14ac:dyDescent="0.25">
      <c r="AR523" s="3"/>
      <c r="AS523" s="3"/>
    </row>
    <row r="524" spans="44:45" ht="15" x14ac:dyDescent="0.25">
      <c r="AR524" s="3"/>
      <c r="AS524" s="3"/>
    </row>
    <row r="525" spans="44:45" ht="15" x14ac:dyDescent="0.25">
      <c r="AR525" s="3"/>
      <c r="AS525" s="3"/>
    </row>
    <row r="526" spans="44:45" ht="15" x14ac:dyDescent="0.25">
      <c r="AR526" s="3"/>
      <c r="AS526" s="3"/>
    </row>
    <row r="527" spans="44:45" ht="15" x14ac:dyDescent="0.25">
      <c r="AR527" s="3"/>
      <c r="AS527" s="3"/>
    </row>
    <row r="528" spans="44:45" ht="15" x14ac:dyDescent="0.25">
      <c r="AR528" s="3"/>
      <c r="AS528" s="3"/>
    </row>
    <row r="529" spans="44:45" ht="15" x14ac:dyDescent="0.25">
      <c r="AR529" s="3"/>
      <c r="AS529" s="3"/>
    </row>
    <row r="530" spans="44:45" ht="15" x14ac:dyDescent="0.25">
      <c r="AR530" s="3"/>
      <c r="AS530" s="3"/>
    </row>
    <row r="531" spans="44:45" ht="15" x14ac:dyDescent="0.25">
      <c r="AR531" s="3"/>
      <c r="AS531" s="3"/>
    </row>
    <row r="532" spans="44:45" ht="15" x14ac:dyDescent="0.25">
      <c r="AR532" s="3"/>
      <c r="AS532" s="3"/>
    </row>
    <row r="533" spans="44:45" ht="15" x14ac:dyDescent="0.25">
      <c r="AR533" s="3"/>
      <c r="AS533" s="3"/>
    </row>
    <row r="534" spans="44:45" ht="15" x14ac:dyDescent="0.25">
      <c r="AR534" s="3"/>
      <c r="AS534" s="3"/>
    </row>
    <row r="535" spans="44:45" ht="15" x14ac:dyDescent="0.25">
      <c r="AR535" s="3"/>
      <c r="AS535" s="3"/>
    </row>
    <row r="536" spans="44:45" ht="15" x14ac:dyDescent="0.25">
      <c r="AR536" s="3"/>
      <c r="AS536" s="3"/>
    </row>
    <row r="537" spans="44:45" ht="15" x14ac:dyDescent="0.25">
      <c r="AR537" s="3"/>
      <c r="AS537" s="3"/>
    </row>
    <row r="538" spans="44:45" ht="15" x14ac:dyDescent="0.25">
      <c r="AR538" s="3"/>
      <c r="AS538" s="3"/>
    </row>
    <row r="539" spans="44:45" ht="15" x14ac:dyDescent="0.25">
      <c r="AR539" s="3"/>
      <c r="AS539" s="3"/>
    </row>
    <row r="540" spans="44:45" ht="15" x14ac:dyDescent="0.25">
      <c r="AR540" s="3"/>
      <c r="AS540" s="3"/>
    </row>
    <row r="541" spans="44:45" ht="15" x14ac:dyDescent="0.25">
      <c r="AR541" s="3"/>
      <c r="AS541" s="3"/>
    </row>
    <row r="542" spans="44:45" ht="15" x14ac:dyDescent="0.25">
      <c r="AR542" s="3"/>
      <c r="AS542" s="3"/>
    </row>
    <row r="543" spans="44:45" ht="15" x14ac:dyDescent="0.25">
      <c r="AR543" s="3"/>
      <c r="AS543" s="3"/>
    </row>
    <row r="544" spans="44:45" ht="15" x14ac:dyDescent="0.25">
      <c r="AR544" s="3"/>
      <c r="AS544" s="3"/>
    </row>
    <row r="545" spans="44:45" ht="15" x14ac:dyDescent="0.25">
      <c r="AR545" s="3"/>
      <c r="AS545" s="3"/>
    </row>
    <row r="546" spans="44:45" ht="15" x14ac:dyDescent="0.25">
      <c r="AR546" s="3"/>
      <c r="AS546" s="3"/>
    </row>
    <row r="547" spans="44:45" ht="15" x14ac:dyDescent="0.25">
      <c r="AR547" s="3"/>
      <c r="AS547" s="3"/>
    </row>
    <row r="548" spans="44:45" ht="15" x14ac:dyDescent="0.25">
      <c r="AR548" s="3"/>
      <c r="AS548" s="3"/>
    </row>
    <row r="549" spans="44:45" ht="15" x14ac:dyDescent="0.25">
      <c r="AR549" s="3"/>
      <c r="AS549" s="3"/>
    </row>
    <row r="550" spans="44:45" ht="15" x14ac:dyDescent="0.25">
      <c r="AR550" s="3"/>
      <c r="AS550" s="3"/>
    </row>
    <row r="551" spans="44:45" ht="15" x14ac:dyDescent="0.25">
      <c r="AR551" s="3"/>
      <c r="AS551" s="3"/>
    </row>
    <row r="552" spans="44:45" ht="15" x14ac:dyDescent="0.25">
      <c r="AR552" s="3"/>
      <c r="AS552" s="3"/>
    </row>
    <row r="553" spans="44:45" ht="15" x14ac:dyDescent="0.25">
      <c r="AR553" s="3"/>
      <c r="AS553" s="3"/>
    </row>
    <row r="554" spans="44:45" ht="15" x14ac:dyDescent="0.25">
      <c r="AR554" s="3"/>
      <c r="AS554" s="3"/>
    </row>
    <row r="555" spans="44:45" ht="15" x14ac:dyDescent="0.25">
      <c r="AR555" s="3"/>
      <c r="AS555" s="3"/>
    </row>
    <row r="556" spans="44:45" ht="15" x14ac:dyDescent="0.25">
      <c r="AR556" s="3"/>
      <c r="AS556" s="3"/>
    </row>
    <row r="557" spans="44:45" ht="15" x14ac:dyDescent="0.25">
      <c r="AR557" s="3"/>
      <c r="AS557" s="3"/>
    </row>
    <row r="558" spans="44:45" ht="15" x14ac:dyDescent="0.25">
      <c r="AR558" s="3"/>
      <c r="AS558" s="3"/>
    </row>
    <row r="559" spans="44:45" ht="15" x14ac:dyDescent="0.25">
      <c r="AR559" s="3"/>
      <c r="AS559" s="3"/>
    </row>
    <row r="560" spans="44:45" ht="15" x14ac:dyDescent="0.25">
      <c r="AR560" s="3"/>
      <c r="AS560" s="3"/>
    </row>
    <row r="561" spans="44:45" ht="15" x14ac:dyDescent="0.25">
      <c r="AR561" s="3"/>
      <c r="AS561" s="3"/>
    </row>
    <row r="562" spans="44:45" ht="15" x14ac:dyDescent="0.25">
      <c r="AR562" s="3"/>
      <c r="AS562" s="3"/>
    </row>
    <row r="563" spans="44:45" ht="15" x14ac:dyDescent="0.25">
      <c r="AR563" s="3"/>
      <c r="AS563" s="3"/>
    </row>
    <row r="564" spans="44:45" ht="15" x14ac:dyDescent="0.25">
      <c r="AR564" s="3"/>
      <c r="AS564" s="3"/>
    </row>
    <row r="565" spans="44:45" ht="15" x14ac:dyDescent="0.25">
      <c r="AR565" s="3"/>
      <c r="AS565" s="3"/>
    </row>
    <row r="566" spans="44:45" ht="15" x14ac:dyDescent="0.25">
      <c r="AR566" s="3"/>
      <c r="AS566" s="3"/>
    </row>
    <row r="567" spans="44:45" ht="15" x14ac:dyDescent="0.25">
      <c r="AR567" s="3"/>
      <c r="AS567" s="3"/>
    </row>
    <row r="568" spans="44:45" ht="15" x14ac:dyDescent="0.25">
      <c r="AR568" s="3"/>
      <c r="AS568" s="3"/>
    </row>
    <row r="569" spans="44:45" ht="15" x14ac:dyDescent="0.25">
      <c r="AR569" s="3"/>
      <c r="AS569" s="3"/>
    </row>
    <row r="570" spans="44:45" ht="15" x14ac:dyDescent="0.25">
      <c r="AR570" s="3"/>
      <c r="AS570" s="3"/>
    </row>
    <row r="571" spans="44:45" ht="15" x14ac:dyDescent="0.25">
      <c r="AR571" s="3"/>
      <c r="AS571" s="3"/>
    </row>
    <row r="572" spans="44:45" ht="15" x14ac:dyDescent="0.25">
      <c r="AR572" s="3"/>
      <c r="AS572" s="3"/>
    </row>
    <row r="573" spans="44:45" ht="15" x14ac:dyDescent="0.25">
      <c r="AR573" s="3"/>
      <c r="AS573" s="3"/>
    </row>
    <row r="574" spans="44:45" ht="15" x14ac:dyDescent="0.25">
      <c r="AR574" s="3"/>
      <c r="AS574" s="3"/>
    </row>
    <row r="575" spans="44:45" ht="15" x14ac:dyDescent="0.25">
      <c r="AR575" s="3"/>
      <c r="AS575" s="3"/>
    </row>
    <row r="576" spans="44:45" ht="15" x14ac:dyDescent="0.25">
      <c r="AR576" s="3"/>
      <c r="AS576" s="3"/>
    </row>
    <row r="577" spans="44:45" ht="15" x14ac:dyDescent="0.25">
      <c r="AR577" s="3"/>
      <c r="AS577" s="3"/>
    </row>
    <row r="578" spans="44:45" ht="15" x14ac:dyDescent="0.25">
      <c r="AR578" s="3"/>
      <c r="AS578" s="3"/>
    </row>
    <row r="579" spans="44:45" ht="15" x14ac:dyDescent="0.25">
      <c r="AR579" s="3"/>
      <c r="AS579" s="3"/>
    </row>
    <row r="580" spans="44:45" ht="15" x14ac:dyDescent="0.25">
      <c r="AR580" s="3"/>
      <c r="AS580" s="3"/>
    </row>
    <row r="581" spans="44:45" ht="15" x14ac:dyDescent="0.25">
      <c r="AR581" s="3"/>
      <c r="AS581" s="3"/>
    </row>
    <row r="582" spans="44:45" ht="15" x14ac:dyDescent="0.25">
      <c r="AR582" s="3"/>
      <c r="AS582" s="3"/>
    </row>
    <row r="583" spans="44:45" ht="15" x14ac:dyDescent="0.25">
      <c r="AR583" s="3"/>
      <c r="AS583" s="3"/>
    </row>
    <row r="584" spans="44:45" ht="15" x14ac:dyDescent="0.25">
      <c r="AR584" s="3"/>
      <c r="AS584" s="3"/>
    </row>
    <row r="585" spans="44:45" ht="15" x14ac:dyDescent="0.25">
      <c r="AR585" s="3"/>
      <c r="AS585" s="3"/>
    </row>
    <row r="586" spans="44:45" ht="15" x14ac:dyDescent="0.25">
      <c r="AR586" s="3"/>
      <c r="AS586" s="3"/>
    </row>
    <row r="587" spans="44:45" ht="15" x14ac:dyDescent="0.25">
      <c r="AR587" s="3"/>
      <c r="AS587" s="3"/>
    </row>
    <row r="588" spans="44:45" ht="15" x14ac:dyDescent="0.25">
      <c r="AR588" s="3"/>
      <c r="AS588" s="3"/>
    </row>
    <row r="589" spans="44:45" ht="15" x14ac:dyDescent="0.25">
      <c r="AR589" s="3"/>
      <c r="AS589" s="3"/>
    </row>
    <row r="590" spans="44:45" ht="15" x14ac:dyDescent="0.25">
      <c r="AR590" s="3"/>
      <c r="AS590" s="3"/>
    </row>
    <row r="591" spans="44:45" ht="15" x14ac:dyDescent="0.25">
      <c r="AR591" s="3"/>
      <c r="AS591" s="3"/>
    </row>
    <row r="592" spans="44:45" ht="15" x14ac:dyDescent="0.25">
      <c r="AR592" s="3"/>
      <c r="AS592" s="3"/>
    </row>
    <row r="593" spans="44:45" ht="15" x14ac:dyDescent="0.25">
      <c r="AR593" s="3"/>
      <c r="AS593" s="3"/>
    </row>
    <row r="594" spans="44:45" ht="15" x14ac:dyDescent="0.25">
      <c r="AR594" s="3"/>
      <c r="AS594" s="3"/>
    </row>
    <row r="595" spans="44:45" ht="15" x14ac:dyDescent="0.25">
      <c r="AR595" s="3"/>
      <c r="AS595" s="3"/>
    </row>
    <row r="596" spans="44:45" ht="15" x14ac:dyDescent="0.25">
      <c r="AR596" s="3"/>
      <c r="AS596" s="3"/>
    </row>
    <row r="597" spans="44:45" ht="15" x14ac:dyDescent="0.25">
      <c r="AR597" s="3"/>
      <c r="AS597" s="3"/>
    </row>
    <row r="598" spans="44:45" ht="15" x14ac:dyDescent="0.25">
      <c r="AR598" s="3"/>
      <c r="AS598" s="3"/>
    </row>
    <row r="599" spans="44:45" ht="15" x14ac:dyDescent="0.25">
      <c r="AR599" s="3"/>
      <c r="AS599" s="3"/>
    </row>
    <row r="600" spans="44:45" ht="15" x14ac:dyDescent="0.25">
      <c r="AR600" s="3"/>
      <c r="AS600" s="3"/>
    </row>
    <row r="601" spans="44:45" ht="15" x14ac:dyDescent="0.25">
      <c r="AR601" s="3"/>
      <c r="AS601" s="3"/>
    </row>
    <row r="602" spans="44:45" ht="15" x14ac:dyDescent="0.25">
      <c r="AR602" s="3"/>
      <c r="AS602" s="3"/>
    </row>
    <row r="603" spans="44:45" ht="15" x14ac:dyDescent="0.25">
      <c r="AR603" s="3"/>
      <c r="AS603" s="3"/>
    </row>
    <row r="604" spans="44:45" ht="15" x14ac:dyDescent="0.25">
      <c r="AR604" s="3"/>
      <c r="AS604" s="3"/>
    </row>
    <row r="605" spans="44:45" ht="15" x14ac:dyDescent="0.25">
      <c r="AR605" s="3"/>
      <c r="AS605" s="3"/>
    </row>
    <row r="606" spans="44:45" ht="15" x14ac:dyDescent="0.25">
      <c r="AR606" s="3"/>
      <c r="AS606" s="3"/>
    </row>
    <row r="607" spans="44:45" ht="15" x14ac:dyDescent="0.25">
      <c r="AR607" s="3"/>
      <c r="AS607" s="3"/>
    </row>
    <row r="608" spans="44:45" ht="15" x14ac:dyDescent="0.25">
      <c r="AR608" s="3"/>
      <c r="AS608" s="3"/>
    </row>
    <row r="609" spans="44:45" ht="15" x14ac:dyDescent="0.25">
      <c r="AR609" s="3"/>
      <c r="AS609" s="3"/>
    </row>
    <row r="610" spans="44:45" ht="15" x14ac:dyDescent="0.25">
      <c r="AR610" s="3"/>
      <c r="AS610" s="3"/>
    </row>
    <row r="611" spans="44:45" ht="15" x14ac:dyDescent="0.25">
      <c r="AR611" s="3"/>
      <c r="AS611" s="3"/>
    </row>
    <row r="612" spans="44:45" ht="15" x14ac:dyDescent="0.25">
      <c r="AR612" s="3"/>
      <c r="AS612" s="3"/>
    </row>
    <row r="613" spans="44:45" ht="15" x14ac:dyDescent="0.25">
      <c r="AR613" s="3"/>
      <c r="AS613" s="3"/>
    </row>
    <row r="614" spans="44:45" ht="15" x14ac:dyDescent="0.25">
      <c r="AR614" s="3"/>
      <c r="AS614" s="3"/>
    </row>
    <row r="615" spans="44:45" ht="15" x14ac:dyDescent="0.25">
      <c r="AR615" s="3"/>
      <c r="AS615" s="3"/>
    </row>
    <row r="616" spans="44:45" ht="15" x14ac:dyDescent="0.25">
      <c r="AR616" s="3"/>
      <c r="AS616" s="3"/>
    </row>
    <row r="617" spans="44:45" ht="15" x14ac:dyDescent="0.25">
      <c r="AR617" s="3"/>
      <c r="AS617" s="3"/>
    </row>
    <row r="618" spans="44:45" ht="15" x14ac:dyDescent="0.25">
      <c r="AR618" s="3"/>
      <c r="AS618" s="3"/>
    </row>
    <row r="619" spans="44:45" ht="15" x14ac:dyDescent="0.25">
      <c r="AR619" s="3"/>
      <c r="AS619" s="3"/>
    </row>
    <row r="620" spans="44:45" ht="15" x14ac:dyDescent="0.25">
      <c r="AR620" s="3"/>
      <c r="AS620" s="3"/>
    </row>
    <row r="621" spans="44:45" ht="15" x14ac:dyDescent="0.25">
      <c r="AR621" s="3"/>
      <c r="AS621" s="3"/>
    </row>
    <row r="622" spans="44:45" ht="15" x14ac:dyDescent="0.25">
      <c r="AR622" s="3"/>
      <c r="AS622" s="3"/>
    </row>
    <row r="623" spans="44:45" ht="15" x14ac:dyDescent="0.25">
      <c r="AR623" s="3"/>
      <c r="AS623" s="3"/>
    </row>
    <row r="624" spans="44:45" ht="15" x14ac:dyDescent="0.25">
      <c r="AR624" s="3"/>
      <c r="AS624" s="3"/>
    </row>
    <row r="625" spans="44:45" ht="15" x14ac:dyDescent="0.25">
      <c r="AR625" s="3"/>
      <c r="AS625" s="3"/>
    </row>
    <row r="626" spans="44:45" ht="15" x14ac:dyDescent="0.25">
      <c r="AR626" s="3"/>
      <c r="AS626" s="3"/>
    </row>
    <row r="627" spans="44:45" ht="15" x14ac:dyDescent="0.25">
      <c r="AR627" s="3"/>
      <c r="AS627" s="3"/>
    </row>
    <row r="628" spans="44:45" ht="15" x14ac:dyDescent="0.25">
      <c r="AR628" s="3"/>
      <c r="AS628" s="3"/>
    </row>
    <row r="629" spans="44:45" ht="15" x14ac:dyDescent="0.25">
      <c r="AR629" s="3"/>
      <c r="AS629" s="3"/>
    </row>
    <row r="630" spans="44:45" ht="15" x14ac:dyDescent="0.25">
      <c r="AR630" s="3"/>
      <c r="AS630" s="3"/>
    </row>
    <row r="631" spans="44:45" ht="15" x14ac:dyDescent="0.25">
      <c r="AR631" s="3"/>
      <c r="AS631" s="3"/>
    </row>
    <row r="632" spans="44:45" ht="15" x14ac:dyDescent="0.25">
      <c r="AR632" s="3"/>
      <c r="AS632" s="3"/>
    </row>
    <row r="633" spans="44:45" ht="15" x14ac:dyDescent="0.25">
      <c r="AR633" s="3"/>
      <c r="AS633" s="3"/>
    </row>
    <row r="634" spans="44:45" ht="15" x14ac:dyDescent="0.25">
      <c r="AR634" s="3"/>
      <c r="AS634" s="3"/>
    </row>
    <row r="635" spans="44:45" ht="15" x14ac:dyDescent="0.25">
      <c r="AR635" s="3"/>
      <c r="AS635" s="3"/>
    </row>
    <row r="636" spans="44:45" ht="15" x14ac:dyDescent="0.25">
      <c r="AR636" s="3"/>
      <c r="AS636" s="3"/>
    </row>
    <row r="637" spans="44:45" ht="15" x14ac:dyDescent="0.25">
      <c r="AR637" s="3"/>
      <c r="AS637" s="3"/>
    </row>
    <row r="638" spans="44:45" ht="15" x14ac:dyDescent="0.25">
      <c r="AR638" s="3"/>
      <c r="AS638" s="3"/>
    </row>
    <row r="639" spans="44:45" ht="15" x14ac:dyDescent="0.25">
      <c r="AR639" s="3"/>
      <c r="AS639" s="3"/>
    </row>
    <row r="640" spans="44:45" ht="15" x14ac:dyDescent="0.25">
      <c r="AR640" s="3"/>
      <c r="AS640" s="3"/>
    </row>
    <row r="641" spans="44:45" ht="15" x14ac:dyDescent="0.25">
      <c r="AR641" s="3"/>
      <c r="AS641" s="3"/>
    </row>
    <row r="642" spans="44:45" ht="15" x14ac:dyDescent="0.25">
      <c r="AR642" s="3"/>
      <c r="AS642" s="3"/>
    </row>
    <row r="643" spans="44:45" ht="15" x14ac:dyDescent="0.25">
      <c r="AR643" s="3"/>
      <c r="AS643" s="3"/>
    </row>
    <row r="644" spans="44:45" ht="15" x14ac:dyDescent="0.25">
      <c r="AR644" s="3"/>
      <c r="AS644" s="3"/>
    </row>
    <row r="645" spans="44:45" ht="15" x14ac:dyDescent="0.25">
      <c r="AR645" s="3"/>
      <c r="AS645" s="3"/>
    </row>
    <row r="646" spans="44:45" ht="15" x14ac:dyDescent="0.25">
      <c r="AR646" s="3"/>
      <c r="AS646" s="3"/>
    </row>
    <row r="647" spans="44:45" ht="15" x14ac:dyDescent="0.25">
      <c r="AR647" s="3"/>
      <c r="AS647" s="3"/>
    </row>
    <row r="648" spans="44:45" ht="15" x14ac:dyDescent="0.25">
      <c r="AR648" s="3"/>
      <c r="AS648" s="3"/>
    </row>
    <row r="649" spans="44:45" ht="15" x14ac:dyDescent="0.25">
      <c r="AR649" s="3"/>
      <c r="AS649" s="3"/>
    </row>
    <row r="650" spans="44:45" ht="15" x14ac:dyDescent="0.25">
      <c r="AR650" s="3"/>
      <c r="AS650" s="3"/>
    </row>
    <row r="651" spans="44:45" ht="15" x14ac:dyDescent="0.25">
      <c r="AR651" s="3"/>
      <c r="AS651" s="3"/>
    </row>
    <row r="652" spans="44:45" ht="15" x14ac:dyDescent="0.25">
      <c r="AR652" s="3"/>
      <c r="AS652" s="3"/>
    </row>
    <row r="653" spans="44:45" ht="15" x14ac:dyDescent="0.25">
      <c r="AR653" s="3"/>
      <c r="AS653" s="3"/>
    </row>
    <row r="654" spans="44:45" ht="15" x14ac:dyDescent="0.25">
      <c r="AR654" s="3"/>
      <c r="AS654" s="3"/>
    </row>
    <row r="655" spans="44:45" ht="15" x14ac:dyDescent="0.25">
      <c r="AR655" s="3"/>
      <c r="AS655" s="3"/>
    </row>
    <row r="656" spans="44:45" ht="15" x14ac:dyDescent="0.25">
      <c r="AR656" s="3"/>
      <c r="AS656" s="3"/>
    </row>
    <row r="657" spans="44:45" ht="15" x14ac:dyDescent="0.25">
      <c r="AR657" s="3"/>
      <c r="AS657" s="3"/>
    </row>
    <row r="658" spans="44:45" ht="15" x14ac:dyDescent="0.25">
      <c r="AR658" s="3"/>
      <c r="AS658" s="3"/>
    </row>
    <row r="659" spans="44:45" ht="15" x14ac:dyDescent="0.25">
      <c r="AR659" s="3"/>
      <c r="AS659" s="3"/>
    </row>
    <row r="660" spans="44:45" ht="15" x14ac:dyDescent="0.25">
      <c r="AR660" s="3"/>
      <c r="AS660" s="3"/>
    </row>
    <row r="661" spans="44:45" ht="15" x14ac:dyDescent="0.25">
      <c r="AR661" s="3"/>
      <c r="AS661" s="3"/>
    </row>
    <row r="662" spans="44:45" ht="15" x14ac:dyDescent="0.25">
      <c r="AR662" s="3"/>
      <c r="AS662" s="3"/>
    </row>
    <row r="663" spans="44:45" ht="15" x14ac:dyDescent="0.25">
      <c r="AR663" s="3"/>
      <c r="AS663" s="3"/>
    </row>
    <row r="664" spans="44:45" ht="15" x14ac:dyDescent="0.25">
      <c r="AR664" s="3"/>
      <c r="AS664" s="3"/>
    </row>
    <row r="665" spans="44:45" ht="15" x14ac:dyDescent="0.25">
      <c r="AR665" s="3"/>
      <c r="AS665" s="3"/>
    </row>
    <row r="666" spans="44:45" ht="15" x14ac:dyDescent="0.25">
      <c r="AR666" s="3"/>
      <c r="AS666" s="3"/>
    </row>
    <row r="667" spans="44:45" ht="15" x14ac:dyDescent="0.25">
      <c r="AR667" s="3"/>
      <c r="AS667" s="3"/>
    </row>
    <row r="668" spans="44:45" ht="15" x14ac:dyDescent="0.25">
      <c r="AR668" s="3"/>
      <c r="AS668" s="3"/>
    </row>
    <row r="669" spans="44:45" ht="15" x14ac:dyDescent="0.25">
      <c r="AR669" s="3"/>
      <c r="AS669" s="3"/>
    </row>
    <row r="670" spans="44:45" ht="15" x14ac:dyDescent="0.25">
      <c r="AR670" s="3"/>
      <c r="AS670" s="3"/>
    </row>
    <row r="671" spans="44:45" ht="15" x14ac:dyDescent="0.25">
      <c r="AR671" s="3"/>
      <c r="AS671" s="3"/>
    </row>
    <row r="672" spans="44:45" ht="15" x14ac:dyDescent="0.25">
      <c r="AR672" s="3"/>
      <c r="AS672" s="3"/>
    </row>
    <row r="673" spans="44:45" ht="15" x14ac:dyDescent="0.25">
      <c r="AR673" s="3"/>
      <c r="AS673" s="3"/>
    </row>
    <row r="674" spans="44:45" ht="15" x14ac:dyDescent="0.25">
      <c r="AR674" s="3"/>
      <c r="AS674" s="3"/>
    </row>
    <row r="675" spans="44:45" ht="15" x14ac:dyDescent="0.25">
      <c r="AR675" s="3"/>
      <c r="AS675" s="3"/>
    </row>
    <row r="676" spans="44:45" ht="15" x14ac:dyDescent="0.25">
      <c r="AR676" s="3"/>
      <c r="AS676" s="3"/>
    </row>
    <row r="677" spans="44:45" ht="15" x14ac:dyDescent="0.25">
      <c r="AR677" s="3"/>
      <c r="AS677" s="3"/>
    </row>
    <row r="678" spans="44:45" ht="15" x14ac:dyDescent="0.25">
      <c r="AR678" s="3"/>
      <c r="AS678" s="3"/>
    </row>
    <row r="679" spans="44:45" ht="15" x14ac:dyDescent="0.25">
      <c r="AR679" s="3"/>
      <c r="AS679" s="3"/>
    </row>
    <row r="680" spans="44:45" ht="15" x14ac:dyDescent="0.25">
      <c r="AR680" s="3"/>
      <c r="AS680" s="3"/>
    </row>
    <row r="681" spans="44:45" ht="15" x14ac:dyDescent="0.25">
      <c r="AR681" s="3"/>
      <c r="AS681" s="3"/>
    </row>
    <row r="682" spans="44:45" ht="15" x14ac:dyDescent="0.25">
      <c r="AR682" s="3"/>
      <c r="AS682" s="3"/>
    </row>
    <row r="683" spans="44:45" ht="15" x14ac:dyDescent="0.25">
      <c r="AR683" s="3"/>
      <c r="AS683" s="3"/>
    </row>
    <row r="684" spans="44:45" ht="15" x14ac:dyDescent="0.25">
      <c r="AR684" s="3"/>
      <c r="AS684" s="3"/>
    </row>
    <row r="685" spans="44:45" ht="15" x14ac:dyDescent="0.25">
      <c r="AR685" s="3"/>
      <c r="AS685" s="3"/>
    </row>
    <row r="686" spans="44:45" ht="15" x14ac:dyDescent="0.25">
      <c r="AR686" s="3"/>
      <c r="AS686" s="3"/>
    </row>
    <row r="687" spans="44:45" ht="15" x14ac:dyDescent="0.25">
      <c r="AR687" s="3"/>
      <c r="AS687" s="3"/>
    </row>
    <row r="688" spans="44:45" ht="15" x14ac:dyDescent="0.25">
      <c r="AR688" s="3"/>
      <c r="AS688" s="3"/>
    </row>
    <row r="689" spans="44:45" ht="15" x14ac:dyDescent="0.25">
      <c r="AR689" s="3"/>
      <c r="AS689" s="3"/>
    </row>
    <row r="690" spans="44:45" ht="15" x14ac:dyDescent="0.25">
      <c r="AR690" s="3"/>
      <c r="AS690" s="3"/>
    </row>
    <row r="691" spans="44:45" ht="15" x14ac:dyDescent="0.25">
      <c r="AR691" s="3"/>
      <c r="AS691" s="3"/>
    </row>
    <row r="692" spans="44:45" ht="15" x14ac:dyDescent="0.25">
      <c r="AR692" s="3"/>
      <c r="AS692" s="3"/>
    </row>
    <row r="693" spans="44:45" ht="15" x14ac:dyDescent="0.25">
      <c r="AR693" s="3"/>
      <c r="AS693" s="3"/>
    </row>
    <row r="694" spans="44:45" ht="15" x14ac:dyDescent="0.25">
      <c r="AR694" s="3"/>
      <c r="AS694" s="3"/>
    </row>
    <row r="695" spans="44:45" ht="15" x14ac:dyDescent="0.25">
      <c r="AR695" s="3"/>
      <c r="AS695" s="3"/>
    </row>
    <row r="696" spans="44:45" ht="15" x14ac:dyDescent="0.25">
      <c r="AR696" s="3"/>
      <c r="AS696" s="3"/>
    </row>
    <row r="697" spans="44:45" ht="15" x14ac:dyDescent="0.25">
      <c r="AR697" s="3"/>
      <c r="AS697" s="3"/>
    </row>
    <row r="698" spans="44:45" ht="15" x14ac:dyDescent="0.25">
      <c r="AR698" s="3"/>
      <c r="AS698" s="3"/>
    </row>
    <row r="699" spans="44:45" ht="15" x14ac:dyDescent="0.25">
      <c r="AR699" s="3"/>
      <c r="AS699" s="3"/>
    </row>
    <row r="700" spans="44:45" ht="15" x14ac:dyDescent="0.25">
      <c r="AR700" s="3"/>
      <c r="AS700" s="3"/>
    </row>
    <row r="701" spans="44:45" ht="15" x14ac:dyDescent="0.25">
      <c r="AR701" s="3"/>
      <c r="AS701" s="3"/>
    </row>
    <row r="702" spans="44:45" ht="15" x14ac:dyDescent="0.25">
      <c r="AR702" s="3"/>
      <c r="AS702" s="3"/>
    </row>
    <row r="703" spans="44:45" ht="15" x14ac:dyDescent="0.25">
      <c r="AR703" s="3"/>
      <c r="AS703" s="3"/>
    </row>
    <row r="704" spans="44:45" ht="15" x14ac:dyDescent="0.25">
      <c r="AR704" s="3"/>
      <c r="AS704" s="3"/>
    </row>
    <row r="705" spans="44:45" ht="15" x14ac:dyDescent="0.25">
      <c r="AR705" s="3"/>
      <c r="AS705" s="3"/>
    </row>
    <row r="706" spans="44:45" ht="15" x14ac:dyDescent="0.25">
      <c r="AR706" s="3"/>
      <c r="AS706" s="3"/>
    </row>
    <row r="707" spans="44:45" ht="15" x14ac:dyDescent="0.25">
      <c r="AR707" s="3"/>
      <c r="AS707" s="3"/>
    </row>
    <row r="708" spans="44:45" ht="15" x14ac:dyDescent="0.25">
      <c r="AR708" s="3"/>
      <c r="AS708" s="3"/>
    </row>
    <row r="709" spans="44:45" ht="15" x14ac:dyDescent="0.25">
      <c r="AR709" s="3"/>
      <c r="AS709" s="3"/>
    </row>
    <row r="710" spans="44:45" ht="15" x14ac:dyDescent="0.25">
      <c r="AR710" s="3"/>
      <c r="AS710" s="3"/>
    </row>
    <row r="711" spans="44:45" ht="15" x14ac:dyDescent="0.25">
      <c r="AR711" s="3"/>
      <c r="AS711" s="3"/>
    </row>
    <row r="712" spans="44:45" ht="15" x14ac:dyDescent="0.25">
      <c r="AR712" s="3"/>
      <c r="AS712" s="3"/>
    </row>
    <row r="713" spans="44:45" ht="15" x14ac:dyDescent="0.25">
      <c r="AR713" s="3"/>
      <c r="AS713" s="3"/>
    </row>
    <row r="714" spans="44:45" ht="15" x14ac:dyDescent="0.25">
      <c r="AR714" s="3"/>
      <c r="AS714" s="3"/>
    </row>
    <row r="715" spans="44:45" ht="15" x14ac:dyDescent="0.25">
      <c r="AR715" s="3"/>
      <c r="AS715" s="3"/>
    </row>
    <row r="716" spans="44:45" ht="15" x14ac:dyDescent="0.25">
      <c r="AR716" s="3"/>
      <c r="AS716" s="3"/>
    </row>
    <row r="717" spans="44:45" ht="15" x14ac:dyDescent="0.25">
      <c r="AR717" s="3"/>
      <c r="AS717" s="3"/>
    </row>
    <row r="718" spans="44:45" ht="15" x14ac:dyDescent="0.25">
      <c r="AR718" s="3"/>
      <c r="AS718" s="3"/>
    </row>
    <row r="719" spans="44:45" ht="15" x14ac:dyDescent="0.25">
      <c r="AR719" s="3"/>
      <c r="AS719" s="3"/>
    </row>
    <row r="720" spans="44:45" ht="15" x14ac:dyDescent="0.25">
      <c r="AR720" s="3"/>
      <c r="AS720" s="3"/>
    </row>
    <row r="721" spans="44:45" ht="15" x14ac:dyDescent="0.25">
      <c r="AR721" s="3"/>
      <c r="AS721" s="3"/>
    </row>
    <row r="722" spans="44:45" ht="15" x14ac:dyDescent="0.25">
      <c r="AR722" s="3"/>
      <c r="AS722" s="3"/>
    </row>
    <row r="723" spans="44:45" ht="15" x14ac:dyDescent="0.25">
      <c r="AR723" s="3"/>
      <c r="AS723" s="3"/>
    </row>
    <row r="724" spans="44:45" ht="15" x14ac:dyDescent="0.25">
      <c r="AR724" s="3"/>
      <c r="AS724" s="3"/>
    </row>
    <row r="725" spans="44:45" ht="15" x14ac:dyDescent="0.25">
      <c r="AR725" s="3"/>
      <c r="AS725" s="3"/>
    </row>
    <row r="726" spans="44:45" ht="15" x14ac:dyDescent="0.25">
      <c r="AR726" s="3"/>
      <c r="AS726" s="3"/>
    </row>
    <row r="727" spans="44:45" ht="15" x14ac:dyDescent="0.25">
      <c r="AR727" s="3"/>
      <c r="AS727" s="3"/>
    </row>
    <row r="728" spans="44:45" ht="15" x14ac:dyDescent="0.25">
      <c r="AR728" s="3"/>
      <c r="AS728" s="3"/>
    </row>
    <row r="729" spans="44:45" ht="15" x14ac:dyDescent="0.25">
      <c r="AR729" s="3"/>
      <c r="AS729" s="3"/>
    </row>
    <row r="730" spans="44:45" ht="15" x14ac:dyDescent="0.25">
      <c r="AR730" s="3"/>
      <c r="AS730" s="3"/>
    </row>
    <row r="731" spans="44:45" ht="15" x14ac:dyDescent="0.25">
      <c r="AR731" s="3"/>
      <c r="AS731" s="3"/>
    </row>
    <row r="732" spans="44:45" ht="15" x14ac:dyDescent="0.25">
      <c r="AR732" s="3"/>
      <c r="AS732" s="3"/>
    </row>
    <row r="733" spans="44:45" ht="15" x14ac:dyDescent="0.25">
      <c r="AR733" s="3"/>
      <c r="AS733" s="3"/>
    </row>
    <row r="734" spans="44:45" ht="15" x14ac:dyDescent="0.25">
      <c r="AR734" s="3"/>
      <c r="AS734" s="3"/>
    </row>
    <row r="735" spans="44:45" ht="15" x14ac:dyDescent="0.25">
      <c r="AR735" s="3"/>
      <c r="AS735" s="3"/>
    </row>
    <row r="736" spans="44:45" ht="15" x14ac:dyDescent="0.25">
      <c r="AR736" s="3"/>
      <c r="AS736" s="3"/>
    </row>
    <row r="737" spans="44:45" ht="15" x14ac:dyDescent="0.25">
      <c r="AR737" s="3"/>
      <c r="AS737" s="3"/>
    </row>
    <row r="738" spans="44:45" ht="15" x14ac:dyDescent="0.25">
      <c r="AR738" s="3"/>
      <c r="AS738" s="3"/>
    </row>
    <row r="739" spans="44:45" ht="15" x14ac:dyDescent="0.25">
      <c r="AR739" s="3"/>
      <c r="AS739" s="3"/>
    </row>
    <row r="740" spans="44:45" ht="15" x14ac:dyDescent="0.25">
      <c r="AR740" s="3"/>
      <c r="AS740" s="3"/>
    </row>
    <row r="741" spans="44:45" ht="15" x14ac:dyDescent="0.25">
      <c r="AR741" s="3"/>
      <c r="AS741" s="3"/>
    </row>
    <row r="742" spans="44:45" ht="15" x14ac:dyDescent="0.25">
      <c r="AR742" s="3"/>
      <c r="AS742" s="3"/>
    </row>
    <row r="743" spans="44:45" ht="15" x14ac:dyDescent="0.25">
      <c r="AR743" s="3"/>
      <c r="AS743" s="3"/>
    </row>
    <row r="744" spans="44:45" ht="15" x14ac:dyDescent="0.25">
      <c r="AR744" s="3"/>
      <c r="AS744" s="3"/>
    </row>
    <row r="745" spans="44:45" ht="15" x14ac:dyDescent="0.25">
      <c r="AR745" s="3"/>
      <c r="AS745" s="3"/>
    </row>
    <row r="746" spans="44:45" ht="15" x14ac:dyDescent="0.25">
      <c r="AR746" s="3"/>
      <c r="AS746" s="3"/>
    </row>
    <row r="747" spans="44:45" ht="15" x14ac:dyDescent="0.25">
      <c r="AR747" s="3"/>
      <c r="AS747" s="3"/>
    </row>
    <row r="748" spans="44:45" ht="15" x14ac:dyDescent="0.25">
      <c r="AR748" s="3"/>
      <c r="AS748" s="3"/>
    </row>
    <row r="749" spans="44:45" ht="15" x14ac:dyDescent="0.25">
      <c r="AR749" s="3"/>
      <c r="AS749" s="3"/>
    </row>
    <row r="750" spans="44:45" ht="15" x14ac:dyDescent="0.25">
      <c r="AR750" s="3"/>
      <c r="AS750" s="3"/>
    </row>
    <row r="751" spans="44:45" ht="15" x14ac:dyDescent="0.25">
      <c r="AR751" s="3"/>
      <c r="AS751" s="3"/>
    </row>
    <row r="752" spans="44:45" ht="15" x14ac:dyDescent="0.25">
      <c r="AR752" s="3"/>
      <c r="AS752" s="3"/>
    </row>
    <row r="753" spans="44:45" ht="15" x14ac:dyDescent="0.25">
      <c r="AR753" s="3"/>
      <c r="AS753" s="3"/>
    </row>
    <row r="754" spans="44:45" ht="15" x14ac:dyDescent="0.25">
      <c r="AR754" s="3"/>
      <c r="AS754" s="3"/>
    </row>
    <row r="755" spans="44:45" ht="15" x14ac:dyDescent="0.25">
      <c r="AR755" s="3"/>
      <c r="AS755" s="3"/>
    </row>
    <row r="756" spans="44:45" ht="15" x14ac:dyDescent="0.25">
      <c r="AR756" s="3"/>
      <c r="AS756" s="3"/>
    </row>
    <row r="757" spans="44:45" ht="15" x14ac:dyDescent="0.25">
      <c r="AR757" s="3"/>
      <c r="AS757" s="3"/>
    </row>
    <row r="758" spans="44:45" ht="15" x14ac:dyDescent="0.25">
      <c r="AR758" s="3"/>
      <c r="AS758" s="3"/>
    </row>
    <row r="759" spans="44:45" ht="15" x14ac:dyDescent="0.25">
      <c r="AR759" s="3"/>
      <c r="AS759" s="3"/>
    </row>
    <row r="760" spans="44:45" ht="15" x14ac:dyDescent="0.25">
      <c r="AR760" s="3"/>
      <c r="AS760" s="3"/>
    </row>
    <row r="761" spans="44:45" ht="15" x14ac:dyDescent="0.25">
      <c r="AR761" s="3"/>
      <c r="AS761" s="3"/>
    </row>
    <row r="762" spans="44:45" ht="15" x14ac:dyDescent="0.25">
      <c r="AR762" s="3"/>
      <c r="AS762" s="3"/>
    </row>
    <row r="763" spans="44:45" ht="15" x14ac:dyDescent="0.25">
      <c r="AR763" s="3"/>
      <c r="AS763" s="3"/>
    </row>
    <row r="764" spans="44:45" ht="15" x14ac:dyDescent="0.25">
      <c r="AR764" s="3"/>
      <c r="AS764" s="3"/>
    </row>
    <row r="765" spans="44:45" ht="15" x14ac:dyDescent="0.25">
      <c r="AR765" s="3"/>
      <c r="AS765" s="3"/>
    </row>
    <row r="766" spans="44:45" ht="15" x14ac:dyDescent="0.25">
      <c r="AR766" s="3"/>
      <c r="AS766" s="3"/>
    </row>
    <row r="767" spans="44:45" ht="15" x14ac:dyDescent="0.25">
      <c r="AR767" s="3"/>
      <c r="AS767" s="3"/>
    </row>
    <row r="768" spans="44:45" ht="15" x14ac:dyDescent="0.25">
      <c r="AR768" s="3"/>
      <c r="AS768" s="3"/>
    </row>
    <row r="769" spans="44:45" ht="15" x14ac:dyDescent="0.25">
      <c r="AR769" s="3"/>
      <c r="AS769" s="3"/>
    </row>
    <row r="770" spans="44:45" ht="15" x14ac:dyDescent="0.25">
      <c r="AR770" s="3"/>
      <c r="AS770" s="3"/>
    </row>
    <row r="771" spans="44:45" ht="15" x14ac:dyDescent="0.25">
      <c r="AR771" s="3"/>
      <c r="AS771" s="3"/>
    </row>
    <row r="772" spans="44:45" ht="15" x14ac:dyDescent="0.25">
      <c r="AR772" s="3"/>
      <c r="AS772" s="3"/>
    </row>
    <row r="773" spans="44:45" ht="15" x14ac:dyDescent="0.25">
      <c r="AR773" s="3"/>
      <c r="AS773" s="3"/>
    </row>
    <row r="774" spans="44:45" ht="15" x14ac:dyDescent="0.25">
      <c r="AR774" s="3"/>
      <c r="AS774" s="3"/>
    </row>
    <row r="775" spans="44:45" ht="15" x14ac:dyDescent="0.25">
      <c r="AR775" s="3"/>
      <c r="AS775" s="3"/>
    </row>
    <row r="776" spans="44:45" ht="15" x14ac:dyDescent="0.25">
      <c r="AR776" s="3"/>
      <c r="AS776" s="3"/>
    </row>
    <row r="777" spans="44:45" ht="15" x14ac:dyDescent="0.25">
      <c r="AR777" s="3"/>
      <c r="AS777" s="3"/>
    </row>
    <row r="778" spans="44:45" ht="15" x14ac:dyDescent="0.25">
      <c r="AR778" s="3"/>
      <c r="AS778" s="3"/>
    </row>
    <row r="779" spans="44:45" ht="15" x14ac:dyDescent="0.25">
      <c r="AR779" s="3"/>
      <c r="AS779" s="3"/>
    </row>
    <row r="780" spans="44:45" ht="15" x14ac:dyDescent="0.25">
      <c r="AR780" s="3"/>
      <c r="AS780" s="3"/>
    </row>
    <row r="781" spans="44:45" ht="15" x14ac:dyDescent="0.25">
      <c r="AR781" s="3"/>
      <c r="AS781" s="3"/>
    </row>
    <row r="782" spans="44:45" ht="15" x14ac:dyDescent="0.25">
      <c r="AR782" s="3"/>
      <c r="AS782" s="3"/>
    </row>
    <row r="783" spans="44:45" ht="15" x14ac:dyDescent="0.25">
      <c r="AR783" s="3"/>
      <c r="AS783" s="3"/>
    </row>
    <row r="784" spans="44:45" ht="15" x14ac:dyDescent="0.25">
      <c r="AR784" s="3"/>
      <c r="AS784" s="3"/>
    </row>
    <row r="785" spans="44:45" ht="15" x14ac:dyDescent="0.25">
      <c r="AR785" s="3"/>
      <c r="AS785" s="3"/>
    </row>
    <row r="786" spans="44:45" ht="15" x14ac:dyDescent="0.25">
      <c r="AR786" s="3"/>
      <c r="AS786" s="3"/>
    </row>
    <row r="787" spans="44:45" ht="15" x14ac:dyDescent="0.25">
      <c r="AR787" s="3"/>
      <c r="AS787" s="3"/>
    </row>
    <row r="788" spans="44:45" ht="15" x14ac:dyDescent="0.25">
      <c r="AR788" s="3"/>
      <c r="AS788" s="3"/>
    </row>
    <row r="789" spans="44:45" ht="15" x14ac:dyDescent="0.25">
      <c r="AR789" s="3"/>
      <c r="AS789" s="3"/>
    </row>
    <row r="790" spans="44:45" ht="15" x14ac:dyDescent="0.25">
      <c r="AR790" s="3"/>
      <c r="AS790" s="3"/>
    </row>
    <row r="791" spans="44:45" ht="15" x14ac:dyDescent="0.25">
      <c r="AR791" s="3"/>
      <c r="AS791" s="3"/>
    </row>
    <row r="792" spans="44:45" ht="15" x14ac:dyDescent="0.25">
      <c r="AR792" s="3"/>
      <c r="AS792" s="3"/>
    </row>
    <row r="793" spans="44:45" ht="15" x14ac:dyDescent="0.25">
      <c r="AR793" s="3"/>
      <c r="AS793" s="3"/>
    </row>
    <row r="794" spans="44:45" ht="15" x14ac:dyDescent="0.25">
      <c r="AR794" s="3"/>
      <c r="AS794" s="3"/>
    </row>
    <row r="795" spans="44:45" ht="15" x14ac:dyDescent="0.25">
      <c r="AR795" s="3"/>
      <c r="AS795" s="3"/>
    </row>
    <row r="796" spans="44:45" ht="15" x14ac:dyDescent="0.25">
      <c r="AR796" s="3"/>
      <c r="AS796" s="3"/>
    </row>
    <row r="797" spans="44:45" ht="15" x14ac:dyDescent="0.25">
      <c r="AR797" s="3"/>
      <c r="AS797" s="3"/>
    </row>
    <row r="798" spans="44:45" ht="15" x14ac:dyDescent="0.25">
      <c r="AR798" s="3"/>
      <c r="AS798" s="3"/>
    </row>
    <row r="799" spans="44:45" ht="15" x14ac:dyDescent="0.25">
      <c r="AR799" s="3"/>
      <c r="AS799" s="3"/>
    </row>
    <row r="800" spans="44:45" ht="15" x14ac:dyDescent="0.25">
      <c r="AR800" s="3"/>
      <c r="AS800" s="3"/>
    </row>
    <row r="801" spans="44:45" ht="15" x14ac:dyDescent="0.25">
      <c r="AR801" s="3"/>
      <c r="AS801" s="3"/>
    </row>
    <row r="802" spans="44:45" ht="15" x14ac:dyDescent="0.25">
      <c r="AR802" s="3"/>
      <c r="AS802" s="3"/>
    </row>
    <row r="803" spans="44:45" ht="15" x14ac:dyDescent="0.25">
      <c r="AR803" s="3"/>
      <c r="AS803" s="3"/>
    </row>
    <row r="804" spans="44:45" ht="15" x14ac:dyDescent="0.25">
      <c r="AR804" s="3"/>
      <c r="AS804" s="3"/>
    </row>
    <row r="805" spans="44:45" ht="15" x14ac:dyDescent="0.25">
      <c r="AR805" s="3"/>
      <c r="AS805" s="3"/>
    </row>
    <row r="806" spans="44:45" ht="15" x14ac:dyDescent="0.25">
      <c r="AR806" s="3"/>
      <c r="AS806" s="3"/>
    </row>
    <row r="807" spans="44:45" ht="15" x14ac:dyDescent="0.25">
      <c r="AR807" s="3"/>
      <c r="AS807" s="3"/>
    </row>
    <row r="808" spans="44:45" ht="15" x14ac:dyDescent="0.25">
      <c r="AR808" s="3"/>
      <c r="AS808" s="3"/>
    </row>
    <row r="809" spans="44:45" ht="15" x14ac:dyDescent="0.25">
      <c r="AR809" s="3"/>
      <c r="AS809" s="3"/>
    </row>
    <row r="810" spans="44:45" ht="15" x14ac:dyDescent="0.25">
      <c r="AR810" s="3"/>
      <c r="AS810" s="3"/>
    </row>
    <row r="811" spans="44:45" ht="15" x14ac:dyDescent="0.25">
      <c r="AR811" s="3"/>
      <c r="AS811" s="3"/>
    </row>
    <row r="812" spans="44:45" ht="15" x14ac:dyDescent="0.25">
      <c r="AR812" s="3"/>
      <c r="AS812" s="3"/>
    </row>
    <row r="813" spans="44:45" ht="15" x14ac:dyDescent="0.25">
      <c r="AR813" s="3"/>
      <c r="AS813" s="3"/>
    </row>
    <row r="814" spans="44:45" ht="15" x14ac:dyDescent="0.25">
      <c r="AR814" s="3"/>
      <c r="AS814" s="3"/>
    </row>
    <row r="815" spans="44:45" ht="15" x14ac:dyDescent="0.25">
      <c r="AR815" s="3"/>
      <c r="AS815" s="3"/>
    </row>
    <row r="816" spans="44:45" ht="15" x14ac:dyDescent="0.25">
      <c r="AR816" s="3"/>
      <c r="AS816" s="3"/>
    </row>
    <row r="817" spans="44:45" ht="15" x14ac:dyDescent="0.25">
      <c r="AR817" s="3"/>
      <c r="AS817" s="3"/>
    </row>
    <row r="818" spans="44:45" ht="15" x14ac:dyDescent="0.25">
      <c r="AR818" s="3"/>
      <c r="AS818" s="3"/>
    </row>
    <row r="819" spans="44:45" ht="15" x14ac:dyDescent="0.25">
      <c r="AR819" s="3"/>
      <c r="AS819" s="3"/>
    </row>
    <row r="820" spans="44:45" ht="15" x14ac:dyDescent="0.25">
      <c r="AR820" s="3"/>
      <c r="AS820" s="3"/>
    </row>
    <row r="821" spans="44:45" ht="15" x14ac:dyDescent="0.25">
      <c r="AR821" s="3"/>
      <c r="AS821" s="3"/>
    </row>
    <row r="822" spans="44:45" ht="15" x14ac:dyDescent="0.25">
      <c r="AR822" s="3"/>
      <c r="AS822" s="3"/>
    </row>
    <row r="823" spans="44:45" ht="15" x14ac:dyDescent="0.25">
      <c r="AR823" s="3"/>
      <c r="AS823" s="3"/>
    </row>
    <row r="824" spans="44:45" ht="15" x14ac:dyDescent="0.25">
      <c r="AR824" s="3"/>
      <c r="AS824" s="3"/>
    </row>
    <row r="825" spans="44:45" ht="15" x14ac:dyDescent="0.25">
      <c r="AR825" s="3"/>
      <c r="AS825" s="3"/>
    </row>
    <row r="826" spans="44:45" ht="15" x14ac:dyDescent="0.25">
      <c r="AR826" s="3"/>
      <c r="AS826" s="3"/>
    </row>
    <row r="827" spans="44:45" ht="15" x14ac:dyDescent="0.25">
      <c r="AR827" s="3"/>
      <c r="AS827" s="3"/>
    </row>
    <row r="828" spans="44:45" ht="15" x14ac:dyDescent="0.25">
      <c r="AR828" s="3"/>
      <c r="AS828" s="3"/>
    </row>
    <row r="829" spans="44:45" ht="15" x14ac:dyDescent="0.25">
      <c r="AR829" s="3"/>
      <c r="AS829" s="3"/>
    </row>
    <row r="830" spans="44:45" ht="15" x14ac:dyDescent="0.25">
      <c r="AR830" s="3"/>
      <c r="AS830" s="3"/>
    </row>
    <row r="831" spans="44:45" ht="15" x14ac:dyDescent="0.25">
      <c r="AR831" s="3"/>
      <c r="AS831" s="3"/>
    </row>
    <row r="832" spans="44:45" ht="15" x14ac:dyDescent="0.25">
      <c r="AR832" s="3"/>
      <c r="AS832" s="3"/>
    </row>
    <row r="833" spans="44:45" ht="15" x14ac:dyDescent="0.25">
      <c r="AR833" s="3"/>
      <c r="AS833" s="3"/>
    </row>
    <row r="834" spans="44:45" ht="15" x14ac:dyDescent="0.25">
      <c r="AR834" s="3"/>
      <c r="AS834" s="3"/>
    </row>
    <row r="835" spans="44:45" ht="15" x14ac:dyDescent="0.25">
      <c r="AR835" s="3"/>
      <c r="AS835" s="3"/>
    </row>
    <row r="836" spans="44:45" ht="15" x14ac:dyDescent="0.25">
      <c r="AR836" s="3"/>
      <c r="AS836" s="3"/>
    </row>
    <row r="837" spans="44:45" ht="15" x14ac:dyDescent="0.25">
      <c r="AR837" s="3"/>
      <c r="AS837" s="3"/>
    </row>
    <row r="838" spans="44:45" ht="15" x14ac:dyDescent="0.25">
      <c r="AR838" s="3"/>
      <c r="AS838" s="3"/>
    </row>
    <row r="839" spans="44:45" ht="15" x14ac:dyDescent="0.25">
      <c r="AR839" s="3"/>
      <c r="AS839" s="3"/>
    </row>
    <row r="840" spans="44:45" ht="15" x14ac:dyDescent="0.25">
      <c r="AR840" s="3"/>
      <c r="AS840" s="3"/>
    </row>
    <row r="841" spans="44:45" ht="15" x14ac:dyDescent="0.25">
      <c r="AR841" s="3"/>
      <c r="AS841" s="3"/>
    </row>
    <row r="842" spans="44:45" ht="15" x14ac:dyDescent="0.25">
      <c r="AR842" s="3"/>
      <c r="AS842" s="3"/>
    </row>
    <row r="843" spans="44:45" ht="15" x14ac:dyDescent="0.25">
      <c r="AR843" s="3"/>
      <c r="AS843" s="3"/>
    </row>
    <row r="844" spans="44:45" ht="15" x14ac:dyDescent="0.25">
      <c r="AR844" s="3"/>
      <c r="AS844" s="3"/>
    </row>
    <row r="845" spans="44:45" ht="15" x14ac:dyDescent="0.25">
      <c r="AR845" s="3"/>
      <c r="AS845" s="3"/>
    </row>
    <row r="846" spans="44:45" ht="15" x14ac:dyDescent="0.25">
      <c r="AR846" s="3"/>
      <c r="AS846" s="3"/>
    </row>
    <row r="847" spans="44:45" ht="15" x14ac:dyDescent="0.25">
      <c r="AR847" s="3"/>
      <c r="AS847" s="3"/>
    </row>
    <row r="848" spans="44:45" ht="15" x14ac:dyDescent="0.25">
      <c r="AR848" s="3"/>
      <c r="AS848" s="3"/>
    </row>
    <row r="849" spans="44:45" ht="15" x14ac:dyDescent="0.25">
      <c r="AR849" s="3"/>
      <c r="AS849" s="3"/>
    </row>
    <row r="850" spans="44:45" ht="15" x14ac:dyDescent="0.25">
      <c r="AR850" s="3"/>
      <c r="AS850" s="3"/>
    </row>
    <row r="851" spans="44:45" ht="15" x14ac:dyDescent="0.25">
      <c r="AR851" s="3"/>
      <c r="AS851" s="3"/>
    </row>
    <row r="852" spans="44:45" ht="15" x14ac:dyDescent="0.25">
      <c r="AR852" s="3"/>
      <c r="AS852" s="3"/>
    </row>
    <row r="853" spans="44:45" ht="15" x14ac:dyDescent="0.25">
      <c r="AR853" s="3"/>
      <c r="AS853" s="3"/>
    </row>
    <row r="854" spans="44:45" ht="15" x14ac:dyDescent="0.25">
      <c r="AR854" s="3"/>
      <c r="AS854" s="3"/>
    </row>
    <row r="855" spans="44:45" ht="15" x14ac:dyDescent="0.25">
      <c r="AR855" s="3"/>
      <c r="AS855" s="3"/>
    </row>
    <row r="856" spans="44:45" ht="15" x14ac:dyDescent="0.25">
      <c r="AR856" s="3"/>
      <c r="AS856" s="3"/>
    </row>
    <row r="857" spans="44:45" ht="15" x14ac:dyDescent="0.25">
      <c r="AR857" s="3"/>
      <c r="AS857" s="3"/>
    </row>
    <row r="858" spans="44:45" ht="15" x14ac:dyDescent="0.25">
      <c r="AR858" s="3"/>
      <c r="AS858" s="3"/>
    </row>
    <row r="859" spans="44:45" ht="15" x14ac:dyDescent="0.25">
      <c r="AR859" s="3"/>
      <c r="AS859" s="3"/>
    </row>
    <row r="860" spans="44:45" ht="15" x14ac:dyDescent="0.25">
      <c r="AR860" s="3"/>
      <c r="AS860" s="3"/>
    </row>
    <row r="861" spans="44:45" ht="15" x14ac:dyDescent="0.25">
      <c r="AR861" s="3"/>
      <c r="AS861" s="3"/>
    </row>
    <row r="862" spans="44:45" ht="15" x14ac:dyDescent="0.25">
      <c r="AR862" s="3"/>
      <c r="AS862" s="3"/>
    </row>
    <row r="863" spans="44:45" ht="15" x14ac:dyDescent="0.25">
      <c r="AR863" s="3"/>
      <c r="AS863" s="3"/>
    </row>
    <row r="864" spans="44:45" ht="15" x14ac:dyDescent="0.25">
      <c r="AR864" s="3"/>
      <c r="AS864" s="3"/>
    </row>
    <row r="865" spans="44:45" ht="15" x14ac:dyDescent="0.25">
      <c r="AR865" s="3"/>
      <c r="AS865" s="3"/>
    </row>
    <row r="866" spans="44:45" ht="15" x14ac:dyDescent="0.25">
      <c r="AR866" s="3"/>
      <c r="AS866" s="3"/>
    </row>
    <row r="867" spans="44:45" ht="15" x14ac:dyDescent="0.25">
      <c r="AR867" s="3"/>
      <c r="AS867" s="3"/>
    </row>
    <row r="868" spans="44:45" ht="15" x14ac:dyDescent="0.25">
      <c r="AR868" s="3"/>
      <c r="AS868" s="3"/>
    </row>
    <row r="869" spans="44:45" ht="15" x14ac:dyDescent="0.25">
      <c r="AR869" s="3"/>
      <c r="AS869" s="3"/>
    </row>
    <row r="870" spans="44:45" ht="15" x14ac:dyDescent="0.25">
      <c r="AR870" s="3"/>
      <c r="AS870" s="3"/>
    </row>
    <row r="871" spans="44:45" ht="15" x14ac:dyDescent="0.25">
      <c r="AR871" s="3"/>
      <c r="AS871" s="3"/>
    </row>
    <row r="872" spans="44:45" ht="15" x14ac:dyDescent="0.25">
      <c r="AR872" s="3"/>
      <c r="AS872" s="3"/>
    </row>
    <row r="873" spans="44:45" ht="15" x14ac:dyDescent="0.25">
      <c r="AR873" s="3"/>
      <c r="AS873" s="3"/>
    </row>
    <row r="874" spans="44:45" ht="15" x14ac:dyDescent="0.25">
      <c r="AR874" s="3"/>
      <c r="AS874" s="3"/>
    </row>
    <row r="875" spans="44:45" ht="15" x14ac:dyDescent="0.25">
      <c r="AR875" s="3"/>
      <c r="AS875" s="3"/>
    </row>
    <row r="876" spans="44:45" ht="15" x14ac:dyDescent="0.25">
      <c r="AR876" s="3"/>
      <c r="AS876" s="3"/>
    </row>
    <row r="877" spans="44:45" ht="15" x14ac:dyDescent="0.25">
      <c r="AR877" s="3"/>
      <c r="AS877" s="3"/>
    </row>
    <row r="878" spans="44:45" ht="15" x14ac:dyDescent="0.25">
      <c r="AR878" s="3"/>
      <c r="AS878" s="3"/>
    </row>
    <row r="879" spans="44:45" ht="15" x14ac:dyDescent="0.25">
      <c r="AR879" s="3"/>
      <c r="AS879" s="3"/>
    </row>
    <row r="880" spans="44:45" ht="15" x14ac:dyDescent="0.25">
      <c r="AR880" s="3"/>
      <c r="AS880" s="3"/>
    </row>
    <row r="881" spans="44:45" ht="15" x14ac:dyDescent="0.25">
      <c r="AR881" s="3"/>
      <c r="AS881" s="3"/>
    </row>
    <row r="882" spans="44:45" ht="15" x14ac:dyDescent="0.25">
      <c r="AR882" s="3"/>
      <c r="AS882" s="3"/>
    </row>
    <row r="883" spans="44:45" ht="15" x14ac:dyDescent="0.25">
      <c r="AR883" s="3"/>
      <c r="AS883" s="3"/>
    </row>
    <row r="884" spans="44:45" ht="15" x14ac:dyDescent="0.25">
      <c r="AR884" s="3"/>
      <c r="AS884" s="3"/>
    </row>
    <row r="885" spans="44:45" ht="15" x14ac:dyDescent="0.25">
      <c r="AR885" s="3"/>
      <c r="AS885" s="3"/>
    </row>
    <row r="886" spans="44:45" ht="15" x14ac:dyDescent="0.25">
      <c r="AR886" s="3"/>
      <c r="AS886" s="3"/>
    </row>
    <row r="887" spans="44:45" ht="15" x14ac:dyDescent="0.25">
      <c r="AR887" s="3"/>
      <c r="AS887" s="3"/>
    </row>
    <row r="888" spans="44:45" ht="15" x14ac:dyDescent="0.25">
      <c r="AR888" s="3"/>
      <c r="AS888" s="3"/>
    </row>
    <row r="889" spans="44:45" ht="15" x14ac:dyDescent="0.25">
      <c r="AR889" s="3"/>
      <c r="AS889" s="3"/>
    </row>
    <row r="890" spans="44:45" ht="15" x14ac:dyDescent="0.25">
      <c r="AR890" s="3"/>
      <c r="AS890" s="3"/>
    </row>
    <row r="891" spans="44:45" ht="15" x14ac:dyDescent="0.25">
      <c r="AR891" s="3"/>
      <c r="AS891" s="3"/>
    </row>
    <row r="892" spans="44:45" ht="15" x14ac:dyDescent="0.25">
      <c r="AR892" s="3"/>
      <c r="AS892" s="3"/>
    </row>
    <row r="893" spans="44:45" ht="15" x14ac:dyDescent="0.25">
      <c r="AR893" s="3"/>
      <c r="AS893" s="3"/>
    </row>
    <row r="894" spans="44:45" ht="15" x14ac:dyDescent="0.25">
      <c r="AR894" s="3"/>
      <c r="AS894" s="3"/>
    </row>
    <row r="895" spans="44:45" ht="15" x14ac:dyDescent="0.25">
      <c r="AR895" s="3"/>
      <c r="AS895" s="3"/>
    </row>
    <row r="896" spans="44:45" ht="15" x14ac:dyDescent="0.25">
      <c r="AR896" s="3"/>
      <c r="AS896" s="3"/>
    </row>
    <row r="897" spans="44:45" ht="15" x14ac:dyDescent="0.25">
      <c r="AR897" s="3"/>
      <c r="AS897" s="3"/>
    </row>
    <row r="898" spans="44:45" ht="15" x14ac:dyDescent="0.25">
      <c r="AR898" s="3"/>
      <c r="AS898" s="3"/>
    </row>
    <row r="899" spans="44:45" ht="15" x14ac:dyDescent="0.25">
      <c r="AR899" s="3"/>
      <c r="AS899" s="3"/>
    </row>
    <row r="900" spans="44:45" ht="15" x14ac:dyDescent="0.25">
      <c r="AR900" s="3"/>
      <c r="AS900" s="3"/>
    </row>
    <row r="901" spans="44:45" ht="15" x14ac:dyDescent="0.25">
      <c r="AR901" s="3"/>
      <c r="AS901" s="3"/>
    </row>
    <row r="902" spans="44:45" ht="15" x14ac:dyDescent="0.25">
      <c r="AR902" s="3"/>
      <c r="AS902" s="3"/>
    </row>
    <row r="903" spans="44:45" ht="15" x14ac:dyDescent="0.25">
      <c r="AR903" s="3"/>
      <c r="AS903" s="3"/>
    </row>
    <row r="904" spans="44:45" ht="15" x14ac:dyDescent="0.25">
      <c r="AR904" s="3"/>
      <c r="AS904" s="3"/>
    </row>
    <row r="905" spans="44:45" ht="15" x14ac:dyDescent="0.25">
      <c r="AR905" s="3"/>
      <c r="AS905" s="3"/>
    </row>
    <row r="906" spans="44:45" ht="15" x14ac:dyDescent="0.25">
      <c r="AR906" s="3"/>
      <c r="AS906" s="3"/>
    </row>
    <row r="907" spans="44:45" ht="15" x14ac:dyDescent="0.25">
      <c r="AR907" s="3"/>
      <c r="AS907" s="3"/>
    </row>
    <row r="908" spans="44:45" ht="15" x14ac:dyDescent="0.25">
      <c r="AR908" s="3"/>
      <c r="AS908" s="3"/>
    </row>
    <row r="909" spans="44:45" ht="15" x14ac:dyDescent="0.25">
      <c r="AR909" s="3"/>
      <c r="AS909" s="3"/>
    </row>
    <row r="910" spans="44:45" ht="15" x14ac:dyDescent="0.25">
      <c r="AR910" s="3"/>
      <c r="AS910" s="3"/>
    </row>
    <row r="911" spans="44:45" ht="15" x14ac:dyDescent="0.25">
      <c r="AR911" s="3"/>
      <c r="AS911" s="3"/>
    </row>
    <row r="912" spans="44:45" ht="15" x14ac:dyDescent="0.25">
      <c r="AR912" s="3"/>
      <c r="AS912" s="3"/>
    </row>
    <row r="913" spans="44:45" ht="15" x14ac:dyDescent="0.25">
      <c r="AR913" s="3"/>
      <c r="AS913" s="3"/>
    </row>
    <row r="914" spans="44:45" ht="15" x14ac:dyDescent="0.25">
      <c r="AR914" s="3"/>
      <c r="AS914" s="3"/>
    </row>
    <row r="915" spans="44:45" ht="15" x14ac:dyDescent="0.25">
      <c r="AR915" s="3"/>
      <c r="AS915" s="3"/>
    </row>
    <row r="916" spans="44:45" ht="15" x14ac:dyDescent="0.25">
      <c r="AR916" s="3"/>
      <c r="AS916" s="3"/>
    </row>
    <row r="917" spans="44:45" ht="15" x14ac:dyDescent="0.25">
      <c r="AR917" s="3"/>
      <c r="AS917" s="3"/>
    </row>
    <row r="918" spans="44:45" ht="15" x14ac:dyDescent="0.25">
      <c r="AR918" s="3"/>
      <c r="AS918" s="3"/>
    </row>
    <row r="919" spans="44:45" ht="15" x14ac:dyDescent="0.25">
      <c r="AR919" s="3"/>
      <c r="AS919" s="3"/>
    </row>
    <row r="920" spans="44:45" ht="15" x14ac:dyDescent="0.25">
      <c r="AR920" s="3"/>
      <c r="AS920" s="3"/>
    </row>
    <row r="921" spans="44:45" ht="15" x14ac:dyDescent="0.25">
      <c r="AR921" s="3"/>
      <c r="AS921" s="3"/>
    </row>
    <row r="922" spans="44:45" ht="15" x14ac:dyDescent="0.25">
      <c r="AR922" s="3"/>
      <c r="AS922" s="3"/>
    </row>
    <row r="923" spans="44:45" ht="15" x14ac:dyDescent="0.25">
      <c r="AR923" s="3"/>
      <c r="AS923" s="3"/>
    </row>
    <row r="924" spans="44:45" ht="15" x14ac:dyDescent="0.25">
      <c r="AR924" s="3"/>
      <c r="AS924" s="3"/>
    </row>
    <row r="925" spans="44:45" ht="15" x14ac:dyDescent="0.25">
      <c r="AR925" s="3"/>
      <c r="AS925" s="3"/>
    </row>
    <row r="926" spans="44:45" ht="15" x14ac:dyDescent="0.25">
      <c r="AR926" s="3"/>
      <c r="AS926" s="3"/>
    </row>
    <row r="927" spans="44:45" ht="15" x14ac:dyDescent="0.25">
      <c r="AR927" s="3"/>
      <c r="AS927" s="3"/>
    </row>
    <row r="928" spans="44:45" ht="15" x14ac:dyDescent="0.25">
      <c r="AR928" s="3"/>
      <c r="AS928" s="3"/>
    </row>
    <row r="929" spans="44:45" ht="15" x14ac:dyDescent="0.25">
      <c r="AR929" s="3"/>
      <c r="AS929" s="3"/>
    </row>
    <row r="930" spans="44:45" ht="15" x14ac:dyDescent="0.25">
      <c r="AR930" s="3"/>
      <c r="AS930" s="3"/>
    </row>
    <row r="931" spans="44:45" ht="15" x14ac:dyDescent="0.25">
      <c r="AR931" s="3"/>
      <c r="AS931" s="3"/>
    </row>
    <row r="932" spans="44:45" ht="15" x14ac:dyDescent="0.25">
      <c r="AR932" s="3"/>
      <c r="AS932" s="3"/>
    </row>
    <row r="933" spans="44:45" ht="15" x14ac:dyDescent="0.25">
      <c r="AR933" s="3"/>
      <c r="AS933" s="3"/>
    </row>
    <row r="934" spans="44:45" ht="15" x14ac:dyDescent="0.25">
      <c r="AR934" s="3"/>
      <c r="AS934" s="3"/>
    </row>
    <row r="935" spans="44:45" ht="15" x14ac:dyDescent="0.25">
      <c r="AR935" s="3"/>
      <c r="AS935" s="3"/>
    </row>
    <row r="936" spans="44:45" ht="15" x14ac:dyDescent="0.25">
      <c r="AR936" s="3"/>
      <c r="AS936" s="3"/>
    </row>
    <row r="937" spans="44:45" ht="15" x14ac:dyDescent="0.25">
      <c r="AR937" s="3"/>
      <c r="AS937" s="3"/>
    </row>
    <row r="938" spans="44:45" ht="15" x14ac:dyDescent="0.25">
      <c r="AR938" s="3"/>
      <c r="AS938" s="3"/>
    </row>
    <row r="939" spans="44:45" ht="15" x14ac:dyDescent="0.25">
      <c r="AR939" s="3"/>
      <c r="AS939" s="3"/>
    </row>
    <row r="940" spans="44:45" ht="15" x14ac:dyDescent="0.25">
      <c r="AR940" s="3"/>
      <c r="AS940" s="3"/>
    </row>
    <row r="941" spans="44:45" ht="15" x14ac:dyDescent="0.25">
      <c r="AR941" s="3"/>
      <c r="AS941" s="3"/>
    </row>
    <row r="942" spans="44:45" ht="15" x14ac:dyDescent="0.25">
      <c r="AR942" s="3"/>
      <c r="AS942" s="3"/>
    </row>
    <row r="943" spans="44:45" ht="15" x14ac:dyDescent="0.25">
      <c r="AR943" s="3"/>
      <c r="AS943" s="3"/>
    </row>
    <row r="944" spans="44:45" ht="15" x14ac:dyDescent="0.25">
      <c r="AR944" s="3"/>
      <c r="AS944" s="3"/>
    </row>
    <row r="945" spans="44:45" ht="15" x14ac:dyDescent="0.25">
      <c r="AR945" s="3"/>
      <c r="AS945" s="3"/>
    </row>
    <row r="946" spans="44:45" ht="15" x14ac:dyDescent="0.25">
      <c r="AR946" s="3"/>
      <c r="AS946" s="3"/>
    </row>
    <row r="947" spans="44:45" ht="15" x14ac:dyDescent="0.25">
      <c r="AR947" s="3"/>
      <c r="AS947" s="3"/>
    </row>
    <row r="948" spans="44:45" ht="15" x14ac:dyDescent="0.25">
      <c r="AR948" s="3"/>
      <c r="AS948" s="3"/>
    </row>
    <row r="949" spans="44:45" ht="15" x14ac:dyDescent="0.25">
      <c r="AR949" s="3"/>
      <c r="AS949" s="3"/>
    </row>
    <row r="950" spans="44:45" ht="15" x14ac:dyDescent="0.25">
      <c r="AR950" s="3"/>
      <c r="AS950" s="3"/>
    </row>
    <row r="951" spans="44:45" ht="15" x14ac:dyDescent="0.25">
      <c r="AR951" s="3"/>
      <c r="AS951" s="3"/>
    </row>
    <row r="952" spans="44:45" ht="15" x14ac:dyDescent="0.25">
      <c r="AR952" s="3"/>
      <c r="AS952" s="3"/>
    </row>
    <row r="953" spans="44:45" ht="15" x14ac:dyDescent="0.25">
      <c r="AR953" s="3"/>
      <c r="AS953" s="3"/>
    </row>
    <row r="954" spans="44:45" ht="15" x14ac:dyDescent="0.25">
      <c r="AR954" s="3"/>
      <c r="AS954" s="3"/>
    </row>
    <row r="955" spans="44:45" ht="15" x14ac:dyDescent="0.25">
      <c r="AR955" s="3"/>
      <c r="AS955" s="3"/>
    </row>
    <row r="956" spans="44:45" ht="15" x14ac:dyDescent="0.25">
      <c r="AR956" s="3"/>
      <c r="AS956" s="3"/>
    </row>
    <row r="957" spans="44:45" ht="15" x14ac:dyDescent="0.25">
      <c r="AR957" s="3"/>
      <c r="AS957" s="3"/>
    </row>
    <row r="958" spans="44:45" ht="15" x14ac:dyDescent="0.25">
      <c r="AR958" s="3"/>
      <c r="AS958" s="3"/>
    </row>
    <row r="959" spans="44:45" ht="15" x14ac:dyDescent="0.25">
      <c r="AR959" s="3"/>
      <c r="AS959" s="3"/>
    </row>
    <row r="960" spans="44:45" ht="15" x14ac:dyDescent="0.25">
      <c r="AR960" s="3"/>
      <c r="AS960" s="3"/>
    </row>
    <row r="961" spans="44:45" ht="15" x14ac:dyDescent="0.25">
      <c r="AR961" s="3"/>
      <c r="AS961" s="3"/>
    </row>
    <row r="962" spans="44:45" ht="15" x14ac:dyDescent="0.25">
      <c r="AR962" s="3"/>
      <c r="AS962" s="3"/>
    </row>
    <row r="963" spans="44:45" ht="15" x14ac:dyDescent="0.25">
      <c r="AR963" s="3"/>
      <c r="AS963" s="3"/>
    </row>
    <row r="964" spans="44:45" ht="15" x14ac:dyDescent="0.25">
      <c r="AR964" s="3"/>
      <c r="AS964" s="3"/>
    </row>
    <row r="965" spans="44:45" ht="15" x14ac:dyDescent="0.25">
      <c r="AR965" s="3"/>
      <c r="AS965" s="3"/>
    </row>
    <row r="966" spans="44:45" ht="15" x14ac:dyDescent="0.25">
      <c r="AR966" s="3"/>
      <c r="AS966" s="3"/>
    </row>
    <row r="967" spans="44:45" ht="15" x14ac:dyDescent="0.25">
      <c r="AR967" s="3"/>
      <c r="AS967" s="3"/>
    </row>
    <row r="968" spans="44:45" ht="15" x14ac:dyDescent="0.25">
      <c r="AR968" s="3"/>
      <c r="AS968" s="3"/>
    </row>
    <row r="969" spans="44:45" ht="15" x14ac:dyDescent="0.25">
      <c r="AR969" s="3"/>
      <c r="AS969" s="3"/>
    </row>
    <row r="970" spans="44:45" ht="15" x14ac:dyDescent="0.25">
      <c r="AR970" s="3"/>
      <c r="AS970" s="3"/>
    </row>
    <row r="971" spans="44:45" ht="15" x14ac:dyDescent="0.25">
      <c r="AR971" s="3"/>
      <c r="AS971" s="3"/>
    </row>
    <row r="972" spans="44:45" ht="15" x14ac:dyDescent="0.25">
      <c r="AR972" s="3"/>
      <c r="AS972" s="3"/>
    </row>
    <row r="973" spans="44:45" ht="15" x14ac:dyDescent="0.25">
      <c r="AR973" s="3"/>
      <c r="AS973" s="3"/>
    </row>
    <row r="974" spans="44:45" ht="15" x14ac:dyDescent="0.25">
      <c r="AR974" s="3"/>
      <c r="AS974" s="3"/>
    </row>
    <row r="975" spans="44:45" ht="15" x14ac:dyDescent="0.25">
      <c r="AR975" s="3"/>
      <c r="AS975" s="3"/>
    </row>
    <row r="976" spans="44:45" ht="15" x14ac:dyDescent="0.25">
      <c r="AR976" s="3"/>
      <c r="AS976" s="3"/>
    </row>
    <row r="977" spans="44:45" ht="15" x14ac:dyDescent="0.25">
      <c r="AR977" s="3"/>
      <c r="AS977" s="3"/>
    </row>
    <row r="978" spans="44:45" ht="15" x14ac:dyDescent="0.25">
      <c r="AR978" s="3"/>
      <c r="AS978" s="3"/>
    </row>
    <row r="979" spans="44:45" ht="15" x14ac:dyDescent="0.25">
      <c r="AR979" s="3"/>
      <c r="AS979" s="3"/>
    </row>
    <row r="980" spans="44:45" ht="15" x14ac:dyDescent="0.25">
      <c r="AR980" s="3"/>
      <c r="AS980" s="3"/>
    </row>
    <row r="981" spans="44:45" ht="15" x14ac:dyDescent="0.25">
      <c r="AR981" s="3"/>
      <c r="AS981" s="3"/>
    </row>
    <row r="982" spans="44:45" ht="15" x14ac:dyDescent="0.25">
      <c r="AR982" s="3"/>
      <c r="AS982" s="3"/>
    </row>
    <row r="983" spans="44:45" ht="15" x14ac:dyDescent="0.25">
      <c r="AR983" s="3"/>
      <c r="AS983" s="3"/>
    </row>
    <row r="984" spans="44:45" ht="15" x14ac:dyDescent="0.25">
      <c r="AR984" s="3"/>
      <c r="AS984" s="3"/>
    </row>
    <row r="985" spans="44:45" ht="15" x14ac:dyDescent="0.25">
      <c r="AR985" s="3"/>
      <c r="AS985" s="3"/>
    </row>
    <row r="986" spans="44:45" ht="15" x14ac:dyDescent="0.25">
      <c r="AR986" s="3"/>
      <c r="AS986" s="3"/>
    </row>
    <row r="987" spans="44:45" ht="15" x14ac:dyDescent="0.25">
      <c r="AR987" s="3"/>
      <c r="AS987" s="3"/>
    </row>
    <row r="988" spans="44:45" ht="15" x14ac:dyDescent="0.25">
      <c r="AR988" s="3"/>
      <c r="AS988" s="3"/>
    </row>
    <row r="989" spans="44:45" ht="15" x14ac:dyDescent="0.25">
      <c r="AR989" s="3"/>
      <c r="AS989" s="3"/>
    </row>
    <row r="990" spans="44:45" ht="15" x14ac:dyDescent="0.25">
      <c r="AR990" s="3"/>
      <c r="AS990" s="3"/>
    </row>
    <row r="991" spans="44:45" ht="15" x14ac:dyDescent="0.25">
      <c r="AR991" s="3"/>
      <c r="AS991" s="3"/>
    </row>
    <row r="992" spans="44:45" ht="15" x14ac:dyDescent="0.25">
      <c r="AR992" s="3"/>
      <c r="AS992" s="3"/>
    </row>
    <row r="993" spans="44:45" ht="15" x14ac:dyDescent="0.25">
      <c r="AR993" s="3"/>
      <c r="AS993" s="3"/>
    </row>
    <row r="994" spans="44:45" ht="15" x14ac:dyDescent="0.25">
      <c r="AR994" s="3"/>
      <c r="AS994" s="3"/>
    </row>
    <row r="995" spans="44:45" ht="15" x14ac:dyDescent="0.25">
      <c r="AR995" s="3"/>
      <c r="AS995" s="3"/>
    </row>
    <row r="996" spans="44:45" ht="15" x14ac:dyDescent="0.25">
      <c r="AR996" s="3"/>
      <c r="AS996" s="3"/>
    </row>
    <row r="997" spans="44:45" ht="15" x14ac:dyDescent="0.25">
      <c r="AR997" s="3"/>
      <c r="AS997" s="3"/>
    </row>
    <row r="998" spans="44:45" ht="15" x14ac:dyDescent="0.25">
      <c r="AR998" s="3"/>
      <c r="AS998" s="3"/>
    </row>
    <row r="999" spans="44:45" ht="15" x14ac:dyDescent="0.25">
      <c r="AR999" s="3"/>
      <c r="AS999" s="3"/>
    </row>
    <row r="1000" spans="44:45" ht="15" x14ac:dyDescent="0.25">
      <c r="AR1000" s="3"/>
      <c r="AS1000" s="3"/>
    </row>
    <row r="1001" spans="44:45" ht="15" x14ac:dyDescent="0.25">
      <c r="AR1001" s="3"/>
      <c r="AS1001" s="3"/>
    </row>
    <row r="1002" spans="44:45" ht="15" x14ac:dyDescent="0.25">
      <c r="AR1002" s="3"/>
      <c r="AS1002" s="3"/>
    </row>
    <row r="1003" spans="44:45" ht="15" x14ac:dyDescent="0.25">
      <c r="AR1003" s="3"/>
      <c r="AS1003" s="3"/>
    </row>
    <row r="1004" spans="44:45" ht="15" x14ac:dyDescent="0.25">
      <c r="AR1004" s="3"/>
      <c r="AS1004" s="3"/>
    </row>
    <row r="1005" spans="44:45" ht="15" x14ac:dyDescent="0.25">
      <c r="AR1005" s="3"/>
      <c r="AS1005" s="3"/>
    </row>
    <row r="1006" spans="44:45" ht="15" x14ac:dyDescent="0.25">
      <c r="AR1006" s="3"/>
      <c r="AS1006" s="3"/>
    </row>
    <row r="1007" spans="44:45" ht="15" x14ac:dyDescent="0.25">
      <c r="AR1007" s="3"/>
      <c r="AS1007" s="3"/>
    </row>
    <row r="1008" spans="44:45" ht="15" x14ac:dyDescent="0.25">
      <c r="AR1008" s="3"/>
      <c r="AS1008" s="3"/>
    </row>
    <row r="1009" spans="44:45" ht="15" x14ac:dyDescent="0.25">
      <c r="AR1009" s="3"/>
      <c r="AS1009" s="3"/>
    </row>
    <row r="1010" spans="44:45" ht="15" x14ac:dyDescent="0.25">
      <c r="AR1010" s="3"/>
      <c r="AS1010" s="3"/>
    </row>
    <row r="1011" spans="44:45" ht="15" x14ac:dyDescent="0.25">
      <c r="AR1011" s="3"/>
      <c r="AS1011" s="3"/>
    </row>
    <row r="1012" spans="44:45" ht="15" x14ac:dyDescent="0.25">
      <c r="AR1012" s="3"/>
      <c r="AS1012" s="3"/>
    </row>
    <row r="1013" spans="44:45" ht="15" x14ac:dyDescent="0.25">
      <c r="AR1013" s="3"/>
      <c r="AS1013" s="3"/>
    </row>
    <row r="1014" spans="44:45" ht="15" x14ac:dyDescent="0.25">
      <c r="AR1014" s="3"/>
      <c r="AS1014" s="3"/>
    </row>
    <row r="1015" spans="44:45" ht="15" x14ac:dyDescent="0.25">
      <c r="AR1015" s="3"/>
      <c r="AS1015" s="3"/>
    </row>
    <row r="1016" spans="44:45" ht="15" x14ac:dyDescent="0.25">
      <c r="AR1016" s="3"/>
      <c r="AS1016" s="3"/>
    </row>
    <row r="1017" spans="44:45" ht="15" x14ac:dyDescent="0.25">
      <c r="AR1017" s="3"/>
      <c r="AS1017" s="3"/>
    </row>
    <row r="1018" spans="44:45" ht="15" x14ac:dyDescent="0.25">
      <c r="AR1018" s="3"/>
      <c r="AS1018" s="3"/>
    </row>
    <row r="1019" spans="44:45" ht="15" x14ac:dyDescent="0.25">
      <c r="AR1019" s="3"/>
      <c r="AS1019" s="3"/>
    </row>
    <row r="1020" spans="44:45" ht="15" x14ac:dyDescent="0.25">
      <c r="AR1020" s="3"/>
      <c r="AS1020" s="3"/>
    </row>
    <row r="1021" spans="44:45" ht="15" x14ac:dyDescent="0.25">
      <c r="AR1021" s="3"/>
      <c r="AS1021" s="3"/>
    </row>
    <row r="1022" spans="44:45" ht="15" x14ac:dyDescent="0.25">
      <c r="AR1022" s="3"/>
      <c r="AS1022" s="3"/>
    </row>
    <row r="1023" spans="44:45" ht="15" x14ac:dyDescent="0.25">
      <c r="AR1023" s="3"/>
      <c r="AS1023" s="3"/>
    </row>
    <row r="1024" spans="44:45" ht="15" x14ac:dyDescent="0.25">
      <c r="AR1024" s="3"/>
      <c r="AS1024" s="3"/>
    </row>
    <row r="1025" spans="44:45" ht="15" x14ac:dyDescent="0.25">
      <c r="AR1025" s="3"/>
      <c r="AS1025" s="3"/>
    </row>
    <row r="1026" spans="44:45" ht="15" x14ac:dyDescent="0.25">
      <c r="AR1026" s="3"/>
      <c r="AS1026" s="3"/>
    </row>
    <row r="1027" spans="44:45" ht="15" x14ac:dyDescent="0.25">
      <c r="AR1027" s="3"/>
      <c r="AS1027" s="3"/>
    </row>
    <row r="1028" spans="44:45" ht="15" x14ac:dyDescent="0.25">
      <c r="AR1028" s="3"/>
      <c r="AS1028" s="3"/>
    </row>
    <row r="1029" spans="44:45" ht="15" x14ac:dyDescent="0.25">
      <c r="AR1029" s="3"/>
      <c r="AS1029" s="3"/>
    </row>
    <row r="1030" spans="44:45" ht="15" x14ac:dyDescent="0.25">
      <c r="AR1030" s="3"/>
      <c r="AS1030" s="3"/>
    </row>
    <row r="1031" spans="44:45" ht="15" x14ac:dyDescent="0.25">
      <c r="AR1031" s="3"/>
      <c r="AS1031" s="3"/>
    </row>
    <row r="1032" spans="44:45" ht="15" x14ac:dyDescent="0.25">
      <c r="AR1032" s="3"/>
      <c r="AS1032" s="3"/>
    </row>
    <row r="1033" spans="44:45" ht="15" x14ac:dyDescent="0.25">
      <c r="AR1033" s="3"/>
      <c r="AS1033" s="3"/>
    </row>
    <row r="1034" spans="44:45" ht="15" x14ac:dyDescent="0.25">
      <c r="AR1034" s="3"/>
      <c r="AS1034" s="3"/>
    </row>
    <row r="1035" spans="44:45" ht="15" x14ac:dyDescent="0.25">
      <c r="AR1035" s="3"/>
      <c r="AS1035" s="3"/>
    </row>
    <row r="1036" spans="44:45" ht="15" x14ac:dyDescent="0.25">
      <c r="AR1036" s="3"/>
      <c r="AS1036" s="3"/>
    </row>
    <row r="1037" spans="44:45" ht="15" x14ac:dyDescent="0.25">
      <c r="AR1037" s="3"/>
      <c r="AS1037" s="3"/>
    </row>
    <row r="1038" spans="44:45" ht="15" x14ac:dyDescent="0.25">
      <c r="AR1038" s="3"/>
      <c r="AS1038" s="3"/>
    </row>
    <row r="1039" spans="44:45" ht="15" x14ac:dyDescent="0.25">
      <c r="AR1039" s="3"/>
      <c r="AS1039" s="3"/>
    </row>
    <row r="1040" spans="44:45" ht="15" x14ac:dyDescent="0.25">
      <c r="AR1040" s="3"/>
      <c r="AS1040" s="3"/>
    </row>
    <row r="1041" spans="44:45" ht="15" x14ac:dyDescent="0.25">
      <c r="AR1041" s="3"/>
      <c r="AS1041" s="3"/>
    </row>
    <row r="1042" spans="44:45" ht="15" x14ac:dyDescent="0.25">
      <c r="AR1042" s="3"/>
      <c r="AS1042" s="3"/>
    </row>
    <row r="1043" spans="44:45" ht="15" x14ac:dyDescent="0.25">
      <c r="AR1043" s="3"/>
      <c r="AS1043" s="3"/>
    </row>
    <row r="1044" spans="44:45" ht="15" x14ac:dyDescent="0.25">
      <c r="AR1044" s="3"/>
      <c r="AS1044" s="3"/>
    </row>
    <row r="1045" spans="44:45" ht="15" x14ac:dyDescent="0.25">
      <c r="AR1045" s="3"/>
      <c r="AS1045" s="3"/>
    </row>
    <row r="1046" spans="44:45" ht="15" x14ac:dyDescent="0.25">
      <c r="AR1046" s="3"/>
      <c r="AS1046" s="3"/>
    </row>
    <row r="1047" spans="44:45" ht="15" x14ac:dyDescent="0.25">
      <c r="AR1047" s="3"/>
      <c r="AS1047" s="3"/>
    </row>
    <row r="1048" spans="44:45" ht="15" x14ac:dyDescent="0.25">
      <c r="AR1048" s="3"/>
      <c r="AS1048" s="3"/>
    </row>
    <row r="1049" spans="44:45" ht="15" x14ac:dyDescent="0.25">
      <c r="AR1049" s="3"/>
      <c r="AS1049" s="3"/>
    </row>
    <row r="1050" spans="44:45" ht="15" x14ac:dyDescent="0.25">
      <c r="AR1050" s="3"/>
      <c r="AS1050" s="3"/>
    </row>
    <row r="1051" spans="44:45" ht="15" x14ac:dyDescent="0.25">
      <c r="AR1051" s="3"/>
      <c r="AS1051" s="3"/>
    </row>
    <row r="1052" spans="44:45" ht="15" x14ac:dyDescent="0.25">
      <c r="AR1052" s="3"/>
      <c r="AS1052" s="3"/>
    </row>
    <row r="1053" spans="44:45" ht="15" x14ac:dyDescent="0.25">
      <c r="AR1053" s="3"/>
      <c r="AS1053" s="3"/>
    </row>
    <row r="1054" spans="44:45" ht="15" x14ac:dyDescent="0.25">
      <c r="AR1054" s="3"/>
      <c r="AS1054" s="3"/>
    </row>
    <row r="1055" spans="44:45" ht="15" x14ac:dyDescent="0.25">
      <c r="AR1055" s="3"/>
      <c r="AS1055" s="3"/>
    </row>
    <row r="1056" spans="44:45" ht="15" x14ac:dyDescent="0.25">
      <c r="AR1056" s="3"/>
      <c r="AS1056" s="3"/>
    </row>
    <row r="1057" spans="44:45" ht="15" x14ac:dyDescent="0.25">
      <c r="AR1057" s="3"/>
      <c r="AS1057" s="3"/>
    </row>
    <row r="1058" spans="44:45" ht="15" x14ac:dyDescent="0.25">
      <c r="AR1058" s="3"/>
      <c r="AS1058" s="3"/>
    </row>
    <row r="1059" spans="44:45" ht="15" x14ac:dyDescent="0.25">
      <c r="AR1059" s="3"/>
      <c r="AS1059" s="3"/>
    </row>
    <row r="1060" spans="44:45" ht="15" x14ac:dyDescent="0.25">
      <c r="AR1060" s="3"/>
      <c r="AS1060" s="3"/>
    </row>
    <row r="1061" spans="44:45" ht="15" x14ac:dyDescent="0.25">
      <c r="AR1061" s="3"/>
      <c r="AS1061" s="3"/>
    </row>
    <row r="1062" spans="44:45" ht="15" x14ac:dyDescent="0.25">
      <c r="AR1062" s="3"/>
      <c r="AS1062" s="3"/>
    </row>
    <row r="1063" spans="44:45" ht="15" x14ac:dyDescent="0.25">
      <c r="AR1063" s="3"/>
      <c r="AS1063" s="3"/>
    </row>
    <row r="1064" spans="44:45" ht="15" x14ac:dyDescent="0.25">
      <c r="AR1064" s="3"/>
      <c r="AS1064" s="3"/>
    </row>
    <row r="1065" spans="44:45" ht="15" x14ac:dyDescent="0.25">
      <c r="AR1065" s="3"/>
      <c r="AS1065" s="3"/>
    </row>
    <row r="1066" spans="44:45" ht="15" x14ac:dyDescent="0.25">
      <c r="AR1066" s="3"/>
      <c r="AS1066" s="3"/>
    </row>
    <row r="1067" spans="44:45" ht="15" x14ac:dyDescent="0.25">
      <c r="AR1067" s="3"/>
      <c r="AS1067" s="3"/>
    </row>
    <row r="1068" spans="44:45" ht="15" x14ac:dyDescent="0.25">
      <c r="AR1068" s="3"/>
      <c r="AS1068" s="3"/>
    </row>
    <row r="1069" spans="44:45" ht="15" x14ac:dyDescent="0.25">
      <c r="AR1069" s="3"/>
      <c r="AS1069" s="3"/>
    </row>
    <row r="1070" spans="44:45" ht="15" x14ac:dyDescent="0.25">
      <c r="AR1070" s="3"/>
      <c r="AS1070" s="3"/>
    </row>
    <row r="1071" spans="44:45" ht="15" x14ac:dyDescent="0.25">
      <c r="AR1071" s="3"/>
      <c r="AS1071" s="3"/>
    </row>
    <row r="1072" spans="44:45" ht="15" x14ac:dyDescent="0.25">
      <c r="AR1072" s="3"/>
      <c r="AS1072" s="3"/>
    </row>
    <row r="1073" spans="44:45" ht="15" x14ac:dyDescent="0.25">
      <c r="AR1073" s="3"/>
      <c r="AS1073" s="3"/>
    </row>
    <row r="1074" spans="44:45" ht="15" x14ac:dyDescent="0.25">
      <c r="AR1074" s="3"/>
      <c r="AS1074" s="3"/>
    </row>
    <row r="1075" spans="44:45" ht="15" x14ac:dyDescent="0.25">
      <c r="AR1075" s="3"/>
      <c r="AS1075" s="3"/>
    </row>
    <row r="1076" spans="44:45" ht="15" x14ac:dyDescent="0.25">
      <c r="AR1076" s="3"/>
      <c r="AS1076" s="3"/>
    </row>
    <row r="1077" spans="44:45" ht="15" x14ac:dyDescent="0.25">
      <c r="AR1077" s="3"/>
      <c r="AS1077" s="3"/>
    </row>
    <row r="1078" spans="44:45" ht="15" x14ac:dyDescent="0.25">
      <c r="AR1078" s="3"/>
      <c r="AS1078" s="3"/>
    </row>
    <row r="1079" spans="44:45" ht="15" x14ac:dyDescent="0.25">
      <c r="AR1079" s="3"/>
      <c r="AS1079" s="3"/>
    </row>
    <row r="1080" spans="44:45" ht="15" x14ac:dyDescent="0.25">
      <c r="AR1080" s="3"/>
      <c r="AS1080" s="3"/>
    </row>
    <row r="1081" spans="44:45" ht="15" x14ac:dyDescent="0.25">
      <c r="AR1081" s="3"/>
      <c r="AS1081" s="3"/>
    </row>
    <row r="1082" spans="44:45" ht="15" x14ac:dyDescent="0.25">
      <c r="AR1082" s="3"/>
      <c r="AS1082" s="3"/>
    </row>
    <row r="1083" spans="44:45" ht="15" x14ac:dyDescent="0.25">
      <c r="AR1083" s="3"/>
      <c r="AS1083" s="3"/>
    </row>
    <row r="1084" spans="44:45" ht="15" x14ac:dyDescent="0.25">
      <c r="AR1084" s="3"/>
      <c r="AS1084" s="3"/>
    </row>
    <row r="1085" spans="44:45" ht="15" x14ac:dyDescent="0.25">
      <c r="AR1085" s="3"/>
      <c r="AS1085" s="3"/>
    </row>
    <row r="1086" spans="44:45" ht="15" x14ac:dyDescent="0.25">
      <c r="AR1086" s="3"/>
      <c r="AS1086" s="3"/>
    </row>
    <row r="1087" spans="44:45" ht="15" x14ac:dyDescent="0.25">
      <c r="AR1087" s="3"/>
      <c r="AS1087" s="3"/>
    </row>
    <row r="1088" spans="44:45" ht="15" x14ac:dyDescent="0.25">
      <c r="AR1088" s="3"/>
      <c r="AS1088" s="3"/>
    </row>
    <row r="1089" spans="44:45" ht="15" x14ac:dyDescent="0.25">
      <c r="AR1089" s="3"/>
      <c r="AS1089" s="3"/>
    </row>
    <row r="1090" spans="44:45" ht="15" x14ac:dyDescent="0.25">
      <c r="AR1090" s="3"/>
      <c r="AS1090" s="3"/>
    </row>
    <row r="1091" spans="44:45" ht="15" x14ac:dyDescent="0.25">
      <c r="AR1091" s="3"/>
      <c r="AS1091" s="3"/>
    </row>
    <row r="1092" spans="44:45" ht="15" x14ac:dyDescent="0.25">
      <c r="AR1092" s="3"/>
      <c r="AS1092" s="3"/>
    </row>
    <row r="1093" spans="44:45" ht="15" x14ac:dyDescent="0.25">
      <c r="AR1093" s="3"/>
      <c r="AS1093" s="3"/>
    </row>
    <row r="1094" spans="44:45" ht="15" x14ac:dyDescent="0.25">
      <c r="AR1094" s="3"/>
      <c r="AS1094" s="3"/>
    </row>
    <row r="1095" spans="44:45" ht="15" x14ac:dyDescent="0.25">
      <c r="AR1095" s="3"/>
      <c r="AS1095" s="3"/>
    </row>
    <row r="1096" spans="44:45" ht="15" x14ac:dyDescent="0.25">
      <c r="AR1096" s="3"/>
      <c r="AS1096" s="3"/>
    </row>
    <row r="1097" spans="44:45" ht="15" x14ac:dyDescent="0.25">
      <c r="AR1097" s="3"/>
      <c r="AS1097" s="3"/>
    </row>
    <row r="1098" spans="44:45" ht="15" x14ac:dyDescent="0.25">
      <c r="AR1098" s="3"/>
      <c r="AS1098" s="3"/>
    </row>
    <row r="1099" spans="44:45" ht="15" x14ac:dyDescent="0.25">
      <c r="AR1099" s="3"/>
      <c r="AS1099" s="3"/>
    </row>
    <row r="1100" spans="44:45" ht="15" x14ac:dyDescent="0.25">
      <c r="AR1100" s="3"/>
      <c r="AS1100" s="3"/>
    </row>
    <row r="1101" spans="44:45" ht="15" x14ac:dyDescent="0.25">
      <c r="AR1101" s="3"/>
      <c r="AS1101" s="3"/>
    </row>
    <row r="1102" spans="44:45" ht="15" x14ac:dyDescent="0.25">
      <c r="AR1102" s="3"/>
      <c r="AS1102" s="3"/>
    </row>
    <row r="1103" spans="44:45" ht="15" x14ac:dyDescent="0.25">
      <c r="AR1103" s="3"/>
      <c r="AS1103" s="3"/>
    </row>
    <row r="1104" spans="44:45" ht="15" x14ac:dyDescent="0.25">
      <c r="AR1104" s="3"/>
      <c r="AS1104" s="3"/>
    </row>
    <row r="1105" spans="44:45" ht="15" x14ac:dyDescent="0.25">
      <c r="AR1105" s="3"/>
      <c r="AS1105" s="3"/>
    </row>
    <row r="1106" spans="44:45" ht="15" x14ac:dyDescent="0.25">
      <c r="AR1106" s="3"/>
      <c r="AS1106" s="3"/>
    </row>
    <row r="1107" spans="44:45" ht="15" x14ac:dyDescent="0.25">
      <c r="AR1107" s="3"/>
      <c r="AS1107" s="3"/>
    </row>
    <row r="1108" spans="44:45" ht="15" x14ac:dyDescent="0.25">
      <c r="AR1108" s="3"/>
      <c r="AS1108" s="3"/>
    </row>
    <row r="1109" spans="44:45" ht="15" x14ac:dyDescent="0.25">
      <c r="AR1109" s="3"/>
      <c r="AS1109" s="3"/>
    </row>
    <row r="1110" spans="44:45" ht="15" x14ac:dyDescent="0.25">
      <c r="AR1110" s="3"/>
      <c r="AS1110" s="3"/>
    </row>
    <row r="1111" spans="44:45" ht="15" x14ac:dyDescent="0.25">
      <c r="AR1111" s="3"/>
      <c r="AS1111" s="3"/>
    </row>
    <row r="1112" spans="44:45" ht="15" x14ac:dyDescent="0.25">
      <c r="AR1112" s="3"/>
      <c r="AS1112" s="3"/>
    </row>
    <row r="1113" spans="44:45" ht="15" x14ac:dyDescent="0.25">
      <c r="AR1113" s="3"/>
      <c r="AS1113" s="3"/>
    </row>
    <row r="1114" spans="44:45" ht="15" x14ac:dyDescent="0.25">
      <c r="AR1114" s="3"/>
      <c r="AS1114" s="3"/>
    </row>
    <row r="1115" spans="44:45" ht="15" x14ac:dyDescent="0.25">
      <c r="AR1115" s="3"/>
      <c r="AS1115" s="3"/>
    </row>
    <row r="1116" spans="44:45" ht="15" x14ac:dyDescent="0.25">
      <c r="AR1116" s="3"/>
      <c r="AS1116" s="3"/>
    </row>
    <row r="1117" spans="44:45" ht="15" x14ac:dyDescent="0.25">
      <c r="AR1117" s="3"/>
      <c r="AS1117" s="3"/>
    </row>
    <row r="1118" spans="44:45" ht="15" x14ac:dyDescent="0.25">
      <c r="AR1118" s="3"/>
      <c r="AS1118" s="3"/>
    </row>
    <row r="1119" spans="44:45" ht="15" x14ac:dyDescent="0.25">
      <c r="AR1119" s="3"/>
      <c r="AS1119" s="3"/>
    </row>
    <row r="1120" spans="44:45" ht="15" x14ac:dyDescent="0.25">
      <c r="AR1120" s="3"/>
      <c r="AS1120" s="3"/>
    </row>
    <row r="1121" spans="44:45" ht="15" x14ac:dyDescent="0.25">
      <c r="AR1121" s="3"/>
      <c r="AS1121" s="3"/>
    </row>
    <row r="1122" spans="44:45" ht="15" x14ac:dyDescent="0.25">
      <c r="AR1122" s="3"/>
      <c r="AS1122" s="3"/>
    </row>
    <row r="1123" spans="44:45" ht="15" x14ac:dyDescent="0.25">
      <c r="AR1123" s="3"/>
      <c r="AS1123" s="3"/>
    </row>
    <row r="1124" spans="44:45" ht="15" x14ac:dyDescent="0.25">
      <c r="AR1124" s="3"/>
      <c r="AS1124" s="3"/>
    </row>
    <row r="1125" spans="44:45" ht="15" x14ac:dyDescent="0.25">
      <c r="AR1125" s="3"/>
      <c r="AS1125" s="3"/>
    </row>
    <row r="1126" spans="44:45" ht="15" x14ac:dyDescent="0.25">
      <c r="AR1126" s="3"/>
      <c r="AS1126" s="3"/>
    </row>
    <row r="1127" spans="44:45" ht="15" x14ac:dyDescent="0.25">
      <c r="AR1127" s="3"/>
      <c r="AS1127" s="3"/>
    </row>
    <row r="1128" spans="44:45" ht="15" x14ac:dyDescent="0.25">
      <c r="AR1128" s="3"/>
      <c r="AS1128" s="3"/>
    </row>
    <row r="1129" spans="44:45" ht="15" x14ac:dyDescent="0.25">
      <c r="AR1129" s="3"/>
      <c r="AS1129" s="3"/>
    </row>
    <row r="1130" spans="44:45" ht="15" x14ac:dyDescent="0.25">
      <c r="AR1130" s="3"/>
      <c r="AS1130" s="3"/>
    </row>
    <row r="1131" spans="44:45" ht="15" x14ac:dyDescent="0.25">
      <c r="AR1131" s="3"/>
      <c r="AS1131" s="3"/>
    </row>
    <row r="1132" spans="44:45" ht="15" x14ac:dyDescent="0.25">
      <c r="AR1132" s="3"/>
      <c r="AS1132" s="3"/>
    </row>
    <row r="1133" spans="44:45" ht="15" x14ac:dyDescent="0.25">
      <c r="AR1133" s="3"/>
      <c r="AS1133" s="3"/>
    </row>
    <row r="1134" spans="44:45" ht="15" x14ac:dyDescent="0.25">
      <c r="AR1134" s="3"/>
      <c r="AS1134" s="3"/>
    </row>
    <row r="1135" spans="44:45" ht="15" x14ac:dyDescent="0.25">
      <c r="AR1135" s="3"/>
      <c r="AS1135" s="3"/>
    </row>
    <row r="1136" spans="44:45" ht="15" x14ac:dyDescent="0.25">
      <c r="AR1136" s="3"/>
      <c r="AS1136" s="3"/>
    </row>
    <row r="1137" spans="44:45" ht="15" x14ac:dyDescent="0.25">
      <c r="AR1137" s="3"/>
      <c r="AS1137" s="3"/>
    </row>
    <row r="1138" spans="44:45" ht="15" x14ac:dyDescent="0.25">
      <c r="AR1138" s="3"/>
      <c r="AS1138" s="3"/>
    </row>
    <row r="1139" spans="44:45" ht="15" x14ac:dyDescent="0.25">
      <c r="AR1139" s="3"/>
      <c r="AS1139" s="3"/>
    </row>
    <row r="1140" spans="44:45" ht="15" x14ac:dyDescent="0.25">
      <c r="AR1140" s="3"/>
      <c r="AS1140" s="3"/>
    </row>
    <row r="1141" spans="44:45" ht="15" x14ac:dyDescent="0.25">
      <c r="AR1141" s="3"/>
      <c r="AS1141" s="3"/>
    </row>
    <row r="1142" spans="44:45" ht="15" x14ac:dyDescent="0.25">
      <c r="AR1142" s="3"/>
      <c r="AS1142" s="3"/>
    </row>
    <row r="1143" spans="44:45" ht="15" x14ac:dyDescent="0.25">
      <c r="AR1143" s="3"/>
      <c r="AS1143" s="3"/>
    </row>
    <row r="1144" spans="44:45" ht="15" x14ac:dyDescent="0.25">
      <c r="AR1144" s="3"/>
      <c r="AS1144" s="3"/>
    </row>
    <row r="1145" spans="44:45" ht="15" x14ac:dyDescent="0.25">
      <c r="AR1145" s="3"/>
      <c r="AS1145" s="3"/>
    </row>
    <row r="1146" spans="44:45" ht="15" x14ac:dyDescent="0.25">
      <c r="AR1146" s="3"/>
      <c r="AS1146" s="3"/>
    </row>
    <row r="1147" spans="44:45" ht="15" x14ac:dyDescent="0.25">
      <c r="AR1147" s="3"/>
      <c r="AS1147" s="3"/>
    </row>
    <row r="1148" spans="44:45" ht="15" x14ac:dyDescent="0.25">
      <c r="AR1148" s="3"/>
      <c r="AS1148" s="3"/>
    </row>
    <row r="1149" spans="44:45" ht="15" x14ac:dyDescent="0.25">
      <c r="AR1149" s="3"/>
      <c r="AS1149" s="3"/>
    </row>
    <row r="1150" spans="44:45" ht="15" x14ac:dyDescent="0.25">
      <c r="AR1150" s="3"/>
      <c r="AS1150" s="3"/>
    </row>
    <row r="1151" spans="44:45" ht="15" x14ac:dyDescent="0.25">
      <c r="AR1151" s="3"/>
      <c r="AS1151" s="3"/>
    </row>
    <row r="1152" spans="44:45" ht="15" x14ac:dyDescent="0.25">
      <c r="AR1152" s="3"/>
      <c r="AS1152" s="3"/>
    </row>
    <row r="1153" spans="44:45" ht="15" x14ac:dyDescent="0.25">
      <c r="AR1153" s="3"/>
      <c r="AS1153" s="3"/>
    </row>
    <row r="1154" spans="44:45" ht="15" x14ac:dyDescent="0.25">
      <c r="AR1154" s="3"/>
      <c r="AS1154" s="3"/>
    </row>
    <row r="1155" spans="44:45" ht="15" x14ac:dyDescent="0.25">
      <c r="AR1155" s="3"/>
      <c r="AS1155" s="3"/>
    </row>
    <row r="1156" spans="44:45" ht="15" x14ac:dyDescent="0.25">
      <c r="AR1156" s="3"/>
      <c r="AS1156" s="3"/>
    </row>
    <row r="1157" spans="44:45" ht="15" x14ac:dyDescent="0.25">
      <c r="AR1157" s="3"/>
      <c r="AS1157" s="3"/>
    </row>
    <row r="1158" spans="44:45" ht="15" x14ac:dyDescent="0.25">
      <c r="AR1158" s="3"/>
      <c r="AS1158" s="3"/>
    </row>
    <row r="1159" spans="44:45" ht="15" x14ac:dyDescent="0.25">
      <c r="AR1159" s="3"/>
      <c r="AS1159" s="3"/>
    </row>
    <row r="1160" spans="44:45" ht="15" x14ac:dyDescent="0.25">
      <c r="AR1160" s="3"/>
      <c r="AS1160" s="3"/>
    </row>
    <row r="1161" spans="44:45" ht="15" x14ac:dyDescent="0.25">
      <c r="AR1161" s="3"/>
      <c r="AS1161" s="3"/>
    </row>
    <row r="1162" spans="44:45" ht="15" x14ac:dyDescent="0.25">
      <c r="AR1162" s="3"/>
      <c r="AS1162" s="3"/>
    </row>
    <row r="1163" spans="44:45" ht="15" x14ac:dyDescent="0.25">
      <c r="AR1163" s="3"/>
      <c r="AS1163" s="3"/>
    </row>
    <row r="1164" spans="44:45" ht="15" x14ac:dyDescent="0.25">
      <c r="AR1164" s="3"/>
      <c r="AS1164" s="3"/>
    </row>
    <row r="1165" spans="44:45" ht="15" x14ac:dyDescent="0.25">
      <c r="AR1165" s="3"/>
      <c r="AS1165" s="3"/>
    </row>
    <row r="1166" spans="44:45" ht="15" x14ac:dyDescent="0.25">
      <c r="AR1166" s="3"/>
      <c r="AS1166" s="3"/>
    </row>
    <row r="1167" spans="44:45" ht="15" x14ac:dyDescent="0.25">
      <c r="AR1167" s="3"/>
      <c r="AS1167" s="3"/>
    </row>
    <row r="1168" spans="44:45" ht="15" x14ac:dyDescent="0.25">
      <c r="AR1168" s="3"/>
      <c r="AS1168" s="3"/>
    </row>
    <row r="1169" spans="44:45" ht="15" x14ac:dyDescent="0.25">
      <c r="AR1169" s="3"/>
      <c r="AS1169" s="3"/>
    </row>
    <row r="1170" spans="44:45" ht="15" x14ac:dyDescent="0.25">
      <c r="AR1170" s="3"/>
      <c r="AS1170" s="3"/>
    </row>
    <row r="1171" spans="44:45" ht="15" x14ac:dyDescent="0.25">
      <c r="AR1171" s="3"/>
      <c r="AS1171" s="3"/>
    </row>
    <row r="1172" spans="44:45" ht="15" x14ac:dyDescent="0.25">
      <c r="AR1172" s="3"/>
      <c r="AS1172" s="3"/>
    </row>
    <row r="1173" spans="44:45" ht="15" x14ac:dyDescent="0.25">
      <c r="AR1173" s="3"/>
      <c r="AS1173" s="3"/>
    </row>
    <row r="1174" spans="44:45" ht="15" x14ac:dyDescent="0.25">
      <c r="AR1174" s="3"/>
      <c r="AS1174" s="3"/>
    </row>
    <row r="1175" spans="44:45" ht="15" x14ac:dyDescent="0.25">
      <c r="AR1175" s="3"/>
      <c r="AS1175" s="3"/>
    </row>
    <row r="1176" spans="44:45" ht="15" x14ac:dyDescent="0.25">
      <c r="AR1176" s="3"/>
      <c r="AS1176" s="3"/>
    </row>
    <row r="1177" spans="44:45" ht="15" x14ac:dyDescent="0.25">
      <c r="AR1177" s="3"/>
      <c r="AS1177" s="3"/>
    </row>
    <row r="1178" spans="44:45" ht="15" x14ac:dyDescent="0.25">
      <c r="AR1178" s="3"/>
      <c r="AS1178" s="3"/>
    </row>
    <row r="1179" spans="44:45" ht="15" x14ac:dyDescent="0.25">
      <c r="AR1179" s="3"/>
      <c r="AS1179" s="3"/>
    </row>
    <row r="1180" spans="44:45" ht="15" x14ac:dyDescent="0.25">
      <c r="AR1180" s="3"/>
      <c r="AS1180" s="3"/>
    </row>
    <row r="1181" spans="44:45" ht="15" x14ac:dyDescent="0.25">
      <c r="AR1181" s="3"/>
      <c r="AS1181" s="3"/>
    </row>
    <row r="1182" spans="44:45" ht="15" x14ac:dyDescent="0.25">
      <c r="AR1182" s="3"/>
      <c r="AS1182" s="3"/>
    </row>
    <row r="1183" spans="44:45" ht="15" x14ac:dyDescent="0.25">
      <c r="AR1183" s="3"/>
      <c r="AS1183" s="3"/>
    </row>
    <row r="1184" spans="44:45" ht="15" x14ac:dyDescent="0.25">
      <c r="AR1184" s="3"/>
      <c r="AS1184" s="3"/>
    </row>
    <row r="1185" spans="44:45" ht="15" x14ac:dyDescent="0.25">
      <c r="AR1185" s="3"/>
      <c r="AS1185" s="3"/>
    </row>
    <row r="1186" spans="44:45" ht="15" x14ac:dyDescent="0.25">
      <c r="AR1186" s="3"/>
      <c r="AS1186" s="3"/>
    </row>
    <row r="1187" spans="44:45" ht="15" x14ac:dyDescent="0.25">
      <c r="AR1187" s="3"/>
      <c r="AS1187" s="3"/>
    </row>
    <row r="1188" spans="44:45" ht="15" x14ac:dyDescent="0.25">
      <c r="AR1188" s="3"/>
      <c r="AS1188" s="3"/>
    </row>
    <row r="1189" spans="44:45" ht="15" x14ac:dyDescent="0.25">
      <c r="AR1189" s="3"/>
      <c r="AS1189" s="3"/>
    </row>
    <row r="1190" spans="44:45" ht="15" x14ac:dyDescent="0.25">
      <c r="AR1190" s="3"/>
      <c r="AS1190" s="3"/>
    </row>
    <row r="1191" spans="44:45" ht="15" x14ac:dyDescent="0.25">
      <c r="AR1191" s="3"/>
      <c r="AS1191" s="3"/>
    </row>
    <row r="1192" spans="44:45" ht="15" x14ac:dyDescent="0.25">
      <c r="AR1192" s="3"/>
      <c r="AS1192" s="3"/>
    </row>
    <row r="1193" spans="44:45" ht="15" x14ac:dyDescent="0.25">
      <c r="AR1193" s="3"/>
      <c r="AS1193" s="3"/>
    </row>
    <row r="1194" spans="44:45" ht="15" x14ac:dyDescent="0.25">
      <c r="AR1194" s="3"/>
      <c r="AS1194" s="3"/>
    </row>
    <row r="1195" spans="44:45" ht="15" x14ac:dyDescent="0.25">
      <c r="AR1195" s="3"/>
      <c r="AS1195" s="3"/>
    </row>
    <row r="1196" spans="44:45" ht="15" x14ac:dyDescent="0.25">
      <c r="AR1196" s="3"/>
      <c r="AS1196" s="3"/>
    </row>
    <row r="1197" spans="44:45" ht="15" x14ac:dyDescent="0.25">
      <c r="AR1197" s="3"/>
      <c r="AS1197" s="3"/>
    </row>
    <row r="1198" spans="44:45" ht="15" x14ac:dyDescent="0.25">
      <c r="AR1198" s="3"/>
      <c r="AS1198" s="3"/>
    </row>
    <row r="1199" spans="44:45" ht="15" x14ac:dyDescent="0.25">
      <c r="AR1199" s="3"/>
      <c r="AS1199" s="3"/>
    </row>
    <row r="1200" spans="44:45" ht="15" x14ac:dyDescent="0.25">
      <c r="AR1200" s="3"/>
      <c r="AS1200" s="3"/>
    </row>
    <row r="1201" spans="44:45" ht="15" x14ac:dyDescent="0.25">
      <c r="AR1201" s="3"/>
      <c r="AS1201" s="3"/>
    </row>
    <row r="1202" spans="44:45" ht="15" x14ac:dyDescent="0.25">
      <c r="AR1202" s="3"/>
      <c r="AS1202" s="3"/>
    </row>
    <row r="1203" spans="44:45" ht="15" x14ac:dyDescent="0.25">
      <c r="AR1203" s="3"/>
      <c r="AS1203" s="3"/>
    </row>
    <row r="1204" spans="44:45" ht="15" x14ac:dyDescent="0.25">
      <c r="AR1204" s="3"/>
      <c r="AS1204" s="3"/>
    </row>
    <row r="1205" spans="44:45" ht="15" x14ac:dyDescent="0.25">
      <c r="AR1205" s="3"/>
      <c r="AS1205" s="3"/>
    </row>
    <row r="1206" spans="44:45" ht="15" x14ac:dyDescent="0.25">
      <c r="AR1206" s="3"/>
      <c r="AS1206" s="3"/>
    </row>
    <row r="1207" spans="44:45" ht="15" x14ac:dyDescent="0.25">
      <c r="AR1207" s="3"/>
      <c r="AS1207" s="3"/>
    </row>
    <row r="1208" spans="44:45" ht="15" x14ac:dyDescent="0.25">
      <c r="AR1208" s="3"/>
      <c r="AS1208" s="3"/>
    </row>
    <row r="1209" spans="44:45" ht="15" x14ac:dyDescent="0.25">
      <c r="AR1209" s="3"/>
      <c r="AS1209" s="3"/>
    </row>
    <row r="1210" spans="44:45" ht="15" x14ac:dyDescent="0.25">
      <c r="AR1210" s="3"/>
      <c r="AS1210" s="3"/>
    </row>
    <row r="1211" spans="44:45" ht="15" x14ac:dyDescent="0.25">
      <c r="AR1211" s="3"/>
      <c r="AS1211" s="3"/>
    </row>
    <row r="1212" spans="44:45" ht="15" x14ac:dyDescent="0.25">
      <c r="AR1212" s="3"/>
      <c r="AS1212" s="3"/>
    </row>
    <row r="1213" spans="44:45" ht="15" x14ac:dyDescent="0.25">
      <c r="AR1213" s="3"/>
      <c r="AS1213" s="3"/>
    </row>
    <row r="1214" spans="44:45" ht="15" x14ac:dyDescent="0.25">
      <c r="AR1214" s="3"/>
      <c r="AS1214" s="3"/>
    </row>
    <row r="1215" spans="44:45" ht="15" x14ac:dyDescent="0.25">
      <c r="AR1215" s="3"/>
      <c r="AS1215" s="3"/>
    </row>
    <row r="1216" spans="44:45" ht="15" x14ac:dyDescent="0.25">
      <c r="AR1216" s="3"/>
      <c r="AS1216" s="3"/>
    </row>
    <row r="1217" spans="44:45" ht="15" x14ac:dyDescent="0.25">
      <c r="AR1217" s="3"/>
      <c r="AS1217" s="3"/>
    </row>
    <row r="1218" spans="44:45" ht="15" x14ac:dyDescent="0.25">
      <c r="AR1218" s="3"/>
      <c r="AS1218" s="3"/>
    </row>
    <row r="1219" spans="44:45" ht="15" x14ac:dyDescent="0.25">
      <c r="AR1219" s="3"/>
      <c r="AS1219" s="3"/>
    </row>
    <row r="1220" spans="44:45" ht="15" x14ac:dyDescent="0.25">
      <c r="AR1220" s="3"/>
      <c r="AS1220" s="3"/>
    </row>
    <row r="1221" spans="44:45" ht="15" x14ac:dyDescent="0.25">
      <c r="AR1221" s="3"/>
      <c r="AS1221" s="3"/>
    </row>
    <row r="1222" spans="44:45" ht="15" x14ac:dyDescent="0.25">
      <c r="AR1222" s="3"/>
      <c r="AS1222" s="3"/>
    </row>
    <row r="1223" spans="44:45" ht="15" x14ac:dyDescent="0.25">
      <c r="AR1223" s="3"/>
      <c r="AS1223" s="3"/>
    </row>
    <row r="1224" spans="44:45" ht="15" x14ac:dyDescent="0.25">
      <c r="AR1224" s="3"/>
      <c r="AS1224" s="3"/>
    </row>
    <row r="1225" spans="44:45" ht="15" x14ac:dyDescent="0.25">
      <c r="AR1225" s="3"/>
      <c r="AS1225" s="3"/>
    </row>
    <row r="1226" spans="44:45" ht="15" x14ac:dyDescent="0.25">
      <c r="AR1226" s="3"/>
      <c r="AS1226" s="3"/>
    </row>
    <row r="1227" spans="44:45" ht="15" x14ac:dyDescent="0.25">
      <c r="AR1227" s="3"/>
      <c r="AS1227" s="3"/>
    </row>
    <row r="1228" spans="44:45" ht="15" x14ac:dyDescent="0.25">
      <c r="AR1228" s="3"/>
      <c r="AS1228" s="3"/>
    </row>
    <row r="1229" spans="44:45" ht="15" x14ac:dyDescent="0.25">
      <c r="AR1229" s="3"/>
      <c r="AS1229" s="3"/>
    </row>
    <row r="1230" spans="44:45" ht="15" x14ac:dyDescent="0.25">
      <c r="AR1230" s="3"/>
      <c r="AS1230" s="3"/>
    </row>
    <row r="1231" spans="44:45" ht="15" x14ac:dyDescent="0.25">
      <c r="AR1231" s="3"/>
      <c r="AS1231" s="3"/>
    </row>
    <row r="1232" spans="44:45" ht="15" x14ac:dyDescent="0.25">
      <c r="AR1232" s="3"/>
      <c r="AS1232" s="3"/>
    </row>
    <row r="1233" spans="44:45" ht="15" x14ac:dyDescent="0.25">
      <c r="AR1233" s="3"/>
      <c r="AS1233" s="3"/>
    </row>
    <row r="1234" spans="44:45" ht="15" x14ac:dyDescent="0.25">
      <c r="AR1234" s="3"/>
      <c r="AS1234" s="3"/>
    </row>
    <row r="1235" spans="44:45" ht="15" x14ac:dyDescent="0.25">
      <c r="AR1235" s="3"/>
      <c r="AS1235" s="3"/>
    </row>
    <row r="1236" spans="44:45" ht="15" x14ac:dyDescent="0.25">
      <c r="AR1236" s="3"/>
      <c r="AS1236" s="3"/>
    </row>
    <row r="1237" spans="44:45" ht="15" x14ac:dyDescent="0.25">
      <c r="AR1237" s="3"/>
      <c r="AS1237" s="3"/>
    </row>
    <row r="1238" spans="44:45" ht="15" x14ac:dyDescent="0.25">
      <c r="AR1238" s="3"/>
      <c r="AS1238" s="3"/>
    </row>
    <row r="1239" spans="44:45" ht="15" x14ac:dyDescent="0.25">
      <c r="AR1239" s="3"/>
      <c r="AS1239" s="3"/>
    </row>
    <row r="1240" spans="44:45" ht="15" x14ac:dyDescent="0.25">
      <c r="AR1240" s="3"/>
      <c r="AS1240" s="3"/>
    </row>
    <row r="1241" spans="44:45" ht="15" x14ac:dyDescent="0.25">
      <c r="AR1241" s="3"/>
      <c r="AS1241" s="3"/>
    </row>
    <row r="1242" spans="44:45" ht="15" x14ac:dyDescent="0.25">
      <c r="AR1242" s="3"/>
      <c r="AS1242" s="3"/>
    </row>
    <row r="1243" spans="44:45" ht="15" x14ac:dyDescent="0.25">
      <c r="AR1243" s="3"/>
      <c r="AS1243" s="3"/>
    </row>
    <row r="1244" spans="44:45" ht="15" x14ac:dyDescent="0.25">
      <c r="AR1244" s="3"/>
      <c r="AS1244" s="3"/>
    </row>
    <row r="1245" spans="44:45" ht="15" x14ac:dyDescent="0.25">
      <c r="AR1245" s="3"/>
      <c r="AS1245" s="3"/>
    </row>
    <row r="1246" spans="44:45" ht="15" x14ac:dyDescent="0.25">
      <c r="AR1246" s="3"/>
      <c r="AS1246" s="3"/>
    </row>
    <row r="1247" spans="44:45" ht="15" x14ac:dyDescent="0.25">
      <c r="AR1247" s="3"/>
      <c r="AS1247" s="3"/>
    </row>
    <row r="1248" spans="44:45" ht="15" x14ac:dyDescent="0.25">
      <c r="AR1248" s="3"/>
      <c r="AS1248" s="3"/>
    </row>
    <row r="1249" spans="44:45" ht="15" x14ac:dyDescent="0.25">
      <c r="AR1249" s="3"/>
      <c r="AS1249" s="3"/>
    </row>
    <row r="1250" spans="44:45" ht="15" x14ac:dyDescent="0.25">
      <c r="AR1250" s="3"/>
      <c r="AS1250" s="3"/>
    </row>
    <row r="1251" spans="44:45" ht="15" x14ac:dyDescent="0.25">
      <c r="AR1251" s="3"/>
      <c r="AS1251" s="3"/>
    </row>
    <row r="1252" spans="44:45" ht="15" x14ac:dyDescent="0.25">
      <c r="AR1252" s="3"/>
      <c r="AS1252" s="3"/>
    </row>
    <row r="1253" spans="44:45" ht="15" x14ac:dyDescent="0.25">
      <c r="AR1253" s="3"/>
      <c r="AS1253" s="3"/>
    </row>
    <row r="1254" spans="44:45" ht="15" x14ac:dyDescent="0.25">
      <c r="AR1254" s="3"/>
      <c r="AS1254" s="3"/>
    </row>
    <row r="1255" spans="44:45" ht="15" x14ac:dyDescent="0.25">
      <c r="AR1255" s="3"/>
      <c r="AS1255" s="3"/>
    </row>
    <row r="1256" spans="44:45" ht="15" x14ac:dyDescent="0.25">
      <c r="AR1256" s="3"/>
      <c r="AS1256" s="3"/>
    </row>
    <row r="1257" spans="44:45" ht="15" x14ac:dyDescent="0.25">
      <c r="AR1257" s="3"/>
      <c r="AS1257" s="3"/>
    </row>
    <row r="1258" spans="44:45" ht="15" x14ac:dyDescent="0.25">
      <c r="AR1258" s="3"/>
      <c r="AS1258" s="3"/>
    </row>
    <row r="1259" spans="44:45" ht="15" x14ac:dyDescent="0.25">
      <c r="AR1259" s="3"/>
      <c r="AS1259" s="3"/>
    </row>
    <row r="1260" spans="44:45" ht="15" x14ac:dyDescent="0.25">
      <c r="AR1260" s="3"/>
      <c r="AS1260" s="3"/>
    </row>
    <row r="1261" spans="44:45" ht="15" x14ac:dyDescent="0.25">
      <c r="AR1261" s="3"/>
      <c r="AS1261" s="3"/>
    </row>
    <row r="1262" spans="44:45" ht="15" x14ac:dyDescent="0.25">
      <c r="AR1262" s="3"/>
      <c r="AS1262" s="3"/>
    </row>
    <row r="1263" spans="44:45" ht="15" x14ac:dyDescent="0.25">
      <c r="AR1263" s="3"/>
      <c r="AS1263" s="3"/>
    </row>
    <row r="1264" spans="44:45" ht="15" x14ac:dyDescent="0.25">
      <c r="AR1264" s="3"/>
      <c r="AS1264" s="3"/>
    </row>
    <row r="1265" spans="44:45" ht="15" x14ac:dyDescent="0.25">
      <c r="AR1265" s="3"/>
      <c r="AS1265" s="3"/>
    </row>
    <row r="1266" spans="44:45" ht="15" x14ac:dyDescent="0.25">
      <c r="AR1266" s="3"/>
      <c r="AS1266" s="3"/>
    </row>
    <row r="1267" spans="44:45" ht="15" x14ac:dyDescent="0.25">
      <c r="AR1267" s="3"/>
      <c r="AS1267" s="3"/>
    </row>
    <row r="1268" spans="44:45" ht="15" x14ac:dyDescent="0.25">
      <c r="AR1268" s="3"/>
      <c r="AS1268" s="3"/>
    </row>
    <row r="1269" spans="44:45" ht="15" x14ac:dyDescent="0.25">
      <c r="AR1269" s="3"/>
      <c r="AS1269" s="3"/>
    </row>
    <row r="1270" spans="44:45" ht="15" x14ac:dyDescent="0.25">
      <c r="AR1270" s="3"/>
      <c r="AS1270" s="3"/>
    </row>
    <row r="1271" spans="44:45" ht="15" x14ac:dyDescent="0.25">
      <c r="AR1271" s="3"/>
      <c r="AS1271" s="3"/>
    </row>
    <row r="1272" spans="44:45" ht="15" x14ac:dyDescent="0.25">
      <c r="AR1272" s="3"/>
      <c r="AS1272" s="3"/>
    </row>
    <row r="1273" spans="44:45" ht="15" x14ac:dyDescent="0.25">
      <c r="AR1273" s="3"/>
      <c r="AS1273" s="3"/>
    </row>
    <row r="1274" spans="44:45" ht="15" x14ac:dyDescent="0.25">
      <c r="AR1274" s="3"/>
      <c r="AS1274" s="3"/>
    </row>
    <row r="1275" spans="44:45" ht="15" x14ac:dyDescent="0.25">
      <c r="AR1275" s="3"/>
      <c r="AS1275" s="3"/>
    </row>
    <row r="1276" spans="44:45" ht="15" x14ac:dyDescent="0.25">
      <c r="AR1276" s="3"/>
      <c r="AS1276" s="3"/>
    </row>
    <row r="1277" spans="44:45" ht="15" x14ac:dyDescent="0.25">
      <c r="AR1277" s="3"/>
      <c r="AS1277" s="3"/>
    </row>
    <row r="1278" spans="44:45" ht="15" x14ac:dyDescent="0.25">
      <c r="AR1278" s="3"/>
      <c r="AS1278" s="3"/>
    </row>
    <row r="1279" spans="44:45" ht="15" x14ac:dyDescent="0.25">
      <c r="AR1279" s="3"/>
      <c r="AS1279" s="3"/>
    </row>
    <row r="1280" spans="44:45" ht="15" x14ac:dyDescent="0.25">
      <c r="AR1280" s="3"/>
      <c r="AS1280" s="3"/>
    </row>
    <row r="1281" spans="44:45" ht="15" x14ac:dyDescent="0.25">
      <c r="AR1281" s="3"/>
      <c r="AS1281" s="3"/>
    </row>
    <row r="1282" spans="44:45" ht="15" x14ac:dyDescent="0.25">
      <c r="AR1282" s="3"/>
      <c r="AS1282" s="3"/>
    </row>
    <row r="1283" spans="44:45" ht="15" x14ac:dyDescent="0.25">
      <c r="AR1283" s="3"/>
      <c r="AS1283" s="3"/>
    </row>
    <row r="1284" spans="44:45" ht="15" x14ac:dyDescent="0.25">
      <c r="AR1284" s="3"/>
      <c r="AS1284" s="3"/>
    </row>
    <row r="1285" spans="44:45" ht="15" x14ac:dyDescent="0.25">
      <c r="AR1285" s="3"/>
      <c r="AS1285" s="3"/>
    </row>
    <row r="1286" spans="44:45" ht="15" x14ac:dyDescent="0.25">
      <c r="AR1286" s="3"/>
      <c r="AS1286" s="3"/>
    </row>
    <row r="1287" spans="44:45" ht="15" x14ac:dyDescent="0.25">
      <c r="AR1287" s="3"/>
      <c r="AS1287" s="3"/>
    </row>
    <row r="1288" spans="44:45" ht="15" x14ac:dyDescent="0.25">
      <c r="AR1288" s="3"/>
      <c r="AS1288" s="3"/>
    </row>
    <row r="1289" spans="44:45" ht="15" x14ac:dyDescent="0.25">
      <c r="AR1289" s="3"/>
      <c r="AS1289" s="3"/>
    </row>
    <row r="1290" spans="44:45" ht="15" x14ac:dyDescent="0.25">
      <c r="AR1290" s="3"/>
      <c r="AS1290" s="3"/>
    </row>
    <row r="1291" spans="44:45" ht="15" x14ac:dyDescent="0.25">
      <c r="AR1291" s="3"/>
      <c r="AS1291" s="3"/>
    </row>
    <row r="1292" spans="44:45" ht="15" x14ac:dyDescent="0.25">
      <c r="AR1292" s="3"/>
      <c r="AS1292" s="3"/>
    </row>
    <row r="1293" spans="44:45" ht="15" x14ac:dyDescent="0.25">
      <c r="AR1293" s="3"/>
      <c r="AS1293" s="3"/>
    </row>
    <row r="1294" spans="44:45" ht="15" x14ac:dyDescent="0.25">
      <c r="AR1294" s="3"/>
      <c r="AS1294" s="3"/>
    </row>
    <row r="1295" spans="44:45" ht="15" x14ac:dyDescent="0.25">
      <c r="AR1295" s="3"/>
      <c r="AS1295" s="3"/>
    </row>
    <row r="1296" spans="44:45" ht="15" x14ac:dyDescent="0.25">
      <c r="AR1296" s="3"/>
      <c r="AS1296" s="3"/>
    </row>
    <row r="1297" spans="44:45" ht="15" x14ac:dyDescent="0.25">
      <c r="AR1297" s="3"/>
      <c r="AS1297" s="3"/>
    </row>
    <row r="1298" spans="44:45" ht="15" x14ac:dyDescent="0.25">
      <c r="AR1298" s="3"/>
      <c r="AS1298" s="3"/>
    </row>
    <row r="1299" spans="44:45" ht="15" x14ac:dyDescent="0.25">
      <c r="AR1299" s="3"/>
      <c r="AS1299" s="3"/>
    </row>
    <row r="1300" spans="44:45" ht="15" x14ac:dyDescent="0.25">
      <c r="AR1300" s="3"/>
      <c r="AS1300" s="3"/>
    </row>
    <row r="1301" spans="44:45" ht="15" x14ac:dyDescent="0.25">
      <c r="AR1301" s="3"/>
      <c r="AS1301" s="3"/>
    </row>
    <row r="1302" spans="44:45" ht="15" x14ac:dyDescent="0.25">
      <c r="AR1302" s="3"/>
      <c r="AS1302" s="3"/>
    </row>
    <row r="1303" spans="44:45" ht="15" x14ac:dyDescent="0.25">
      <c r="AR1303" s="3"/>
      <c r="AS1303" s="3"/>
    </row>
    <row r="1304" spans="44:45" ht="15" x14ac:dyDescent="0.25">
      <c r="AR1304" s="3"/>
      <c r="AS1304" s="3"/>
    </row>
    <row r="1305" spans="44:45" ht="15" x14ac:dyDescent="0.25">
      <c r="AR1305" s="3"/>
      <c r="AS1305" s="3"/>
    </row>
    <row r="1306" spans="44:45" ht="15" x14ac:dyDescent="0.25">
      <c r="AR1306" s="3"/>
      <c r="AS1306" s="3"/>
    </row>
    <row r="1307" spans="44:45" ht="15" x14ac:dyDescent="0.25">
      <c r="AR1307" s="3"/>
      <c r="AS1307" s="3"/>
    </row>
    <row r="1308" spans="44:45" ht="15" x14ac:dyDescent="0.25">
      <c r="AR1308" s="3"/>
      <c r="AS1308" s="3"/>
    </row>
    <row r="1309" spans="44:45" ht="15" x14ac:dyDescent="0.25">
      <c r="AR1309" s="3"/>
      <c r="AS1309" s="3"/>
    </row>
    <row r="1310" spans="44:45" ht="15" x14ac:dyDescent="0.25">
      <c r="AR1310" s="3"/>
      <c r="AS1310" s="3"/>
    </row>
    <row r="1311" spans="44:45" ht="15" x14ac:dyDescent="0.25">
      <c r="AR1311" s="3"/>
      <c r="AS1311" s="3"/>
    </row>
    <row r="1312" spans="44:45" ht="15" x14ac:dyDescent="0.25">
      <c r="AR1312" s="3"/>
      <c r="AS1312" s="3"/>
    </row>
    <row r="1313" spans="44:45" ht="15" x14ac:dyDescent="0.25">
      <c r="AR1313" s="3"/>
      <c r="AS1313" s="3"/>
    </row>
    <row r="1314" spans="44:45" ht="15" x14ac:dyDescent="0.25">
      <c r="AR1314" s="3"/>
      <c r="AS1314" s="3"/>
    </row>
    <row r="1315" spans="44:45" ht="15" x14ac:dyDescent="0.25">
      <c r="AR1315" s="3"/>
      <c r="AS1315" s="3"/>
    </row>
    <row r="1316" spans="44:45" ht="15" x14ac:dyDescent="0.25">
      <c r="AR1316" s="3"/>
      <c r="AS1316" s="3"/>
    </row>
    <row r="1317" spans="44:45" ht="15" x14ac:dyDescent="0.25">
      <c r="AR1317" s="3"/>
      <c r="AS1317" s="3"/>
    </row>
    <row r="1318" spans="44:45" ht="15" x14ac:dyDescent="0.25">
      <c r="AR1318" s="3"/>
      <c r="AS1318" s="3"/>
    </row>
    <row r="1319" spans="44:45" ht="15" x14ac:dyDescent="0.25">
      <c r="AR1319" s="3"/>
      <c r="AS1319" s="3"/>
    </row>
    <row r="1320" spans="44:45" ht="15" x14ac:dyDescent="0.25">
      <c r="AR1320" s="3"/>
      <c r="AS1320" s="3"/>
    </row>
    <row r="1321" spans="44:45" ht="15" x14ac:dyDescent="0.25">
      <c r="AR1321" s="3"/>
      <c r="AS1321" s="3"/>
    </row>
    <row r="1322" spans="44:45" ht="15" x14ac:dyDescent="0.25">
      <c r="AR1322" s="3"/>
      <c r="AS1322" s="3"/>
    </row>
    <row r="1323" spans="44:45" ht="15" x14ac:dyDescent="0.25">
      <c r="AR1323" s="3"/>
      <c r="AS1323" s="3"/>
    </row>
    <row r="1324" spans="44:45" ht="15" x14ac:dyDescent="0.25">
      <c r="AR1324" s="3"/>
      <c r="AS1324" s="3"/>
    </row>
    <row r="1325" spans="44:45" ht="15" x14ac:dyDescent="0.25">
      <c r="AR1325" s="3"/>
      <c r="AS1325" s="3"/>
    </row>
    <row r="1326" spans="44:45" ht="15" x14ac:dyDescent="0.25">
      <c r="AR1326" s="3"/>
      <c r="AS1326" s="3"/>
    </row>
    <row r="1327" spans="44:45" ht="15" x14ac:dyDescent="0.25">
      <c r="AR1327" s="3"/>
      <c r="AS1327" s="3"/>
    </row>
    <row r="1328" spans="44:45" ht="15" x14ac:dyDescent="0.25">
      <c r="AR1328" s="3"/>
      <c r="AS1328" s="3"/>
    </row>
    <row r="1329" spans="44:45" ht="15" x14ac:dyDescent="0.25">
      <c r="AR1329" s="3"/>
      <c r="AS1329" s="3"/>
    </row>
    <row r="1330" spans="44:45" ht="15" x14ac:dyDescent="0.25">
      <c r="AR1330" s="3"/>
      <c r="AS1330" s="3"/>
    </row>
    <row r="1331" spans="44:45" ht="15" x14ac:dyDescent="0.25">
      <c r="AR1331" s="3"/>
      <c r="AS1331" s="3"/>
    </row>
    <row r="1332" spans="44:45" ht="15" x14ac:dyDescent="0.25">
      <c r="AR1332" s="3"/>
      <c r="AS1332" s="3"/>
    </row>
    <row r="1333" spans="44:45" ht="15" x14ac:dyDescent="0.25">
      <c r="AR1333" s="3"/>
      <c r="AS1333" s="3"/>
    </row>
    <row r="1334" spans="44:45" ht="15" x14ac:dyDescent="0.25">
      <c r="AR1334" s="3"/>
      <c r="AS1334" s="3"/>
    </row>
    <row r="1335" spans="44:45" ht="15" x14ac:dyDescent="0.25">
      <c r="AR1335" s="3"/>
      <c r="AS1335" s="3"/>
    </row>
    <row r="1336" spans="44:45" ht="15" x14ac:dyDescent="0.25">
      <c r="AR1336" s="3"/>
      <c r="AS1336" s="3"/>
    </row>
    <row r="1337" spans="44:45" ht="15" x14ac:dyDescent="0.25">
      <c r="AR1337" s="3"/>
      <c r="AS1337" s="3"/>
    </row>
    <row r="1338" spans="44:45" ht="15" x14ac:dyDescent="0.25">
      <c r="AR1338" s="3"/>
      <c r="AS1338" s="3"/>
    </row>
    <row r="1339" spans="44:45" ht="15" x14ac:dyDescent="0.25">
      <c r="AR1339" s="3"/>
      <c r="AS1339" s="3"/>
    </row>
    <row r="1340" spans="44:45" ht="15" x14ac:dyDescent="0.25">
      <c r="AR1340" s="3"/>
      <c r="AS1340" s="3"/>
    </row>
    <row r="1341" spans="44:45" ht="15" x14ac:dyDescent="0.25">
      <c r="AR1341" s="3"/>
      <c r="AS1341" s="3"/>
    </row>
    <row r="1342" spans="44:45" ht="15" x14ac:dyDescent="0.25">
      <c r="AR1342" s="3"/>
      <c r="AS1342" s="3"/>
    </row>
    <row r="1343" spans="44:45" ht="15" x14ac:dyDescent="0.25">
      <c r="AR1343" s="3"/>
      <c r="AS1343" s="3"/>
    </row>
    <row r="1344" spans="44:45" ht="15" x14ac:dyDescent="0.25">
      <c r="AR1344" s="3"/>
      <c r="AS1344" s="3"/>
    </row>
    <row r="1345" spans="44:45" ht="15" x14ac:dyDescent="0.25">
      <c r="AR1345" s="3"/>
      <c r="AS1345" s="3"/>
    </row>
    <row r="1346" spans="44:45" ht="15" x14ac:dyDescent="0.25">
      <c r="AR1346" s="3"/>
      <c r="AS1346" s="3"/>
    </row>
    <row r="1347" spans="44:45" ht="15" x14ac:dyDescent="0.25">
      <c r="AR1347" s="3"/>
      <c r="AS1347" s="3"/>
    </row>
    <row r="1348" spans="44:45" ht="15" x14ac:dyDescent="0.25">
      <c r="AR1348" s="3"/>
      <c r="AS1348" s="3"/>
    </row>
    <row r="1349" spans="44:45" ht="15" x14ac:dyDescent="0.25">
      <c r="AR1349" s="3"/>
      <c r="AS1349" s="3"/>
    </row>
    <row r="1350" spans="44:45" ht="15" x14ac:dyDescent="0.25">
      <c r="AR1350" s="3"/>
      <c r="AS1350" s="3"/>
    </row>
    <row r="1351" spans="44:45" ht="15" x14ac:dyDescent="0.25">
      <c r="AR1351" s="3"/>
      <c r="AS1351" s="3"/>
    </row>
    <row r="1352" spans="44:45" ht="15" x14ac:dyDescent="0.25">
      <c r="AR1352" s="3"/>
      <c r="AS1352" s="3"/>
    </row>
    <row r="1353" spans="44:45" ht="15" x14ac:dyDescent="0.25">
      <c r="AR1353" s="3"/>
      <c r="AS1353" s="3"/>
    </row>
    <row r="1354" spans="44:45" ht="15" x14ac:dyDescent="0.25">
      <c r="AR1354" s="3"/>
      <c r="AS1354" s="3"/>
    </row>
    <row r="1355" spans="44:45" ht="15" x14ac:dyDescent="0.25">
      <c r="AR1355" s="3"/>
      <c r="AS1355" s="3"/>
    </row>
    <row r="1356" spans="44:45" ht="15" x14ac:dyDescent="0.25">
      <c r="AR1356" s="3"/>
      <c r="AS1356" s="3"/>
    </row>
    <row r="1357" spans="44:45" ht="15" x14ac:dyDescent="0.25">
      <c r="AR1357" s="3"/>
      <c r="AS1357" s="3"/>
    </row>
    <row r="1358" spans="44:45" ht="15" x14ac:dyDescent="0.25">
      <c r="AR1358" s="3"/>
      <c r="AS1358" s="3"/>
    </row>
    <row r="1359" spans="44:45" ht="15" x14ac:dyDescent="0.25">
      <c r="AR1359" s="3"/>
      <c r="AS1359" s="3"/>
    </row>
    <row r="1360" spans="44:45" ht="15" x14ac:dyDescent="0.25">
      <c r="AR1360" s="3"/>
      <c r="AS1360" s="3"/>
    </row>
    <row r="1361" spans="44:45" ht="15" x14ac:dyDescent="0.25">
      <c r="AR1361" s="3"/>
      <c r="AS1361" s="3"/>
    </row>
    <row r="1362" spans="44:45" ht="15" x14ac:dyDescent="0.25">
      <c r="AR1362" s="3"/>
      <c r="AS1362" s="3"/>
    </row>
    <row r="1363" spans="44:45" ht="15" x14ac:dyDescent="0.25">
      <c r="AR1363" s="3"/>
      <c r="AS1363" s="3"/>
    </row>
    <row r="1364" spans="44:45" ht="15" x14ac:dyDescent="0.25">
      <c r="AR1364" s="3"/>
      <c r="AS1364" s="3"/>
    </row>
    <row r="1365" spans="44:45" ht="15" x14ac:dyDescent="0.25">
      <c r="AR1365" s="3"/>
      <c r="AS1365" s="3"/>
    </row>
    <row r="1366" spans="44:45" ht="15" x14ac:dyDescent="0.25">
      <c r="AR1366" s="3"/>
      <c r="AS1366" s="3"/>
    </row>
    <row r="1367" spans="44:45" ht="15" x14ac:dyDescent="0.25">
      <c r="AR1367" s="3"/>
      <c r="AS1367" s="3"/>
    </row>
    <row r="1368" spans="44:45" ht="15" x14ac:dyDescent="0.25">
      <c r="AR1368" s="3"/>
      <c r="AS1368" s="3"/>
    </row>
    <row r="1369" spans="44:45" ht="15" x14ac:dyDescent="0.25">
      <c r="AR1369" s="3"/>
      <c r="AS1369" s="3"/>
    </row>
    <row r="1370" spans="44:45" ht="15" x14ac:dyDescent="0.25">
      <c r="AR1370" s="3"/>
      <c r="AS1370" s="3"/>
    </row>
    <row r="1371" spans="44:45" ht="15" x14ac:dyDescent="0.25">
      <c r="AR1371" s="3"/>
      <c r="AS1371" s="3"/>
    </row>
    <row r="1372" spans="44:45" ht="15" x14ac:dyDescent="0.25">
      <c r="AR1372" s="3"/>
      <c r="AS1372" s="3"/>
    </row>
    <row r="1373" spans="44:45" ht="15" x14ac:dyDescent="0.25">
      <c r="AR1373" s="3"/>
      <c r="AS1373" s="3"/>
    </row>
    <row r="1374" spans="44:45" ht="15" x14ac:dyDescent="0.25">
      <c r="AR1374" s="3"/>
      <c r="AS1374" s="3"/>
    </row>
    <row r="1375" spans="44:45" ht="15" x14ac:dyDescent="0.25">
      <c r="AR1375" s="3"/>
      <c r="AS1375" s="3"/>
    </row>
    <row r="1376" spans="44:45" ht="15" x14ac:dyDescent="0.25">
      <c r="AR1376" s="3"/>
      <c r="AS1376" s="3"/>
    </row>
    <row r="1377" spans="44:45" ht="15" x14ac:dyDescent="0.25">
      <c r="AR1377" s="3"/>
      <c r="AS1377" s="3"/>
    </row>
    <row r="1378" spans="44:45" ht="15" x14ac:dyDescent="0.25">
      <c r="AR1378" s="3"/>
      <c r="AS1378" s="3"/>
    </row>
    <row r="1379" spans="44:45" ht="15" x14ac:dyDescent="0.25">
      <c r="AR1379" s="3"/>
      <c r="AS1379" s="3"/>
    </row>
    <row r="1380" spans="44:45" ht="15" x14ac:dyDescent="0.25">
      <c r="AR1380" s="3"/>
      <c r="AS1380" s="3"/>
    </row>
    <row r="1381" spans="44:45" ht="15" x14ac:dyDescent="0.25">
      <c r="AR1381" s="3"/>
      <c r="AS1381" s="3"/>
    </row>
    <row r="1382" spans="44:45" ht="15" x14ac:dyDescent="0.25">
      <c r="AR1382" s="3"/>
      <c r="AS1382" s="3"/>
    </row>
    <row r="1383" spans="44:45" ht="15" x14ac:dyDescent="0.25">
      <c r="AR1383" s="3"/>
      <c r="AS1383" s="3"/>
    </row>
    <row r="1384" spans="44:45" ht="15" x14ac:dyDescent="0.25">
      <c r="AR1384" s="3"/>
      <c r="AS1384" s="3"/>
    </row>
    <row r="1385" spans="44:45" ht="15" x14ac:dyDescent="0.25">
      <c r="AR1385" s="3"/>
      <c r="AS1385" s="3"/>
    </row>
    <row r="1386" spans="44:45" ht="15" x14ac:dyDescent="0.25">
      <c r="AR1386" s="3"/>
      <c r="AS1386" s="3"/>
    </row>
    <row r="1387" spans="44:45" ht="15" x14ac:dyDescent="0.25">
      <c r="AR1387" s="3"/>
      <c r="AS1387" s="3"/>
    </row>
    <row r="1388" spans="44:45" ht="15" x14ac:dyDescent="0.25">
      <c r="AR1388" s="3"/>
      <c r="AS1388" s="3"/>
    </row>
    <row r="1389" spans="44:45" ht="15" x14ac:dyDescent="0.25">
      <c r="AR1389" s="3"/>
      <c r="AS1389" s="3"/>
    </row>
    <row r="1390" spans="44:45" ht="15" x14ac:dyDescent="0.25">
      <c r="AR1390" s="3"/>
      <c r="AS1390" s="3"/>
    </row>
    <row r="1391" spans="44:45" ht="15" x14ac:dyDescent="0.25">
      <c r="AR1391" s="3"/>
      <c r="AS1391" s="3"/>
    </row>
    <row r="1392" spans="44:45" ht="15" x14ac:dyDescent="0.25">
      <c r="AR1392" s="3"/>
      <c r="AS1392" s="3"/>
    </row>
    <row r="1393" spans="44:45" ht="15" x14ac:dyDescent="0.25">
      <c r="AR1393" s="3"/>
      <c r="AS1393" s="3"/>
    </row>
    <row r="1394" spans="44:45" ht="15" x14ac:dyDescent="0.25">
      <c r="AR1394" s="3"/>
      <c r="AS1394" s="3"/>
    </row>
    <row r="1395" spans="44:45" ht="15" x14ac:dyDescent="0.25">
      <c r="AR1395" s="3"/>
      <c r="AS1395" s="3"/>
    </row>
    <row r="1396" spans="44:45" ht="15" x14ac:dyDescent="0.25">
      <c r="AR1396" s="3"/>
      <c r="AS1396" s="3"/>
    </row>
    <row r="1397" spans="44:45" ht="15" x14ac:dyDescent="0.25">
      <c r="AR1397" s="3"/>
      <c r="AS1397" s="3"/>
    </row>
    <row r="1398" spans="44:45" ht="15" x14ac:dyDescent="0.25">
      <c r="AR1398" s="3"/>
      <c r="AS1398" s="3"/>
    </row>
    <row r="1399" spans="44:45" ht="15" x14ac:dyDescent="0.25">
      <c r="AR1399" s="3"/>
      <c r="AS1399" s="3"/>
    </row>
    <row r="1400" spans="44:45" ht="15" x14ac:dyDescent="0.25">
      <c r="AR1400" s="3"/>
      <c r="AS1400" s="3"/>
    </row>
    <row r="1401" spans="44:45" ht="15" x14ac:dyDescent="0.25">
      <c r="AR1401" s="3"/>
      <c r="AS1401" s="3"/>
    </row>
    <row r="1402" spans="44:45" ht="15" x14ac:dyDescent="0.25">
      <c r="AR1402" s="3"/>
      <c r="AS1402" s="3"/>
    </row>
    <row r="1403" spans="44:45" ht="15" x14ac:dyDescent="0.25">
      <c r="AR1403" s="3"/>
      <c r="AS1403" s="3"/>
    </row>
    <row r="1404" spans="44:45" ht="15" x14ac:dyDescent="0.25">
      <c r="AR1404" s="3"/>
      <c r="AS1404" s="3"/>
    </row>
    <row r="1405" spans="44:45" ht="15" x14ac:dyDescent="0.25">
      <c r="AR1405" s="3"/>
      <c r="AS1405" s="3"/>
    </row>
    <row r="1406" spans="44:45" ht="15" x14ac:dyDescent="0.25">
      <c r="AR1406" s="3"/>
      <c r="AS1406" s="3"/>
    </row>
    <row r="1407" spans="44:45" ht="15" x14ac:dyDescent="0.25">
      <c r="AR1407" s="3"/>
      <c r="AS1407" s="3"/>
    </row>
    <row r="1408" spans="44:45" ht="15" x14ac:dyDescent="0.25">
      <c r="AR1408" s="3"/>
      <c r="AS1408" s="3"/>
    </row>
    <row r="1409" spans="44:45" ht="15" x14ac:dyDescent="0.25">
      <c r="AR1409" s="3"/>
      <c r="AS1409" s="3"/>
    </row>
    <row r="1410" spans="44:45" ht="15" x14ac:dyDescent="0.25">
      <c r="AR1410" s="3"/>
      <c r="AS1410" s="3"/>
    </row>
    <row r="1411" spans="44:45" ht="15" x14ac:dyDescent="0.25">
      <c r="AR1411" s="3"/>
      <c r="AS1411" s="3"/>
    </row>
    <row r="1412" spans="44:45" ht="15" x14ac:dyDescent="0.25">
      <c r="AR1412" s="3"/>
      <c r="AS1412" s="3"/>
    </row>
    <row r="1413" spans="44:45" ht="15" x14ac:dyDescent="0.25">
      <c r="AR1413" s="3"/>
      <c r="AS1413" s="3"/>
    </row>
    <row r="1414" spans="44:45" ht="15" x14ac:dyDescent="0.25">
      <c r="AR1414" s="3"/>
      <c r="AS1414" s="3"/>
    </row>
    <row r="1415" spans="44:45" ht="15" x14ac:dyDescent="0.25">
      <c r="AR1415" s="3"/>
      <c r="AS1415" s="3"/>
    </row>
    <row r="1416" spans="44:45" ht="15" x14ac:dyDescent="0.25">
      <c r="AR1416" s="3"/>
      <c r="AS1416" s="3"/>
    </row>
    <row r="1417" spans="44:45" ht="15" x14ac:dyDescent="0.25">
      <c r="AR1417" s="3"/>
      <c r="AS1417" s="3"/>
    </row>
    <row r="1418" spans="44:45" ht="15" x14ac:dyDescent="0.25">
      <c r="AR1418" s="3"/>
      <c r="AS1418" s="3"/>
    </row>
    <row r="1419" spans="44:45" ht="15" x14ac:dyDescent="0.25">
      <c r="AR1419" s="3"/>
      <c r="AS1419" s="3"/>
    </row>
    <row r="1420" spans="44:45" ht="15" x14ac:dyDescent="0.25">
      <c r="AR1420" s="3"/>
      <c r="AS1420" s="3"/>
    </row>
    <row r="1421" spans="44:45" ht="15" x14ac:dyDescent="0.25">
      <c r="AR1421" s="3"/>
      <c r="AS1421" s="3"/>
    </row>
    <row r="1422" spans="44:45" ht="15" x14ac:dyDescent="0.25">
      <c r="AR1422" s="3"/>
      <c r="AS1422" s="3"/>
    </row>
    <row r="1423" spans="44:45" ht="15" x14ac:dyDescent="0.25">
      <c r="AR1423" s="3"/>
      <c r="AS1423" s="3"/>
    </row>
    <row r="1424" spans="44:45" ht="15" x14ac:dyDescent="0.25">
      <c r="AR1424" s="3"/>
      <c r="AS1424" s="3"/>
    </row>
    <row r="1425" spans="44:45" ht="15" x14ac:dyDescent="0.25">
      <c r="AR1425" s="3"/>
      <c r="AS1425" s="3"/>
    </row>
    <row r="1426" spans="44:45" ht="15" x14ac:dyDescent="0.25">
      <c r="AR1426" s="3"/>
      <c r="AS1426" s="3"/>
    </row>
    <row r="1427" spans="44:45" ht="15" x14ac:dyDescent="0.25">
      <c r="AR1427" s="3"/>
      <c r="AS1427" s="3"/>
    </row>
    <row r="1428" spans="44:45" ht="15" x14ac:dyDescent="0.25">
      <c r="AR1428" s="3"/>
      <c r="AS1428" s="3"/>
    </row>
    <row r="1429" spans="44:45" ht="15" x14ac:dyDescent="0.25">
      <c r="AR1429" s="3"/>
      <c r="AS1429" s="3"/>
    </row>
    <row r="1430" spans="44:45" ht="15" x14ac:dyDescent="0.25">
      <c r="AR1430" s="3"/>
      <c r="AS1430" s="3"/>
    </row>
    <row r="1431" spans="44:45" ht="15" x14ac:dyDescent="0.25">
      <c r="AR1431" s="3"/>
      <c r="AS1431" s="3"/>
    </row>
    <row r="1432" spans="44:45" ht="15" x14ac:dyDescent="0.25">
      <c r="AR1432" s="3"/>
      <c r="AS1432" s="3"/>
    </row>
    <row r="1433" spans="44:45" ht="15" x14ac:dyDescent="0.25">
      <c r="AR1433" s="3"/>
      <c r="AS1433" s="3"/>
    </row>
    <row r="1434" spans="44:45" ht="15" x14ac:dyDescent="0.25">
      <c r="AR1434" s="3"/>
      <c r="AS1434" s="3"/>
    </row>
    <row r="1435" spans="44:45" ht="15" x14ac:dyDescent="0.25">
      <c r="AR1435" s="3"/>
      <c r="AS1435" s="3"/>
    </row>
    <row r="1436" spans="44:45" ht="15" x14ac:dyDescent="0.25">
      <c r="AR1436" s="3"/>
      <c r="AS1436" s="3"/>
    </row>
    <row r="1437" spans="44:45" ht="15" x14ac:dyDescent="0.25">
      <c r="AR1437" s="3"/>
      <c r="AS1437" s="3"/>
    </row>
    <row r="1438" spans="44:45" ht="15" x14ac:dyDescent="0.25">
      <c r="AR1438" s="3"/>
      <c r="AS1438" s="3"/>
    </row>
    <row r="1439" spans="44:45" ht="15" x14ac:dyDescent="0.25">
      <c r="AR1439" s="3"/>
      <c r="AS1439" s="3"/>
    </row>
    <row r="1440" spans="44:45" ht="15" x14ac:dyDescent="0.25">
      <c r="AR1440" s="3"/>
      <c r="AS1440" s="3"/>
    </row>
    <row r="1441" spans="44:45" ht="15" x14ac:dyDescent="0.25">
      <c r="AR1441" s="3"/>
      <c r="AS1441" s="3"/>
    </row>
    <row r="1442" spans="44:45" ht="15" x14ac:dyDescent="0.25">
      <c r="AR1442" s="3"/>
      <c r="AS1442" s="3"/>
    </row>
    <row r="1443" spans="44:45" ht="15" x14ac:dyDescent="0.25">
      <c r="AR1443" s="3"/>
      <c r="AS1443" s="3"/>
    </row>
    <row r="1444" spans="44:45" ht="15" x14ac:dyDescent="0.25">
      <c r="AR1444" s="3"/>
      <c r="AS1444" s="3"/>
    </row>
    <row r="1445" spans="44:45" ht="15" x14ac:dyDescent="0.25">
      <c r="AR1445" s="3"/>
      <c r="AS1445" s="3"/>
    </row>
    <row r="1446" spans="44:45" ht="15" x14ac:dyDescent="0.25">
      <c r="AR1446" s="3"/>
      <c r="AS1446" s="3"/>
    </row>
    <row r="1447" spans="44:45" ht="15" x14ac:dyDescent="0.25">
      <c r="AR1447" s="3"/>
      <c r="AS1447" s="3"/>
    </row>
    <row r="1448" spans="44:45" ht="15" x14ac:dyDescent="0.25">
      <c r="AR1448" s="3"/>
      <c r="AS1448" s="3"/>
    </row>
    <row r="1449" spans="44:45" ht="15" x14ac:dyDescent="0.25">
      <c r="AR1449" s="3"/>
      <c r="AS1449" s="3"/>
    </row>
    <row r="1450" spans="44:45" ht="15" x14ac:dyDescent="0.25">
      <c r="AR1450" s="3"/>
      <c r="AS1450" s="3"/>
    </row>
    <row r="1451" spans="44:45" ht="15" x14ac:dyDescent="0.25">
      <c r="AR1451" s="3"/>
      <c r="AS1451" s="3"/>
    </row>
    <row r="1452" spans="44:45" ht="15" x14ac:dyDescent="0.25">
      <c r="AR1452" s="3"/>
      <c r="AS1452" s="3"/>
    </row>
    <row r="1453" spans="44:45" ht="15" x14ac:dyDescent="0.25">
      <c r="AR1453" s="3"/>
      <c r="AS1453" s="3"/>
    </row>
    <row r="1454" spans="44:45" ht="15" x14ac:dyDescent="0.25">
      <c r="AR1454" s="3"/>
      <c r="AS1454" s="3"/>
    </row>
    <row r="1455" spans="44:45" ht="15" x14ac:dyDescent="0.25">
      <c r="AR1455" s="3"/>
      <c r="AS1455" s="3"/>
    </row>
    <row r="1456" spans="44:45" ht="15" x14ac:dyDescent="0.25">
      <c r="AR1456" s="3"/>
      <c r="AS1456" s="3"/>
    </row>
    <row r="1457" spans="44:45" ht="15" x14ac:dyDescent="0.25">
      <c r="AR1457" s="3"/>
      <c r="AS1457" s="3"/>
    </row>
    <row r="1458" spans="44:45" ht="15" x14ac:dyDescent="0.25">
      <c r="AR1458" s="3"/>
      <c r="AS1458" s="3"/>
    </row>
    <row r="1459" spans="44:45" ht="15" x14ac:dyDescent="0.25">
      <c r="AR1459" s="3"/>
      <c r="AS1459" s="3"/>
    </row>
    <row r="1460" spans="44:45" ht="15" x14ac:dyDescent="0.25">
      <c r="AR1460" s="3"/>
      <c r="AS1460" s="3"/>
    </row>
    <row r="1461" spans="44:45" ht="15" x14ac:dyDescent="0.25">
      <c r="AR1461" s="3"/>
      <c r="AS1461" s="3"/>
    </row>
    <row r="1462" spans="44:45" ht="15" x14ac:dyDescent="0.25">
      <c r="AR1462" s="3"/>
      <c r="AS1462" s="3"/>
    </row>
    <row r="1463" spans="44:45" ht="15" x14ac:dyDescent="0.25">
      <c r="AR1463" s="3"/>
      <c r="AS1463" s="3"/>
    </row>
    <row r="1464" spans="44:45" ht="15" x14ac:dyDescent="0.25">
      <c r="AR1464" s="3"/>
      <c r="AS1464" s="3"/>
    </row>
    <row r="1465" spans="44:45" ht="15" x14ac:dyDescent="0.25">
      <c r="AR1465" s="3"/>
      <c r="AS1465" s="3"/>
    </row>
    <row r="1466" spans="44:45" ht="15" x14ac:dyDescent="0.25">
      <c r="AR1466" s="3"/>
      <c r="AS1466" s="3"/>
    </row>
    <row r="1467" spans="44:45" ht="15" x14ac:dyDescent="0.25">
      <c r="AR1467" s="3"/>
      <c r="AS1467" s="3"/>
    </row>
    <row r="1468" spans="44:45" ht="15" x14ac:dyDescent="0.25">
      <c r="AR1468" s="3"/>
      <c r="AS1468" s="3"/>
    </row>
    <row r="1469" spans="44:45" ht="15" x14ac:dyDescent="0.25">
      <c r="AR1469" s="3"/>
      <c r="AS1469" s="3"/>
    </row>
    <row r="1470" spans="44:45" ht="15" x14ac:dyDescent="0.25">
      <c r="AR1470" s="3"/>
      <c r="AS1470" s="3"/>
    </row>
    <row r="1471" spans="44:45" ht="15" x14ac:dyDescent="0.25">
      <c r="AR1471" s="3"/>
      <c r="AS1471" s="3"/>
    </row>
    <row r="1472" spans="44:45" ht="15" x14ac:dyDescent="0.25">
      <c r="AR1472" s="3"/>
      <c r="AS1472" s="3"/>
    </row>
    <row r="1473" spans="44:45" ht="15" x14ac:dyDescent="0.25">
      <c r="AR1473" s="3"/>
      <c r="AS1473" s="3"/>
    </row>
    <row r="1474" spans="44:45" ht="15" x14ac:dyDescent="0.25">
      <c r="AR1474" s="3"/>
      <c r="AS1474" s="3"/>
    </row>
    <row r="1475" spans="44:45" ht="15" x14ac:dyDescent="0.25">
      <c r="AR1475" s="3"/>
      <c r="AS1475" s="3"/>
    </row>
    <row r="1476" spans="44:45" ht="15" x14ac:dyDescent="0.25">
      <c r="AR1476" s="3"/>
      <c r="AS1476" s="3"/>
    </row>
    <row r="1477" spans="44:45" ht="15" x14ac:dyDescent="0.25">
      <c r="AR1477" s="3"/>
      <c r="AS1477" s="3"/>
    </row>
    <row r="1478" spans="44:45" ht="15" x14ac:dyDescent="0.25">
      <c r="AR1478" s="3"/>
      <c r="AS1478" s="3"/>
    </row>
    <row r="1479" spans="44:45" ht="15" x14ac:dyDescent="0.25">
      <c r="AR1479" s="3"/>
      <c r="AS1479" s="3"/>
    </row>
    <row r="1480" spans="44:45" ht="15" x14ac:dyDescent="0.25">
      <c r="AR1480" s="3"/>
      <c r="AS1480" s="3"/>
    </row>
    <row r="1481" spans="44:45" ht="15" x14ac:dyDescent="0.25">
      <c r="AR1481" s="3"/>
      <c r="AS1481" s="3"/>
    </row>
    <row r="1482" spans="44:45" ht="15" x14ac:dyDescent="0.25">
      <c r="AR1482" s="3"/>
      <c r="AS1482" s="3"/>
    </row>
    <row r="1483" spans="44:45" ht="15" x14ac:dyDescent="0.25">
      <c r="AR1483" s="3"/>
      <c r="AS1483" s="3"/>
    </row>
    <row r="1484" spans="44:45" ht="15" x14ac:dyDescent="0.25">
      <c r="AR1484" s="3"/>
      <c r="AS1484" s="3"/>
    </row>
    <row r="1485" spans="44:45" ht="15" x14ac:dyDescent="0.25">
      <c r="AR1485" s="3"/>
      <c r="AS1485" s="3"/>
    </row>
    <row r="1486" spans="44:45" ht="15" x14ac:dyDescent="0.25">
      <c r="AR1486" s="3"/>
      <c r="AS1486" s="3"/>
    </row>
    <row r="1487" spans="44:45" ht="15" x14ac:dyDescent="0.25">
      <c r="AR1487" s="3"/>
      <c r="AS1487" s="3"/>
    </row>
    <row r="1488" spans="44:45" ht="15" x14ac:dyDescent="0.25">
      <c r="AR1488" s="3"/>
      <c r="AS1488" s="3"/>
    </row>
    <row r="1489" spans="44:45" ht="15" x14ac:dyDescent="0.25">
      <c r="AR1489" s="3"/>
      <c r="AS1489" s="3"/>
    </row>
    <row r="1490" spans="44:45" ht="15" x14ac:dyDescent="0.25">
      <c r="AR1490" s="3"/>
      <c r="AS1490" s="3"/>
    </row>
    <row r="1491" spans="44:45" ht="15" x14ac:dyDescent="0.25">
      <c r="AR1491" s="3"/>
      <c r="AS1491" s="3"/>
    </row>
    <row r="1492" spans="44:45" ht="15" x14ac:dyDescent="0.25">
      <c r="AR1492" s="3"/>
      <c r="AS1492" s="3"/>
    </row>
    <row r="1493" spans="44:45" ht="15" x14ac:dyDescent="0.25">
      <c r="AR1493" s="3"/>
      <c r="AS1493" s="3"/>
    </row>
    <row r="1494" spans="44:45" ht="15" x14ac:dyDescent="0.25">
      <c r="AR1494" s="3"/>
      <c r="AS1494" s="3"/>
    </row>
    <row r="1495" spans="44:45" ht="15" x14ac:dyDescent="0.25">
      <c r="AR1495" s="3"/>
      <c r="AS1495" s="3"/>
    </row>
    <row r="1496" spans="44:45" ht="15" x14ac:dyDescent="0.25">
      <c r="AR1496" s="3"/>
      <c r="AS1496" s="3"/>
    </row>
    <row r="1497" spans="44:45" ht="15" x14ac:dyDescent="0.25">
      <c r="AR1497" s="3"/>
      <c r="AS1497" s="3"/>
    </row>
    <row r="1498" spans="44:45" ht="15" x14ac:dyDescent="0.25">
      <c r="AR1498" s="3"/>
      <c r="AS1498" s="3"/>
    </row>
    <row r="1499" spans="44:45" ht="15" x14ac:dyDescent="0.25">
      <c r="AR1499" s="3"/>
      <c r="AS1499" s="3"/>
    </row>
    <row r="1500" spans="44:45" ht="15" x14ac:dyDescent="0.25">
      <c r="AR1500" s="3"/>
      <c r="AS1500" s="3"/>
    </row>
    <row r="1501" spans="44:45" ht="15" x14ac:dyDescent="0.25">
      <c r="AR1501" s="3"/>
      <c r="AS1501" s="3"/>
    </row>
    <row r="1502" spans="44:45" ht="15" x14ac:dyDescent="0.25">
      <c r="AR1502" s="3"/>
      <c r="AS1502" s="3"/>
    </row>
    <row r="1503" spans="44:45" ht="15" x14ac:dyDescent="0.25">
      <c r="AR1503" s="3"/>
      <c r="AS1503" s="3"/>
    </row>
    <row r="1504" spans="44:45" ht="15" x14ac:dyDescent="0.25">
      <c r="AR1504" s="3"/>
      <c r="AS1504" s="3"/>
    </row>
    <row r="1505" spans="44:45" ht="15" x14ac:dyDescent="0.25">
      <c r="AR1505" s="3"/>
      <c r="AS1505" s="3"/>
    </row>
    <row r="1506" spans="44:45" ht="15" x14ac:dyDescent="0.25">
      <c r="AR1506" s="3"/>
      <c r="AS1506" s="3"/>
    </row>
    <row r="1507" spans="44:45" ht="15" x14ac:dyDescent="0.25">
      <c r="AR1507" s="3"/>
      <c r="AS1507" s="3"/>
    </row>
    <row r="1508" spans="44:45" ht="15" x14ac:dyDescent="0.25">
      <c r="AR1508" s="3"/>
      <c r="AS1508" s="3"/>
    </row>
    <row r="1509" spans="44:45" ht="15" x14ac:dyDescent="0.25">
      <c r="AR1509" s="3"/>
      <c r="AS1509" s="3"/>
    </row>
    <row r="1510" spans="44:45" ht="15" x14ac:dyDescent="0.25">
      <c r="AR1510" s="3"/>
      <c r="AS1510" s="3"/>
    </row>
    <row r="1511" spans="44:45" ht="15" x14ac:dyDescent="0.25">
      <c r="AR1511" s="3"/>
      <c r="AS1511" s="3"/>
    </row>
    <row r="1512" spans="44:45" ht="15" x14ac:dyDescent="0.25">
      <c r="AR1512" s="3"/>
      <c r="AS1512" s="3"/>
    </row>
    <row r="1513" spans="44:45" ht="15" x14ac:dyDescent="0.25">
      <c r="AR1513" s="3"/>
      <c r="AS1513" s="3"/>
    </row>
    <row r="1514" spans="44:45" ht="15" x14ac:dyDescent="0.25">
      <c r="AR1514" s="3"/>
      <c r="AS1514" s="3"/>
    </row>
    <row r="1515" spans="44:45" ht="15" x14ac:dyDescent="0.25">
      <c r="AR1515" s="3"/>
      <c r="AS1515" s="3"/>
    </row>
    <row r="1516" spans="44:45" ht="15" x14ac:dyDescent="0.25">
      <c r="AR1516" s="3"/>
      <c r="AS1516" s="3"/>
    </row>
    <row r="1517" spans="44:45" ht="15" x14ac:dyDescent="0.25">
      <c r="AR1517" s="3"/>
      <c r="AS1517" s="3"/>
    </row>
    <row r="1518" spans="44:45" ht="15" x14ac:dyDescent="0.25">
      <c r="AR1518" s="3"/>
      <c r="AS1518" s="3"/>
    </row>
    <row r="1519" spans="44:45" ht="15" x14ac:dyDescent="0.25">
      <c r="AR1519" s="3"/>
      <c r="AS1519" s="3"/>
    </row>
    <row r="1520" spans="44:45" ht="15" x14ac:dyDescent="0.25">
      <c r="AR1520" s="3"/>
      <c r="AS1520" s="3"/>
    </row>
    <row r="1521" spans="44:45" ht="15" x14ac:dyDescent="0.25">
      <c r="AR1521" s="3"/>
      <c r="AS1521" s="3"/>
    </row>
    <row r="1522" spans="44:45" ht="15" x14ac:dyDescent="0.25">
      <c r="AR1522" s="3"/>
      <c r="AS1522" s="3"/>
    </row>
    <row r="1523" spans="44:45" ht="15" x14ac:dyDescent="0.25">
      <c r="AR1523" s="3"/>
      <c r="AS1523" s="3"/>
    </row>
    <row r="1524" spans="44:45" ht="15" x14ac:dyDescent="0.25">
      <c r="AR1524" s="3"/>
      <c r="AS1524" s="3"/>
    </row>
    <row r="1525" spans="44:45" ht="15" x14ac:dyDescent="0.25">
      <c r="AR1525" s="3"/>
      <c r="AS1525" s="3"/>
    </row>
    <row r="1526" spans="44:45" ht="15" x14ac:dyDescent="0.25">
      <c r="AR1526" s="3"/>
      <c r="AS1526" s="3"/>
    </row>
    <row r="1527" spans="44:45" ht="15" x14ac:dyDescent="0.25">
      <c r="AR1527" s="3"/>
      <c r="AS1527" s="3"/>
    </row>
    <row r="1528" spans="44:45" ht="15" x14ac:dyDescent="0.25">
      <c r="AR1528" s="3"/>
      <c r="AS1528" s="3"/>
    </row>
    <row r="1529" spans="44:45" ht="15" x14ac:dyDescent="0.25">
      <c r="AR1529" s="3"/>
      <c r="AS1529" s="3"/>
    </row>
    <row r="1530" spans="44:45" ht="15" x14ac:dyDescent="0.25">
      <c r="AR1530" s="3"/>
      <c r="AS1530" s="3"/>
    </row>
    <row r="1531" spans="44:45" ht="15" x14ac:dyDescent="0.25">
      <c r="AR1531" s="3"/>
      <c r="AS1531" s="3"/>
    </row>
    <row r="1532" spans="44:45" ht="15" x14ac:dyDescent="0.25">
      <c r="AR1532" s="3"/>
      <c r="AS1532" s="3"/>
    </row>
    <row r="1533" spans="44:45" ht="15" x14ac:dyDescent="0.25">
      <c r="AR1533" s="3"/>
      <c r="AS1533" s="3"/>
    </row>
    <row r="1534" spans="44:45" ht="15" x14ac:dyDescent="0.25">
      <c r="AR1534" s="3"/>
      <c r="AS1534" s="3"/>
    </row>
    <row r="1535" spans="44:45" ht="15" x14ac:dyDescent="0.25">
      <c r="AR1535" s="3"/>
      <c r="AS1535" s="3"/>
    </row>
    <row r="1536" spans="44:45" ht="15" x14ac:dyDescent="0.25">
      <c r="AR1536" s="3"/>
      <c r="AS1536" s="3"/>
    </row>
    <row r="1537" spans="44:45" ht="15" x14ac:dyDescent="0.25">
      <c r="AR1537" s="3"/>
      <c r="AS1537" s="3"/>
    </row>
    <row r="1538" spans="44:45" ht="15" x14ac:dyDescent="0.25">
      <c r="AR1538" s="3"/>
      <c r="AS1538" s="3"/>
    </row>
    <row r="1539" spans="44:45" ht="15" x14ac:dyDescent="0.25">
      <c r="AR1539" s="3"/>
      <c r="AS1539" s="3"/>
    </row>
    <row r="1540" spans="44:45" ht="15" x14ac:dyDescent="0.25">
      <c r="AR1540" s="3"/>
      <c r="AS1540" s="3"/>
    </row>
    <row r="1541" spans="44:45" ht="15" x14ac:dyDescent="0.25">
      <c r="AR1541" s="3"/>
      <c r="AS1541" s="3"/>
    </row>
    <row r="1542" spans="44:45" ht="15" x14ac:dyDescent="0.25">
      <c r="AR1542" s="3"/>
      <c r="AS1542" s="3"/>
    </row>
    <row r="1543" spans="44:45" ht="15" x14ac:dyDescent="0.25">
      <c r="AR1543" s="3"/>
      <c r="AS1543" s="3"/>
    </row>
    <row r="1544" spans="44:45" ht="15" x14ac:dyDescent="0.25">
      <c r="AR1544" s="3"/>
      <c r="AS1544" s="3"/>
    </row>
    <row r="1545" spans="44:45" ht="15" x14ac:dyDescent="0.25">
      <c r="AR1545" s="3"/>
      <c r="AS1545" s="3"/>
    </row>
    <row r="1546" spans="44:45" ht="15" x14ac:dyDescent="0.25">
      <c r="AR1546" s="3"/>
      <c r="AS1546" s="3"/>
    </row>
    <row r="1547" spans="44:45" ht="15" x14ac:dyDescent="0.25">
      <c r="AR1547" s="3"/>
      <c r="AS1547" s="3"/>
    </row>
    <row r="1548" spans="44:45" ht="15" x14ac:dyDescent="0.25">
      <c r="AR1548" s="3"/>
      <c r="AS1548" s="3"/>
    </row>
    <row r="1549" spans="44:45" ht="15" x14ac:dyDescent="0.25">
      <c r="AR1549" s="3"/>
      <c r="AS1549" s="3"/>
    </row>
    <row r="1550" spans="44:45" ht="15" x14ac:dyDescent="0.25">
      <c r="AR1550" s="3"/>
      <c r="AS1550" s="3"/>
    </row>
    <row r="1551" spans="44:45" ht="15" x14ac:dyDescent="0.25">
      <c r="AR1551" s="3"/>
      <c r="AS1551" s="3"/>
    </row>
    <row r="1552" spans="44:45" ht="15" x14ac:dyDescent="0.25">
      <c r="AR1552" s="3"/>
      <c r="AS1552" s="3"/>
    </row>
    <row r="1553" spans="44:45" ht="15" x14ac:dyDescent="0.25">
      <c r="AR1553" s="3"/>
      <c r="AS1553" s="3"/>
    </row>
    <row r="1554" spans="44:45" ht="15" x14ac:dyDescent="0.25">
      <c r="AR1554" s="3"/>
      <c r="AS1554" s="3"/>
    </row>
    <row r="1555" spans="44:45" ht="15" x14ac:dyDescent="0.25">
      <c r="AR1555" s="3"/>
      <c r="AS1555" s="3"/>
    </row>
    <row r="1556" spans="44:45" ht="15" x14ac:dyDescent="0.25">
      <c r="AR1556" s="3"/>
      <c r="AS1556" s="3"/>
    </row>
    <row r="1557" spans="44:45" ht="15" x14ac:dyDescent="0.25">
      <c r="AR1557" s="3"/>
      <c r="AS1557" s="3"/>
    </row>
    <row r="1558" spans="44:45" ht="15" x14ac:dyDescent="0.25">
      <c r="AR1558" s="3"/>
      <c r="AS1558" s="3"/>
    </row>
    <row r="1559" spans="44:45" ht="15" x14ac:dyDescent="0.25">
      <c r="AR1559" s="3"/>
      <c r="AS1559" s="3"/>
    </row>
    <row r="1560" spans="44:45" ht="15" x14ac:dyDescent="0.25">
      <c r="AR1560" s="3"/>
      <c r="AS1560" s="3"/>
    </row>
    <row r="1561" spans="44:45" ht="15" x14ac:dyDescent="0.25">
      <c r="AR1561" s="3"/>
      <c r="AS1561" s="3"/>
    </row>
    <row r="1562" spans="44:45" ht="15" x14ac:dyDescent="0.25">
      <c r="AR1562" s="3"/>
      <c r="AS1562" s="3"/>
    </row>
    <row r="1563" spans="44:45" ht="15" x14ac:dyDescent="0.25">
      <c r="AR1563" s="3"/>
      <c r="AS1563" s="3"/>
    </row>
    <row r="1564" spans="44:45" ht="15" x14ac:dyDescent="0.25">
      <c r="AR1564" s="3"/>
      <c r="AS1564" s="3"/>
    </row>
    <row r="1565" spans="44:45" ht="15" x14ac:dyDescent="0.25">
      <c r="AR1565" s="3"/>
      <c r="AS1565" s="3"/>
    </row>
    <row r="1566" spans="44:45" ht="15" x14ac:dyDescent="0.25">
      <c r="AR1566" s="3"/>
      <c r="AS1566" s="3"/>
    </row>
    <row r="1567" spans="44:45" ht="15" x14ac:dyDescent="0.25">
      <c r="AR1567" s="3"/>
      <c r="AS1567" s="3"/>
    </row>
    <row r="1568" spans="44:45" ht="15" x14ac:dyDescent="0.25">
      <c r="AR1568" s="3"/>
      <c r="AS1568" s="3"/>
    </row>
    <row r="1569" spans="44:45" ht="15" x14ac:dyDescent="0.25">
      <c r="AR1569" s="3"/>
      <c r="AS1569" s="3"/>
    </row>
    <row r="1570" spans="44:45" ht="15" x14ac:dyDescent="0.25">
      <c r="AR1570" s="3"/>
      <c r="AS1570" s="3"/>
    </row>
    <row r="1571" spans="44:45" ht="15" x14ac:dyDescent="0.25">
      <c r="AR1571" s="3"/>
      <c r="AS1571" s="3"/>
    </row>
    <row r="1572" spans="44:45" ht="15" x14ac:dyDescent="0.25">
      <c r="AR1572" s="3"/>
      <c r="AS1572" s="3"/>
    </row>
    <row r="1573" spans="44:45" ht="15" x14ac:dyDescent="0.25">
      <c r="AR1573" s="3"/>
      <c r="AS1573" s="3"/>
    </row>
    <row r="1574" spans="44:45" ht="15" x14ac:dyDescent="0.25">
      <c r="AR1574" s="3"/>
      <c r="AS1574" s="3"/>
    </row>
    <row r="1575" spans="44:45" ht="15" x14ac:dyDescent="0.25">
      <c r="AR1575" s="3"/>
      <c r="AS1575" s="3"/>
    </row>
    <row r="1576" spans="44:45" ht="15" x14ac:dyDescent="0.25">
      <c r="AR1576" s="3"/>
      <c r="AS1576" s="3"/>
    </row>
    <row r="1577" spans="44:45" ht="15" x14ac:dyDescent="0.25">
      <c r="AR1577" s="3"/>
      <c r="AS1577" s="3"/>
    </row>
    <row r="1578" spans="44:45" ht="15" x14ac:dyDescent="0.25">
      <c r="AR1578" s="3"/>
      <c r="AS1578" s="3"/>
    </row>
    <row r="1579" spans="44:45" ht="15" x14ac:dyDescent="0.25">
      <c r="AR1579" s="3"/>
      <c r="AS1579" s="3"/>
    </row>
    <row r="1580" spans="44:45" ht="15" x14ac:dyDescent="0.25">
      <c r="AR1580" s="3"/>
      <c r="AS1580" s="3"/>
    </row>
    <row r="1581" spans="44:45" ht="15" x14ac:dyDescent="0.25">
      <c r="AR1581" s="3"/>
      <c r="AS1581" s="3"/>
    </row>
    <row r="1582" spans="44:45" ht="15" x14ac:dyDescent="0.25">
      <c r="AR1582" s="3"/>
      <c r="AS1582" s="3"/>
    </row>
    <row r="1583" spans="44:45" ht="15" x14ac:dyDescent="0.25">
      <c r="AR1583" s="3"/>
      <c r="AS1583" s="3"/>
    </row>
    <row r="1584" spans="44:45" ht="15" x14ac:dyDescent="0.25">
      <c r="AR1584" s="3"/>
      <c r="AS1584" s="3"/>
    </row>
    <row r="1585" spans="44:45" ht="15" x14ac:dyDescent="0.25">
      <c r="AR1585" s="3"/>
      <c r="AS1585" s="3"/>
    </row>
    <row r="1586" spans="44:45" ht="15" x14ac:dyDescent="0.25">
      <c r="AR1586" s="3"/>
      <c r="AS1586" s="3"/>
    </row>
    <row r="1587" spans="44:45" ht="15" x14ac:dyDescent="0.25">
      <c r="AR1587" s="3"/>
      <c r="AS1587" s="3"/>
    </row>
    <row r="1588" spans="44:45" ht="15" x14ac:dyDescent="0.25">
      <c r="AR1588" s="3"/>
      <c r="AS1588" s="3"/>
    </row>
    <row r="1589" spans="44:45" ht="15" x14ac:dyDescent="0.25">
      <c r="AR1589" s="3"/>
      <c r="AS1589" s="3"/>
    </row>
    <row r="1590" spans="44:45" ht="15" x14ac:dyDescent="0.25">
      <c r="AR1590" s="3"/>
      <c r="AS1590" s="3"/>
    </row>
    <row r="1591" spans="44:45" ht="15" x14ac:dyDescent="0.25">
      <c r="AR1591" s="3"/>
      <c r="AS1591" s="3"/>
    </row>
    <row r="1592" spans="44:45" ht="15" x14ac:dyDescent="0.25">
      <c r="AR1592" s="3"/>
      <c r="AS1592" s="3"/>
    </row>
    <row r="1593" spans="44:45" ht="15" x14ac:dyDescent="0.25">
      <c r="AR1593" s="3"/>
      <c r="AS1593" s="3"/>
    </row>
    <row r="1594" spans="44:45" ht="15" x14ac:dyDescent="0.25">
      <c r="AR1594" s="3"/>
      <c r="AS1594" s="3"/>
    </row>
    <row r="1595" spans="44:45" ht="15" x14ac:dyDescent="0.25">
      <c r="AR1595" s="3"/>
      <c r="AS1595" s="3"/>
    </row>
    <row r="1596" spans="44:45" ht="15" x14ac:dyDescent="0.25">
      <c r="AR1596" s="3"/>
      <c r="AS1596" s="3"/>
    </row>
    <row r="1597" spans="44:45" ht="15" x14ac:dyDescent="0.25">
      <c r="AR1597" s="3"/>
      <c r="AS1597" s="3"/>
    </row>
    <row r="1598" spans="44:45" ht="15" x14ac:dyDescent="0.25">
      <c r="AR1598" s="3"/>
      <c r="AS1598" s="3"/>
    </row>
    <row r="1599" spans="44:45" ht="15" x14ac:dyDescent="0.25">
      <c r="AR1599" s="3"/>
      <c r="AS1599" s="3"/>
    </row>
    <row r="1600" spans="44:45" ht="15" x14ac:dyDescent="0.25">
      <c r="AR1600" s="3"/>
      <c r="AS1600" s="3"/>
    </row>
    <row r="1601" spans="44:45" ht="15" x14ac:dyDescent="0.25">
      <c r="AR1601" s="3"/>
      <c r="AS1601" s="3"/>
    </row>
    <row r="1602" spans="44:45" ht="15" x14ac:dyDescent="0.25">
      <c r="AR1602" s="3"/>
      <c r="AS1602" s="3"/>
    </row>
    <row r="1603" spans="44:45" ht="15" x14ac:dyDescent="0.25">
      <c r="AR1603" s="3"/>
      <c r="AS1603" s="3"/>
    </row>
    <row r="1604" spans="44:45" ht="15" x14ac:dyDescent="0.25">
      <c r="AR1604" s="3"/>
      <c r="AS1604" s="3"/>
    </row>
    <row r="1605" spans="44:45" ht="15" x14ac:dyDescent="0.25">
      <c r="AR1605" s="3"/>
      <c r="AS1605" s="3"/>
    </row>
    <row r="1606" spans="44:45" ht="15" x14ac:dyDescent="0.25">
      <c r="AR1606" s="3"/>
      <c r="AS1606" s="3"/>
    </row>
    <row r="1607" spans="44:45" ht="15" x14ac:dyDescent="0.25">
      <c r="AR1607" s="3"/>
      <c r="AS1607" s="3"/>
    </row>
    <row r="1608" spans="44:45" ht="15" x14ac:dyDescent="0.25">
      <c r="AR1608" s="3"/>
      <c r="AS1608" s="3"/>
    </row>
    <row r="1609" spans="44:45" ht="15" x14ac:dyDescent="0.25">
      <c r="AR1609" s="3"/>
      <c r="AS1609" s="3"/>
    </row>
    <row r="1610" spans="44:45" ht="15" x14ac:dyDescent="0.25">
      <c r="AR1610" s="3"/>
      <c r="AS1610" s="3"/>
    </row>
    <row r="1611" spans="44:45" ht="15" x14ac:dyDescent="0.25">
      <c r="AR1611" s="3"/>
      <c r="AS1611" s="3"/>
    </row>
    <row r="1612" spans="44:45" ht="15" x14ac:dyDescent="0.25">
      <c r="AR1612" s="3"/>
      <c r="AS1612" s="3"/>
    </row>
    <row r="1613" spans="44:45" ht="15" x14ac:dyDescent="0.25">
      <c r="AR1613" s="3"/>
      <c r="AS1613" s="3"/>
    </row>
    <row r="1614" spans="44:45" ht="15" x14ac:dyDescent="0.25">
      <c r="AR1614" s="3"/>
      <c r="AS1614" s="3"/>
    </row>
    <row r="1615" spans="44:45" ht="15" x14ac:dyDescent="0.25">
      <c r="AR1615" s="3"/>
      <c r="AS1615" s="3"/>
    </row>
    <row r="1616" spans="44:45" ht="15" x14ac:dyDescent="0.25">
      <c r="AR1616" s="3"/>
      <c r="AS1616" s="3"/>
    </row>
    <row r="1617" spans="44:45" ht="15" x14ac:dyDescent="0.25">
      <c r="AR1617" s="3"/>
      <c r="AS1617" s="3"/>
    </row>
    <row r="1618" spans="44:45" ht="15" x14ac:dyDescent="0.25">
      <c r="AR1618" s="3"/>
      <c r="AS1618" s="3"/>
    </row>
    <row r="1619" spans="44:45" ht="15" x14ac:dyDescent="0.25">
      <c r="AR1619" s="3"/>
      <c r="AS1619" s="3"/>
    </row>
    <row r="1620" spans="44:45" ht="15" x14ac:dyDescent="0.25">
      <c r="AR1620" s="3"/>
      <c r="AS1620" s="3"/>
    </row>
    <row r="1621" spans="44:45" ht="15" x14ac:dyDescent="0.25">
      <c r="AR1621" s="3"/>
      <c r="AS1621" s="3"/>
    </row>
    <row r="1622" spans="44:45" ht="15" x14ac:dyDescent="0.25">
      <c r="AR1622" s="3"/>
      <c r="AS1622" s="3"/>
    </row>
    <row r="1623" spans="44:45" ht="15" x14ac:dyDescent="0.25">
      <c r="AR1623" s="3"/>
      <c r="AS1623" s="3"/>
    </row>
    <row r="1624" spans="44:45" ht="15" x14ac:dyDescent="0.25">
      <c r="AR1624" s="3"/>
      <c r="AS1624" s="3"/>
    </row>
    <row r="1625" spans="44:45" ht="15" x14ac:dyDescent="0.25">
      <c r="AR1625" s="3"/>
      <c r="AS1625" s="3"/>
    </row>
    <row r="1626" spans="44:45" ht="15" x14ac:dyDescent="0.25">
      <c r="AR1626" s="3"/>
      <c r="AS1626" s="3"/>
    </row>
    <row r="1627" spans="44:45" ht="15" x14ac:dyDescent="0.25">
      <c r="AR1627" s="3"/>
      <c r="AS1627" s="3"/>
    </row>
    <row r="1628" spans="44:45" ht="15" x14ac:dyDescent="0.25">
      <c r="AR1628" s="3"/>
      <c r="AS1628" s="3"/>
    </row>
    <row r="1629" spans="44:45" ht="15" x14ac:dyDescent="0.25">
      <c r="AR1629" s="3"/>
      <c r="AS1629" s="3"/>
    </row>
    <row r="1630" spans="44:45" ht="15" x14ac:dyDescent="0.25">
      <c r="AR1630" s="3"/>
      <c r="AS1630" s="3"/>
    </row>
    <row r="1631" spans="44:45" ht="15" x14ac:dyDescent="0.25">
      <c r="AR1631" s="3"/>
      <c r="AS1631" s="3"/>
    </row>
    <row r="1632" spans="44:45" ht="15" x14ac:dyDescent="0.25">
      <c r="AR1632" s="3"/>
      <c r="AS1632" s="3"/>
    </row>
    <row r="1633" spans="44:45" ht="15" x14ac:dyDescent="0.25">
      <c r="AR1633" s="3"/>
      <c r="AS1633" s="3"/>
    </row>
    <row r="1634" spans="44:45" ht="15" x14ac:dyDescent="0.25">
      <c r="AR1634" s="3"/>
      <c r="AS1634" s="3"/>
    </row>
  </sheetData>
  <sheetProtection algorithmName="SHA-512" hashValue="pcRYvcyub4w/7LCmLX4ZBYrrHjaKA/X14vauG7MvdfyzJrj2d2lkve9Ed4saaRdiF8o5jn3Rpfy8qT2uHlN4ng==" saltValue="inb0ywjV3hrUjkmy3p2V6g==" spinCount="100000" sheet="1" objects="1" scenarios="1"/>
  <mergeCells count="489">
    <mergeCell ref="AR76:AR78"/>
    <mergeCell ref="AG76:AG78"/>
    <mergeCell ref="AH76:AH78"/>
    <mergeCell ref="AI76:AI78"/>
    <mergeCell ref="AJ76:AJ78"/>
    <mergeCell ref="AK76:AK78"/>
    <mergeCell ref="AL76:AL78"/>
    <mergeCell ref="AF76:AF78"/>
    <mergeCell ref="AN72:AN74"/>
    <mergeCell ref="AO72:AO74"/>
    <mergeCell ref="AP72:AP74"/>
    <mergeCell ref="AM76:AM78"/>
    <mergeCell ref="AN76:AN78"/>
    <mergeCell ref="AO76:AO78"/>
    <mergeCell ref="AP76:AP78"/>
    <mergeCell ref="AQ76:AQ78"/>
    <mergeCell ref="AQ72:AQ74"/>
    <mergeCell ref="AR72:AR74"/>
    <mergeCell ref="AL72:AL74"/>
    <mergeCell ref="AM72:AM74"/>
    <mergeCell ref="P76:P78"/>
    <mergeCell ref="Q76:Q78"/>
    <mergeCell ref="S76:S78"/>
    <mergeCell ref="T76:T78"/>
    <mergeCell ref="U76:U78"/>
    <mergeCell ref="AH72:AH74"/>
    <mergeCell ref="AI72:AI74"/>
    <mergeCell ref="AJ72:AJ74"/>
    <mergeCell ref="AK72:AK74"/>
    <mergeCell ref="AB72:AB74"/>
    <mergeCell ref="AC72:AC74"/>
    <mergeCell ref="AD72:AD74"/>
    <mergeCell ref="AE72:AE74"/>
    <mergeCell ref="AF72:AF74"/>
    <mergeCell ref="AG72:AG74"/>
    <mergeCell ref="AA76:AA78"/>
    <mergeCell ref="AB76:AB78"/>
    <mergeCell ref="AC76:AC78"/>
    <mergeCell ref="AD76:AD78"/>
    <mergeCell ref="AE76:AE78"/>
    <mergeCell ref="AM66:AM68"/>
    <mergeCell ref="AN66:AN68"/>
    <mergeCell ref="AO66:AO68"/>
    <mergeCell ref="AA66:AA68"/>
    <mergeCell ref="AB66:AB68"/>
    <mergeCell ref="AC66:AC68"/>
    <mergeCell ref="AD66:AD68"/>
    <mergeCell ref="AE66:AE68"/>
    <mergeCell ref="AF66:AF68"/>
    <mergeCell ref="AG66:AG68"/>
    <mergeCell ref="AH66:AH68"/>
    <mergeCell ref="AI66:AI68"/>
    <mergeCell ref="AJ66:AJ68"/>
    <mergeCell ref="AK66:AK68"/>
    <mergeCell ref="AL66:AL68"/>
    <mergeCell ref="F71:L71"/>
    <mergeCell ref="P72:P74"/>
    <mergeCell ref="Q72:Q74"/>
    <mergeCell ref="S72:S74"/>
    <mergeCell ref="T72:T74"/>
    <mergeCell ref="AA72:AA74"/>
    <mergeCell ref="S66:S68"/>
    <mergeCell ref="T66:T68"/>
    <mergeCell ref="U66:U68"/>
    <mergeCell ref="V66:V68"/>
    <mergeCell ref="Y66:Y68"/>
    <mergeCell ref="Z66:Z68"/>
    <mergeCell ref="M66:M68"/>
    <mergeCell ref="N66:N68"/>
    <mergeCell ref="O66:O68"/>
    <mergeCell ref="AO64:AO65"/>
    <mergeCell ref="AP64:AP65"/>
    <mergeCell ref="AQ64:AQ65"/>
    <mergeCell ref="AR64:AR65"/>
    <mergeCell ref="G66:G68"/>
    <mergeCell ref="H66:H68"/>
    <mergeCell ref="I66:I68"/>
    <mergeCell ref="J66:J68"/>
    <mergeCell ref="K66:K68"/>
    <mergeCell ref="L66:L68"/>
    <mergeCell ref="AI64:AI65"/>
    <mergeCell ref="AJ64:AJ65"/>
    <mergeCell ref="AK64:AK65"/>
    <mergeCell ref="AL64:AL65"/>
    <mergeCell ref="AM64:AM65"/>
    <mergeCell ref="AN64:AN65"/>
    <mergeCell ref="AC64:AC65"/>
    <mergeCell ref="AD64:AD65"/>
    <mergeCell ref="AE64:AE65"/>
    <mergeCell ref="AF64:AF65"/>
    <mergeCell ref="AG64:AG65"/>
    <mergeCell ref="AP66:AP68"/>
    <mergeCell ref="AQ66:AQ68"/>
    <mergeCell ref="AR66:AR68"/>
    <mergeCell ref="O64:O65"/>
    <mergeCell ref="P64:P65"/>
    <mergeCell ref="Q64:Q65"/>
    <mergeCell ref="R64:R65"/>
    <mergeCell ref="S64:S65"/>
    <mergeCell ref="T64:T65"/>
    <mergeCell ref="P66:P68"/>
    <mergeCell ref="Q66:Q68"/>
    <mergeCell ref="R66:R68"/>
    <mergeCell ref="M64:M65"/>
    <mergeCell ref="N64:N65"/>
    <mergeCell ref="AO56:AO63"/>
    <mergeCell ref="AP56:AP63"/>
    <mergeCell ref="AQ56:AQ63"/>
    <mergeCell ref="AB56:AB63"/>
    <mergeCell ref="V60:V62"/>
    <mergeCell ref="M56:M58"/>
    <mergeCell ref="N56:N58"/>
    <mergeCell ref="O56:O58"/>
    <mergeCell ref="P56:P63"/>
    <mergeCell ref="Q56:Q63"/>
    <mergeCell ref="R56:R58"/>
    <mergeCell ref="M60:M62"/>
    <mergeCell ref="N60:N62"/>
    <mergeCell ref="O60:O62"/>
    <mergeCell ref="R60:R62"/>
    <mergeCell ref="AH64:AH65"/>
    <mergeCell ref="U64:U65"/>
    <mergeCell ref="V64:V65"/>
    <mergeCell ref="Y64:Y65"/>
    <mergeCell ref="Z64:Z65"/>
    <mergeCell ref="AA64:AA65"/>
    <mergeCell ref="AB64:AB65"/>
    <mergeCell ref="AR56:AR63"/>
    <mergeCell ref="G60:G62"/>
    <mergeCell ref="H60:H62"/>
    <mergeCell ref="I60:I62"/>
    <mergeCell ref="J60:J62"/>
    <mergeCell ref="K60:K62"/>
    <mergeCell ref="L60:L62"/>
    <mergeCell ref="AI56:AI63"/>
    <mergeCell ref="AJ56:AJ63"/>
    <mergeCell ref="AK56:AK63"/>
    <mergeCell ref="AL56:AL63"/>
    <mergeCell ref="AM56:AM63"/>
    <mergeCell ref="AN56:AN63"/>
    <mergeCell ref="AC56:AC63"/>
    <mergeCell ref="AD56:AD63"/>
    <mergeCell ref="AE56:AE63"/>
    <mergeCell ref="AF56:AF63"/>
    <mergeCell ref="AG56:AG63"/>
    <mergeCell ref="AH56:AH63"/>
    <mergeCell ref="S56:S63"/>
    <mergeCell ref="T56:T63"/>
    <mergeCell ref="U56:U63"/>
    <mergeCell ref="V56:V58"/>
    <mergeCell ref="AA56:AA63"/>
    <mergeCell ref="F55:L55"/>
    <mergeCell ref="E56:F68"/>
    <mergeCell ref="G56:G58"/>
    <mergeCell ref="H56:H58"/>
    <mergeCell ref="I56:I58"/>
    <mergeCell ref="J56:J58"/>
    <mergeCell ref="K56:K58"/>
    <mergeCell ref="L56:L58"/>
    <mergeCell ref="G64:G65"/>
    <mergeCell ref="H64:H65"/>
    <mergeCell ref="I64:I65"/>
    <mergeCell ref="J64:J65"/>
    <mergeCell ref="K64:K65"/>
    <mergeCell ref="L64:L65"/>
    <mergeCell ref="AM53:AM54"/>
    <mergeCell ref="AN53:AN54"/>
    <mergeCell ref="AO53:AO54"/>
    <mergeCell ref="AP53:AP54"/>
    <mergeCell ref="AQ53:AQ54"/>
    <mergeCell ref="AR53:AR54"/>
    <mergeCell ref="AG53:AG54"/>
    <mergeCell ref="AH53:AH54"/>
    <mergeCell ref="AI53:AI54"/>
    <mergeCell ref="AJ53:AJ54"/>
    <mergeCell ref="AK53:AK54"/>
    <mergeCell ref="AL53:AL54"/>
    <mergeCell ref="AA53:AA54"/>
    <mergeCell ref="AB53:AB54"/>
    <mergeCell ref="AC53:AC54"/>
    <mergeCell ref="AD53:AD54"/>
    <mergeCell ref="AE53:AE54"/>
    <mergeCell ref="AF53:AF54"/>
    <mergeCell ref="Q53:Q54"/>
    <mergeCell ref="S53:S54"/>
    <mergeCell ref="T53:T54"/>
    <mergeCell ref="U53:U54"/>
    <mergeCell ref="Y53:Y54"/>
    <mergeCell ref="Z53:Z54"/>
    <mergeCell ref="AP48:AP49"/>
    <mergeCell ref="AQ48:AQ49"/>
    <mergeCell ref="AR48:AR49"/>
    <mergeCell ref="B50:H50"/>
    <mergeCell ref="A51:B78"/>
    <mergeCell ref="D51:K51"/>
    <mergeCell ref="C52:D78"/>
    <mergeCell ref="F52:L52"/>
    <mergeCell ref="E53:F54"/>
    <mergeCell ref="P53:P54"/>
    <mergeCell ref="AJ48:AJ49"/>
    <mergeCell ref="AK48:AK49"/>
    <mergeCell ref="AL48:AL49"/>
    <mergeCell ref="AM48:AM49"/>
    <mergeCell ref="AN48:AN49"/>
    <mergeCell ref="AO48:AO49"/>
    <mergeCell ref="AD48:AD49"/>
    <mergeCell ref="AE48:AE49"/>
    <mergeCell ref="AF48:AF49"/>
    <mergeCell ref="AG48:AG49"/>
    <mergeCell ref="AH48:AH49"/>
    <mergeCell ref="AI48:AI49"/>
    <mergeCell ref="S48:S49"/>
    <mergeCell ref="T48:T49"/>
    <mergeCell ref="U48:U49"/>
    <mergeCell ref="AA48:AA49"/>
    <mergeCell ref="AB48:AB49"/>
    <mergeCell ref="AC48:AC49"/>
    <mergeCell ref="U43:U44"/>
    <mergeCell ref="V43:V44"/>
    <mergeCell ref="Y43:Y44"/>
    <mergeCell ref="Z43:Z44"/>
    <mergeCell ref="D46:J46"/>
    <mergeCell ref="C47:D49"/>
    <mergeCell ref="F47:L47"/>
    <mergeCell ref="E48:F49"/>
    <mergeCell ref="P48:P49"/>
    <mergeCell ref="Q48:Q49"/>
    <mergeCell ref="K43:K44"/>
    <mergeCell ref="L43:L44"/>
    <mergeCell ref="M43:M44"/>
    <mergeCell ref="N43:N44"/>
    <mergeCell ref="O43:O44"/>
    <mergeCell ref="R43:R44"/>
    <mergeCell ref="AA42:AA45"/>
    <mergeCell ref="AB42:AB45"/>
    <mergeCell ref="AC42:AC45"/>
    <mergeCell ref="AM42:AM45"/>
    <mergeCell ref="AN42:AN45"/>
    <mergeCell ref="AO42:AO45"/>
    <mergeCell ref="AP42:AP45"/>
    <mergeCell ref="AQ42:AQ45"/>
    <mergeCell ref="AR42:AR45"/>
    <mergeCell ref="AG42:AG45"/>
    <mergeCell ref="AH42:AH45"/>
    <mergeCell ref="AI42:AI45"/>
    <mergeCell ref="AJ42:AJ45"/>
    <mergeCell ref="AK42:AK45"/>
    <mergeCell ref="AL42:AL45"/>
    <mergeCell ref="F34:M34"/>
    <mergeCell ref="E35:F35"/>
    <mergeCell ref="F36:L36"/>
    <mergeCell ref="E37:F37"/>
    <mergeCell ref="F38:L38"/>
    <mergeCell ref="E39:F40"/>
    <mergeCell ref="AD42:AD45"/>
    <mergeCell ref="AE42:AE45"/>
    <mergeCell ref="AF42:AF45"/>
    <mergeCell ref="F41:L41"/>
    <mergeCell ref="E42:F45"/>
    <mergeCell ref="P42:P45"/>
    <mergeCell ref="Q42:Q45"/>
    <mergeCell ref="S42:S45"/>
    <mergeCell ref="T42:T45"/>
    <mergeCell ref="G43:G44"/>
    <mergeCell ref="H43:H44"/>
    <mergeCell ref="I43:I44"/>
    <mergeCell ref="J43:J44"/>
    <mergeCell ref="AR32:AR33"/>
    <mergeCell ref="AG32:AG33"/>
    <mergeCell ref="AH32:AH33"/>
    <mergeCell ref="AI32:AI33"/>
    <mergeCell ref="AJ32:AJ33"/>
    <mergeCell ref="AK32:AK33"/>
    <mergeCell ref="AL32:AL33"/>
    <mergeCell ref="P39:P40"/>
    <mergeCell ref="Q39:Q40"/>
    <mergeCell ref="S39:S40"/>
    <mergeCell ref="T39:T40"/>
    <mergeCell ref="AQ39:AQ40"/>
    <mergeCell ref="AR39:AR40"/>
    <mergeCell ref="AA32:AA33"/>
    <mergeCell ref="AB32:AB33"/>
    <mergeCell ref="AC32:AC33"/>
    <mergeCell ref="AD32:AD33"/>
    <mergeCell ref="AE32:AE33"/>
    <mergeCell ref="AF32:AF33"/>
    <mergeCell ref="AO29:AO30"/>
    <mergeCell ref="AP29:AP30"/>
    <mergeCell ref="AQ29:AQ30"/>
    <mergeCell ref="AA29:AA30"/>
    <mergeCell ref="AM32:AM33"/>
    <mergeCell ref="AN32:AN33"/>
    <mergeCell ref="AO32:AO33"/>
    <mergeCell ref="AP32:AP33"/>
    <mergeCell ref="AQ32:AQ33"/>
    <mergeCell ref="AO25:AO26"/>
    <mergeCell ref="AP25:AP26"/>
    <mergeCell ref="AQ25:AQ26"/>
    <mergeCell ref="AR29:AR30"/>
    <mergeCell ref="F31:M31"/>
    <mergeCell ref="E32:F33"/>
    <mergeCell ref="P32:P33"/>
    <mergeCell ref="Q32:Q33"/>
    <mergeCell ref="S32:S33"/>
    <mergeCell ref="T32:T33"/>
    <mergeCell ref="AH29:AH30"/>
    <mergeCell ref="AI29:AI30"/>
    <mergeCell ref="AK29:AK30"/>
    <mergeCell ref="AL29:AL30"/>
    <mergeCell ref="AM29:AM30"/>
    <mergeCell ref="AN29:AN30"/>
    <mergeCell ref="AB29:AB30"/>
    <mergeCell ref="AC29:AC30"/>
    <mergeCell ref="AD29:AD30"/>
    <mergeCell ref="AE29:AE30"/>
    <mergeCell ref="AF29:AF30"/>
    <mergeCell ref="AG29:AG30"/>
    <mergeCell ref="R29:R30"/>
    <mergeCell ref="S29:S30"/>
    <mergeCell ref="AL25:AL26"/>
    <mergeCell ref="AM25:AM26"/>
    <mergeCell ref="AN25:AN26"/>
    <mergeCell ref="AC25:AC26"/>
    <mergeCell ref="AD25:AD26"/>
    <mergeCell ref="AE25:AE26"/>
    <mergeCell ref="AF25:AF26"/>
    <mergeCell ref="AG25:AG26"/>
    <mergeCell ref="AH25:AH26"/>
    <mergeCell ref="E29:F30"/>
    <mergeCell ref="G29:G30"/>
    <mergeCell ref="H29:H30"/>
    <mergeCell ref="I29:I30"/>
    <mergeCell ref="J29:J30"/>
    <mergeCell ref="K29:K30"/>
    <mergeCell ref="AI25:AI26"/>
    <mergeCell ref="AJ25:AJ26"/>
    <mergeCell ref="AK25:AK26"/>
    <mergeCell ref="L29:L30"/>
    <mergeCell ref="M29:M30"/>
    <mergeCell ref="N29:N30"/>
    <mergeCell ref="O29:O30"/>
    <mergeCell ref="P29:P30"/>
    <mergeCell ref="Q29:Q30"/>
    <mergeCell ref="T29:T30"/>
    <mergeCell ref="U29:U30"/>
    <mergeCell ref="V29:V30"/>
    <mergeCell ref="AP22:AP24"/>
    <mergeCell ref="AQ22:AQ24"/>
    <mergeCell ref="AR22:AR24"/>
    <mergeCell ref="P25:P26"/>
    <mergeCell ref="Q25:Q26"/>
    <mergeCell ref="S25:S26"/>
    <mergeCell ref="T25:T26"/>
    <mergeCell ref="AA25:AA26"/>
    <mergeCell ref="AB25:AB26"/>
    <mergeCell ref="AI22:AI24"/>
    <mergeCell ref="AJ22:AJ24"/>
    <mergeCell ref="AK22:AK24"/>
    <mergeCell ref="AL22:AL24"/>
    <mergeCell ref="AM22:AM24"/>
    <mergeCell ref="AN22:AN24"/>
    <mergeCell ref="AC22:AC24"/>
    <mergeCell ref="AD22:AD24"/>
    <mergeCell ref="AE22:AE24"/>
    <mergeCell ref="AF22:AF24"/>
    <mergeCell ref="AG22:AG24"/>
    <mergeCell ref="AH22:AH24"/>
    <mergeCell ref="S22:S24"/>
    <mergeCell ref="T22:T24"/>
    <mergeCell ref="AR25:AR26"/>
    <mergeCell ref="AA22:AA24"/>
    <mergeCell ref="AB22:AB24"/>
    <mergeCell ref="M22:M23"/>
    <mergeCell ref="N22:N23"/>
    <mergeCell ref="O22:O23"/>
    <mergeCell ref="P22:P24"/>
    <mergeCell ref="Q22:Q24"/>
    <mergeCell ref="R22:R24"/>
    <mergeCell ref="AO22:AO24"/>
    <mergeCell ref="AP17:AP21"/>
    <mergeCell ref="AQ17:AQ21"/>
    <mergeCell ref="AR17:AR21"/>
    <mergeCell ref="G22:G24"/>
    <mergeCell ref="H22:H24"/>
    <mergeCell ref="I22:I24"/>
    <mergeCell ref="J22:J24"/>
    <mergeCell ref="K22:K23"/>
    <mergeCell ref="L22:L23"/>
    <mergeCell ref="AI17:AI21"/>
    <mergeCell ref="AJ17:AJ21"/>
    <mergeCell ref="AK17:AK21"/>
    <mergeCell ref="AL17:AL21"/>
    <mergeCell ref="AM17:AM21"/>
    <mergeCell ref="AN17:AN21"/>
    <mergeCell ref="AC17:AC21"/>
    <mergeCell ref="AD17:AD21"/>
    <mergeCell ref="AE17:AE21"/>
    <mergeCell ref="AF17:AF21"/>
    <mergeCell ref="AG17:AG21"/>
    <mergeCell ref="AH17:AH21"/>
    <mergeCell ref="S17:S21"/>
    <mergeCell ref="T17:T21"/>
    <mergeCell ref="U22:U24"/>
    <mergeCell ref="AA17:AA21"/>
    <mergeCell ref="AB17:AB21"/>
    <mergeCell ref="M17:M19"/>
    <mergeCell ref="N17:N19"/>
    <mergeCell ref="O17:O19"/>
    <mergeCell ref="P17:P21"/>
    <mergeCell ref="Q17:Q21"/>
    <mergeCell ref="R17:R19"/>
    <mergeCell ref="AO17:AO21"/>
    <mergeCell ref="AO12:AO16"/>
    <mergeCell ref="AP12:AP16"/>
    <mergeCell ref="AQ12:AQ16"/>
    <mergeCell ref="V15:V16"/>
    <mergeCell ref="O12:O13"/>
    <mergeCell ref="P12:P16"/>
    <mergeCell ref="Q12:Q16"/>
    <mergeCell ref="R12:R13"/>
    <mergeCell ref="S12:S16"/>
    <mergeCell ref="T12:T16"/>
    <mergeCell ref="O15:O16"/>
    <mergeCell ref="R15:R16"/>
    <mergeCell ref="AR12:AR16"/>
    <mergeCell ref="I15:I16"/>
    <mergeCell ref="J15:J16"/>
    <mergeCell ref="K15:K16"/>
    <mergeCell ref="L15:L16"/>
    <mergeCell ref="M15:M16"/>
    <mergeCell ref="N15:N16"/>
    <mergeCell ref="AI12:AI16"/>
    <mergeCell ref="AJ12:AJ16"/>
    <mergeCell ref="AK12:AK16"/>
    <mergeCell ref="AL12:AL16"/>
    <mergeCell ref="AM12:AM16"/>
    <mergeCell ref="AN12:AN16"/>
    <mergeCell ref="AC12:AC16"/>
    <mergeCell ref="AD12:AD16"/>
    <mergeCell ref="AE12:AE16"/>
    <mergeCell ref="AF12:AF16"/>
    <mergeCell ref="AG12:AG16"/>
    <mergeCell ref="AH12:AH16"/>
    <mergeCell ref="U12:U13"/>
    <mergeCell ref="V12:V13"/>
    <mergeCell ref="AA12:AA16"/>
    <mergeCell ref="AB12:AB16"/>
    <mergeCell ref="U15:U16"/>
    <mergeCell ref="B9:E9"/>
    <mergeCell ref="A10:B49"/>
    <mergeCell ref="D10:H10"/>
    <mergeCell ref="C11:D45"/>
    <mergeCell ref="F11:L11"/>
    <mergeCell ref="E12:F27"/>
    <mergeCell ref="G12:G13"/>
    <mergeCell ref="H12:H13"/>
    <mergeCell ref="X7:Z7"/>
    <mergeCell ref="G17:G19"/>
    <mergeCell ref="H17:H19"/>
    <mergeCell ref="I17:I19"/>
    <mergeCell ref="J17:J19"/>
    <mergeCell ref="K17:K19"/>
    <mergeCell ref="L17:L19"/>
    <mergeCell ref="I12:I13"/>
    <mergeCell ref="J12:J13"/>
    <mergeCell ref="K12:K13"/>
    <mergeCell ref="L12:L13"/>
    <mergeCell ref="M12:M13"/>
    <mergeCell ref="N12:N13"/>
    <mergeCell ref="U17:U19"/>
    <mergeCell ref="V17:V19"/>
    <mergeCell ref="V22:V23"/>
    <mergeCell ref="A1:AP1"/>
    <mergeCell ref="A5:O6"/>
    <mergeCell ref="P5:AR5"/>
    <mergeCell ref="AA6:AO6"/>
    <mergeCell ref="A7:B7"/>
    <mergeCell ref="C7:D7"/>
    <mergeCell ref="E7:F7"/>
    <mergeCell ref="G7:J7"/>
    <mergeCell ref="K7:N7"/>
    <mergeCell ref="O7:W7"/>
    <mergeCell ref="AQ7:AQ8"/>
    <mergeCell ref="AR7:AR8"/>
    <mergeCell ref="AA7:AB7"/>
    <mergeCell ref="AC7:AF7"/>
    <mergeCell ref="AG7:AL7"/>
    <mergeCell ref="AM7:AO7"/>
    <mergeCell ref="AP7:AP8"/>
  </mergeCells>
  <conditionalFormatting sqref="K14">
    <cfRule type="duplicateValues" dxfId="54" priority="42"/>
  </conditionalFormatting>
  <conditionalFormatting sqref="K15">
    <cfRule type="duplicateValues" dxfId="53" priority="41"/>
  </conditionalFormatting>
  <conditionalFormatting sqref="K17">
    <cfRule type="duplicateValues" dxfId="52" priority="40"/>
  </conditionalFormatting>
  <conditionalFormatting sqref="K20">
    <cfRule type="duplicateValues" dxfId="51" priority="39"/>
  </conditionalFormatting>
  <conditionalFormatting sqref="K21">
    <cfRule type="duplicateValues" dxfId="50" priority="36"/>
  </conditionalFormatting>
  <conditionalFormatting sqref="K21">
    <cfRule type="duplicateValues" dxfId="49" priority="37"/>
  </conditionalFormatting>
  <conditionalFormatting sqref="K21">
    <cfRule type="duplicateValues" dxfId="48" priority="38"/>
  </conditionalFormatting>
  <conditionalFormatting sqref="K26">
    <cfRule type="duplicateValues" dxfId="47" priority="34"/>
  </conditionalFormatting>
  <conditionalFormatting sqref="K26">
    <cfRule type="duplicateValues" dxfId="46" priority="35"/>
  </conditionalFormatting>
  <conditionalFormatting sqref="K27">
    <cfRule type="duplicateValues" dxfId="45" priority="32"/>
  </conditionalFormatting>
  <conditionalFormatting sqref="K27">
    <cfRule type="duplicateValues" dxfId="44" priority="33"/>
  </conditionalFormatting>
  <conditionalFormatting sqref="K29">
    <cfRule type="duplicateValues" dxfId="43" priority="30"/>
  </conditionalFormatting>
  <conditionalFormatting sqref="K29">
    <cfRule type="duplicateValues" dxfId="42" priority="31"/>
  </conditionalFormatting>
  <conditionalFormatting sqref="K39">
    <cfRule type="duplicateValues" dxfId="41" priority="28"/>
  </conditionalFormatting>
  <conditionalFormatting sqref="K39">
    <cfRule type="duplicateValues" dxfId="40" priority="29"/>
  </conditionalFormatting>
  <conditionalFormatting sqref="K40">
    <cfRule type="duplicateValues" dxfId="39" priority="26"/>
  </conditionalFormatting>
  <conditionalFormatting sqref="K40">
    <cfRule type="duplicateValues" dxfId="38" priority="27"/>
  </conditionalFormatting>
  <conditionalFormatting sqref="K42">
    <cfRule type="duplicateValues" dxfId="37" priority="24"/>
  </conditionalFormatting>
  <conditionalFormatting sqref="K42">
    <cfRule type="duplicateValues" dxfId="36" priority="25"/>
  </conditionalFormatting>
  <conditionalFormatting sqref="K43">
    <cfRule type="duplicateValues" dxfId="35" priority="22"/>
  </conditionalFormatting>
  <conditionalFormatting sqref="K43">
    <cfRule type="duplicateValues" dxfId="34" priority="23"/>
  </conditionalFormatting>
  <conditionalFormatting sqref="M14">
    <cfRule type="duplicateValues" dxfId="33" priority="21"/>
  </conditionalFormatting>
  <conditionalFormatting sqref="M15">
    <cfRule type="duplicateValues" dxfId="32" priority="20"/>
  </conditionalFormatting>
  <conditionalFormatting sqref="M17">
    <cfRule type="duplicateValues" dxfId="31" priority="19"/>
  </conditionalFormatting>
  <conditionalFormatting sqref="M20">
    <cfRule type="duplicateValues" dxfId="30" priority="18"/>
  </conditionalFormatting>
  <conditionalFormatting sqref="M21">
    <cfRule type="duplicateValues" dxfId="29" priority="15"/>
  </conditionalFormatting>
  <conditionalFormatting sqref="M21">
    <cfRule type="duplicateValues" dxfId="28" priority="16"/>
  </conditionalFormatting>
  <conditionalFormatting sqref="M21">
    <cfRule type="duplicateValues" dxfId="27" priority="17"/>
  </conditionalFormatting>
  <conditionalFormatting sqref="M26">
    <cfRule type="duplicateValues" dxfId="26" priority="13"/>
  </conditionalFormatting>
  <conditionalFormatting sqref="M26">
    <cfRule type="duplicateValues" dxfId="25" priority="14"/>
  </conditionalFormatting>
  <conditionalFormatting sqref="M27">
    <cfRule type="duplicateValues" dxfId="24" priority="11"/>
  </conditionalFormatting>
  <conditionalFormatting sqref="M27">
    <cfRule type="duplicateValues" dxfId="23" priority="12"/>
  </conditionalFormatting>
  <conditionalFormatting sqref="M29">
    <cfRule type="duplicateValues" dxfId="22" priority="9"/>
  </conditionalFormatting>
  <conditionalFormatting sqref="M29">
    <cfRule type="duplicateValues" dxfId="21" priority="10"/>
  </conditionalFormatting>
  <conditionalFormatting sqref="M39">
    <cfRule type="duplicateValues" dxfId="20" priority="7"/>
  </conditionalFormatting>
  <conditionalFormatting sqref="M39">
    <cfRule type="duplicateValues" dxfId="19" priority="8"/>
  </conditionalFormatting>
  <conditionalFormatting sqref="M40">
    <cfRule type="duplicateValues" dxfId="18" priority="5"/>
  </conditionalFormatting>
  <conditionalFormatting sqref="M40">
    <cfRule type="duplicateValues" dxfId="17" priority="6"/>
  </conditionalFormatting>
  <conditionalFormatting sqref="M42">
    <cfRule type="duplicateValues" dxfId="16" priority="3"/>
  </conditionalFormatting>
  <conditionalFormatting sqref="M42">
    <cfRule type="duplicateValues" dxfId="15" priority="4"/>
  </conditionalFormatting>
  <conditionalFormatting sqref="M43">
    <cfRule type="duplicateValues" dxfId="14" priority="1"/>
  </conditionalFormatting>
  <conditionalFormatting sqref="M43">
    <cfRule type="duplicateValues" dxfId="13" priority="2"/>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1:BM26"/>
  <sheetViews>
    <sheetView showGridLines="0" zoomScale="70" zoomScaleNormal="70" workbookViewId="0">
      <selection sqref="A1:AQ4"/>
    </sheetView>
  </sheetViews>
  <sheetFormatPr baseColWidth="10" defaultColWidth="11.42578125" defaultRowHeight="27" customHeight="1" x14ac:dyDescent="0.25"/>
  <cols>
    <col min="1" max="1" width="17.5703125" style="132" customWidth="1"/>
    <col min="2" max="4" width="11.42578125" style="4" customWidth="1"/>
    <col min="5" max="5" width="11.28515625" style="4" customWidth="1"/>
    <col min="6" max="6" width="12" style="4" customWidth="1"/>
    <col min="7" max="7" width="16" style="4" customWidth="1"/>
    <col min="8" max="8" width="29.7109375" style="119" customWidth="1"/>
    <col min="9" max="9" width="18.5703125" style="3" customWidth="1"/>
    <col min="10" max="10" width="26" style="119" customWidth="1"/>
    <col min="11" max="11" width="13" style="3" customWidth="1"/>
    <col min="12" max="12" width="35" style="119" customWidth="1"/>
    <col min="13" max="13" width="20.85546875" style="3" customWidth="1"/>
    <col min="14" max="14" width="31.85546875" style="119" customWidth="1"/>
    <col min="15" max="15" width="18" style="3" customWidth="1"/>
    <col min="16" max="16" width="22.5703125" style="3" customWidth="1"/>
    <col min="17" max="17" width="40.7109375" style="119" customWidth="1"/>
    <col min="18" max="18" width="13.42578125" style="121" customWidth="1"/>
    <col min="19" max="19" width="25.5703125" style="128" customWidth="1"/>
    <col min="20" max="20" width="49.5703125" style="119" customWidth="1"/>
    <col min="21" max="21" width="39.5703125" style="119" customWidth="1"/>
    <col min="22" max="22" width="29.7109375" style="119" customWidth="1"/>
    <col min="23" max="23" width="25.7109375" style="128" customWidth="1"/>
    <col min="24" max="24" width="53.42578125" style="128" customWidth="1"/>
    <col min="25" max="25" width="11.7109375" style="124" customWidth="1"/>
    <col min="26" max="26" width="18.28515625" style="3" customWidth="1"/>
    <col min="27" max="27" width="13" style="4" customWidth="1"/>
    <col min="28" max="28" width="12.140625" style="4" customWidth="1"/>
    <col min="29" max="29" width="9.28515625" style="4" customWidth="1"/>
    <col min="30" max="30" width="11.28515625" style="4" customWidth="1"/>
    <col min="31" max="31" width="11" style="4" customWidth="1"/>
    <col min="32" max="32" width="9.5703125" style="4" customWidth="1"/>
    <col min="33" max="33" width="8.85546875" style="4" customWidth="1"/>
    <col min="34" max="34" width="9.5703125" style="4" customWidth="1"/>
    <col min="35" max="35" width="7.28515625" style="4" customWidth="1"/>
    <col min="36" max="38" width="8.28515625" style="4" customWidth="1"/>
    <col min="39" max="39" width="8.5703125" style="4" customWidth="1"/>
    <col min="40" max="40" width="8.42578125" style="4" customWidth="1"/>
    <col min="41" max="41" width="11.140625" style="4" customWidth="1"/>
    <col min="42" max="42" width="15.140625" style="4" customWidth="1"/>
    <col min="43" max="43" width="14.42578125" style="134" customWidth="1"/>
    <col min="44" max="44" width="16.5703125" style="134" customWidth="1"/>
    <col min="45" max="45" width="26.28515625" style="4" customWidth="1"/>
    <col min="46" max="16384" width="11.42578125" style="4"/>
  </cols>
  <sheetData>
    <row r="1" spans="1:65" ht="15.75" customHeight="1" x14ac:dyDescent="0.25">
      <c r="A1" s="3276" t="s">
        <v>348</v>
      </c>
      <c r="B1" s="2235"/>
      <c r="C1" s="2235"/>
      <c r="D1" s="2235"/>
      <c r="E1" s="2235"/>
      <c r="F1" s="2235"/>
      <c r="G1" s="2235"/>
      <c r="H1" s="2235"/>
      <c r="I1" s="2235"/>
      <c r="J1" s="2235"/>
      <c r="K1" s="2235"/>
      <c r="L1" s="2235"/>
      <c r="M1" s="2235"/>
      <c r="N1" s="2235"/>
      <c r="O1" s="2235"/>
      <c r="P1" s="2235"/>
      <c r="Q1" s="2235"/>
      <c r="R1" s="2235"/>
      <c r="S1" s="2235"/>
      <c r="T1" s="2235"/>
      <c r="U1" s="2235"/>
      <c r="V1" s="2235"/>
      <c r="W1" s="2235"/>
      <c r="X1" s="2235"/>
      <c r="Y1" s="2235"/>
      <c r="Z1" s="2235"/>
      <c r="AA1" s="2235"/>
      <c r="AB1" s="2235"/>
      <c r="AC1" s="2235"/>
      <c r="AD1" s="2235"/>
      <c r="AE1" s="2235"/>
      <c r="AF1" s="2235"/>
      <c r="AG1" s="2235"/>
      <c r="AH1" s="2235"/>
      <c r="AI1" s="2235"/>
      <c r="AJ1" s="2235"/>
      <c r="AK1" s="2235"/>
      <c r="AL1" s="2235"/>
      <c r="AM1" s="2235"/>
      <c r="AN1" s="2235"/>
      <c r="AO1" s="2235"/>
      <c r="AP1" s="2235"/>
      <c r="AQ1" s="2235"/>
      <c r="AR1" s="11" t="s">
        <v>1</v>
      </c>
      <c r="AS1" s="381" t="s">
        <v>2</v>
      </c>
      <c r="AT1" s="3"/>
      <c r="AU1" s="3"/>
      <c r="AV1" s="3"/>
      <c r="AW1" s="3"/>
      <c r="AX1" s="3"/>
      <c r="AY1" s="3"/>
      <c r="AZ1" s="3"/>
      <c r="BA1" s="3"/>
      <c r="BB1" s="3"/>
      <c r="BC1" s="3"/>
      <c r="BD1" s="3"/>
      <c r="BE1" s="3"/>
      <c r="BF1" s="3"/>
      <c r="BG1" s="3"/>
      <c r="BH1" s="3"/>
      <c r="BI1" s="3"/>
      <c r="BJ1" s="3"/>
      <c r="BK1" s="3"/>
      <c r="BL1" s="3"/>
      <c r="BM1" s="3"/>
    </row>
    <row r="2" spans="1:65" ht="15.75" x14ac:dyDescent="0.25">
      <c r="A2" s="3276"/>
      <c r="B2" s="2235"/>
      <c r="C2" s="2235"/>
      <c r="D2" s="2235"/>
      <c r="E2" s="2235"/>
      <c r="F2" s="2235"/>
      <c r="G2" s="2235"/>
      <c r="H2" s="2235"/>
      <c r="I2" s="2235"/>
      <c r="J2" s="2235"/>
      <c r="K2" s="2235"/>
      <c r="L2" s="2235"/>
      <c r="M2" s="2235"/>
      <c r="N2" s="2235"/>
      <c r="O2" s="2235"/>
      <c r="P2" s="2235"/>
      <c r="Q2" s="2235"/>
      <c r="R2" s="2235"/>
      <c r="S2" s="2235"/>
      <c r="T2" s="2235"/>
      <c r="U2" s="2235"/>
      <c r="V2" s="2235"/>
      <c r="W2" s="2235"/>
      <c r="X2" s="2235"/>
      <c r="Y2" s="2235"/>
      <c r="Z2" s="2235"/>
      <c r="AA2" s="2235"/>
      <c r="AB2" s="2235"/>
      <c r="AC2" s="2235"/>
      <c r="AD2" s="2235"/>
      <c r="AE2" s="2235"/>
      <c r="AF2" s="2235"/>
      <c r="AG2" s="2235"/>
      <c r="AH2" s="2235"/>
      <c r="AI2" s="2235"/>
      <c r="AJ2" s="2235"/>
      <c r="AK2" s="2235"/>
      <c r="AL2" s="2235"/>
      <c r="AM2" s="2235"/>
      <c r="AN2" s="2235"/>
      <c r="AO2" s="2235"/>
      <c r="AP2" s="2235"/>
      <c r="AQ2" s="2235"/>
      <c r="AR2" s="11" t="s">
        <v>3</v>
      </c>
      <c r="AS2" s="382" t="s">
        <v>349</v>
      </c>
      <c r="AT2" s="3"/>
      <c r="AU2" s="3"/>
      <c r="AV2" s="3"/>
      <c r="AW2" s="3"/>
      <c r="AX2" s="3"/>
      <c r="AY2" s="3"/>
      <c r="AZ2" s="3"/>
      <c r="BA2" s="3"/>
      <c r="BB2" s="3"/>
      <c r="BC2" s="3"/>
      <c r="BD2" s="3"/>
      <c r="BE2" s="3"/>
      <c r="BF2" s="3"/>
      <c r="BG2" s="3"/>
      <c r="BH2" s="3"/>
      <c r="BI2" s="3"/>
      <c r="BJ2" s="3"/>
      <c r="BK2" s="3"/>
      <c r="BL2" s="3"/>
      <c r="BM2" s="3"/>
    </row>
    <row r="3" spans="1:65" ht="15.75" x14ac:dyDescent="0.25">
      <c r="A3" s="3276"/>
      <c r="B3" s="2235"/>
      <c r="C3" s="2235"/>
      <c r="D3" s="2235"/>
      <c r="E3" s="2235"/>
      <c r="F3" s="2235"/>
      <c r="G3" s="2235"/>
      <c r="H3" s="2235"/>
      <c r="I3" s="2235"/>
      <c r="J3" s="2235"/>
      <c r="K3" s="2235"/>
      <c r="L3" s="2235"/>
      <c r="M3" s="2235"/>
      <c r="N3" s="2235"/>
      <c r="O3" s="2235"/>
      <c r="P3" s="2235"/>
      <c r="Q3" s="2235"/>
      <c r="R3" s="2235"/>
      <c r="S3" s="2235"/>
      <c r="T3" s="2235"/>
      <c r="U3" s="2235"/>
      <c r="V3" s="2235"/>
      <c r="W3" s="2235"/>
      <c r="X3" s="2235"/>
      <c r="Y3" s="2235"/>
      <c r="Z3" s="2235"/>
      <c r="AA3" s="2235"/>
      <c r="AB3" s="2235"/>
      <c r="AC3" s="2235"/>
      <c r="AD3" s="2235"/>
      <c r="AE3" s="2235"/>
      <c r="AF3" s="2235"/>
      <c r="AG3" s="2235"/>
      <c r="AH3" s="2235"/>
      <c r="AI3" s="2235"/>
      <c r="AJ3" s="2235"/>
      <c r="AK3" s="2235"/>
      <c r="AL3" s="2235"/>
      <c r="AM3" s="2235"/>
      <c r="AN3" s="2235"/>
      <c r="AO3" s="2235"/>
      <c r="AP3" s="2235"/>
      <c r="AQ3" s="2235"/>
      <c r="AR3" s="11" t="s">
        <v>4</v>
      </c>
      <c r="AS3" s="383">
        <v>44503</v>
      </c>
      <c r="AT3" s="3"/>
      <c r="AU3" s="3"/>
      <c r="AV3" s="3"/>
      <c r="AW3" s="3"/>
      <c r="AX3" s="3"/>
      <c r="AY3" s="3"/>
      <c r="AZ3" s="3"/>
      <c r="BA3" s="3"/>
      <c r="BB3" s="3"/>
      <c r="BC3" s="3"/>
      <c r="BD3" s="3"/>
      <c r="BE3" s="3"/>
      <c r="BF3" s="3"/>
      <c r="BG3" s="3"/>
      <c r="BH3" s="3"/>
      <c r="BI3" s="3"/>
      <c r="BJ3" s="3"/>
      <c r="BK3" s="3"/>
      <c r="BL3" s="3"/>
      <c r="BM3" s="3"/>
    </row>
    <row r="4" spans="1:65" ht="15.75" x14ac:dyDescent="0.25">
      <c r="A4" s="3277"/>
      <c r="B4" s="2350"/>
      <c r="C4" s="2350"/>
      <c r="D4" s="2350"/>
      <c r="E4" s="2350"/>
      <c r="F4" s="2350"/>
      <c r="G4" s="2350"/>
      <c r="H4" s="2350"/>
      <c r="I4" s="2350"/>
      <c r="J4" s="2350"/>
      <c r="K4" s="2350"/>
      <c r="L4" s="2350"/>
      <c r="M4" s="2350"/>
      <c r="N4" s="2350"/>
      <c r="O4" s="2350"/>
      <c r="P4" s="2350"/>
      <c r="Q4" s="2350"/>
      <c r="R4" s="2350"/>
      <c r="S4" s="2350"/>
      <c r="T4" s="2350"/>
      <c r="U4" s="2350"/>
      <c r="V4" s="2350"/>
      <c r="W4" s="2350"/>
      <c r="X4" s="2350"/>
      <c r="Y4" s="2350"/>
      <c r="Z4" s="2350"/>
      <c r="AA4" s="2350"/>
      <c r="AB4" s="2350"/>
      <c r="AC4" s="2350"/>
      <c r="AD4" s="2350"/>
      <c r="AE4" s="2350"/>
      <c r="AF4" s="2350"/>
      <c r="AG4" s="2350"/>
      <c r="AH4" s="2350"/>
      <c r="AI4" s="2350"/>
      <c r="AJ4" s="2350"/>
      <c r="AK4" s="2350"/>
      <c r="AL4" s="2350"/>
      <c r="AM4" s="2350"/>
      <c r="AN4" s="2350"/>
      <c r="AO4" s="2350"/>
      <c r="AP4" s="2350"/>
      <c r="AQ4" s="2350"/>
      <c r="AR4" s="11" t="s">
        <v>5</v>
      </c>
      <c r="AS4" s="384" t="s">
        <v>120</v>
      </c>
      <c r="AT4" s="3"/>
      <c r="AU4" s="3"/>
      <c r="AV4" s="3"/>
      <c r="AW4" s="3"/>
      <c r="AX4" s="3"/>
      <c r="AY4" s="3"/>
      <c r="AZ4" s="3"/>
      <c r="BA4" s="3"/>
      <c r="BB4" s="3"/>
      <c r="BC4" s="3"/>
      <c r="BD4" s="3"/>
      <c r="BE4" s="3"/>
      <c r="BF4" s="3"/>
      <c r="BG4" s="3"/>
      <c r="BH4" s="3"/>
      <c r="BI4" s="3"/>
      <c r="BJ4" s="3"/>
      <c r="BK4" s="3"/>
      <c r="BL4" s="3"/>
      <c r="BM4" s="3"/>
    </row>
    <row r="5" spans="1:65" ht="15.75" x14ac:dyDescent="0.25">
      <c r="A5" s="2240" t="s">
        <v>121</v>
      </c>
      <c r="B5" s="2241"/>
      <c r="C5" s="2241"/>
      <c r="D5" s="2241"/>
      <c r="E5" s="2241"/>
      <c r="F5" s="2241"/>
      <c r="G5" s="2241"/>
      <c r="H5" s="2241"/>
      <c r="I5" s="2241"/>
      <c r="J5" s="2241"/>
      <c r="K5" s="2241"/>
      <c r="L5" s="2241"/>
      <c r="M5" s="2241"/>
      <c r="N5" s="2241"/>
      <c r="O5" s="2242"/>
      <c r="P5" s="385"/>
      <c r="Q5" s="386"/>
      <c r="R5" s="385"/>
      <c r="S5" s="385"/>
      <c r="T5" s="386"/>
      <c r="U5" s="386"/>
      <c r="V5" s="386"/>
      <c r="W5" s="385"/>
      <c r="X5" s="385"/>
      <c r="Y5" s="385"/>
      <c r="Z5" s="385"/>
      <c r="AA5" s="385"/>
      <c r="AB5" s="385"/>
      <c r="AC5" s="385"/>
      <c r="AD5" s="385"/>
      <c r="AE5" s="385"/>
      <c r="AF5" s="385"/>
      <c r="AG5" s="385"/>
      <c r="AH5" s="385"/>
      <c r="AI5" s="385"/>
      <c r="AJ5" s="385"/>
      <c r="AK5" s="385"/>
      <c r="AL5" s="385"/>
      <c r="AM5" s="385"/>
      <c r="AN5" s="385"/>
      <c r="AO5" s="385"/>
      <c r="AP5" s="385"/>
      <c r="AQ5" s="385"/>
      <c r="AR5" s="385"/>
      <c r="AS5" s="387"/>
      <c r="AT5" s="3"/>
      <c r="AU5" s="3"/>
      <c r="AV5" s="3"/>
      <c r="AW5" s="3"/>
      <c r="AX5" s="3"/>
      <c r="AY5" s="3"/>
      <c r="AZ5" s="3"/>
      <c r="BA5" s="3"/>
      <c r="BB5" s="3"/>
      <c r="BC5" s="3"/>
      <c r="BD5" s="3"/>
      <c r="BE5" s="3"/>
      <c r="BF5" s="3"/>
      <c r="BG5" s="3"/>
      <c r="BH5" s="3"/>
      <c r="BI5" s="3"/>
      <c r="BJ5" s="3"/>
      <c r="BK5" s="3"/>
      <c r="BL5" s="3"/>
      <c r="BM5" s="3"/>
    </row>
    <row r="6" spans="1:65" ht="15.75" x14ac:dyDescent="0.25">
      <c r="A6" s="2243"/>
      <c r="B6" s="2238"/>
      <c r="C6" s="2238"/>
      <c r="D6" s="2238"/>
      <c r="E6" s="2238"/>
      <c r="F6" s="2238"/>
      <c r="G6" s="2238"/>
      <c r="H6" s="2238"/>
      <c r="I6" s="2238"/>
      <c r="J6" s="2238"/>
      <c r="K6" s="2238"/>
      <c r="L6" s="2238"/>
      <c r="M6" s="2238"/>
      <c r="N6" s="2238"/>
      <c r="O6" s="2239"/>
      <c r="P6" s="12"/>
      <c r="Q6" s="13"/>
      <c r="R6" s="12"/>
      <c r="S6" s="12"/>
      <c r="T6" s="125"/>
      <c r="U6" s="13"/>
      <c r="V6" s="13"/>
      <c r="W6" s="12"/>
      <c r="X6" s="12"/>
      <c r="Y6" s="12"/>
      <c r="Z6" s="12"/>
      <c r="AA6" s="8" t="s">
        <v>8</v>
      </c>
      <c r="AB6" s="9"/>
      <c r="AC6" s="9"/>
      <c r="AD6" s="9"/>
      <c r="AE6" s="9"/>
      <c r="AF6" s="9"/>
      <c r="AG6" s="9"/>
      <c r="AH6" s="9"/>
      <c r="AI6" s="9"/>
      <c r="AJ6" s="9"/>
      <c r="AK6" s="9"/>
      <c r="AL6" s="9"/>
      <c r="AM6" s="9"/>
      <c r="AN6" s="9"/>
      <c r="AO6" s="10"/>
      <c r="AP6" s="12"/>
      <c r="AQ6" s="12"/>
      <c r="AR6" s="12"/>
      <c r="AS6" s="14"/>
      <c r="AT6" s="3"/>
      <c r="AU6" s="3"/>
      <c r="AV6" s="3"/>
      <c r="AW6" s="3"/>
      <c r="AX6" s="3"/>
      <c r="AY6" s="3"/>
      <c r="AZ6" s="3"/>
      <c r="BA6" s="3"/>
      <c r="BB6" s="3"/>
      <c r="BC6" s="3"/>
      <c r="BD6" s="3"/>
      <c r="BE6" s="3"/>
      <c r="BF6" s="3"/>
      <c r="BG6" s="3"/>
      <c r="BH6" s="3"/>
      <c r="BI6" s="3"/>
      <c r="BJ6" s="3"/>
      <c r="BK6" s="3"/>
      <c r="BL6" s="3"/>
      <c r="BM6" s="3"/>
    </row>
    <row r="7" spans="1:65" ht="31.5" customHeight="1" x14ac:dyDescent="0.25">
      <c r="A7" s="2247" t="s">
        <v>9</v>
      </c>
      <c r="B7" s="2351"/>
      <c r="C7" s="3278" t="s">
        <v>350</v>
      </c>
      <c r="D7" s="3279"/>
      <c r="E7" s="3278" t="s">
        <v>11</v>
      </c>
      <c r="F7" s="3279"/>
      <c r="G7" s="2212" t="s">
        <v>12</v>
      </c>
      <c r="H7" s="2212"/>
      <c r="I7" s="2212"/>
      <c r="J7" s="2212"/>
      <c r="K7" s="2212" t="s">
        <v>13</v>
      </c>
      <c r="L7" s="2212"/>
      <c r="M7" s="2212"/>
      <c r="N7" s="2212"/>
      <c r="O7" s="3280" t="s">
        <v>14</v>
      </c>
      <c r="P7" s="3281"/>
      <c r="Q7" s="3281"/>
      <c r="R7" s="3281"/>
      <c r="S7" s="3281"/>
      <c r="T7" s="3281"/>
      <c r="U7" s="3281"/>
      <c r="V7" s="3281"/>
      <c r="W7" s="3281"/>
      <c r="X7" s="2212" t="s">
        <v>15</v>
      </c>
      <c r="Y7" s="2212"/>
      <c r="Z7" s="2212"/>
      <c r="AA7" s="2213" t="s">
        <v>16</v>
      </c>
      <c r="AB7" s="2214"/>
      <c r="AC7" s="2215" t="s">
        <v>17</v>
      </c>
      <c r="AD7" s="2216"/>
      <c r="AE7" s="2216"/>
      <c r="AF7" s="2216"/>
      <c r="AG7" s="2217" t="s">
        <v>18</v>
      </c>
      <c r="AH7" s="2217"/>
      <c r="AI7" s="2217"/>
      <c r="AJ7" s="2217"/>
      <c r="AK7" s="2217"/>
      <c r="AL7" s="2217"/>
      <c r="AM7" s="2218" t="s">
        <v>19</v>
      </c>
      <c r="AN7" s="2218"/>
      <c r="AO7" s="2218"/>
      <c r="AP7" s="2219" t="s">
        <v>20</v>
      </c>
      <c r="AQ7" s="2565" t="s">
        <v>21</v>
      </c>
      <c r="AR7" s="2565" t="s">
        <v>22</v>
      </c>
      <c r="AS7" s="2357" t="s">
        <v>23</v>
      </c>
      <c r="AT7" s="3"/>
      <c r="AU7" s="3"/>
      <c r="AV7" s="3"/>
      <c r="AW7" s="3"/>
      <c r="AX7" s="3"/>
      <c r="AY7" s="3"/>
      <c r="AZ7" s="3"/>
      <c r="BA7" s="3"/>
      <c r="BB7" s="3"/>
      <c r="BC7" s="3"/>
      <c r="BD7" s="3"/>
      <c r="BE7" s="3"/>
      <c r="BF7" s="3"/>
      <c r="BG7" s="3"/>
      <c r="BH7" s="3"/>
      <c r="BI7" s="3"/>
      <c r="BJ7" s="3"/>
      <c r="BK7" s="3"/>
      <c r="BL7" s="3"/>
      <c r="BM7" s="3"/>
    </row>
    <row r="8" spans="1:65" ht="117" customHeight="1" x14ac:dyDescent="0.25">
      <c r="A8" s="239" t="s">
        <v>24</v>
      </c>
      <c r="B8" s="244" t="s">
        <v>25</v>
      </c>
      <c r="C8" s="244" t="s">
        <v>24</v>
      </c>
      <c r="D8" s="244" t="s">
        <v>25</v>
      </c>
      <c r="E8" s="244" t="s">
        <v>24</v>
      </c>
      <c r="F8" s="244" t="s">
        <v>25</v>
      </c>
      <c r="G8" s="244" t="s">
        <v>26</v>
      </c>
      <c r="H8" s="244" t="s">
        <v>27</v>
      </c>
      <c r="I8" s="244" t="s">
        <v>28</v>
      </c>
      <c r="J8" s="244" t="s">
        <v>122</v>
      </c>
      <c r="K8" s="244" t="s">
        <v>26</v>
      </c>
      <c r="L8" s="244" t="s">
        <v>30</v>
      </c>
      <c r="M8" s="244" t="s">
        <v>31</v>
      </c>
      <c r="N8" s="244" t="s">
        <v>32</v>
      </c>
      <c r="O8" s="16" t="s">
        <v>33</v>
      </c>
      <c r="P8" s="244" t="s">
        <v>34</v>
      </c>
      <c r="Q8" s="244" t="s">
        <v>35</v>
      </c>
      <c r="R8" s="244" t="s">
        <v>36</v>
      </c>
      <c r="S8" s="244" t="s">
        <v>37</v>
      </c>
      <c r="T8" s="244" t="s">
        <v>38</v>
      </c>
      <c r="U8" s="244" t="s">
        <v>39</v>
      </c>
      <c r="V8" s="244" t="s">
        <v>40</v>
      </c>
      <c r="W8" s="244" t="s">
        <v>351</v>
      </c>
      <c r="X8" s="244" t="s">
        <v>42</v>
      </c>
      <c r="Y8" s="244" t="s">
        <v>43</v>
      </c>
      <c r="Z8" s="244" t="s">
        <v>25</v>
      </c>
      <c r="AA8" s="19" t="s">
        <v>44</v>
      </c>
      <c r="AB8" s="20" t="s">
        <v>45</v>
      </c>
      <c r="AC8" s="20" t="s">
        <v>46</v>
      </c>
      <c r="AD8" s="20" t="s">
        <v>47</v>
      </c>
      <c r="AE8" s="20" t="s">
        <v>48</v>
      </c>
      <c r="AF8" s="20" t="s">
        <v>49</v>
      </c>
      <c r="AG8" s="22" t="s">
        <v>50</v>
      </c>
      <c r="AH8" s="22" t="s">
        <v>51</v>
      </c>
      <c r="AI8" s="22" t="s">
        <v>52</v>
      </c>
      <c r="AJ8" s="22" t="s">
        <v>53</v>
      </c>
      <c r="AK8" s="22" t="s">
        <v>54</v>
      </c>
      <c r="AL8" s="22" t="s">
        <v>55</v>
      </c>
      <c r="AM8" s="22" t="s">
        <v>56</v>
      </c>
      <c r="AN8" s="22" t="s">
        <v>57</v>
      </c>
      <c r="AO8" s="22" t="s">
        <v>58</v>
      </c>
      <c r="AP8" s="2219"/>
      <c r="AQ8" s="2566"/>
      <c r="AR8" s="2566"/>
      <c r="AS8" s="3282"/>
      <c r="AT8" s="3"/>
      <c r="AU8" s="3"/>
      <c r="AV8" s="3"/>
      <c r="AW8" s="3"/>
      <c r="AX8" s="3"/>
      <c r="AY8" s="3"/>
      <c r="AZ8" s="3"/>
      <c r="BA8" s="3"/>
      <c r="BB8" s="3"/>
      <c r="BC8" s="3"/>
      <c r="BD8" s="3"/>
      <c r="BE8" s="3"/>
      <c r="BF8" s="3"/>
      <c r="BG8" s="3"/>
      <c r="BH8" s="3"/>
      <c r="BI8" s="3"/>
      <c r="BJ8" s="3"/>
      <c r="BK8" s="3"/>
      <c r="BL8" s="3"/>
      <c r="BM8" s="3"/>
    </row>
    <row r="9" spans="1:65" ht="15.75" x14ac:dyDescent="0.25">
      <c r="A9" s="388">
        <v>4</v>
      </c>
      <c r="B9" s="389" t="s">
        <v>352</v>
      </c>
      <c r="C9" s="390"/>
      <c r="D9" s="390"/>
      <c r="E9" s="390"/>
      <c r="F9" s="390"/>
      <c r="G9" s="390"/>
      <c r="H9" s="391"/>
      <c r="I9" s="392"/>
      <c r="J9" s="391"/>
      <c r="K9" s="392"/>
      <c r="L9" s="391"/>
      <c r="M9" s="392"/>
      <c r="N9" s="391"/>
      <c r="O9" s="392"/>
      <c r="P9" s="392"/>
      <c r="Q9" s="391"/>
      <c r="R9" s="393"/>
      <c r="S9" s="394"/>
      <c r="T9" s="395"/>
      <c r="U9" s="391"/>
      <c r="V9" s="391"/>
      <c r="W9" s="394"/>
      <c r="X9" s="392"/>
      <c r="Y9" s="396"/>
      <c r="Z9" s="392"/>
      <c r="AA9" s="392"/>
      <c r="AB9" s="392"/>
      <c r="AC9" s="392"/>
      <c r="AD9" s="392"/>
      <c r="AE9" s="392"/>
      <c r="AF9" s="392"/>
      <c r="AG9" s="392"/>
      <c r="AH9" s="392"/>
      <c r="AI9" s="392"/>
      <c r="AJ9" s="392"/>
      <c r="AK9" s="392"/>
      <c r="AL9" s="392"/>
      <c r="AM9" s="24"/>
      <c r="AN9" s="24"/>
      <c r="AO9" s="24"/>
      <c r="AP9" s="24"/>
      <c r="AQ9" s="31"/>
      <c r="AR9" s="31"/>
      <c r="AS9" s="397"/>
      <c r="AT9" s="3"/>
      <c r="AU9" s="3"/>
      <c r="AV9" s="3"/>
      <c r="AW9" s="3"/>
      <c r="AX9" s="3"/>
      <c r="AY9" s="3"/>
      <c r="AZ9" s="3"/>
      <c r="BA9" s="3"/>
      <c r="BB9" s="3"/>
      <c r="BC9" s="3"/>
      <c r="BD9" s="3"/>
      <c r="BE9" s="3"/>
      <c r="BF9" s="3"/>
      <c r="BG9" s="3"/>
      <c r="BH9" s="3"/>
      <c r="BI9" s="3"/>
      <c r="BJ9" s="3"/>
      <c r="BK9" s="3"/>
      <c r="BL9" s="3"/>
      <c r="BM9" s="3"/>
    </row>
    <row r="10" spans="1:65" s="74" customFormat="1" ht="15.75" x14ac:dyDescent="0.25">
      <c r="A10" s="398"/>
      <c r="B10" s="399"/>
      <c r="C10" s="36">
        <v>45</v>
      </c>
      <c r="D10" s="3283" t="s">
        <v>60</v>
      </c>
      <c r="E10" s="3284"/>
      <c r="F10" s="3284"/>
      <c r="G10" s="3284"/>
      <c r="H10" s="3284"/>
      <c r="I10" s="38"/>
      <c r="J10" s="37"/>
      <c r="K10" s="38"/>
      <c r="L10" s="37"/>
      <c r="M10" s="38"/>
      <c r="N10" s="37"/>
      <c r="O10" s="38"/>
      <c r="P10" s="38"/>
      <c r="Q10" s="37"/>
      <c r="R10" s="40"/>
      <c r="S10" s="42"/>
      <c r="T10" s="400"/>
      <c r="U10" s="37"/>
      <c r="V10" s="37"/>
      <c r="W10" s="42"/>
      <c r="X10" s="38"/>
      <c r="Y10" s="43"/>
      <c r="Z10" s="38"/>
      <c r="AA10" s="38"/>
      <c r="AB10" s="38"/>
      <c r="AC10" s="38"/>
      <c r="AD10" s="38"/>
      <c r="AE10" s="38"/>
      <c r="AF10" s="38"/>
      <c r="AG10" s="38"/>
      <c r="AH10" s="38"/>
      <c r="AI10" s="38"/>
      <c r="AJ10" s="38"/>
      <c r="AK10" s="38"/>
      <c r="AL10" s="38"/>
      <c r="AM10" s="38"/>
      <c r="AN10" s="38"/>
      <c r="AO10" s="38"/>
      <c r="AP10" s="38"/>
      <c r="AQ10" s="44"/>
      <c r="AR10" s="44"/>
      <c r="AS10" s="401"/>
    </row>
    <row r="11" spans="1:65" s="3" customFormat="1" ht="15.75" x14ac:dyDescent="0.25">
      <c r="A11" s="402"/>
      <c r="B11" s="403"/>
      <c r="C11" s="404"/>
      <c r="D11" s="405"/>
      <c r="E11" s="406">
        <v>4599</v>
      </c>
      <c r="F11" s="3285" t="s">
        <v>353</v>
      </c>
      <c r="G11" s="2930"/>
      <c r="H11" s="2930"/>
      <c r="I11" s="2930"/>
      <c r="J11" s="2930"/>
      <c r="K11" s="407"/>
      <c r="L11" s="408"/>
      <c r="M11" s="407"/>
      <c r="N11" s="408"/>
      <c r="O11" s="407"/>
      <c r="P11" s="407"/>
      <c r="Q11" s="408"/>
      <c r="R11" s="407"/>
      <c r="S11" s="407"/>
      <c r="T11" s="409"/>
      <c r="U11" s="408"/>
      <c r="V11" s="408"/>
      <c r="W11" s="410"/>
      <c r="X11" s="410"/>
      <c r="Y11" s="410"/>
      <c r="Z11" s="410"/>
      <c r="AA11" s="410"/>
      <c r="AB11" s="410"/>
      <c r="AC11" s="410"/>
      <c r="AD11" s="410"/>
      <c r="AE11" s="410"/>
      <c r="AF11" s="410"/>
      <c r="AG11" s="410"/>
      <c r="AH11" s="410"/>
      <c r="AI11" s="410"/>
      <c r="AJ11" s="410"/>
      <c r="AK11" s="410"/>
      <c r="AL11" s="410"/>
      <c r="AM11" s="62"/>
      <c r="AN11" s="62"/>
      <c r="AO11" s="62"/>
      <c r="AP11" s="62"/>
      <c r="AQ11" s="64"/>
      <c r="AR11" s="64"/>
      <c r="AS11" s="65"/>
    </row>
    <row r="12" spans="1:65" s="3" customFormat="1" ht="78.75" customHeight="1" x14ac:dyDescent="0.25">
      <c r="A12" s="402"/>
      <c r="B12" s="403"/>
      <c r="C12" s="411"/>
      <c r="D12" s="412"/>
      <c r="E12" s="178"/>
      <c r="F12" s="185"/>
      <c r="G12" s="2166" t="s">
        <v>62</v>
      </c>
      <c r="H12" s="2172" t="s">
        <v>354</v>
      </c>
      <c r="I12" s="2166">
        <v>4599023</v>
      </c>
      <c r="J12" s="2172" t="s">
        <v>312</v>
      </c>
      <c r="K12" s="2298" t="s">
        <v>62</v>
      </c>
      <c r="L12" s="2172" t="s">
        <v>355</v>
      </c>
      <c r="M12" s="2298">
        <v>45990231</v>
      </c>
      <c r="N12" s="2172" t="s">
        <v>356</v>
      </c>
      <c r="O12" s="3292">
        <v>1</v>
      </c>
      <c r="P12" s="3293" t="s">
        <v>357</v>
      </c>
      <c r="Q12" s="2829" t="s">
        <v>358</v>
      </c>
      <c r="R12" s="3299">
        <f>SUM(W12:W13)/S12</f>
        <v>1</v>
      </c>
      <c r="S12" s="3300">
        <f>SUM(W12:W13)</f>
        <v>250000000</v>
      </c>
      <c r="T12" s="3290" t="s">
        <v>359</v>
      </c>
      <c r="U12" s="3290" t="s">
        <v>360</v>
      </c>
      <c r="V12" s="3291" t="s">
        <v>361</v>
      </c>
      <c r="W12" s="413">
        <f>250000000-10000000</f>
        <v>240000000</v>
      </c>
      <c r="X12" s="414" t="s">
        <v>362</v>
      </c>
      <c r="Y12" s="3301">
        <v>20</v>
      </c>
      <c r="Z12" s="3303" t="s">
        <v>73</v>
      </c>
      <c r="AA12" s="3288">
        <v>295972</v>
      </c>
      <c r="AB12" s="3288">
        <v>285580</v>
      </c>
      <c r="AC12" s="3288">
        <v>135545</v>
      </c>
      <c r="AD12" s="3288">
        <v>44254</v>
      </c>
      <c r="AE12" s="3288">
        <v>309146</v>
      </c>
      <c r="AF12" s="3288">
        <v>92607</v>
      </c>
      <c r="AG12" s="3288">
        <v>2145</v>
      </c>
      <c r="AH12" s="3288">
        <v>12718</v>
      </c>
      <c r="AI12" s="3288">
        <v>26</v>
      </c>
      <c r="AJ12" s="3288">
        <v>37</v>
      </c>
      <c r="AK12" s="3288"/>
      <c r="AL12" s="3288"/>
      <c r="AM12" s="3288">
        <v>44350</v>
      </c>
      <c r="AN12" s="3288">
        <v>21944</v>
      </c>
      <c r="AO12" s="3288">
        <v>75687</v>
      </c>
      <c r="AP12" s="3288">
        <v>581552</v>
      </c>
      <c r="AQ12" s="3286">
        <v>44198</v>
      </c>
      <c r="AR12" s="3286">
        <v>44561</v>
      </c>
      <c r="AS12" s="3287" t="s">
        <v>363</v>
      </c>
    </row>
    <row r="13" spans="1:65" s="3" customFormat="1" ht="115.5" customHeight="1" x14ac:dyDescent="0.25">
      <c r="A13" s="402"/>
      <c r="B13" s="403"/>
      <c r="C13" s="411"/>
      <c r="D13" s="412"/>
      <c r="E13" s="178"/>
      <c r="F13" s="185"/>
      <c r="G13" s="2166"/>
      <c r="H13" s="2172"/>
      <c r="I13" s="2166"/>
      <c r="J13" s="2172"/>
      <c r="K13" s="2298"/>
      <c r="L13" s="2172"/>
      <c r="M13" s="2298"/>
      <c r="N13" s="2172"/>
      <c r="O13" s="3292"/>
      <c r="P13" s="3293"/>
      <c r="Q13" s="2829"/>
      <c r="R13" s="3299"/>
      <c r="S13" s="3300"/>
      <c r="T13" s="3290"/>
      <c r="U13" s="3290"/>
      <c r="V13" s="3291"/>
      <c r="W13" s="415">
        <v>10000000</v>
      </c>
      <c r="X13" s="416" t="s">
        <v>364</v>
      </c>
      <c r="Y13" s="3302"/>
      <c r="Z13" s="3304"/>
      <c r="AA13" s="3289"/>
      <c r="AB13" s="3289"/>
      <c r="AC13" s="3289"/>
      <c r="AD13" s="3289"/>
      <c r="AE13" s="3289"/>
      <c r="AF13" s="3289"/>
      <c r="AG13" s="3289"/>
      <c r="AH13" s="3289"/>
      <c r="AI13" s="3289"/>
      <c r="AJ13" s="3289"/>
      <c r="AK13" s="3289"/>
      <c r="AL13" s="3289"/>
      <c r="AM13" s="3289"/>
      <c r="AN13" s="3289"/>
      <c r="AO13" s="3289"/>
      <c r="AP13" s="3289"/>
      <c r="AQ13" s="3286"/>
      <c r="AR13" s="3286"/>
      <c r="AS13" s="3287"/>
    </row>
    <row r="14" spans="1:65" s="3" customFormat="1" ht="30" customHeight="1" x14ac:dyDescent="0.25">
      <c r="A14" s="402"/>
      <c r="B14" s="403"/>
      <c r="C14" s="411"/>
      <c r="D14" s="412"/>
      <c r="E14" s="417"/>
      <c r="F14" s="75"/>
      <c r="G14" s="3089" t="s">
        <v>62</v>
      </c>
      <c r="H14" s="2257" t="s">
        <v>365</v>
      </c>
      <c r="I14" s="3089">
        <v>4599029</v>
      </c>
      <c r="J14" s="2195" t="s">
        <v>106</v>
      </c>
      <c r="K14" s="2201" t="s">
        <v>62</v>
      </c>
      <c r="L14" s="2491" t="s">
        <v>366</v>
      </c>
      <c r="M14" s="2201">
        <v>459902900</v>
      </c>
      <c r="N14" s="2491" t="s">
        <v>108</v>
      </c>
      <c r="O14" s="2201">
        <v>1</v>
      </c>
      <c r="P14" s="2195" t="s">
        <v>367</v>
      </c>
      <c r="Q14" s="2259" t="s">
        <v>368</v>
      </c>
      <c r="R14" s="2286">
        <f>SUM(W14:W17)/S14</f>
        <v>1</v>
      </c>
      <c r="S14" s="3294">
        <v>782000000</v>
      </c>
      <c r="T14" s="3295" t="s">
        <v>369</v>
      </c>
      <c r="U14" s="3296" t="s">
        <v>370</v>
      </c>
      <c r="V14" s="3297" t="s">
        <v>371</v>
      </c>
      <c r="W14" s="418">
        <v>150000000</v>
      </c>
      <c r="X14" s="70" t="s">
        <v>372</v>
      </c>
      <c r="Y14" s="419">
        <v>20</v>
      </c>
      <c r="Z14" s="420" t="s">
        <v>73</v>
      </c>
      <c r="AA14" s="2564">
        <v>295972</v>
      </c>
      <c r="AB14" s="2564">
        <v>285580</v>
      </c>
      <c r="AC14" s="2564">
        <v>135545</v>
      </c>
      <c r="AD14" s="2564">
        <v>44254</v>
      </c>
      <c r="AE14" s="2564">
        <v>309146</v>
      </c>
      <c r="AF14" s="2564">
        <v>92607</v>
      </c>
      <c r="AG14" s="2564">
        <v>2145</v>
      </c>
      <c r="AH14" s="2564">
        <v>12718</v>
      </c>
      <c r="AI14" s="2564">
        <v>26</v>
      </c>
      <c r="AJ14" s="2564">
        <v>37</v>
      </c>
      <c r="AK14" s="2564"/>
      <c r="AL14" s="2564"/>
      <c r="AM14" s="2564">
        <v>44350</v>
      </c>
      <c r="AN14" s="2564">
        <v>21944</v>
      </c>
      <c r="AO14" s="2564">
        <v>75687</v>
      </c>
      <c r="AP14" s="2564">
        <v>581552</v>
      </c>
      <c r="AQ14" s="3286">
        <v>44198</v>
      </c>
      <c r="AR14" s="3286">
        <v>44561</v>
      </c>
      <c r="AS14" s="2424" t="s">
        <v>363</v>
      </c>
    </row>
    <row r="15" spans="1:65" s="3" customFormat="1" ht="30" x14ac:dyDescent="0.25">
      <c r="A15" s="402"/>
      <c r="B15" s="403"/>
      <c r="C15" s="411"/>
      <c r="D15" s="412"/>
      <c r="E15" s="417"/>
      <c r="F15" s="75"/>
      <c r="G15" s="3089"/>
      <c r="H15" s="2257"/>
      <c r="I15" s="3089"/>
      <c r="J15" s="2195"/>
      <c r="K15" s="2201"/>
      <c r="L15" s="2491"/>
      <c r="M15" s="2201"/>
      <c r="N15" s="2491"/>
      <c r="O15" s="2201"/>
      <c r="P15" s="2195"/>
      <c r="Q15" s="2259"/>
      <c r="R15" s="2286"/>
      <c r="S15" s="3294"/>
      <c r="T15" s="3295"/>
      <c r="U15" s="3296"/>
      <c r="V15" s="3298"/>
      <c r="W15" s="418">
        <v>182000000</v>
      </c>
      <c r="X15" s="70" t="s">
        <v>373</v>
      </c>
      <c r="Y15" s="419">
        <v>88</v>
      </c>
      <c r="Z15" s="421" t="s">
        <v>374</v>
      </c>
      <c r="AA15" s="2564"/>
      <c r="AB15" s="2564"/>
      <c r="AC15" s="2564"/>
      <c r="AD15" s="2564"/>
      <c r="AE15" s="2564"/>
      <c r="AF15" s="2564"/>
      <c r="AG15" s="2564"/>
      <c r="AH15" s="2564"/>
      <c r="AI15" s="2564"/>
      <c r="AJ15" s="2564"/>
      <c r="AK15" s="2564"/>
      <c r="AL15" s="2564"/>
      <c r="AM15" s="2564"/>
      <c r="AN15" s="2564"/>
      <c r="AO15" s="2564"/>
      <c r="AP15" s="2564"/>
      <c r="AQ15" s="3286"/>
      <c r="AR15" s="3286"/>
      <c r="AS15" s="2424"/>
    </row>
    <row r="16" spans="1:65" s="3" customFormat="1" ht="30" customHeight="1" x14ac:dyDescent="0.25">
      <c r="A16" s="422"/>
      <c r="B16" s="423"/>
      <c r="C16" s="411"/>
      <c r="D16" s="412"/>
      <c r="E16" s="424"/>
      <c r="F16" s="67"/>
      <c r="G16" s="3089"/>
      <c r="H16" s="2257"/>
      <c r="I16" s="3089"/>
      <c r="J16" s="2195"/>
      <c r="K16" s="2201"/>
      <c r="L16" s="2491"/>
      <c r="M16" s="2201"/>
      <c r="N16" s="2491"/>
      <c r="O16" s="2201"/>
      <c r="P16" s="2195"/>
      <c r="Q16" s="2259"/>
      <c r="R16" s="2286"/>
      <c r="S16" s="3294"/>
      <c r="T16" s="3295"/>
      <c r="U16" s="3296"/>
      <c r="V16" s="3297" t="s">
        <v>375</v>
      </c>
      <c r="W16" s="418">
        <v>150000000</v>
      </c>
      <c r="X16" s="70" t="s">
        <v>376</v>
      </c>
      <c r="Y16" s="419">
        <v>20</v>
      </c>
      <c r="Z16" s="420" t="s">
        <v>73</v>
      </c>
      <c r="AA16" s="2564"/>
      <c r="AB16" s="2564"/>
      <c r="AC16" s="2564"/>
      <c r="AD16" s="2564"/>
      <c r="AE16" s="2564"/>
      <c r="AF16" s="2564"/>
      <c r="AG16" s="2564"/>
      <c r="AH16" s="2564"/>
      <c r="AI16" s="2564"/>
      <c r="AJ16" s="2564"/>
      <c r="AK16" s="2564"/>
      <c r="AL16" s="2564"/>
      <c r="AM16" s="2564"/>
      <c r="AN16" s="2564"/>
      <c r="AO16" s="2564"/>
      <c r="AP16" s="2564"/>
      <c r="AQ16" s="3286"/>
      <c r="AR16" s="3286"/>
      <c r="AS16" s="2424"/>
    </row>
    <row r="17" spans="1:45" s="3" customFormat="1" ht="30" x14ac:dyDescent="0.25">
      <c r="A17" s="422"/>
      <c r="B17" s="423"/>
      <c r="C17" s="411"/>
      <c r="D17" s="412"/>
      <c r="E17" s="424"/>
      <c r="F17" s="67"/>
      <c r="G17" s="3089"/>
      <c r="H17" s="2257"/>
      <c r="I17" s="3089"/>
      <c r="J17" s="2195"/>
      <c r="K17" s="2201"/>
      <c r="L17" s="2491"/>
      <c r="M17" s="2201"/>
      <c r="N17" s="2491"/>
      <c r="O17" s="2201"/>
      <c r="P17" s="2195"/>
      <c r="Q17" s="2259"/>
      <c r="R17" s="2286"/>
      <c r="S17" s="3294"/>
      <c r="T17" s="3295"/>
      <c r="U17" s="3296"/>
      <c r="V17" s="3298"/>
      <c r="W17" s="418">
        <v>300000000</v>
      </c>
      <c r="X17" s="70" t="s">
        <v>377</v>
      </c>
      <c r="Y17" s="419">
        <v>88</v>
      </c>
      <c r="Z17" s="421" t="s">
        <v>374</v>
      </c>
      <c r="AA17" s="2564"/>
      <c r="AB17" s="2564"/>
      <c r="AC17" s="2564"/>
      <c r="AD17" s="2564"/>
      <c r="AE17" s="2564"/>
      <c r="AF17" s="2564"/>
      <c r="AG17" s="2564"/>
      <c r="AH17" s="2564"/>
      <c r="AI17" s="2564"/>
      <c r="AJ17" s="2564"/>
      <c r="AK17" s="2564"/>
      <c r="AL17" s="2564"/>
      <c r="AM17" s="2564"/>
      <c r="AN17" s="2564"/>
      <c r="AO17" s="2564"/>
      <c r="AP17" s="2564"/>
      <c r="AQ17" s="3286"/>
      <c r="AR17" s="3286"/>
      <c r="AS17" s="2424"/>
    </row>
    <row r="18" spans="1:45" ht="15.75" x14ac:dyDescent="0.25">
      <c r="A18" s="402"/>
      <c r="B18" s="403"/>
      <c r="C18" s="411"/>
      <c r="D18" s="412"/>
      <c r="E18" s="425">
        <v>4502</v>
      </c>
      <c r="F18" s="3309" t="s">
        <v>378</v>
      </c>
      <c r="G18" s="3310"/>
      <c r="H18" s="3310"/>
      <c r="I18" s="3310"/>
      <c r="J18" s="3310"/>
      <c r="K18" s="3310"/>
      <c r="L18" s="3310"/>
      <c r="M18" s="426"/>
      <c r="N18" s="427"/>
      <c r="O18" s="426"/>
      <c r="P18" s="426"/>
      <c r="Q18" s="428"/>
      <c r="R18" s="429"/>
      <c r="S18" s="429"/>
      <c r="T18" s="430"/>
      <c r="U18" s="431"/>
      <c r="V18" s="431"/>
      <c r="W18" s="432"/>
      <c r="X18" s="433"/>
      <c r="Y18" s="432"/>
      <c r="Z18" s="434"/>
      <c r="AA18" s="432"/>
      <c r="AB18" s="432"/>
      <c r="AC18" s="432"/>
      <c r="AD18" s="432"/>
      <c r="AE18" s="432"/>
      <c r="AF18" s="432"/>
      <c r="AG18" s="432"/>
      <c r="AH18" s="432"/>
      <c r="AI18" s="432"/>
      <c r="AJ18" s="432"/>
      <c r="AK18" s="432"/>
      <c r="AL18" s="432"/>
      <c r="AM18" s="432"/>
      <c r="AN18" s="432"/>
      <c r="AO18" s="432"/>
      <c r="AP18" s="432"/>
      <c r="AQ18" s="432"/>
      <c r="AR18" s="432"/>
      <c r="AS18" s="432"/>
    </row>
    <row r="19" spans="1:45" ht="100.5" customHeight="1" x14ac:dyDescent="0.25">
      <c r="A19" s="402"/>
      <c r="B19" s="403"/>
      <c r="C19" s="411"/>
      <c r="D19" s="412"/>
      <c r="E19" s="50"/>
      <c r="F19" s="68"/>
      <c r="G19" s="3311" t="s">
        <v>62</v>
      </c>
      <c r="H19" s="2172" t="s">
        <v>379</v>
      </c>
      <c r="I19" s="3311">
        <v>4502001</v>
      </c>
      <c r="J19" s="2172" t="s">
        <v>193</v>
      </c>
      <c r="K19" s="2166" t="s">
        <v>62</v>
      </c>
      <c r="L19" s="2172" t="s">
        <v>380</v>
      </c>
      <c r="M19" s="2166">
        <v>450200100</v>
      </c>
      <c r="N19" s="2172" t="s">
        <v>195</v>
      </c>
      <c r="O19" s="3292">
        <v>30</v>
      </c>
      <c r="P19" s="2174" t="s">
        <v>381</v>
      </c>
      <c r="Q19" s="3306" t="s">
        <v>382</v>
      </c>
      <c r="R19" s="3308">
        <f>SUM(W19:W20)/S19</f>
        <v>1</v>
      </c>
      <c r="S19" s="3316">
        <f>SUM(W19:W20)</f>
        <v>145000000</v>
      </c>
      <c r="T19" s="2824" t="s">
        <v>383</v>
      </c>
      <c r="U19" s="2824" t="s">
        <v>384</v>
      </c>
      <c r="V19" s="435" t="s">
        <v>385</v>
      </c>
      <c r="W19" s="436">
        <f>100000000+45000000</f>
        <v>145000000</v>
      </c>
      <c r="X19" s="437" t="s">
        <v>386</v>
      </c>
      <c r="Y19" s="438">
        <v>20</v>
      </c>
      <c r="Z19" s="439" t="s">
        <v>73</v>
      </c>
      <c r="AA19" s="3315">
        <v>295972</v>
      </c>
      <c r="AB19" s="3315">
        <v>285580</v>
      </c>
      <c r="AC19" s="3315">
        <v>135545</v>
      </c>
      <c r="AD19" s="3313">
        <v>44254</v>
      </c>
      <c r="AE19" s="3315">
        <v>309146</v>
      </c>
      <c r="AF19" s="3315">
        <v>92607</v>
      </c>
      <c r="AG19" s="3315">
        <v>2145</v>
      </c>
      <c r="AH19" s="3315">
        <v>12718</v>
      </c>
      <c r="AI19" s="3315">
        <v>26</v>
      </c>
      <c r="AJ19" s="3315">
        <v>37</v>
      </c>
      <c r="AK19" s="3315"/>
      <c r="AL19" s="3315"/>
      <c r="AM19" s="3315">
        <v>44350</v>
      </c>
      <c r="AN19" s="2563">
        <v>21944</v>
      </c>
      <c r="AO19" s="2563">
        <v>75687</v>
      </c>
      <c r="AP19" s="2563">
        <v>581552</v>
      </c>
      <c r="AQ19" s="3317">
        <v>44198</v>
      </c>
      <c r="AR19" s="3057">
        <v>44561</v>
      </c>
      <c r="AS19" s="3318" t="s">
        <v>363</v>
      </c>
    </row>
    <row r="20" spans="1:45" ht="106.5" customHeight="1" x14ac:dyDescent="0.25">
      <c r="A20" s="402"/>
      <c r="B20" s="403"/>
      <c r="C20" s="411"/>
      <c r="D20" s="412"/>
      <c r="E20" s="48"/>
      <c r="F20" s="440"/>
      <c r="G20" s="3312"/>
      <c r="H20" s="2173"/>
      <c r="I20" s="3312"/>
      <c r="J20" s="2173"/>
      <c r="K20" s="2191"/>
      <c r="L20" s="2173"/>
      <c r="M20" s="2191"/>
      <c r="N20" s="2173"/>
      <c r="O20" s="3305"/>
      <c r="P20" s="2175"/>
      <c r="Q20" s="3307"/>
      <c r="R20" s="3308"/>
      <c r="S20" s="3316"/>
      <c r="T20" s="2824"/>
      <c r="U20" s="2824"/>
      <c r="V20" s="441" t="s">
        <v>387</v>
      </c>
      <c r="W20" s="442">
        <v>0</v>
      </c>
      <c r="X20" s="443" t="s">
        <v>386</v>
      </c>
      <c r="Y20" s="444">
        <v>20</v>
      </c>
      <c r="Z20" s="445" t="s">
        <v>73</v>
      </c>
      <c r="AA20" s="3315"/>
      <c r="AB20" s="3315"/>
      <c r="AC20" s="3315"/>
      <c r="AD20" s="3314"/>
      <c r="AE20" s="3315"/>
      <c r="AF20" s="3315"/>
      <c r="AG20" s="3315"/>
      <c r="AH20" s="3315"/>
      <c r="AI20" s="3315"/>
      <c r="AJ20" s="3315"/>
      <c r="AK20" s="3315"/>
      <c r="AL20" s="3315"/>
      <c r="AM20" s="3315"/>
      <c r="AN20" s="2564"/>
      <c r="AO20" s="2564"/>
      <c r="AP20" s="2564"/>
      <c r="AQ20" s="3317"/>
      <c r="AR20" s="3286"/>
      <c r="AS20" s="3287"/>
    </row>
    <row r="21" spans="1:45" ht="15.75" x14ac:dyDescent="0.25">
      <c r="A21" s="446"/>
      <c r="B21" s="204"/>
      <c r="C21" s="204"/>
      <c r="D21" s="204"/>
      <c r="E21" s="204"/>
      <c r="F21" s="204"/>
      <c r="G21" s="204"/>
      <c r="H21" s="205"/>
      <c r="I21" s="204"/>
      <c r="J21" s="205"/>
      <c r="K21" s="204"/>
      <c r="L21" s="205"/>
      <c r="M21" s="204"/>
      <c r="N21" s="205"/>
      <c r="O21" s="204"/>
      <c r="P21" s="204"/>
      <c r="Q21" s="205"/>
      <c r="R21" s="204"/>
      <c r="S21" s="447">
        <f>SUM(S12:S20)</f>
        <v>1177000000</v>
      </c>
      <c r="T21" s="205"/>
      <c r="U21" s="205"/>
      <c r="V21" s="205" t="s">
        <v>118</v>
      </c>
      <c r="W21" s="448">
        <f>SUM(W12:W20)</f>
        <v>1177000000</v>
      </c>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449"/>
    </row>
    <row r="22" spans="1:45" ht="15" x14ac:dyDescent="0.25">
      <c r="W22" s="127"/>
    </row>
    <row r="23" spans="1:45" ht="15" x14ac:dyDescent="0.25">
      <c r="W23" s="127"/>
    </row>
    <row r="24" spans="1:45" ht="15" x14ac:dyDescent="0.25">
      <c r="W24" s="127"/>
    </row>
    <row r="25" spans="1:45" ht="15" x14ac:dyDescent="0.25">
      <c r="W25" s="127"/>
    </row>
    <row r="26" spans="1:45" ht="15" x14ac:dyDescent="0.25">
      <c r="W26" s="127"/>
    </row>
  </sheetData>
  <sheetProtection algorithmName="SHA-512" hashValue="5uh3APh2RowSUm+aqRHjp9cjAyzKfySb+A1R/a+vE7TOgEVmAKZSOUy+NTZ/B3pYf0e5doH0TPl6icko4QeeZg==" saltValue="gvqTkaOzkz+APU68tRHLMQ==" spinCount="100000" sheet="1" objects="1" scenarios="1"/>
  <mergeCells count="127">
    <mergeCell ref="AP19:AP20"/>
    <mergeCell ref="AQ19:AQ20"/>
    <mergeCell ref="AR19:AR20"/>
    <mergeCell ref="AS19:AS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S19:S20"/>
    <mergeCell ref="T19:T20"/>
    <mergeCell ref="U19:U20"/>
    <mergeCell ref="AA19:AA20"/>
    <mergeCell ref="AB19:AB20"/>
    <mergeCell ref="AC19:AC20"/>
    <mergeCell ref="M19:M20"/>
    <mergeCell ref="N19:N20"/>
    <mergeCell ref="O19:O20"/>
    <mergeCell ref="P19:P20"/>
    <mergeCell ref="Q19:Q20"/>
    <mergeCell ref="R19:R20"/>
    <mergeCell ref="F18:L18"/>
    <mergeCell ref="G19:G20"/>
    <mergeCell ref="H19:H20"/>
    <mergeCell ref="I19:I20"/>
    <mergeCell ref="J19:J20"/>
    <mergeCell ref="K19:K20"/>
    <mergeCell ref="L19:L20"/>
    <mergeCell ref="AQ14:AQ17"/>
    <mergeCell ref="AR14:AR17"/>
    <mergeCell ref="AS14:AS17"/>
    <mergeCell ref="V16:V17"/>
    <mergeCell ref="AI14:AI17"/>
    <mergeCell ref="AJ14:AJ17"/>
    <mergeCell ref="AK14:AK17"/>
    <mergeCell ref="AL14:AL17"/>
    <mergeCell ref="AM14:AM17"/>
    <mergeCell ref="AN14:AN17"/>
    <mergeCell ref="AC14:AC17"/>
    <mergeCell ref="AD14:AD17"/>
    <mergeCell ref="AE14:AE17"/>
    <mergeCell ref="AF14:AF17"/>
    <mergeCell ref="AG14:AG17"/>
    <mergeCell ref="AH14:AH17"/>
    <mergeCell ref="AB14:AB17"/>
    <mergeCell ref="AA14:AA17"/>
    <mergeCell ref="R14:R17"/>
    <mergeCell ref="AO14:AO17"/>
    <mergeCell ref="AP14:AP17"/>
    <mergeCell ref="AN12:AN13"/>
    <mergeCell ref="AO12:AO13"/>
    <mergeCell ref="AP12:AP13"/>
    <mergeCell ref="AB12:AB13"/>
    <mergeCell ref="AC12:AC13"/>
    <mergeCell ref="AD12:AD13"/>
    <mergeCell ref="AE12:AE13"/>
    <mergeCell ref="AF12:AF13"/>
    <mergeCell ref="AG12:AG13"/>
    <mergeCell ref="AJ12:AJ13"/>
    <mergeCell ref="AK12:AK13"/>
    <mergeCell ref="AL12:AL13"/>
    <mergeCell ref="AM12:AM13"/>
    <mergeCell ref="Y12:Y13"/>
    <mergeCell ref="Z12:Z13"/>
    <mergeCell ref="AA12:AA13"/>
    <mergeCell ref="G14:G17"/>
    <mergeCell ref="H14:H17"/>
    <mergeCell ref="I14:I17"/>
    <mergeCell ref="J14:J17"/>
    <mergeCell ref="K14:K17"/>
    <mergeCell ref="L14:L17"/>
    <mergeCell ref="T12:T13"/>
    <mergeCell ref="U12:U13"/>
    <mergeCell ref="V12:V13"/>
    <mergeCell ref="N12:N13"/>
    <mergeCell ref="O12:O13"/>
    <mergeCell ref="P12:P13"/>
    <mergeCell ref="S14:S17"/>
    <mergeCell ref="T14:T17"/>
    <mergeCell ref="U14:U17"/>
    <mergeCell ref="V14:V15"/>
    <mergeCell ref="Q12:Q13"/>
    <mergeCell ref="R12:R13"/>
    <mergeCell ref="S12:S13"/>
    <mergeCell ref="M14:M17"/>
    <mergeCell ref="N14:N17"/>
    <mergeCell ref="O14:O17"/>
    <mergeCell ref="P14:P17"/>
    <mergeCell ref="Q14:Q17"/>
    <mergeCell ref="AS7:AS8"/>
    <mergeCell ref="D10:H10"/>
    <mergeCell ref="F11:J11"/>
    <mergeCell ref="G12:G13"/>
    <mergeCell ref="H12:H13"/>
    <mergeCell ref="I12:I13"/>
    <mergeCell ref="J12:J13"/>
    <mergeCell ref="K12:K13"/>
    <mergeCell ref="L12:L13"/>
    <mergeCell ref="M12:M13"/>
    <mergeCell ref="AC7:AF7"/>
    <mergeCell ref="AG7:AL7"/>
    <mergeCell ref="AM7:AO7"/>
    <mergeCell ref="AP7:AP8"/>
    <mergeCell ref="AQ7:AQ8"/>
    <mergeCell ref="AR7:AR8"/>
    <mergeCell ref="AQ12:AQ13"/>
    <mergeCell ref="AR12:AR13"/>
    <mergeCell ref="AS12:AS13"/>
    <mergeCell ref="AH12:AH13"/>
    <mergeCell ref="AI12:AI13"/>
    <mergeCell ref="A1:AQ4"/>
    <mergeCell ref="A5:O6"/>
    <mergeCell ref="A7:B7"/>
    <mergeCell ref="C7:D7"/>
    <mergeCell ref="E7:F7"/>
    <mergeCell ref="G7:J7"/>
    <mergeCell ref="K7:N7"/>
    <mergeCell ref="O7:W7"/>
    <mergeCell ref="X7:Z7"/>
    <mergeCell ref="AA7:AB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F-PLA-06 ADMINISTRATIVA</vt:lpstr>
      <vt:lpstr>F-PLA-06 PLANEACION</vt:lpstr>
      <vt:lpstr>F-PLA06 HACIENDA</vt:lpstr>
      <vt:lpstr>F-PLA-06 AGUAS E INFRAESTRUCTUR</vt:lpstr>
      <vt:lpstr>F-PLA-06 INTERIOR</vt:lpstr>
      <vt:lpstr>F-PLA-06 CULTURA</vt:lpstr>
      <vt:lpstr>F-PLA-06 TURISMO </vt:lpstr>
      <vt:lpstr>F-PLA-06 AGRICULTURA</vt:lpstr>
      <vt:lpstr>F-PLA-06 PRIVADA</vt:lpstr>
      <vt:lpstr>F-PLA-06 EDUCACIÓN</vt:lpstr>
      <vt:lpstr>F-PLA-06 FAMILIA</vt:lpstr>
      <vt:lpstr>F-PLA 06 SALUD</vt:lpstr>
      <vt:lpstr>F-PLA-06 TIC</vt:lpstr>
      <vt:lpstr>F-PLA-06 INDEPORTES</vt:lpstr>
      <vt:lpstr>F-PLA-06 IDTQ</vt:lpstr>
      <vt:lpstr>F-PL-06 PROYECTA</vt:lpstr>
      <vt:lpstr>'F-PLA-06 TURISMO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2021-10-14T18:17:39Z</dcterms:created>
  <dcterms:modified xsi:type="dcterms:W3CDTF">2021-12-07T19:43:38Z</dcterms:modified>
</cp:coreProperties>
</file>